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drawings/drawing3.xml" ContentType="application/vnd.openxmlformats-officedocument.drawing+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drawings/drawing4.xml" ContentType="application/vnd.openxmlformats-officedocument.drawing+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tables/table105.xml" ContentType="application/vnd.openxmlformats-officedocument.spreadsheetml.table+xml"/>
  <Override PartName="/xl/tables/table106.xml" ContentType="application/vnd.openxmlformats-officedocument.spreadsheetml.table+xml"/>
  <Override PartName="/xl/tables/table107.xml" ContentType="application/vnd.openxmlformats-officedocument.spreadsheetml.table+xml"/>
  <Override PartName="/xl/tables/table108.xml" ContentType="application/vnd.openxmlformats-officedocument.spreadsheetml.table+xml"/>
  <Override PartName="/xl/tables/table109.xml" ContentType="application/vnd.openxmlformats-officedocument.spreadsheetml.table+xml"/>
  <Override PartName="/xl/tables/table110.xml" ContentType="application/vnd.openxmlformats-officedocument.spreadsheetml.table+xml"/>
  <Override PartName="/xl/tables/table111.xml" ContentType="application/vnd.openxmlformats-officedocument.spreadsheetml.table+xml"/>
  <Override PartName="/xl/tables/table112.xml" ContentType="application/vnd.openxmlformats-officedocument.spreadsheetml.table+xml"/>
  <Override PartName="/xl/tables/table113.xml" ContentType="application/vnd.openxmlformats-officedocument.spreadsheetml.table+xml"/>
  <Override PartName="/xl/tables/table114.xml" ContentType="application/vnd.openxmlformats-officedocument.spreadsheetml.table+xml"/>
  <Override PartName="/xl/tables/table115.xml" ContentType="application/vnd.openxmlformats-officedocument.spreadsheetml.table+xml"/>
  <Override PartName="/xl/tables/table116.xml" ContentType="application/vnd.openxmlformats-officedocument.spreadsheetml.table+xml"/>
  <Override PartName="/xl/tables/table117.xml" ContentType="application/vnd.openxmlformats-officedocument.spreadsheetml.table+xml"/>
  <Override PartName="/xl/tables/table118.xml" ContentType="application/vnd.openxmlformats-officedocument.spreadsheetml.table+xml"/>
  <Override PartName="/xl/tables/table119.xml" ContentType="application/vnd.openxmlformats-officedocument.spreadsheetml.table+xml"/>
  <Override PartName="/xl/tables/table120.xml" ContentType="application/vnd.openxmlformats-officedocument.spreadsheetml.table+xml"/>
  <Override PartName="/xl/tables/table121.xml" ContentType="application/vnd.openxmlformats-officedocument.spreadsheetml.table+xml"/>
  <Override PartName="/xl/tables/table122.xml" ContentType="application/vnd.openxmlformats-officedocument.spreadsheetml.table+xml"/>
  <Override PartName="/xl/tables/table123.xml" ContentType="application/vnd.openxmlformats-officedocument.spreadsheetml.table+xml"/>
  <Override PartName="/xl/tables/table124.xml" ContentType="application/vnd.openxmlformats-officedocument.spreadsheetml.table+xml"/>
  <Override PartName="/xl/tables/table125.xml" ContentType="application/vnd.openxmlformats-officedocument.spreadsheetml.table+xml"/>
  <Override PartName="/xl/tables/table126.xml" ContentType="application/vnd.openxmlformats-officedocument.spreadsheetml.table+xml"/>
  <Override PartName="/xl/tables/table127.xml" ContentType="application/vnd.openxmlformats-officedocument.spreadsheetml.table+xml"/>
  <Override PartName="/xl/tables/table128.xml" ContentType="application/vnd.openxmlformats-officedocument.spreadsheetml.table+xml"/>
  <Override PartName="/xl/tables/table129.xml" ContentType="application/vnd.openxmlformats-officedocument.spreadsheetml.table+xml"/>
  <Override PartName="/xl/tables/table130.xml" ContentType="application/vnd.openxmlformats-officedocument.spreadsheetml.table+xml"/>
  <Override PartName="/xl/tables/table131.xml" ContentType="application/vnd.openxmlformats-officedocument.spreadsheetml.table+xml"/>
  <Override PartName="/xl/tables/table132.xml" ContentType="application/vnd.openxmlformats-officedocument.spreadsheetml.table+xml"/>
  <Override PartName="/xl/drawings/drawing5.xml" ContentType="application/vnd.openxmlformats-officedocument.drawing+xml"/>
  <Override PartName="/xl/tables/table133.xml" ContentType="application/vnd.openxmlformats-officedocument.spreadsheetml.table+xml"/>
  <Override PartName="/xl/tables/table134.xml" ContentType="application/vnd.openxmlformats-officedocument.spreadsheetml.table+xml"/>
  <Override PartName="/xl/tables/table135.xml" ContentType="application/vnd.openxmlformats-officedocument.spreadsheetml.table+xml"/>
  <Override PartName="/xl/tables/table136.xml" ContentType="application/vnd.openxmlformats-officedocument.spreadsheetml.table+xml"/>
  <Override PartName="/xl/tables/table137.xml" ContentType="application/vnd.openxmlformats-officedocument.spreadsheetml.table+xml"/>
  <Override PartName="/xl/tables/table138.xml" ContentType="application/vnd.openxmlformats-officedocument.spreadsheetml.table+xml"/>
  <Override PartName="/xl/tables/table139.xml" ContentType="application/vnd.openxmlformats-officedocument.spreadsheetml.table+xml"/>
  <Override PartName="/xl/tables/table140.xml" ContentType="application/vnd.openxmlformats-officedocument.spreadsheetml.table+xml"/>
  <Override PartName="/xl/tables/table141.xml" ContentType="application/vnd.openxmlformats-officedocument.spreadsheetml.table+xml"/>
  <Override PartName="/xl/tables/table142.xml" ContentType="application/vnd.openxmlformats-officedocument.spreadsheetml.table+xml"/>
  <Override PartName="/xl/tables/table143.xml" ContentType="application/vnd.openxmlformats-officedocument.spreadsheetml.table+xml"/>
  <Override PartName="/xl/tables/table144.xml" ContentType="application/vnd.openxmlformats-officedocument.spreadsheetml.table+xml"/>
  <Override PartName="/xl/tables/table145.xml" ContentType="application/vnd.openxmlformats-officedocument.spreadsheetml.table+xml"/>
  <Override PartName="/xl/tables/table146.xml" ContentType="application/vnd.openxmlformats-officedocument.spreadsheetml.table+xml"/>
  <Override PartName="/xl/tables/table147.xml" ContentType="application/vnd.openxmlformats-officedocument.spreadsheetml.table+xml"/>
  <Override PartName="/xl/tables/table148.xml" ContentType="application/vnd.openxmlformats-officedocument.spreadsheetml.table+xml"/>
  <Override PartName="/xl/tables/table149.xml" ContentType="application/vnd.openxmlformats-officedocument.spreadsheetml.table+xml"/>
  <Override PartName="/xl/tables/table150.xml" ContentType="application/vnd.openxmlformats-officedocument.spreadsheetml.table+xml"/>
  <Override PartName="/xl/tables/table151.xml" ContentType="application/vnd.openxmlformats-officedocument.spreadsheetml.table+xml"/>
  <Override PartName="/xl/tables/table152.xml" ContentType="application/vnd.openxmlformats-officedocument.spreadsheetml.table+xml"/>
  <Override PartName="/xl/tables/table153.xml" ContentType="application/vnd.openxmlformats-officedocument.spreadsheetml.table+xml"/>
  <Override PartName="/xl/tables/table154.xml" ContentType="application/vnd.openxmlformats-officedocument.spreadsheetml.table+xml"/>
  <Override PartName="/xl/tables/table155.xml" ContentType="application/vnd.openxmlformats-officedocument.spreadsheetml.table+xml"/>
  <Override PartName="/xl/tables/table156.xml" ContentType="application/vnd.openxmlformats-officedocument.spreadsheetml.table+xml"/>
  <Override PartName="/xl/tables/table157.xml" ContentType="application/vnd.openxmlformats-officedocument.spreadsheetml.table+xml"/>
  <Override PartName="/xl/tables/table158.xml" ContentType="application/vnd.openxmlformats-officedocument.spreadsheetml.table+xml"/>
  <Override PartName="/xl/tables/table159.xml" ContentType="application/vnd.openxmlformats-officedocument.spreadsheetml.table+xml"/>
  <Override PartName="/xl/tables/table160.xml" ContentType="application/vnd.openxmlformats-officedocument.spreadsheetml.table+xml"/>
  <Override PartName="/xl/tables/table161.xml" ContentType="application/vnd.openxmlformats-officedocument.spreadsheetml.table+xml"/>
  <Override PartName="/xl/tables/table162.xml" ContentType="application/vnd.openxmlformats-officedocument.spreadsheetml.table+xml"/>
  <Override PartName="/xl/tables/table163.xml" ContentType="application/vnd.openxmlformats-officedocument.spreadsheetml.table+xml"/>
  <Override PartName="/xl/tables/table164.xml" ContentType="application/vnd.openxmlformats-officedocument.spreadsheetml.table+xml"/>
  <Override PartName="/xl/tables/table165.xml" ContentType="application/vnd.openxmlformats-officedocument.spreadsheetml.table+xml"/>
  <Override PartName="/xl/tables/table166.xml" ContentType="application/vnd.openxmlformats-officedocument.spreadsheetml.table+xml"/>
  <Override PartName="/xl/tables/table167.xml" ContentType="application/vnd.openxmlformats-officedocument.spreadsheetml.table+xml"/>
  <Override PartName="/xl/tables/table168.xml" ContentType="application/vnd.openxmlformats-officedocument.spreadsheetml.table+xml"/>
  <Override PartName="/xl/tables/table169.xml" ContentType="application/vnd.openxmlformats-officedocument.spreadsheetml.table+xml"/>
  <Override PartName="/xl/tables/table170.xml" ContentType="application/vnd.openxmlformats-officedocument.spreadsheetml.table+xml"/>
  <Override PartName="/xl/tables/table171.xml" ContentType="application/vnd.openxmlformats-officedocument.spreadsheetml.table+xml"/>
  <Override PartName="/xl/tables/table172.xml" ContentType="application/vnd.openxmlformats-officedocument.spreadsheetml.table+xml"/>
  <Override PartName="/xl/tables/table173.xml" ContentType="application/vnd.openxmlformats-officedocument.spreadsheetml.table+xml"/>
  <Override PartName="/xl/tables/table174.xml" ContentType="application/vnd.openxmlformats-officedocument.spreadsheetml.table+xml"/>
  <Override PartName="/xl/tables/table175.xml" ContentType="application/vnd.openxmlformats-officedocument.spreadsheetml.table+xml"/>
  <Override PartName="/xl/tables/table176.xml" ContentType="application/vnd.openxmlformats-officedocument.spreadsheetml.table+xml"/>
  <Override PartName="/xl/tables/table177.xml" ContentType="application/vnd.openxmlformats-officedocument.spreadsheetml.table+xml"/>
  <Override PartName="/xl/tables/table178.xml" ContentType="application/vnd.openxmlformats-officedocument.spreadsheetml.table+xml"/>
  <Override PartName="/xl/tables/table179.xml" ContentType="application/vnd.openxmlformats-officedocument.spreadsheetml.table+xml"/>
  <Override PartName="/xl/tables/table180.xml" ContentType="application/vnd.openxmlformats-officedocument.spreadsheetml.table+xml"/>
  <Override PartName="/xl/tables/table181.xml" ContentType="application/vnd.openxmlformats-officedocument.spreadsheetml.table+xml"/>
  <Override PartName="/xl/tables/table182.xml" ContentType="application/vnd.openxmlformats-officedocument.spreadsheetml.table+xml"/>
  <Override PartName="/xl/tables/table183.xml" ContentType="application/vnd.openxmlformats-officedocument.spreadsheetml.table+xml"/>
  <Override PartName="/xl/tables/table184.xml" ContentType="application/vnd.openxmlformats-officedocument.spreadsheetml.table+xml"/>
  <Override PartName="/xl/tables/table185.xml" ContentType="application/vnd.openxmlformats-officedocument.spreadsheetml.table+xml"/>
  <Override PartName="/xl/tables/table186.xml" ContentType="application/vnd.openxmlformats-officedocument.spreadsheetml.table+xml"/>
  <Override PartName="/xl/tables/table187.xml" ContentType="application/vnd.openxmlformats-officedocument.spreadsheetml.table+xml"/>
  <Override PartName="/xl/tables/table188.xml" ContentType="application/vnd.openxmlformats-officedocument.spreadsheetml.table+xml"/>
  <Override PartName="/xl/drawings/drawing6.xml" ContentType="application/vnd.openxmlformats-officedocument.drawing+xml"/>
  <Override PartName="/xl/tables/table189.xml" ContentType="application/vnd.openxmlformats-officedocument.spreadsheetml.table+xml"/>
  <Override PartName="/xl/tables/table190.xml" ContentType="application/vnd.openxmlformats-officedocument.spreadsheetml.table+xml"/>
  <Override PartName="/xl/tables/table191.xml" ContentType="application/vnd.openxmlformats-officedocument.spreadsheetml.table+xml"/>
  <Override PartName="/xl/tables/table192.xml" ContentType="application/vnd.openxmlformats-officedocument.spreadsheetml.table+xml"/>
  <Override PartName="/xl/tables/table193.xml" ContentType="application/vnd.openxmlformats-officedocument.spreadsheetml.table+xml"/>
  <Override PartName="/xl/tables/table194.xml" ContentType="application/vnd.openxmlformats-officedocument.spreadsheetml.table+xml"/>
  <Override PartName="/xl/tables/table195.xml" ContentType="application/vnd.openxmlformats-officedocument.spreadsheetml.table+xml"/>
  <Override PartName="/xl/tables/table196.xml" ContentType="application/vnd.openxmlformats-officedocument.spreadsheetml.table+xml"/>
  <Override PartName="/xl/tables/table197.xml" ContentType="application/vnd.openxmlformats-officedocument.spreadsheetml.table+xml"/>
  <Override PartName="/xl/tables/table198.xml" ContentType="application/vnd.openxmlformats-officedocument.spreadsheetml.table+xml"/>
  <Override PartName="/xl/tables/table199.xml" ContentType="application/vnd.openxmlformats-officedocument.spreadsheetml.table+xml"/>
  <Override PartName="/xl/tables/table200.xml" ContentType="application/vnd.openxmlformats-officedocument.spreadsheetml.table+xml"/>
  <Override PartName="/xl/tables/table201.xml" ContentType="application/vnd.openxmlformats-officedocument.spreadsheetml.table+xml"/>
  <Override PartName="/xl/tables/table202.xml" ContentType="application/vnd.openxmlformats-officedocument.spreadsheetml.table+xml"/>
  <Override PartName="/xl/tables/table203.xml" ContentType="application/vnd.openxmlformats-officedocument.spreadsheetml.table+xml"/>
  <Override PartName="/xl/tables/table204.xml" ContentType="application/vnd.openxmlformats-officedocument.spreadsheetml.table+xml"/>
  <Override PartName="/xl/tables/table205.xml" ContentType="application/vnd.openxmlformats-officedocument.spreadsheetml.table+xml"/>
  <Override PartName="/xl/tables/table206.xml" ContentType="application/vnd.openxmlformats-officedocument.spreadsheetml.table+xml"/>
  <Override PartName="/xl/tables/table207.xml" ContentType="application/vnd.openxmlformats-officedocument.spreadsheetml.table+xml"/>
  <Override PartName="/xl/tables/table208.xml" ContentType="application/vnd.openxmlformats-officedocument.spreadsheetml.table+xml"/>
  <Override PartName="/xl/tables/table209.xml" ContentType="application/vnd.openxmlformats-officedocument.spreadsheetml.table+xml"/>
  <Override PartName="/xl/tables/table210.xml" ContentType="application/vnd.openxmlformats-officedocument.spreadsheetml.table+xml"/>
  <Override PartName="/xl/tables/table211.xml" ContentType="application/vnd.openxmlformats-officedocument.spreadsheetml.table+xml"/>
  <Override PartName="/xl/tables/table212.xml" ContentType="application/vnd.openxmlformats-officedocument.spreadsheetml.table+xml"/>
  <Override PartName="/xl/tables/table213.xml" ContentType="application/vnd.openxmlformats-officedocument.spreadsheetml.table+xml"/>
  <Override PartName="/xl/tables/table214.xml" ContentType="application/vnd.openxmlformats-officedocument.spreadsheetml.table+xml"/>
  <Override PartName="/xl/tables/table215.xml" ContentType="application/vnd.openxmlformats-officedocument.spreadsheetml.table+xml"/>
  <Override PartName="/xl/tables/table216.xml" ContentType="application/vnd.openxmlformats-officedocument.spreadsheetml.table+xml"/>
  <Override PartName="/xl/tables/table217.xml" ContentType="application/vnd.openxmlformats-officedocument.spreadsheetml.table+xml"/>
  <Override PartName="/xl/tables/table218.xml" ContentType="application/vnd.openxmlformats-officedocument.spreadsheetml.table+xml"/>
  <Override PartName="/xl/tables/table219.xml" ContentType="application/vnd.openxmlformats-officedocument.spreadsheetml.table+xml"/>
  <Override PartName="/xl/tables/table220.xml" ContentType="application/vnd.openxmlformats-officedocument.spreadsheetml.table+xml"/>
  <Override PartName="/xl/tables/table221.xml" ContentType="application/vnd.openxmlformats-officedocument.spreadsheetml.table+xml"/>
  <Override PartName="/xl/tables/table222.xml" ContentType="application/vnd.openxmlformats-officedocument.spreadsheetml.table+xml"/>
  <Override PartName="/xl/tables/table223.xml" ContentType="application/vnd.openxmlformats-officedocument.spreadsheetml.table+xml"/>
  <Override PartName="/xl/tables/table224.xml" ContentType="application/vnd.openxmlformats-officedocument.spreadsheetml.table+xml"/>
  <Override PartName="/xl/tables/table225.xml" ContentType="application/vnd.openxmlformats-officedocument.spreadsheetml.table+xml"/>
  <Override PartName="/xl/tables/table226.xml" ContentType="application/vnd.openxmlformats-officedocument.spreadsheetml.table+xml"/>
  <Override PartName="/xl/tables/table227.xml" ContentType="application/vnd.openxmlformats-officedocument.spreadsheetml.table+xml"/>
  <Override PartName="/xl/tables/table228.xml" ContentType="application/vnd.openxmlformats-officedocument.spreadsheetml.table+xml"/>
  <Override PartName="/xl/tables/table229.xml" ContentType="application/vnd.openxmlformats-officedocument.spreadsheetml.table+xml"/>
  <Override PartName="/xl/tables/table230.xml" ContentType="application/vnd.openxmlformats-officedocument.spreadsheetml.table+xml"/>
  <Override PartName="/xl/tables/table231.xml" ContentType="application/vnd.openxmlformats-officedocument.spreadsheetml.table+xml"/>
  <Override PartName="/xl/tables/table232.xml" ContentType="application/vnd.openxmlformats-officedocument.spreadsheetml.table+xml"/>
  <Override PartName="/xl/tables/table233.xml" ContentType="application/vnd.openxmlformats-officedocument.spreadsheetml.table+xml"/>
  <Override PartName="/xl/tables/table234.xml" ContentType="application/vnd.openxmlformats-officedocument.spreadsheetml.table+xml"/>
  <Override PartName="/xl/tables/table235.xml" ContentType="application/vnd.openxmlformats-officedocument.spreadsheetml.table+xml"/>
  <Override PartName="/xl/tables/table236.xml" ContentType="application/vnd.openxmlformats-officedocument.spreadsheetml.table+xml"/>
  <Override PartName="/xl/tables/table237.xml" ContentType="application/vnd.openxmlformats-officedocument.spreadsheetml.table+xml"/>
  <Override PartName="/xl/tables/table238.xml" ContentType="application/vnd.openxmlformats-officedocument.spreadsheetml.table+xml"/>
  <Override PartName="/xl/tables/table239.xml" ContentType="application/vnd.openxmlformats-officedocument.spreadsheetml.table+xml"/>
  <Override PartName="/xl/tables/table240.xml" ContentType="application/vnd.openxmlformats-officedocument.spreadsheetml.table+xml"/>
  <Override PartName="/xl/tables/table241.xml" ContentType="application/vnd.openxmlformats-officedocument.spreadsheetml.table+xml"/>
  <Override PartName="/xl/tables/table242.xml" ContentType="application/vnd.openxmlformats-officedocument.spreadsheetml.table+xml"/>
  <Override PartName="/xl/tables/table243.xml" ContentType="application/vnd.openxmlformats-officedocument.spreadsheetml.table+xml"/>
  <Override PartName="/xl/tables/table244.xml" ContentType="application/vnd.openxmlformats-officedocument.spreadsheetml.table+xml"/>
  <Override PartName="/xl/drawings/drawing7.xml" ContentType="application/vnd.openxmlformats-officedocument.drawing+xml"/>
  <Override PartName="/xl/tables/table245.xml" ContentType="application/vnd.openxmlformats-officedocument.spreadsheetml.table+xml"/>
  <Override PartName="/xl/tables/table246.xml" ContentType="application/vnd.openxmlformats-officedocument.spreadsheetml.table+xml"/>
  <Override PartName="/xl/tables/table247.xml" ContentType="application/vnd.openxmlformats-officedocument.spreadsheetml.table+xml"/>
  <Override PartName="/xl/tables/table248.xml" ContentType="application/vnd.openxmlformats-officedocument.spreadsheetml.table+xml"/>
  <Override PartName="/xl/tables/table249.xml" ContentType="application/vnd.openxmlformats-officedocument.spreadsheetml.table+xml"/>
  <Override PartName="/xl/tables/table250.xml" ContentType="application/vnd.openxmlformats-officedocument.spreadsheetml.table+xml"/>
  <Override PartName="/xl/tables/table251.xml" ContentType="application/vnd.openxmlformats-officedocument.spreadsheetml.table+xml"/>
  <Override PartName="/xl/tables/table252.xml" ContentType="application/vnd.openxmlformats-officedocument.spreadsheetml.table+xml"/>
  <Override PartName="/xl/tables/table253.xml" ContentType="application/vnd.openxmlformats-officedocument.spreadsheetml.table+xml"/>
  <Override PartName="/xl/tables/table254.xml" ContentType="application/vnd.openxmlformats-officedocument.spreadsheetml.table+xml"/>
  <Override PartName="/xl/tables/table255.xml" ContentType="application/vnd.openxmlformats-officedocument.spreadsheetml.table+xml"/>
  <Override PartName="/xl/tables/table256.xml" ContentType="application/vnd.openxmlformats-officedocument.spreadsheetml.table+xml"/>
  <Override PartName="/xl/tables/table257.xml" ContentType="application/vnd.openxmlformats-officedocument.spreadsheetml.table+xml"/>
  <Override PartName="/xl/tables/table258.xml" ContentType="application/vnd.openxmlformats-officedocument.spreadsheetml.table+xml"/>
  <Override PartName="/xl/tables/table259.xml" ContentType="application/vnd.openxmlformats-officedocument.spreadsheetml.table+xml"/>
  <Override PartName="/xl/tables/table260.xml" ContentType="application/vnd.openxmlformats-officedocument.spreadsheetml.table+xml"/>
  <Override PartName="/xl/tables/table261.xml" ContentType="application/vnd.openxmlformats-officedocument.spreadsheetml.table+xml"/>
  <Override PartName="/xl/tables/table262.xml" ContentType="application/vnd.openxmlformats-officedocument.spreadsheetml.table+xml"/>
  <Override PartName="/xl/tables/table263.xml" ContentType="application/vnd.openxmlformats-officedocument.spreadsheetml.table+xml"/>
  <Override PartName="/xl/tables/table264.xml" ContentType="application/vnd.openxmlformats-officedocument.spreadsheetml.table+xml"/>
  <Override PartName="/xl/tables/table265.xml" ContentType="application/vnd.openxmlformats-officedocument.spreadsheetml.table+xml"/>
  <Override PartName="/xl/tables/table266.xml" ContentType="application/vnd.openxmlformats-officedocument.spreadsheetml.table+xml"/>
  <Override PartName="/xl/tables/table267.xml" ContentType="application/vnd.openxmlformats-officedocument.spreadsheetml.table+xml"/>
  <Override PartName="/xl/tables/table268.xml" ContentType="application/vnd.openxmlformats-officedocument.spreadsheetml.table+xml"/>
  <Override PartName="/xl/tables/table269.xml" ContentType="application/vnd.openxmlformats-officedocument.spreadsheetml.table+xml"/>
  <Override PartName="/xl/tables/table270.xml" ContentType="application/vnd.openxmlformats-officedocument.spreadsheetml.table+xml"/>
  <Override PartName="/xl/tables/table271.xml" ContentType="application/vnd.openxmlformats-officedocument.spreadsheetml.table+xml"/>
  <Override PartName="/xl/tables/table272.xml" ContentType="application/vnd.openxmlformats-officedocument.spreadsheetml.table+xml"/>
  <Override PartName="/xl/tables/table273.xml" ContentType="application/vnd.openxmlformats-officedocument.spreadsheetml.table+xml"/>
  <Override PartName="/xl/tables/table274.xml" ContentType="application/vnd.openxmlformats-officedocument.spreadsheetml.table+xml"/>
  <Override PartName="/xl/tables/table275.xml" ContentType="application/vnd.openxmlformats-officedocument.spreadsheetml.table+xml"/>
  <Override PartName="/xl/tables/table276.xml" ContentType="application/vnd.openxmlformats-officedocument.spreadsheetml.table+xml"/>
  <Override PartName="/xl/tables/table277.xml" ContentType="application/vnd.openxmlformats-officedocument.spreadsheetml.table+xml"/>
  <Override PartName="/xl/tables/table278.xml" ContentType="application/vnd.openxmlformats-officedocument.spreadsheetml.table+xml"/>
  <Override PartName="/xl/tables/table279.xml" ContentType="application/vnd.openxmlformats-officedocument.spreadsheetml.table+xml"/>
  <Override PartName="/xl/tables/table280.xml" ContentType="application/vnd.openxmlformats-officedocument.spreadsheetml.table+xml"/>
  <Override PartName="/xl/tables/table281.xml" ContentType="application/vnd.openxmlformats-officedocument.spreadsheetml.table+xml"/>
  <Override PartName="/xl/tables/table282.xml" ContentType="application/vnd.openxmlformats-officedocument.spreadsheetml.table+xml"/>
  <Override PartName="/xl/tables/table283.xml" ContentType="application/vnd.openxmlformats-officedocument.spreadsheetml.table+xml"/>
  <Override PartName="/xl/tables/table284.xml" ContentType="application/vnd.openxmlformats-officedocument.spreadsheetml.table+xml"/>
  <Override PartName="/xl/tables/table285.xml" ContentType="application/vnd.openxmlformats-officedocument.spreadsheetml.table+xml"/>
  <Override PartName="/xl/tables/table286.xml" ContentType="application/vnd.openxmlformats-officedocument.spreadsheetml.table+xml"/>
  <Override PartName="/xl/tables/table287.xml" ContentType="application/vnd.openxmlformats-officedocument.spreadsheetml.table+xml"/>
  <Override PartName="/xl/tables/table288.xml" ContentType="application/vnd.openxmlformats-officedocument.spreadsheetml.table+xml"/>
  <Override PartName="/xl/tables/table289.xml" ContentType="application/vnd.openxmlformats-officedocument.spreadsheetml.table+xml"/>
  <Override PartName="/xl/tables/table290.xml" ContentType="application/vnd.openxmlformats-officedocument.spreadsheetml.table+xml"/>
  <Override PartName="/xl/tables/table291.xml" ContentType="application/vnd.openxmlformats-officedocument.spreadsheetml.table+xml"/>
  <Override PartName="/xl/tables/table292.xml" ContentType="application/vnd.openxmlformats-officedocument.spreadsheetml.table+xml"/>
  <Override PartName="/xl/tables/table293.xml" ContentType="application/vnd.openxmlformats-officedocument.spreadsheetml.table+xml"/>
  <Override PartName="/xl/tables/table294.xml" ContentType="application/vnd.openxmlformats-officedocument.spreadsheetml.table+xml"/>
  <Override PartName="/xl/tables/table295.xml" ContentType="application/vnd.openxmlformats-officedocument.spreadsheetml.table+xml"/>
  <Override PartName="/xl/tables/table296.xml" ContentType="application/vnd.openxmlformats-officedocument.spreadsheetml.table+xml"/>
  <Override PartName="/xl/tables/table297.xml" ContentType="application/vnd.openxmlformats-officedocument.spreadsheetml.table+xml"/>
  <Override PartName="/xl/tables/table298.xml" ContentType="application/vnd.openxmlformats-officedocument.spreadsheetml.table+xml"/>
  <Override PartName="/xl/tables/table299.xml" ContentType="application/vnd.openxmlformats-officedocument.spreadsheetml.table+xml"/>
  <Override PartName="/xl/tables/table300.xml" ContentType="application/vnd.openxmlformats-officedocument.spreadsheetml.table+xml"/>
  <Override PartName="/xl/drawings/drawing8.xml" ContentType="application/vnd.openxmlformats-officedocument.drawing+xml"/>
  <Override PartName="/xl/tables/table301.xml" ContentType="application/vnd.openxmlformats-officedocument.spreadsheetml.table+xml"/>
  <Override PartName="/xl/tables/table302.xml" ContentType="application/vnd.openxmlformats-officedocument.spreadsheetml.table+xml"/>
  <Override PartName="/xl/tables/table303.xml" ContentType="application/vnd.openxmlformats-officedocument.spreadsheetml.table+xml"/>
  <Override PartName="/xl/tables/table304.xml" ContentType="application/vnd.openxmlformats-officedocument.spreadsheetml.table+xml"/>
  <Override PartName="/xl/tables/table305.xml" ContentType="application/vnd.openxmlformats-officedocument.spreadsheetml.table+xml"/>
  <Override PartName="/xl/tables/table306.xml" ContentType="application/vnd.openxmlformats-officedocument.spreadsheetml.table+xml"/>
  <Override PartName="/xl/tables/table307.xml" ContentType="application/vnd.openxmlformats-officedocument.spreadsheetml.table+xml"/>
  <Override PartName="/xl/tables/table308.xml" ContentType="application/vnd.openxmlformats-officedocument.spreadsheetml.table+xml"/>
  <Override PartName="/xl/tables/table309.xml" ContentType="application/vnd.openxmlformats-officedocument.spreadsheetml.table+xml"/>
  <Override PartName="/xl/tables/table310.xml" ContentType="application/vnd.openxmlformats-officedocument.spreadsheetml.table+xml"/>
  <Override PartName="/xl/tables/table311.xml" ContentType="application/vnd.openxmlformats-officedocument.spreadsheetml.table+xml"/>
  <Override PartName="/xl/tables/table312.xml" ContentType="application/vnd.openxmlformats-officedocument.spreadsheetml.table+xml"/>
  <Override PartName="/xl/tables/table313.xml" ContentType="application/vnd.openxmlformats-officedocument.spreadsheetml.table+xml"/>
  <Override PartName="/xl/tables/table314.xml" ContentType="application/vnd.openxmlformats-officedocument.spreadsheetml.table+xml"/>
  <Override PartName="/xl/tables/table315.xml" ContentType="application/vnd.openxmlformats-officedocument.spreadsheetml.table+xml"/>
  <Override PartName="/xl/tables/table316.xml" ContentType="application/vnd.openxmlformats-officedocument.spreadsheetml.table+xml"/>
  <Override PartName="/xl/tables/table317.xml" ContentType="application/vnd.openxmlformats-officedocument.spreadsheetml.table+xml"/>
  <Override PartName="/xl/tables/table318.xml" ContentType="application/vnd.openxmlformats-officedocument.spreadsheetml.table+xml"/>
  <Override PartName="/xl/tables/table319.xml" ContentType="application/vnd.openxmlformats-officedocument.spreadsheetml.table+xml"/>
  <Override PartName="/xl/tables/table320.xml" ContentType="application/vnd.openxmlformats-officedocument.spreadsheetml.table+xml"/>
  <Override PartName="/xl/tables/table321.xml" ContentType="application/vnd.openxmlformats-officedocument.spreadsheetml.table+xml"/>
  <Override PartName="/xl/tables/table322.xml" ContentType="application/vnd.openxmlformats-officedocument.spreadsheetml.table+xml"/>
  <Override PartName="/xl/tables/table323.xml" ContentType="application/vnd.openxmlformats-officedocument.spreadsheetml.table+xml"/>
  <Override PartName="/xl/tables/table324.xml" ContentType="application/vnd.openxmlformats-officedocument.spreadsheetml.table+xml"/>
  <Override PartName="/xl/tables/table325.xml" ContentType="application/vnd.openxmlformats-officedocument.spreadsheetml.table+xml"/>
  <Override PartName="/xl/tables/table326.xml" ContentType="application/vnd.openxmlformats-officedocument.spreadsheetml.table+xml"/>
  <Override PartName="/xl/tables/table327.xml" ContentType="application/vnd.openxmlformats-officedocument.spreadsheetml.table+xml"/>
  <Override PartName="/xl/tables/table328.xml" ContentType="application/vnd.openxmlformats-officedocument.spreadsheetml.table+xml"/>
  <Override PartName="/xl/tables/table329.xml" ContentType="application/vnd.openxmlformats-officedocument.spreadsheetml.table+xml"/>
  <Override PartName="/xl/tables/table330.xml" ContentType="application/vnd.openxmlformats-officedocument.spreadsheetml.table+xml"/>
  <Override PartName="/xl/tables/table331.xml" ContentType="application/vnd.openxmlformats-officedocument.spreadsheetml.table+xml"/>
  <Override PartName="/xl/tables/table332.xml" ContentType="application/vnd.openxmlformats-officedocument.spreadsheetml.table+xml"/>
  <Override PartName="/xl/tables/table333.xml" ContentType="application/vnd.openxmlformats-officedocument.spreadsheetml.table+xml"/>
  <Override PartName="/xl/tables/table334.xml" ContentType="application/vnd.openxmlformats-officedocument.spreadsheetml.table+xml"/>
  <Override PartName="/xl/tables/table335.xml" ContentType="application/vnd.openxmlformats-officedocument.spreadsheetml.table+xml"/>
  <Override PartName="/xl/tables/table336.xml" ContentType="application/vnd.openxmlformats-officedocument.spreadsheetml.table+xml"/>
  <Override PartName="/xl/tables/table337.xml" ContentType="application/vnd.openxmlformats-officedocument.spreadsheetml.table+xml"/>
  <Override PartName="/xl/tables/table338.xml" ContentType="application/vnd.openxmlformats-officedocument.spreadsheetml.table+xml"/>
  <Override PartName="/xl/tables/table339.xml" ContentType="application/vnd.openxmlformats-officedocument.spreadsheetml.table+xml"/>
  <Override PartName="/xl/tables/table340.xml" ContentType="application/vnd.openxmlformats-officedocument.spreadsheetml.table+xml"/>
  <Override PartName="/xl/tables/table341.xml" ContentType="application/vnd.openxmlformats-officedocument.spreadsheetml.table+xml"/>
  <Override PartName="/xl/tables/table342.xml" ContentType="application/vnd.openxmlformats-officedocument.spreadsheetml.table+xml"/>
  <Override PartName="/xl/tables/table343.xml" ContentType="application/vnd.openxmlformats-officedocument.spreadsheetml.table+xml"/>
  <Override PartName="/xl/tables/table344.xml" ContentType="application/vnd.openxmlformats-officedocument.spreadsheetml.table+xml"/>
  <Override PartName="/xl/tables/table345.xml" ContentType="application/vnd.openxmlformats-officedocument.spreadsheetml.table+xml"/>
  <Override PartName="/xl/tables/table346.xml" ContentType="application/vnd.openxmlformats-officedocument.spreadsheetml.table+xml"/>
  <Override PartName="/xl/tables/table347.xml" ContentType="application/vnd.openxmlformats-officedocument.spreadsheetml.table+xml"/>
  <Override PartName="/xl/tables/table348.xml" ContentType="application/vnd.openxmlformats-officedocument.spreadsheetml.table+xml"/>
  <Override PartName="/xl/tables/table349.xml" ContentType="application/vnd.openxmlformats-officedocument.spreadsheetml.table+xml"/>
  <Override PartName="/xl/tables/table350.xml" ContentType="application/vnd.openxmlformats-officedocument.spreadsheetml.table+xml"/>
  <Override PartName="/xl/tables/table351.xml" ContentType="application/vnd.openxmlformats-officedocument.spreadsheetml.table+xml"/>
  <Override PartName="/xl/tables/table352.xml" ContentType="application/vnd.openxmlformats-officedocument.spreadsheetml.table+xml"/>
  <Override PartName="/xl/tables/table353.xml" ContentType="application/vnd.openxmlformats-officedocument.spreadsheetml.table+xml"/>
  <Override PartName="/xl/tables/table354.xml" ContentType="application/vnd.openxmlformats-officedocument.spreadsheetml.table+xml"/>
  <Override PartName="/xl/tables/table355.xml" ContentType="application/vnd.openxmlformats-officedocument.spreadsheetml.table+xml"/>
  <Override PartName="/xl/tables/table356.xml" ContentType="application/vnd.openxmlformats-officedocument.spreadsheetml.table+xml"/>
  <Override PartName="/xl/drawings/drawing9.xml" ContentType="application/vnd.openxmlformats-officedocument.drawing+xml"/>
  <Override PartName="/xl/tables/table357.xml" ContentType="application/vnd.openxmlformats-officedocument.spreadsheetml.table+xml"/>
  <Override PartName="/xl/tables/table358.xml" ContentType="application/vnd.openxmlformats-officedocument.spreadsheetml.table+xml"/>
  <Override PartName="/xl/tables/table359.xml" ContentType="application/vnd.openxmlformats-officedocument.spreadsheetml.table+xml"/>
  <Override PartName="/xl/tables/table360.xml" ContentType="application/vnd.openxmlformats-officedocument.spreadsheetml.table+xml"/>
  <Override PartName="/xl/tables/table361.xml" ContentType="application/vnd.openxmlformats-officedocument.spreadsheetml.table+xml"/>
  <Override PartName="/xl/tables/table362.xml" ContentType="application/vnd.openxmlformats-officedocument.spreadsheetml.table+xml"/>
  <Override PartName="/xl/tables/table363.xml" ContentType="application/vnd.openxmlformats-officedocument.spreadsheetml.table+xml"/>
  <Override PartName="/xl/tables/table364.xml" ContentType="application/vnd.openxmlformats-officedocument.spreadsheetml.table+xml"/>
  <Override PartName="/xl/tables/table365.xml" ContentType="application/vnd.openxmlformats-officedocument.spreadsheetml.table+xml"/>
  <Override PartName="/xl/tables/table366.xml" ContentType="application/vnd.openxmlformats-officedocument.spreadsheetml.table+xml"/>
  <Override PartName="/xl/tables/table367.xml" ContentType="application/vnd.openxmlformats-officedocument.spreadsheetml.table+xml"/>
  <Override PartName="/xl/tables/table368.xml" ContentType="application/vnd.openxmlformats-officedocument.spreadsheetml.table+xml"/>
  <Override PartName="/xl/tables/table369.xml" ContentType="application/vnd.openxmlformats-officedocument.spreadsheetml.table+xml"/>
  <Override PartName="/xl/tables/table370.xml" ContentType="application/vnd.openxmlformats-officedocument.spreadsheetml.table+xml"/>
  <Override PartName="/xl/tables/table371.xml" ContentType="application/vnd.openxmlformats-officedocument.spreadsheetml.table+xml"/>
  <Override PartName="/xl/tables/table372.xml" ContentType="application/vnd.openxmlformats-officedocument.spreadsheetml.table+xml"/>
  <Override PartName="/xl/tables/table373.xml" ContentType="application/vnd.openxmlformats-officedocument.spreadsheetml.table+xml"/>
  <Override PartName="/xl/tables/table374.xml" ContentType="application/vnd.openxmlformats-officedocument.spreadsheetml.table+xml"/>
  <Override PartName="/xl/tables/table375.xml" ContentType="application/vnd.openxmlformats-officedocument.spreadsheetml.table+xml"/>
  <Override PartName="/xl/tables/table376.xml" ContentType="application/vnd.openxmlformats-officedocument.spreadsheetml.table+xml"/>
  <Override PartName="/xl/tables/table377.xml" ContentType="application/vnd.openxmlformats-officedocument.spreadsheetml.table+xml"/>
  <Override PartName="/xl/tables/table378.xml" ContentType="application/vnd.openxmlformats-officedocument.spreadsheetml.table+xml"/>
  <Override PartName="/xl/tables/table379.xml" ContentType="application/vnd.openxmlformats-officedocument.spreadsheetml.table+xml"/>
  <Override PartName="/xl/tables/table380.xml" ContentType="application/vnd.openxmlformats-officedocument.spreadsheetml.table+xml"/>
  <Override PartName="/xl/tables/table381.xml" ContentType="application/vnd.openxmlformats-officedocument.spreadsheetml.table+xml"/>
  <Override PartName="/xl/tables/table382.xml" ContentType="application/vnd.openxmlformats-officedocument.spreadsheetml.table+xml"/>
  <Override PartName="/xl/tables/table383.xml" ContentType="application/vnd.openxmlformats-officedocument.spreadsheetml.table+xml"/>
  <Override PartName="/xl/tables/table384.xml" ContentType="application/vnd.openxmlformats-officedocument.spreadsheetml.table+xml"/>
  <Override PartName="/xl/tables/table385.xml" ContentType="application/vnd.openxmlformats-officedocument.spreadsheetml.table+xml"/>
  <Override PartName="/xl/tables/table386.xml" ContentType="application/vnd.openxmlformats-officedocument.spreadsheetml.table+xml"/>
  <Override PartName="/xl/tables/table387.xml" ContentType="application/vnd.openxmlformats-officedocument.spreadsheetml.table+xml"/>
  <Override PartName="/xl/tables/table388.xml" ContentType="application/vnd.openxmlformats-officedocument.spreadsheetml.table+xml"/>
  <Override PartName="/xl/tables/table389.xml" ContentType="application/vnd.openxmlformats-officedocument.spreadsheetml.table+xml"/>
  <Override PartName="/xl/tables/table390.xml" ContentType="application/vnd.openxmlformats-officedocument.spreadsheetml.table+xml"/>
  <Override PartName="/xl/tables/table391.xml" ContentType="application/vnd.openxmlformats-officedocument.spreadsheetml.table+xml"/>
  <Override PartName="/xl/tables/table392.xml" ContentType="application/vnd.openxmlformats-officedocument.spreadsheetml.table+xml"/>
  <Override PartName="/xl/tables/table393.xml" ContentType="application/vnd.openxmlformats-officedocument.spreadsheetml.table+xml"/>
  <Override PartName="/xl/tables/table394.xml" ContentType="application/vnd.openxmlformats-officedocument.spreadsheetml.table+xml"/>
  <Override PartName="/xl/tables/table395.xml" ContentType="application/vnd.openxmlformats-officedocument.spreadsheetml.table+xml"/>
  <Override PartName="/xl/tables/table396.xml" ContentType="application/vnd.openxmlformats-officedocument.spreadsheetml.table+xml"/>
  <Override PartName="/xl/tables/table397.xml" ContentType="application/vnd.openxmlformats-officedocument.spreadsheetml.table+xml"/>
  <Override PartName="/xl/tables/table398.xml" ContentType="application/vnd.openxmlformats-officedocument.spreadsheetml.table+xml"/>
  <Override PartName="/xl/tables/table399.xml" ContentType="application/vnd.openxmlformats-officedocument.spreadsheetml.table+xml"/>
  <Override PartName="/xl/tables/table400.xml" ContentType="application/vnd.openxmlformats-officedocument.spreadsheetml.table+xml"/>
  <Override PartName="/xl/tables/table401.xml" ContentType="application/vnd.openxmlformats-officedocument.spreadsheetml.table+xml"/>
  <Override PartName="/xl/tables/table402.xml" ContentType="application/vnd.openxmlformats-officedocument.spreadsheetml.table+xml"/>
  <Override PartName="/xl/tables/table403.xml" ContentType="application/vnd.openxmlformats-officedocument.spreadsheetml.table+xml"/>
  <Override PartName="/xl/tables/table404.xml" ContentType="application/vnd.openxmlformats-officedocument.spreadsheetml.table+xml"/>
  <Override PartName="/xl/tables/table405.xml" ContentType="application/vnd.openxmlformats-officedocument.spreadsheetml.table+xml"/>
  <Override PartName="/xl/tables/table406.xml" ContentType="application/vnd.openxmlformats-officedocument.spreadsheetml.table+xml"/>
  <Override PartName="/xl/tables/table407.xml" ContentType="application/vnd.openxmlformats-officedocument.spreadsheetml.table+xml"/>
  <Override PartName="/xl/tables/table408.xml" ContentType="application/vnd.openxmlformats-officedocument.spreadsheetml.table+xml"/>
  <Override PartName="/xl/tables/table409.xml" ContentType="application/vnd.openxmlformats-officedocument.spreadsheetml.table+xml"/>
  <Override PartName="/xl/tables/table410.xml" ContentType="application/vnd.openxmlformats-officedocument.spreadsheetml.table+xml"/>
  <Override PartName="/xl/tables/table411.xml" ContentType="application/vnd.openxmlformats-officedocument.spreadsheetml.table+xml"/>
  <Override PartName="/xl/tables/table412.xml" ContentType="application/vnd.openxmlformats-officedocument.spreadsheetml.table+xml"/>
  <Override PartName="/xl/drawings/drawing10.xml" ContentType="application/vnd.openxmlformats-officedocument.drawing+xml"/>
  <Override PartName="/xl/tables/table413.xml" ContentType="application/vnd.openxmlformats-officedocument.spreadsheetml.table+xml"/>
  <Override PartName="/xl/tables/table414.xml" ContentType="application/vnd.openxmlformats-officedocument.spreadsheetml.table+xml"/>
  <Override PartName="/xl/tables/table415.xml" ContentType="application/vnd.openxmlformats-officedocument.spreadsheetml.table+xml"/>
  <Override PartName="/xl/tables/table416.xml" ContentType="application/vnd.openxmlformats-officedocument.spreadsheetml.table+xml"/>
  <Override PartName="/xl/tables/table417.xml" ContentType="application/vnd.openxmlformats-officedocument.spreadsheetml.table+xml"/>
  <Override PartName="/xl/tables/table418.xml" ContentType="application/vnd.openxmlformats-officedocument.spreadsheetml.table+xml"/>
  <Override PartName="/xl/tables/table419.xml" ContentType="application/vnd.openxmlformats-officedocument.spreadsheetml.table+xml"/>
  <Override PartName="/xl/tables/table420.xml" ContentType="application/vnd.openxmlformats-officedocument.spreadsheetml.table+xml"/>
  <Override PartName="/xl/tables/table421.xml" ContentType="application/vnd.openxmlformats-officedocument.spreadsheetml.table+xml"/>
  <Override PartName="/xl/tables/table422.xml" ContentType="application/vnd.openxmlformats-officedocument.spreadsheetml.table+xml"/>
  <Override PartName="/xl/tables/table423.xml" ContentType="application/vnd.openxmlformats-officedocument.spreadsheetml.table+xml"/>
  <Override PartName="/xl/tables/table424.xml" ContentType="application/vnd.openxmlformats-officedocument.spreadsheetml.table+xml"/>
  <Override PartName="/xl/tables/table425.xml" ContentType="application/vnd.openxmlformats-officedocument.spreadsheetml.table+xml"/>
  <Override PartName="/xl/tables/table426.xml" ContentType="application/vnd.openxmlformats-officedocument.spreadsheetml.table+xml"/>
  <Override PartName="/xl/tables/table427.xml" ContentType="application/vnd.openxmlformats-officedocument.spreadsheetml.table+xml"/>
  <Override PartName="/xl/tables/table428.xml" ContentType="application/vnd.openxmlformats-officedocument.spreadsheetml.table+xml"/>
  <Override PartName="/xl/tables/table429.xml" ContentType="application/vnd.openxmlformats-officedocument.spreadsheetml.table+xml"/>
  <Override PartName="/xl/tables/table430.xml" ContentType="application/vnd.openxmlformats-officedocument.spreadsheetml.table+xml"/>
  <Override PartName="/xl/tables/table431.xml" ContentType="application/vnd.openxmlformats-officedocument.spreadsheetml.table+xml"/>
  <Override PartName="/xl/tables/table432.xml" ContentType="application/vnd.openxmlformats-officedocument.spreadsheetml.table+xml"/>
  <Override PartName="/xl/tables/table433.xml" ContentType="application/vnd.openxmlformats-officedocument.spreadsheetml.table+xml"/>
  <Override PartName="/xl/tables/table434.xml" ContentType="application/vnd.openxmlformats-officedocument.spreadsheetml.table+xml"/>
  <Override PartName="/xl/tables/table435.xml" ContentType="application/vnd.openxmlformats-officedocument.spreadsheetml.table+xml"/>
  <Override PartName="/xl/tables/table436.xml" ContentType="application/vnd.openxmlformats-officedocument.spreadsheetml.table+xml"/>
  <Override PartName="/xl/tables/table437.xml" ContentType="application/vnd.openxmlformats-officedocument.spreadsheetml.table+xml"/>
  <Override PartName="/xl/tables/table438.xml" ContentType="application/vnd.openxmlformats-officedocument.spreadsheetml.table+xml"/>
  <Override PartName="/xl/tables/table439.xml" ContentType="application/vnd.openxmlformats-officedocument.spreadsheetml.table+xml"/>
  <Override PartName="/xl/tables/table440.xml" ContentType="application/vnd.openxmlformats-officedocument.spreadsheetml.table+xml"/>
  <Override PartName="/xl/tables/table441.xml" ContentType="application/vnd.openxmlformats-officedocument.spreadsheetml.table+xml"/>
  <Override PartName="/xl/tables/table442.xml" ContentType="application/vnd.openxmlformats-officedocument.spreadsheetml.table+xml"/>
  <Override PartName="/xl/tables/table443.xml" ContentType="application/vnd.openxmlformats-officedocument.spreadsheetml.table+xml"/>
  <Override PartName="/xl/tables/table444.xml" ContentType="application/vnd.openxmlformats-officedocument.spreadsheetml.table+xml"/>
  <Override PartName="/xl/tables/table445.xml" ContentType="application/vnd.openxmlformats-officedocument.spreadsheetml.table+xml"/>
  <Override PartName="/xl/tables/table446.xml" ContentType="application/vnd.openxmlformats-officedocument.spreadsheetml.table+xml"/>
  <Override PartName="/xl/tables/table447.xml" ContentType="application/vnd.openxmlformats-officedocument.spreadsheetml.table+xml"/>
  <Override PartName="/xl/tables/table448.xml" ContentType="application/vnd.openxmlformats-officedocument.spreadsheetml.table+xml"/>
  <Override PartName="/xl/tables/table449.xml" ContentType="application/vnd.openxmlformats-officedocument.spreadsheetml.table+xml"/>
  <Override PartName="/xl/tables/table450.xml" ContentType="application/vnd.openxmlformats-officedocument.spreadsheetml.table+xml"/>
  <Override PartName="/xl/tables/table451.xml" ContentType="application/vnd.openxmlformats-officedocument.spreadsheetml.table+xml"/>
  <Override PartName="/xl/tables/table452.xml" ContentType="application/vnd.openxmlformats-officedocument.spreadsheetml.table+xml"/>
  <Override PartName="/xl/tables/table453.xml" ContentType="application/vnd.openxmlformats-officedocument.spreadsheetml.table+xml"/>
  <Override PartName="/xl/tables/table454.xml" ContentType="application/vnd.openxmlformats-officedocument.spreadsheetml.table+xml"/>
  <Override PartName="/xl/tables/table455.xml" ContentType="application/vnd.openxmlformats-officedocument.spreadsheetml.table+xml"/>
  <Override PartName="/xl/tables/table456.xml" ContentType="application/vnd.openxmlformats-officedocument.spreadsheetml.table+xml"/>
  <Override PartName="/xl/tables/table457.xml" ContentType="application/vnd.openxmlformats-officedocument.spreadsheetml.table+xml"/>
  <Override PartName="/xl/tables/table458.xml" ContentType="application/vnd.openxmlformats-officedocument.spreadsheetml.table+xml"/>
  <Override PartName="/xl/tables/table459.xml" ContentType="application/vnd.openxmlformats-officedocument.spreadsheetml.table+xml"/>
  <Override PartName="/xl/tables/table460.xml" ContentType="application/vnd.openxmlformats-officedocument.spreadsheetml.table+xml"/>
  <Override PartName="/xl/tables/table461.xml" ContentType="application/vnd.openxmlformats-officedocument.spreadsheetml.table+xml"/>
  <Override PartName="/xl/tables/table462.xml" ContentType="application/vnd.openxmlformats-officedocument.spreadsheetml.table+xml"/>
  <Override PartName="/xl/tables/table463.xml" ContentType="application/vnd.openxmlformats-officedocument.spreadsheetml.table+xml"/>
  <Override PartName="/xl/tables/table464.xml" ContentType="application/vnd.openxmlformats-officedocument.spreadsheetml.table+xml"/>
  <Override PartName="/xl/tables/table465.xml" ContentType="application/vnd.openxmlformats-officedocument.spreadsheetml.table+xml"/>
  <Override PartName="/xl/tables/table466.xml" ContentType="application/vnd.openxmlformats-officedocument.spreadsheetml.table+xml"/>
  <Override PartName="/xl/tables/table467.xml" ContentType="application/vnd.openxmlformats-officedocument.spreadsheetml.table+xml"/>
  <Override PartName="/xl/tables/table468.xml" ContentType="application/vnd.openxmlformats-officedocument.spreadsheetml.table+xml"/>
  <Override PartName="/xl/drawings/drawing11.xml" ContentType="application/vnd.openxmlformats-officedocument.drawing+xml"/>
  <Override PartName="/xl/tables/table469.xml" ContentType="application/vnd.openxmlformats-officedocument.spreadsheetml.table+xml"/>
  <Override PartName="/xl/tables/table470.xml" ContentType="application/vnd.openxmlformats-officedocument.spreadsheetml.table+xml"/>
  <Override PartName="/xl/tables/table471.xml" ContentType="application/vnd.openxmlformats-officedocument.spreadsheetml.table+xml"/>
  <Override PartName="/xl/tables/table472.xml" ContentType="application/vnd.openxmlformats-officedocument.spreadsheetml.table+xml"/>
  <Override PartName="/xl/tables/table473.xml" ContentType="application/vnd.openxmlformats-officedocument.spreadsheetml.table+xml"/>
  <Override PartName="/xl/tables/table474.xml" ContentType="application/vnd.openxmlformats-officedocument.spreadsheetml.table+xml"/>
  <Override PartName="/xl/tables/table475.xml" ContentType="application/vnd.openxmlformats-officedocument.spreadsheetml.table+xml"/>
  <Override PartName="/xl/tables/table476.xml" ContentType="application/vnd.openxmlformats-officedocument.spreadsheetml.table+xml"/>
  <Override PartName="/xl/tables/table477.xml" ContentType="application/vnd.openxmlformats-officedocument.spreadsheetml.table+xml"/>
  <Override PartName="/xl/tables/table478.xml" ContentType="application/vnd.openxmlformats-officedocument.spreadsheetml.table+xml"/>
  <Override PartName="/xl/tables/table479.xml" ContentType="application/vnd.openxmlformats-officedocument.spreadsheetml.table+xml"/>
  <Override PartName="/xl/tables/table480.xml" ContentType="application/vnd.openxmlformats-officedocument.spreadsheetml.table+xml"/>
  <Override PartName="/xl/tables/table481.xml" ContentType="application/vnd.openxmlformats-officedocument.spreadsheetml.table+xml"/>
  <Override PartName="/xl/tables/table482.xml" ContentType="application/vnd.openxmlformats-officedocument.spreadsheetml.table+xml"/>
  <Override PartName="/xl/tables/table483.xml" ContentType="application/vnd.openxmlformats-officedocument.spreadsheetml.table+xml"/>
  <Override PartName="/xl/tables/table484.xml" ContentType="application/vnd.openxmlformats-officedocument.spreadsheetml.table+xml"/>
  <Override PartName="/xl/tables/table485.xml" ContentType="application/vnd.openxmlformats-officedocument.spreadsheetml.table+xml"/>
  <Override PartName="/xl/tables/table486.xml" ContentType="application/vnd.openxmlformats-officedocument.spreadsheetml.table+xml"/>
  <Override PartName="/xl/tables/table487.xml" ContentType="application/vnd.openxmlformats-officedocument.spreadsheetml.table+xml"/>
  <Override PartName="/xl/tables/table488.xml" ContentType="application/vnd.openxmlformats-officedocument.spreadsheetml.table+xml"/>
  <Override PartName="/xl/tables/table489.xml" ContentType="application/vnd.openxmlformats-officedocument.spreadsheetml.table+xml"/>
  <Override PartName="/xl/tables/table490.xml" ContentType="application/vnd.openxmlformats-officedocument.spreadsheetml.table+xml"/>
  <Override PartName="/xl/tables/table491.xml" ContentType="application/vnd.openxmlformats-officedocument.spreadsheetml.table+xml"/>
  <Override PartName="/xl/tables/table492.xml" ContentType="application/vnd.openxmlformats-officedocument.spreadsheetml.table+xml"/>
  <Override PartName="/xl/tables/table493.xml" ContentType="application/vnd.openxmlformats-officedocument.spreadsheetml.table+xml"/>
  <Override PartName="/xl/tables/table494.xml" ContentType="application/vnd.openxmlformats-officedocument.spreadsheetml.table+xml"/>
  <Override PartName="/xl/tables/table495.xml" ContentType="application/vnd.openxmlformats-officedocument.spreadsheetml.table+xml"/>
  <Override PartName="/xl/tables/table496.xml" ContentType="application/vnd.openxmlformats-officedocument.spreadsheetml.table+xml"/>
  <Override PartName="/xl/tables/table497.xml" ContentType="application/vnd.openxmlformats-officedocument.spreadsheetml.table+xml"/>
  <Override PartName="/xl/tables/table498.xml" ContentType="application/vnd.openxmlformats-officedocument.spreadsheetml.table+xml"/>
  <Override PartName="/xl/tables/table499.xml" ContentType="application/vnd.openxmlformats-officedocument.spreadsheetml.table+xml"/>
  <Override PartName="/xl/tables/table500.xml" ContentType="application/vnd.openxmlformats-officedocument.spreadsheetml.table+xml"/>
  <Override PartName="/xl/tables/table501.xml" ContentType="application/vnd.openxmlformats-officedocument.spreadsheetml.table+xml"/>
  <Override PartName="/xl/tables/table502.xml" ContentType="application/vnd.openxmlformats-officedocument.spreadsheetml.table+xml"/>
  <Override PartName="/xl/tables/table503.xml" ContentType="application/vnd.openxmlformats-officedocument.spreadsheetml.table+xml"/>
  <Override PartName="/xl/tables/table504.xml" ContentType="application/vnd.openxmlformats-officedocument.spreadsheetml.table+xml"/>
  <Override PartName="/xl/tables/table505.xml" ContentType="application/vnd.openxmlformats-officedocument.spreadsheetml.table+xml"/>
  <Override PartName="/xl/tables/table506.xml" ContentType="application/vnd.openxmlformats-officedocument.spreadsheetml.table+xml"/>
  <Override PartName="/xl/tables/table507.xml" ContentType="application/vnd.openxmlformats-officedocument.spreadsheetml.table+xml"/>
  <Override PartName="/xl/tables/table508.xml" ContentType="application/vnd.openxmlformats-officedocument.spreadsheetml.table+xml"/>
  <Override PartName="/xl/tables/table509.xml" ContentType="application/vnd.openxmlformats-officedocument.spreadsheetml.table+xml"/>
  <Override PartName="/xl/tables/table510.xml" ContentType="application/vnd.openxmlformats-officedocument.spreadsheetml.table+xml"/>
  <Override PartName="/xl/tables/table511.xml" ContentType="application/vnd.openxmlformats-officedocument.spreadsheetml.table+xml"/>
  <Override PartName="/xl/tables/table512.xml" ContentType="application/vnd.openxmlformats-officedocument.spreadsheetml.table+xml"/>
  <Override PartName="/xl/tables/table513.xml" ContentType="application/vnd.openxmlformats-officedocument.spreadsheetml.table+xml"/>
  <Override PartName="/xl/tables/table514.xml" ContentType="application/vnd.openxmlformats-officedocument.spreadsheetml.table+xml"/>
  <Override PartName="/xl/tables/table515.xml" ContentType="application/vnd.openxmlformats-officedocument.spreadsheetml.table+xml"/>
  <Override PartName="/xl/tables/table516.xml" ContentType="application/vnd.openxmlformats-officedocument.spreadsheetml.table+xml"/>
  <Override PartName="/xl/tables/table517.xml" ContentType="application/vnd.openxmlformats-officedocument.spreadsheetml.table+xml"/>
  <Override PartName="/xl/tables/table518.xml" ContentType="application/vnd.openxmlformats-officedocument.spreadsheetml.table+xml"/>
  <Override PartName="/xl/tables/table519.xml" ContentType="application/vnd.openxmlformats-officedocument.spreadsheetml.table+xml"/>
  <Override PartName="/xl/tables/table520.xml" ContentType="application/vnd.openxmlformats-officedocument.spreadsheetml.table+xml"/>
  <Override PartName="/xl/tables/table521.xml" ContentType="application/vnd.openxmlformats-officedocument.spreadsheetml.table+xml"/>
  <Override PartName="/xl/tables/table522.xml" ContentType="application/vnd.openxmlformats-officedocument.spreadsheetml.table+xml"/>
  <Override PartName="/xl/tables/table523.xml" ContentType="application/vnd.openxmlformats-officedocument.spreadsheetml.table+xml"/>
  <Override PartName="/xl/tables/table524.xml" ContentType="application/vnd.openxmlformats-officedocument.spreadsheetml.table+xml"/>
  <Override PartName="/xl/drawings/drawing12.xml" ContentType="application/vnd.openxmlformats-officedocument.drawing+xml"/>
  <Override PartName="/xl/tables/table525.xml" ContentType="application/vnd.openxmlformats-officedocument.spreadsheetml.table+xml"/>
  <Override PartName="/xl/tables/table526.xml" ContentType="application/vnd.openxmlformats-officedocument.spreadsheetml.table+xml"/>
  <Override PartName="/xl/tables/table527.xml" ContentType="application/vnd.openxmlformats-officedocument.spreadsheetml.table+xml"/>
  <Override PartName="/xl/tables/table528.xml" ContentType="application/vnd.openxmlformats-officedocument.spreadsheetml.table+xml"/>
  <Override PartName="/xl/tables/table529.xml" ContentType="application/vnd.openxmlformats-officedocument.spreadsheetml.table+xml"/>
  <Override PartName="/xl/tables/table530.xml" ContentType="application/vnd.openxmlformats-officedocument.spreadsheetml.table+xml"/>
  <Override PartName="/xl/tables/table531.xml" ContentType="application/vnd.openxmlformats-officedocument.spreadsheetml.table+xml"/>
  <Override PartName="/xl/tables/table532.xml" ContentType="application/vnd.openxmlformats-officedocument.spreadsheetml.table+xml"/>
  <Override PartName="/xl/tables/table533.xml" ContentType="application/vnd.openxmlformats-officedocument.spreadsheetml.table+xml"/>
  <Override PartName="/xl/tables/table534.xml" ContentType="application/vnd.openxmlformats-officedocument.spreadsheetml.table+xml"/>
  <Override PartName="/xl/tables/table535.xml" ContentType="application/vnd.openxmlformats-officedocument.spreadsheetml.table+xml"/>
  <Override PartName="/xl/tables/table536.xml" ContentType="application/vnd.openxmlformats-officedocument.spreadsheetml.table+xml"/>
  <Override PartName="/xl/tables/table537.xml" ContentType="application/vnd.openxmlformats-officedocument.spreadsheetml.table+xml"/>
  <Override PartName="/xl/tables/table538.xml" ContentType="application/vnd.openxmlformats-officedocument.spreadsheetml.table+xml"/>
  <Override PartName="/xl/tables/table539.xml" ContentType="application/vnd.openxmlformats-officedocument.spreadsheetml.table+xml"/>
  <Override PartName="/xl/tables/table540.xml" ContentType="application/vnd.openxmlformats-officedocument.spreadsheetml.table+xml"/>
  <Override PartName="/xl/tables/table541.xml" ContentType="application/vnd.openxmlformats-officedocument.spreadsheetml.table+xml"/>
  <Override PartName="/xl/tables/table542.xml" ContentType="application/vnd.openxmlformats-officedocument.spreadsheetml.table+xml"/>
  <Override PartName="/xl/tables/table543.xml" ContentType="application/vnd.openxmlformats-officedocument.spreadsheetml.table+xml"/>
  <Override PartName="/xl/tables/table544.xml" ContentType="application/vnd.openxmlformats-officedocument.spreadsheetml.table+xml"/>
  <Override PartName="/xl/tables/table545.xml" ContentType="application/vnd.openxmlformats-officedocument.spreadsheetml.table+xml"/>
  <Override PartName="/xl/tables/table546.xml" ContentType="application/vnd.openxmlformats-officedocument.spreadsheetml.table+xml"/>
  <Override PartName="/xl/tables/table547.xml" ContentType="application/vnd.openxmlformats-officedocument.spreadsheetml.table+xml"/>
  <Override PartName="/xl/tables/table548.xml" ContentType="application/vnd.openxmlformats-officedocument.spreadsheetml.table+xml"/>
  <Override PartName="/xl/tables/table549.xml" ContentType="application/vnd.openxmlformats-officedocument.spreadsheetml.table+xml"/>
  <Override PartName="/xl/tables/table550.xml" ContentType="application/vnd.openxmlformats-officedocument.spreadsheetml.table+xml"/>
  <Override PartName="/xl/tables/table551.xml" ContentType="application/vnd.openxmlformats-officedocument.spreadsheetml.table+xml"/>
  <Override PartName="/xl/tables/table552.xml" ContentType="application/vnd.openxmlformats-officedocument.spreadsheetml.table+xml"/>
  <Override PartName="/xl/tables/table553.xml" ContentType="application/vnd.openxmlformats-officedocument.spreadsheetml.table+xml"/>
  <Override PartName="/xl/tables/table554.xml" ContentType="application/vnd.openxmlformats-officedocument.spreadsheetml.table+xml"/>
  <Override PartName="/xl/tables/table555.xml" ContentType="application/vnd.openxmlformats-officedocument.spreadsheetml.table+xml"/>
  <Override PartName="/xl/tables/table556.xml" ContentType="application/vnd.openxmlformats-officedocument.spreadsheetml.table+xml"/>
  <Override PartName="/xl/tables/table557.xml" ContentType="application/vnd.openxmlformats-officedocument.spreadsheetml.table+xml"/>
  <Override PartName="/xl/tables/table558.xml" ContentType="application/vnd.openxmlformats-officedocument.spreadsheetml.table+xml"/>
  <Override PartName="/xl/tables/table559.xml" ContentType="application/vnd.openxmlformats-officedocument.spreadsheetml.table+xml"/>
  <Override PartName="/xl/tables/table560.xml" ContentType="application/vnd.openxmlformats-officedocument.spreadsheetml.table+xml"/>
  <Override PartName="/xl/tables/table561.xml" ContentType="application/vnd.openxmlformats-officedocument.spreadsheetml.table+xml"/>
  <Override PartName="/xl/tables/table562.xml" ContentType="application/vnd.openxmlformats-officedocument.spreadsheetml.table+xml"/>
  <Override PartName="/xl/tables/table563.xml" ContentType="application/vnd.openxmlformats-officedocument.spreadsheetml.table+xml"/>
  <Override PartName="/xl/tables/table564.xml" ContentType="application/vnd.openxmlformats-officedocument.spreadsheetml.table+xml"/>
  <Override PartName="/xl/tables/table565.xml" ContentType="application/vnd.openxmlformats-officedocument.spreadsheetml.table+xml"/>
  <Override PartName="/xl/tables/table566.xml" ContentType="application/vnd.openxmlformats-officedocument.spreadsheetml.table+xml"/>
  <Override PartName="/xl/tables/table567.xml" ContentType="application/vnd.openxmlformats-officedocument.spreadsheetml.table+xml"/>
  <Override PartName="/xl/tables/table568.xml" ContentType="application/vnd.openxmlformats-officedocument.spreadsheetml.table+xml"/>
  <Override PartName="/xl/tables/table569.xml" ContentType="application/vnd.openxmlformats-officedocument.spreadsheetml.table+xml"/>
  <Override PartName="/xl/tables/table570.xml" ContentType="application/vnd.openxmlformats-officedocument.spreadsheetml.table+xml"/>
  <Override PartName="/xl/tables/table571.xml" ContentType="application/vnd.openxmlformats-officedocument.spreadsheetml.table+xml"/>
  <Override PartName="/xl/tables/table572.xml" ContentType="application/vnd.openxmlformats-officedocument.spreadsheetml.table+xml"/>
  <Override PartName="/xl/tables/table573.xml" ContentType="application/vnd.openxmlformats-officedocument.spreadsheetml.table+xml"/>
  <Override PartName="/xl/tables/table574.xml" ContentType="application/vnd.openxmlformats-officedocument.spreadsheetml.table+xml"/>
  <Override PartName="/xl/tables/table575.xml" ContentType="application/vnd.openxmlformats-officedocument.spreadsheetml.table+xml"/>
  <Override PartName="/xl/tables/table576.xml" ContentType="application/vnd.openxmlformats-officedocument.spreadsheetml.table+xml"/>
  <Override PartName="/xl/tables/table577.xml" ContentType="application/vnd.openxmlformats-officedocument.spreadsheetml.table+xml"/>
  <Override PartName="/xl/tables/table578.xml" ContentType="application/vnd.openxmlformats-officedocument.spreadsheetml.table+xml"/>
  <Override PartName="/xl/tables/table579.xml" ContentType="application/vnd.openxmlformats-officedocument.spreadsheetml.table+xml"/>
  <Override PartName="/xl/tables/table580.xml" ContentType="application/vnd.openxmlformats-officedocument.spreadsheetml.table+xml"/>
  <Override PartName="/xl/drawings/drawing13.xml" ContentType="application/vnd.openxmlformats-officedocument.drawing+xml"/>
  <Override PartName="/xl/tables/table581.xml" ContentType="application/vnd.openxmlformats-officedocument.spreadsheetml.table+xml"/>
  <Override PartName="/xl/tables/table582.xml" ContentType="application/vnd.openxmlformats-officedocument.spreadsheetml.table+xml"/>
  <Override PartName="/xl/tables/table583.xml" ContentType="application/vnd.openxmlformats-officedocument.spreadsheetml.table+xml"/>
  <Override PartName="/xl/tables/table584.xml" ContentType="application/vnd.openxmlformats-officedocument.spreadsheetml.table+xml"/>
  <Override PartName="/xl/tables/table585.xml" ContentType="application/vnd.openxmlformats-officedocument.spreadsheetml.table+xml"/>
  <Override PartName="/xl/tables/table586.xml" ContentType="application/vnd.openxmlformats-officedocument.spreadsheetml.table+xml"/>
  <Override PartName="/xl/tables/table587.xml" ContentType="application/vnd.openxmlformats-officedocument.spreadsheetml.table+xml"/>
  <Override PartName="/xl/tables/table588.xml" ContentType="application/vnd.openxmlformats-officedocument.spreadsheetml.table+xml"/>
  <Override PartName="/xl/tables/table589.xml" ContentType="application/vnd.openxmlformats-officedocument.spreadsheetml.table+xml"/>
  <Override PartName="/xl/tables/table590.xml" ContentType="application/vnd.openxmlformats-officedocument.spreadsheetml.table+xml"/>
  <Override PartName="/xl/tables/table591.xml" ContentType="application/vnd.openxmlformats-officedocument.spreadsheetml.table+xml"/>
  <Override PartName="/xl/tables/table592.xml" ContentType="application/vnd.openxmlformats-officedocument.spreadsheetml.table+xml"/>
  <Override PartName="/xl/tables/table593.xml" ContentType="application/vnd.openxmlformats-officedocument.spreadsheetml.table+xml"/>
  <Override PartName="/xl/tables/table594.xml" ContentType="application/vnd.openxmlformats-officedocument.spreadsheetml.table+xml"/>
  <Override PartName="/xl/tables/table595.xml" ContentType="application/vnd.openxmlformats-officedocument.spreadsheetml.table+xml"/>
  <Override PartName="/xl/tables/table596.xml" ContentType="application/vnd.openxmlformats-officedocument.spreadsheetml.table+xml"/>
  <Override PartName="/xl/tables/table597.xml" ContentType="application/vnd.openxmlformats-officedocument.spreadsheetml.table+xml"/>
  <Override PartName="/xl/tables/table598.xml" ContentType="application/vnd.openxmlformats-officedocument.spreadsheetml.table+xml"/>
  <Override PartName="/xl/tables/table599.xml" ContentType="application/vnd.openxmlformats-officedocument.spreadsheetml.table+xml"/>
  <Override PartName="/xl/tables/table600.xml" ContentType="application/vnd.openxmlformats-officedocument.spreadsheetml.table+xml"/>
  <Override PartName="/xl/tables/table601.xml" ContentType="application/vnd.openxmlformats-officedocument.spreadsheetml.table+xml"/>
  <Override PartName="/xl/tables/table602.xml" ContentType="application/vnd.openxmlformats-officedocument.spreadsheetml.table+xml"/>
  <Override PartName="/xl/tables/table603.xml" ContentType="application/vnd.openxmlformats-officedocument.spreadsheetml.table+xml"/>
  <Override PartName="/xl/tables/table604.xml" ContentType="application/vnd.openxmlformats-officedocument.spreadsheetml.table+xml"/>
  <Override PartName="/xl/tables/table605.xml" ContentType="application/vnd.openxmlformats-officedocument.spreadsheetml.table+xml"/>
  <Override PartName="/xl/tables/table606.xml" ContentType="application/vnd.openxmlformats-officedocument.spreadsheetml.table+xml"/>
  <Override PartName="/xl/tables/table607.xml" ContentType="application/vnd.openxmlformats-officedocument.spreadsheetml.table+xml"/>
  <Override PartName="/xl/tables/table608.xml" ContentType="application/vnd.openxmlformats-officedocument.spreadsheetml.table+xml"/>
  <Override PartName="/xl/tables/table609.xml" ContentType="application/vnd.openxmlformats-officedocument.spreadsheetml.table+xml"/>
  <Override PartName="/xl/tables/table610.xml" ContentType="application/vnd.openxmlformats-officedocument.spreadsheetml.table+xml"/>
  <Override PartName="/xl/tables/table611.xml" ContentType="application/vnd.openxmlformats-officedocument.spreadsheetml.table+xml"/>
  <Override PartName="/xl/tables/table612.xml" ContentType="application/vnd.openxmlformats-officedocument.spreadsheetml.table+xml"/>
  <Override PartName="/xl/tables/table613.xml" ContentType="application/vnd.openxmlformats-officedocument.spreadsheetml.table+xml"/>
  <Override PartName="/xl/tables/table614.xml" ContentType="application/vnd.openxmlformats-officedocument.spreadsheetml.table+xml"/>
  <Override PartName="/xl/tables/table615.xml" ContentType="application/vnd.openxmlformats-officedocument.spreadsheetml.table+xml"/>
  <Override PartName="/xl/tables/table616.xml" ContentType="application/vnd.openxmlformats-officedocument.spreadsheetml.table+xml"/>
  <Override PartName="/xl/tables/table617.xml" ContentType="application/vnd.openxmlformats-officedocument.spreadsheetml.table+xml"/>
  <Override PartName="/xl/tables/table618.xml" ContentType="application/vnd.openxmlformats-officedocument.spreadsheetml.table+xml"/>
  <Override PartName="/xl/tables/table619.xml" ContentType="application/vnd.openxmlformats-officedocument.spreadsheetml.table+xml"/>
  <Override PartName="/xl/tables/table620.xml" ContentType="application/vnd.openxmlformats-officedocument.spreadsheetml.table+xml"/>
  <Override PartName="/xl/tables/table621.xml" ContentType="application/vnd.openxmlformats-officedocument.spreadsheetml.table+xml"/>
  <Override PartName="/xl/tables/table622.xml" ContentType="application/vnd.openxmlformats-officedocument.spreadsheetml.table+xml"/>
  <Override PartName="/xl/tables/table623.xml" ContentType="application/vnd.openxmlformats-officedocument.spreadsheetml.table+xml"/>
  <Override PartName="/xl/tables/table624.xml" ContentType="application/vnd.openxmlformats-officedocument.spreadsheetml.table+xml"/>
  <Override PartName="/xl/tables/table625.xml" ContentType="application/vnd.openxmlformats-officedocument.spreadsheetml.table+xml"/>
  <Override PartName="/xl/tables/table626.xml" ContentType="application/vnd.openxmlformats-officedocument.spreadsheetml.table+xml"/>
  <Override PartName="/xl/tables/table627.xml" ContentType="application/vnd.openxmlformats-officedocument.spreadsheetml.table+xml"/>
  <Override PartName="/xl/tables/table628.xml" ContentType="application/vnd.openxmlformats-officedocument.spreadsheetml.table+xml"/>
  <Override PartName="/xl/tables/table629.xml" ContentType="application/vnd.openxmlformats-officedocument.spreadsheetml.table+xml"/>
  <Override PartName="/xl/tables/table630.xml" ContentType="application/vnd.openxmlformats-officedocument.spreadsheetml.table+xml"/>
  <Override PartName="/xl/tables/table631.xml" ContentType="application/vnd.openxmlformats-officedocument.spreadsheetml.table+xml"/>
  <Override PartName="/xl/tables/table632.xml" ContentType="application/vnd.openxmlformats-officedocument.spreadsheetml.table+xml"/>
  <Override PartName="/xl/tables/table633.xml" ContentType="application/vnd.openxmlformats-officedocument.spreadsheetml.table+xml"/>
  <Override PartName="/xl/tables/table634.xml" ContentType="application/vnd.openxmlformats-officedocument.spreadsheetml.table+xml"/>
  <Override PartName="/xl/tables/table635.xml" ContentType="application/vnd.openxmlformats-officedocument.spreadsheetml.table+xml"/>
  <Override PartName="/xl/tables/table636.xml" ContentType="application/vnd.openxmlformats-officedocument.spreadsheetml.table+xml"/>
  <Override PartName="/xl/tables/table637.xml" ContentType="application/vnd.openxmlformats-officedocument.spreadsheetml.table+xml"/>
  <Override PartName="/xl/tables/table638.xml" ContentType="application/vnd.openxmlformats-officedocument.spreadsheetml.table+xml"/>
  <Override PartName="/xl/tables/table639.xml" ContentType="application/vnd.openxmlformats-officedocument.spreadsheetml.table+xml"/>
  <Override PartName="/xl/tables/table640.xml" ContentType="application/vnd.openxmlformats-officedocument.spreadsheetml.table+xml"/>
  <Override PartName="/xl/tables/table641.xml" ContentType="application/vnd.openxmlformats-officedocument.spreadsheetml.table+xml"/>
  <Override PartName="/xl/tables/table642.xml" ContentType="application/vnd.openxmlformats-officedocument.spreadsheetml.table+xml"/>
  <Override PartName="/xl/tables/table643.xml" ContentType="application/vnd.openxmlformats-officedocument.spreadsheetml.table+xml"/>
  <Override PartName="/xl/tables/table644.xml" ContentType="application/vnd.openxmlformats-officedocument.spreadsheetml.table+xml"/>
  <Override PartName="/xl/tables/table645.xml" ContentType="application/vnd.openxmlformats-officedocument.spreadsheetml.table+xml"/>
  <Override PartName="/xl/tables/table646.xml" ContentType="application/vnd.openxmlformats-officedocument.spreadsheetml.table+xml"/>
  <Override PartName="/xl/tables/table647.xml" ContentType="application/vnd.openxmlformats-officedocument.spreadsheetml.table+xml"/>
  <Override PartName="/xl/tables/table648.xml" ContentType="application/vnd.openxmlformats-officedocument.spreadsheetml.table+xml"/>
  <Override PartName="/xl/tables/table649.xml" ContentType="application/vnd.openxmlformats-officedocument.spreadsheetml.table+xml"/>
  <Override PartName="/xl/tables/table650.xml" ContentType="application/vnd.openxmlformats-officedocument.spreadsheetml.table+xml"/>
  <Override PartName="/xl/tables/table651.xml" ContentType="application/vnd.openxmlformats-officedocument.spreadsheetml.table+xml"/>
  <Override PartName="/xl/tables/table652.xml" ContentType="application/vnd.openxmlformats-officedocument.spreadsheetml.table+xml"/>
  <Override PartName="/xl/tables/table653.xml" ContentType="application/vnd.openxmlformats-officedocument.spreadsheetml.table+xml"/>
  <Override PartName="/xl/tables/table654.xml" ContentType="application/vnd.openxmlformats-officedocument.spreadsheetml.table+xml"/>
  <Override PartName="/xl/tables/table655.xml" ContentType="application/vnd.openxmlformats-officedocument.spreadsheetml.table+xml"/>
  <Override PartName="/xl/tables/table656.xml" ContentType="application/vnd.openxmlformats-officedocument.spreadsheetml.table+xml"/>
  <Override PartName="/xl/tables/table657.xml" ContentType="application/vnd.openxmlformats-officedocument.spreadsheetml.table+xml"/>
  <Override PartName="/xl/tables/table658.xml" ContentType="application/vnd.openxmlformats-officedocument.spreadsheetml.table+xml"/>
  <Override PartName="/xl/tables/table659.xml" ContentType="application/vnd.openxmlformats-officedocument.spreadsheetml.table+xml"/>
  <Override PartName="/xl/tables/table660.xml" ContentType="application/vnd.openxmlformats-officedocument.spreadsheetml.table+xml"/>
  <Override PartName="/xl/tables/table661.xml" ContentType="application/vnd.openxmlformats-officedocument.spreadsheetml.table+xml"/>
  <Override PartName="/xl/tables/table662.xml" ContentType="application/vnd.openxmlformats-officedocument.spreadsheetml.table+xml"/>
  <Override PartName="/xl/tables/table663.xml" ContentType="application/vnd.openxmlformats-officedocument.spreadsheetml.table+xml"/>
  <Override PartName="/xl/tables/table664.xml" ContentType="application/vnd.openxmlformats-officedocument.spreadsheetml.table+xml"/>
  <Override PartName="/xl/tables/table665.xml" ContentType="application/vnd.openxmlformats-officedocument.spreadsheetml.table+xml"/>
  <Override PartName="/xl/tables/table666.xml" ContentType="application/vnd.openxmlformats-officedocument.spreadsheetml.table+xml"/>
  <Override PartName="/xl/tables/table667.xml" ContentType="application/vnd.openxmlformats-officedocument.spreadsheetml.table+xml"/>
  <Override PartName="/xl/tables/table668.xml" ContentType="application/vnd.openxmlformats-officedocument.spreadsheetml.table+xml"/>
  <Override PartName="/xl/tables/table669.xml" ContentType="application/vnd.openxmlformats-officedocument.spreadsheetml.table+xml"/>
  <Override PartName="/xl/tables/table670.xml" ContentType="application/vnd.openxmlformats-officedocument.spreadsheetml.table+xml"/>
  <Override PartName="/xl/tables/table671.xml" ContentType="application/vnd.openxmlformats-officedocument.spreadsheetml.table+xml"/>
  <Override PartName="/xl/tables/table672.xml" ContentType="application/vnd.openxmlformats-officedocument.spreadsheetml.table+xml"/>
  <Override PartName="/xl/tables/table673.xml" ContentType="application/vnd.openxmlformats-officedocument.spreadsheetml.table+xml"/>
  <Override PartName="/xl/tables/table674.xml" ContentType="application/vnd.openxmlformats-officedocument.spreadsheetml.table+xml"/>
  <Override PartName="/xl/tables/table675.xml" ContentType="application/vnd.openxmlformats-officedocument.spreadsheetml.table+xml"/>
  <Override PartName="/xl/tables/table676.xml" ContentType="application/vnd.openxmlformats-officedocument.spreadsheetml.table+xml"/>
  <Override PartName="/xl/tables/table677.xml" ContentType="application/vnd.openxmlformats-officedocument.spreadsheetml.table+xml"/>
  <Override PartName="/xl/tables/table678.xml" ContentType="application/vnd.openxmlformats-officedocument.spreadsheetml.table+xml"/>
  <Override PartName="/xl/tables/table679.xml" ContentType="application/vnd.openxmlformats-officedocument.spreadsheetml.table+xml"/>
  <Override PartName="/xl/tables/table680.xml" ContentType="application/vnd.openxmlformats-officedocument.spreadsheetml.table+xml"/>
  <Override PartName="/xl/tables/table681.xml" ContentType="application/vnd.openxmlformats-officedocument.spreadsheetml.table+xml"/>
  <Override PartName="/xl/tables/table682.xml" ContentType="application/vnd.openxmlformats-officedocument.spreadsheetml.table+xml"/>
  <Override PartName="/xl/tables/table683.xml" ContentType="application/vnd.openxmlformats-officedocument.spreadsheetml.table+xml"/>
  <Override PartName="/xl/tables/table684.xml" ContentType="application/vnd.openxmlformats-officedocument.spreadsheetml.table+xml"/>
  <Override PartName="/xl/tables/table685.xml" ContentType="application/vnd.openxmlformats-officedocument.spreadsheetml.table+xml"/>
  <Override PartName="/xl/tables/table686.xml" ContentType="application/vnd.openxmlformats-officedocument.spreadsheetml.table+xml"/>
  <Override PartName="/xl/tables/table687.xml" ContentType="application/vnd.openxmlformats-officedocument.spreadsheetml.table+xml"/>
  <Override PartName="/xl/tables/table688.xml" ContentType="application/vnd.openxmlformats-officedocument.spreadsheetml.table+xml"/>
  <Override PartName="/xl/tables/table689.xml" ContentType="application/vnd.openxmlformats-officedocument.spreadsheetml.table+xml"/>
  <Override PartName="/xl/tables/table690.xml" ContentType="application/vnd.openxmlformats-officedocument.spreadsheetml.table+xml"/>
  <Override PartName="/xl/tables/table691.xml" ContentType="application/vnd.openxmlformats-officedocument.spreadsheetml.table+xml"/>
  <Override PartName="/xl/tables/table692.xml" ContentType="application/vnd.openxmlformats-officedocument.spreadsheetml.table+xml"/>
  <Override PartName="/xl/tables/table693.xml" ContentType="application/vnd.openxmlformats-officedocument.spreadsheetml.table+xml"/>
  <Override PartName="/xl/tables/table694.xml" ContentType="application/vnd.openxmlformats-officedocument.spreadsheetml.table+xml"/>
  <Override PartName="/xl/tables/table695.xml" ContentType="application/vnd.openxmlformats-officedocument.spreadsheetml.table+xml"/>
  <Override PartName="/xl/tables/table696.xml" ContentType="application/vnd.openxmlformats-officedocument.spreadsheetml.table+xml"/>
  <Override PartName="/xl/tables/table697.xml" ContentType="application/vnd.openxmlformats-officedocument.spreadsheetml.table+xml"/>
  <Override PartName="/xl/tables/table698.xml" ContentType="application/vnd.openxmlformats-officedocument.spreadsheetml.table+xml"/>
  <Override PartName="/xl/tables/table699.xml" ContentType="application/vnd.openxmlformats-officedocument.spreadsheetml.table+xml"/>
  <Override PartName="/xl/tables/table700.xml" ContentType="application/vnd.openxmlformats-officedocument.spreadsheetml.table+xml"/>
  <Override PartName="/xl/tables/table701.xml" ContentType="application/vnd.openxmlformats-officedocument.spreadsheetml.table+xml"/>
  <Override PartName="/xl/tables/table702.xml" ContentType="application/vnd.openxmlformats-officedocument.spreadsheetml.table+xml"/>
  <Override PartName="/xl/tables/table703.xml" ContentType="application/vnd.openxmlformats-officedocument.spreadsheetml.table+xml"/>
  <Override PartName="/xl/tables/table704.xml" ContentType="application/vnd.openxmlformats-officedocument.spreadsheetml.table+xml"/>
  <Override PartName="/xl/tables/table705.xml" ContentType="application/vnd.openxmlformats-officedocument.spreadsheetml.table+xml"/>
  <Override PartName="/xl/tables/table706.xml" ContentType="application/vnd.openxmlformats-officedocument.spreadsheetml.table+xml"/>
  <Override PartName="/xl/tables/table707.xml" ContentType="application/vnd.openxmlformats-officedocument.spreadsheetml.table+xml"/>
  <Override PartName="/xl/tables/table708.xml" ContentType="application/vnd.openxmlformats-officedocument.spreadsheetml.table+xml"/>
  <Override PartName="/xl/tables/table709.xml" ContentType="application/vnd.openxmlformats-officedocument.spreadsheetml.table+xml"/>
  <Override PartName="/xl/tables/table710.xml" ContentType="application/vnd.openxmlformats-officedocument.spreadsheetml.table+xml"/>
  <Override PartName="/xl/tables/table711.xml" ContentType="application/vnd.openxmlformats-officedocument.spreadsheetml.table+xml"/>
  <Override PartName="/xl/tables/table712.xml" ContentType="application/vnd.openxmlformats-officedocument.spreadsheetml.table+xml"/>
  <Override PartName="/xl/tables/table713.xml" ContentType="application/vnd.openxmlformats-officedocument.spreadsheetml.table+xml"/>
  <Override PartName="/xl/tables/table714.xml" ContentType="application/vnd.openxmlformats-officedocument.spreadsheetml.table+xml"/>
  <Override PartName="/xl/tables/table715.xml" ContentType="application/vnd.openxmlformats-officedocument.spreadsheetml.table+xml"/>
  <Override PartName="/xl/tables/table716.xml" ContentType="application/vnd.openxmlformats-officedocument.spreadsheetml.table+xml"/>
  <Override PartName="/xl/tables/table717.xml" ContentType="application/vnd.openxmlformats-officedocument.spreadsheetml.table+xml"/>
  <Override PartName="/xl/tables/table718.xml" ContentType="application/vnd.openxmlformats-officedocument.spreadsheetml.table+xml"/>
  <Override PartName="/xl/tables/table719.xml" ContentType="application/vnd.openxmlformats-officedocument.spreadsheetml.table+xml"/>
  <Override PartName="/xl/tables/table720.xml" ContentType="application/vnd.openxmlformats-officedocument.spreadsheetml.table+xml"/>
  <Override PartName="/xl/tables/table721.xml" ContentType="application/vnd.openxmlformats-officedocument.spreadsheetml.table+xml"/>
  <Override PartName="/xl/tables/table722.xml" ContentType="application/vnd.openxmlformats-officedocument.spreadsheetml.table+xml"/>
  <Override PartName="/xl/tables/table723.xml" ContentType="application/vnd.openxmlformats-officedocument.spreadsheetml.table+xml"/>
  <Override PartName="/xl/tables/table724.xml" ContentType="application/vnd.openxmlformats-officedocument.spreadsheetml.table+xml"/>
  <Override PartName="/xl/tables/table725.xml" ContentType="application/vnd.openxmlformats-officedocument.spreadsheetml.table+xml"/>
  <Override PartName="/xl/tables/table726.xml" ContentType="application/vnd.openxmlformats-officedocument.spreadsheetml.table+xml"/>
  <Override PartName="/xl/tables/table727.xml" ContentType="application/vnd.openxmlformats-officedocument.spreadsheetml.table+xml"/>
  <Override PartName="/xl/tables/table728.xml" ContentType="application/vnd.openxmlformats-officedocument.spreadsheetml.table+xml"/>
  <Override PartName="/xl/tables/table729.xml" ContentType="application/vnd.openxmlformats-officedocument.spreadsheetml.table+xml"/>
  <Override PartName="/xl/tables/table730.xml" ContentType="application/vnd.openxmlformats-officedocument.spreadsheetml.table+xml"/>
  <Override PartName="/xl/tables/table731.xml" ContentType="application/vnd.openxmlformats-officedocument.spreadsheetml.table+xml"/>
  <Override PartName="/xl/tables/table732.xml" ContentType="application/vnd.openxmlformats-officedocument.spreadsheetml.table+xml"/>
  <Override PartName="/xl/tables/table733.xml" ContentType="application/vnd.openxmlformats-officedocument.spreadsheetml.table+xml"/>
  <Override PartName="/xl/tables/table734.xml" ContentType="application/vnd.openxmlformats-officedocument.spreadsheetml.table+xml"/>
  <Override PartName="/xl/tables/table735.xml" ContentType="application/vnd.openxmlformats-officedocument.spreadsheetml.table+xml"/>
  <Override PartName="/xl/tables/table736.xml" ContentType="application/vnd.openxmlformats-officedocument.spreadsheetml.table+xml"/>
  <Override PartName="/xl/tables/table737.xml" ContentType="application/vnd.openxmlformats-officedocument.spreadsheetml.table+xml"/>
  <Override PartName="/xl/tables/table738.xml" ContentType="application/vnd.openxmlformats-officedocument.spreadsheetml.table+xml"/>
  <Override PartName="/xl/tables/table739.xml" ContentType="application/vnd.openxmlformats-officedocument.spreadsheetml.table+xml"/>
  <Override PartName="/xl/tables/table740.xml" ContentType="application/vnd.openxmlformats-officedocument.spreadsheetml.table+xml"/>
  <Override PartName="/xl/tables/table741.xml" ContentType="application/vnd.openxmlformats-officedocument.spreadsheetml.table+xml"/>
  <Override PartName="/xl/tables/table742.xml" ContentType="application/vnd.openxmlformats-officedocument.spreadsheetml.table+xml"/>
  <Override PartName="/xl/tables/table743.xml" ContentType="application/vnd.openxmlformats-officedocument.spreadsheetml.table+xml"/>
  <Override PartName="/xl/tables/table744.xml" ContentType="application/vnd.openxmlformats-officedocument.spreadsheetml.table+xml"/>
  <Override PartName="/xl/tables/table745.xml" ContentType="application/vnd.openxmlformats-officedocument.spreadsheetml.table+xml"/>
  <Override PartName="/xl/tables/table746.xml" ContentType="application/vnd.openxmlformats-officedocument.spreadsheetml.table+xml"/>
  <Override PartName="/xl/tables/table747.xml" ContentType="application/vnd.openxmlformats-officedocument.spreadsheetml.table+xml"/>
  <Override PartName="/xl/tables/table748.xml" ContentType="application/vnd.openxmlformats-officedocument.spreadsheetml.table+xml"/>
  <Override PartName="/xl/tables/table749.xml" ContentType="application/vnd.openxmlformats-officedocument.spreadsheetml.table+xml"/>
  <Override PartName="/xl/tables/table750.xml" ContentType="application/vnd.openxmlformats-officedocument.spreadsheetml.table+xml"/>
  <Override PartName="/xl/tables/table751.xml" ContentType="application/vnd.openxmlformats-officedocument.spreadsheetml.table+xml"/>
  <Override PartName="/xl/tables/table752.xml" ContentType="application/vnd.openxmlformats-officedocument.spreadsheetml.table+xml"/>
  <Override PartName="/xl/tables/table753.xml" ContentType="application/vnd.openxmlformats-officedocument.spreadsheetml.table+xml"/>
  <Override PartName="/xl/tables/table754.xml" ContentType="application/vnd.openxmlformats-officedocument.spreadsheetml.table+xml"/>
  <Override PartName="/xl/tables/table755.xml" ContentType="application/vnd.openxmlformats-officedocument.spreadsheetml.table+xml"/>
  <Override PartName="/xl/tables/table756.xml" ContentType="application/vnd.openxmlformats-officedocument.spreadsheetml.table+xml"/>
  <Override PartName="/xl/tables/table757.xml" ContentType="application/vnd.openxmlformats-officedocument.spreadsheetml.table+xml"/>
  <Override PartName="/xl/tables/table758.xml" ContentType="application/vnd.openxmlformats-officedocument.spreadsheetml.table+xml"/>
  <Override PartName="/xl/tables/table759.xml" ContentType="application/vnd.openxmlformats-officedocument.spreadsheetml.table+xml"/>
  <Override PartName="/xl/tables/table760.xml" ContentType="application/vnd.openxmlformats-officedocument.spreadsheetml.table+xml"/>
  <Override PartName="/xl/tables/table761.xml" ContentType="application/vnd.openxmlformats-officedocument.spreadsheetml.table+xml"/>
  <Override PartName="/xl/tables/table762.xml" ContentType="application/vnd.openxmlformats-officedocument.spreadsheetml.table+xml"/>
  <Override PartName="/xl/tables/table763.xml" ContentType="application/vnd.openxmlformats-officedocument.spreadsheetml.table+xml"/>
  <Override PartName="/xl/tables/table764.xml" ContentType="application/vnd.openxmlformats-officedocument.spreadsheetml.table+xml"/>
  <Override PartName="/xl/tables/table765.xml" ContentType="application/vnd.openxmlformats-officedocument.spreadsheetml.table+xml"/>
  <Override PartName="/xl/tables/table766.xml" ContentType="application/vnd.openxmlformats-officedocument.spreadsheetml.table+xml"/>
  <Override PartName="/xl/tables/table767.xml" ContentType="application/vnd.openxmlformats-officedocument.spreadsheetml.table+xml"/>
  <Override PartName="/xl/tables/table768.xml" ContentType="application/vnd.openxmlformats-officedocument.spreadsheetml.table+xml"/>
  <Override PartName="/xl/tables/table769.xml" ContentType="application/vnd.openxmlformats-officedocument.spreadsheetml.table+xml"/>
  <Override PartName="/xl/tables/table770.xml" ContentType="application/vnd.openxmlformats-officedocument.spreadsheetml.table+xml"/>
  <Override PartName="/xl/tables/table771.xml" ContentType="application/vnd.openxmlformats-officedocument.spreadsheetml.table+xml"/>
  <Override PartName="/xl/tables/table772.xml" ContentType="application/vnd.openxmlformats-officedocument.spreadsheetml.table+xml"/>
  <Override PartName="/xl/tables/table773.xml" ContentType="application/vnd.openxmlformats-officedocument.spreadsheetml.table+xml"/>
  <Override PartName="/xl/tables/table774.xml" ContentType="application/vnd.openxmlformats-officedocument.spreadsheetml.table+xml"/>
  <Override PartName="/xl/tables/table775.xml" ContentType="application/vnd.openxmlformats-officedocument.spreadsheetml.table+xml"/>
  <Override PartName="/xl/tables/table776.xml" ContentType="application/vnd.openxmlformats-officedocument.spreadsheetml.table+xml"/>
  <Override PartName="/xl/tables/table777.xml" ContentType="application/vnd.openxmlformats-officedocument.spreadsheetml.table+xml"/>
  <Override PartName="/xl/tables/table778.xml" ContentType="application/vnd.openxmlformats-officedocument.spreadsheetml.table+xml"/>
  <Override PartName="/xl/tables/table779.xml" ContentType="application/vnd.openxmlformats-officedocument.spreadsheetml.table+xml"/>
  <Override PartName="/xl/tables/table780.xml" ContentType="application/vnd.openxmlformats-officedocument.spreadsheetml.table+xml"/>
  <Override PartName="/xl/tables/table781.xml" ContentType="application/vnd.openxmlformats-officedocument.spreadsheetml.table+xml"/>
  <Override PartName="/xl/tables/table782.xml" ContentType="application/vnd.openxmlformats-officedocument.spreadsheetml.table+xml"/>
  <Override PartName="/xl/tables/table783.xml" ContentType="application/vnd.openxmlformats-officedocument.spreadsheetml.table+xml"/>
  <Override PartName="/xl/tables/table784.xml" ContentType="application/vnd.openxmlformats-officedocument.spreadsheetml.table+xml"/>
  <Override PartName="/xl/tables/table785.xml" ContentType="application/vnd.openxmlformats-officedocument.spreadsheetml.table+xml"/>
  <Override PartName="/xl/tables/table786.xml" ContentType="application/vnd.openxmlformats-officedocument.spreadsheetml.table+xml"/>
  <Override PartName="/xl/tables/table787.xml" ContentType="application/vnd.openxmlformats-officedocument.spreadsheetml.table+xml"/>
  <Override PartName="/xl/tables/table788.xml" ContentType="application/vnd.openxmlformats-officedocument.spreadsheetml.table+xml"/>
  <Override PartName="/xl/tables/table789.xml" ContentType="application/vnd.openxmlformats-officedocument.spreadsheetml.table+xml"/>
  <Override PartName="/xl/tables/table790.xml" ContentType="application/vnd.openxmlformats-officedocument.spreadsheetml.table+xml"/>
  <Override PartName="/xl/tables/table791.xml" ContentType="application/vnd.openxmlformats-officedocument.spreadsheetml.table+xml"/>
  <Override PartName="/xl/tables/table792.xml" ContentType="application/vnd.openxmlformats-officedocument.spreadsheetml.table+xml"/>
  <Override PartName="/xl/tables/table793.xml" ContentType="application/vnd.openxmlformats-officedocument.spreadsheetml.table+xml"/>
  <Override PartName="/xl/tables/table794.xml" ContentType="application/vnd.openxmlformats-officedocument.spreadsheetml.table+xml"/>
  <Override PartName="/xl/tables/table795.xml" ContentType="application/vnd.openxmlformats-officedocument.spreadsheetml.table+xml"/>
  <Override PartName="/xl/tables/table796.xml" ContentType="application/vnd.openxmlformats-officedocument.spreadsheetml.table+xml"/>
  <Override PartName="/xl/tables/table797.xml" ContentType="application/vnd.openxmlformats-officedocument.spreadsheetml.table+xml"/>
  <Override PartName="/xl/tables/table798.xml" ContentType="application/vnd.openxmlformats-officedocument.spreadsheetml.table+xml"/>
  <Override PartName="/xl/tables/table799.xml" ContentType="application/vnd.openxmlformats-officedocument.spreadsheetml.table+xml"/>
  <Override PartName="/xl/tables/table800.xml" ContentType="application/vnd.openxmlformats-officedocument.spreadsheetml.table+xml"/>
  <Override PartName="/xl/tables/table801.xml" ContentType="application/vnd.openxmlformats-officedocument.spreadsheetml.table+xml"/>
  <Override PartName="/xl/tables/table802.xml" ContentType="application/vnd.openxmlformats-officedocument.spreadsheetml.table+xml"/>
  <Override PartName="/xl/tables/table803.xml" ContentType="application/vnd.openxmlformats-officedocument.spreadsheetml.table+xml"/>
  <Override PartName="/xl/tables/table804.xml" ContentType="application/vnd.openxmlformats-officedocument.spreadsheetml.table+xml"/>
  <Override PartName="/xl/tables/table805.xml" ContentType="application/vnd.openxmlformats-officedocument.spreadsheetml.table+xml"/>
  <Override PartName="/xl/tables/table806.xml" ContentType="application/vnd.openxmlformats-officedocument.spreadsheetml.table+xml"/>
  <Override PartName="/xl/tables/table807.xml" ContentType="application/vnd.openxmlformats-officedocument.spreadsheetml.table+xml"/>
  <Override PartName="/xl/tables/table808.xml" ContentType="application/vnd.openxmlformats-officedocument.spreadsheetml.table+xml"/>
  <Override PartName="/xl/tables/table809.xml" ContentType="application/vnd.openxmlformats-officedocument.spreadsheetml.table+xml"/>
  <Override PartName="/xl/tables/table810.xml" ContentType="application/vnd.openxmlformats-officedocument.spreadsheetml.table+xml"/>
  <Override PartName="/xl/tables/table811.xml" ContentType="application/vnd.openxmlformats-officedocument.spreadsheetml.table+xml"/>
  <Override PartName="/xl/tables/table812.xml" ContentType="application/vnd.openxmlformats-officedocument.spreadsheetml.table+xml"/>
  <Override PartName="/xl/tables/table813.xml" ContentType="application/vnd.openxmlformats-officedocument.spreadsheetml.table+xml"/>
  <Override PartName="/xl/tables/table814.xml" ContentType="application/vnd.openxmlformats-officedocument.spreadsheetml.table+xml"/>
  <Override PartName="/xl/tables/table815.xml" ContentType="application/vnd.openxmlformats-officedocument.spreadsheetml.table+xml"/>
  <Override PartName="/xl/tables/table816.xml" ContentType="application/vnd.openxmlformats-officedocument.spreadsheetml.table+xml"/>
  <Override PartName="/xl/tables/table817.xml" ContentType="application/vnd.openxmlformats-officedocument.spreadsheetml.table+xml"/>
  <Override PartName="/xl/tables/table818.xml" ContentType="application/vnd.openxmlformats-officedocument.spreadsheetml.table+xml"/>
  <Override PartName="/xl/tables/table819.xml" ContentType="application/vnd.openxmlformats-officedocument.spreadsheetml.table+xml"/>
  <Override PartName="/xl/tables/table820.xml" ContentType="application/vnd.openxmlformats-officedocument.spreadsheetml.table+xml"/>
  <Override PartName="/xl/tables/table821.xml" ContentType="application/vnd.openxmlformats-officedocument.spreadsheetml.table+xml"/>
  <Override PartName="/xl/tables/table822.xml" ContentType="application/vnd.openxmlformats-officedocument.spreadsheetml.table+xml"/>
  <Override PartName="/xl/tables/table823.xml" ContentType="application/vnd.openxmlformats-officedocument.spreadsheetml.table+xml"/>
  <Override PartName="/xl/tables/table824.xml" ContentType="application/vnd.openxmlformats-officedocument.spreadsheetml.table+xml"/>
  <Override PartName="/xl/tables/table825.xml" ContentType="application/vnd.openxmlformats-officedocument.spreadsheetml.table+xml"/>
  <Override PartName="/xl/tables/table826.xml" ContentType="application/vnd.openxmlformats-officedocument.spreadsheetml.table+xml"/>
  <Override PartName="/xl/tables/table827.xml" ContentType="application/vnd.openxmlformats-officedocument.spreadsheetml.table+xml"/>
  <Override PartName="/xl/tables/table828.xml" ContentType="application/vnd.openxmlformats-officedocument.spreadsheetml.table+xml"/>
  <Override PartName="/xl/tables/table829.xml" ContentType="application/vnd.openxmlformats-officedocument.spreadsheetml.table+xml"/>
  <Override PartName="/xl/tables/table830.xml" ContentType="application/vnd.openxmlformats-officedocument.spreadsheetml.table+xml"/>
  <Override PartName="/xl/tables/table831.xml" ContentType="application/vnd.openxmlformats-officedocument.spreadsheetml.table+xml"/>
  <Override PartName="/xl/tables/table832.xml" ContentType="application/vnd.openxmlformats-officedocument.spreadsheetml.table+xml"/>
  <Override PartName="/xl/tables/table833.xml" ContentType="application/vnd.openxmlformats-officedocument.spreadsheetml.table+xml"/>
  <Override PartName="/xl/tables/table834.xml" ContentType="application/vnd.openxmlformats-officedocument.spreadsheetml.table+xml"/>
  <Override PartName="/xl/tables/table835.xml" ContentType="application/vnd.openxmlformats-officedocument.spreadsheetml.table+xml"/>
  <Override PartName="/xl/tables/table836.xml" ContentType="application/vnd.openxmlformats-officedocument.spreadsheetml.table+xml"/>
  <Override PartName="/xl/tables/table837.xml" ContentType="application/vnd.openxmlformats-officedocument.spreadsheetml.table+xml"/>
  <Override PartName="/xl/tables/table838.xml" ContentType="application/vnd.openxmlformats-officedocument.spreadsheetml.table+xml"/>
  <Override PartName="/xl/tables/table839.xml" ContentType="application/vnd.openxmlformats-officedocument.spreadsheetml.table+xml"/>
  <Override PartName="/xl/tables/table840.xml" ContentType="application/vnd.openxmlformats-officedocument.spreadsheetml.table+xml"/>
  <Override PartName="/xl/tables/table841.xml" ContentType="application/vnd.openxmlformats-officedocument.spreadsheetml.table+xml"/>
  <Override PartName="/xl/tables/table842.xml" ContentType="application/vnd.openxmlformats-officedocument.spreadsheetml.table+xml"/>
  <Override PartName="/xl/tables/table843.xml" ContentType="application/vnd.openxmlformats-officedocument.spreadsheetml.table+xml"/>
  <Override PartName="/xl/tables/table844.xml" ContentType="application/vnd.openxmlformats-officedocument.spreadsheetml.table+xml"/>
  <Override PartName="/xl/tables/table845.xml" ContentType="application/vnd.openxmlformats-officedocument.spreadsheetml.table+xml"/>
  <Override PartName="/xl/tables/table846.xml" ContentType="application/vnd.openxmlformats-officedocument.spreadsheetml.table+xml"/>
  <Override PartName="/xl/tables/table847.xml" ContentType="application/vnd.openxmlformats-officedocument.spreadsheetml.table+xml"/>
  <Override PartName="/xl/tables/table848.xml" ContentType="application/vnd.openxmlformats-officedocument.spreadsheetml.table+xml"/>
  <Override PartName="/xl/tables/table849.xml" ContentType="application/vnd.openxmlformats-officedocument.spreadsheetml.table+xml"/>
  <Override PartName="/xl/tables/table850.xml" ContentType="application/vnd.openxmlformats-officedocument.spreadsheetml.table+xml"/>
  <Override PartName="/xl/tables/table851.xml" ContentType="application/vnd.openxmlformats-officedocument.spreadsheetml.table+xml"/>
  <Override PartName="/xl/tables/table852.xml" ContentType="application/vnd.openxmlformats-officedocument.spreadsheetml.table+xml"/>
  <Override PartName="/xl/tables/table853.xml" ContentType="application/vnd.openxmlformats-officedocument.spreadsheetml.table+xml"/>
  <Override PartName="/xl/tables/table854.xml" ContentType="application/vnd.openxmlformats-officedocument.spreadsheetml.table+xml"/>
  <Override PartName="/xl/tables/table855.xml" ContentType="application/vnd.openxmlformats-officedocument.spreadsheetml.table+xml"/>
  <Override PartName="/xl/tables/table856.xml" ContentType="application/vnd.openxmlformats-officedocument.spreadsheetml.table+xml"/>
  <Override PartName="/xl/tables/table857.xml" ContentType="application/vnd.openxmlformats-officedocument.spreadsheetml.table+xml"/>
  <Override PartName="/xl/tables/table858.xml" ContentType="application/vnd.openxmlformats-officedocument.spreadsheetml.table+xml"/>
  <Override PartName="/xl/tables/table859.xml" ContentType="application/vnd.openxmlformats-officedocument.spreadsheetml.table+xml"/>
  <Override PartName="/xl/tables/table860.xml" ContentType="application/vnd.openxmlformats-officedocument.spreadsheetml.table+xml"/>
  <Override PartName="/xl/tables/table861.xml" ContentType="application/vnd.openxmlformats-officedocument.spreadsheetml.table+xml"/>
  <Override PartName="/xl/tables/table862.xml" ContentType="application/vnd.openxmlformats-officedocument.spreadsheetml.table+xml"/>
  <Override PartName="/xl/tables/table863.xml" ContentType="application/vnd.openxmlformats-officedocument.spreadsheetml.table+xml"/>
  <Override PartName="/xl/tables/table864.xml" ContentType="application/vnd.openxmlformats-officedocument.spreadsheetml.table+xml"/>
  <Override PartName="/xl/tables/table865.xml" ContentType="application/vnd.openxmlformats-officedocument.spreadsheetml.table+xml"/>
  <Override PartName="/xl/tables/table866.xml" ContentType="application/vnd.openxmlformats-officedocument.spreadsheetml.table+xml"/>
  <Override PartName="/xl/tables/table867.xml" ContentType="application/vnd.openxmlformats-officedocument.spreadsheetml.table+xml"/>
  <Override PartName="/xl/tables/table868.xml" ContentType="application/vnd.openxmlformats-officedocument.spreadsheetml.table+xml"/>
  <Override PartName="/xl/tables/table869.xml" ContentType="application/vnd.openxmlformats-officedocument.spreadsheetml.table+xml"/>
  <Override PartName="/xl/tables/table870.xml" ContentType="application/vnd.openxmlformats-officedocument.spreadsheetml.table+xml"/>
  <Override PartName="/xl/tables/table871.xml" ContentType="application/vnd.openxmlformats-officedocument.spreadsheetml.table+xml"/>
  <Override PartName="/xl/tables/table872.xml" ContentType="application/vnd.openxmlformats-officedocument.spreadsheetml.table+xml"/>
  <Override PartName="/xl/tables/table873.xml" ContentType="application/vnd.openxmlformats-officedocument.spreadsheetml.table+xml"/>
  <Override PartName="/xl/tables/table874.xml" ContentType="application/vnd.openxmlformats-officedocument.spreadsheetml.table+xml"/>
  <Override PartName="/xl/tables/table875.xml" ContentType="application/vnd.openxmlformats-officedocument.spreadsheetml.table+xml"/>
  <Override PartName="/xl/tables/table876.xml" ContentType="application/vnd.openxmlformats-officedocument.spreadsheetml.table+xml"/>
  <Override PartName="/xl/tables/table877.xml" ContentType="application/vnd.openxmlformats-officedocument.spreadsheetml.table+xml"/>
  <Override PartName="/xl/tables/table878.xml" ContentType="application/vnd.openxmlformats-officedocument.spreadsheetml.table+xml"/>
  <Override PartName="/xl/tables/table879.xml" ContentType="application/vnd.openxmlformats-officedocument.spreadsheetml.table+xml"/>
  <Override PartName="/xl/tables/table880.xml" ContentType="application/vnd.openxmlformats-officedocument.spreadsheetml.table+xml"/>
  <Override PartName="/xl/tables/table881.xml" ContentType="application/vnd.openxmlformats-officedocument.spreadsheetml.table+xml"/>
  <Override PartName="/xl/tables/table882.xml" ContentType="application/vnd.openxmlformats-officedocument.spreadsheetml.table+xml"/>
  <Override PartName="/xl/tables/table883.xml" ContentType="application/vnd.openxmlformats-officedocument.spreadsheetml.table+xml"/>
  <Override PartName="/xl/tables/table884.xml" ContentType="application/vnd.openxmlformats-officedocument.spreadsheetml.table+xml"/>
  <Override PartName="/xl/tables/table885.xml" ContentType="application/vnd.openxmlformats-officedocument.spreadsheetml.table+xml"/>
  <Override PartName="/xl/tables/table886.xml" ContentType="application/vnd.openxmlformats-officedocument.spreadsheetml.table+xml"/>
  <Override PartName="/xl/tables/table887.xml" ContentType="application/vnd.openxmlformats-officedocument.spreadsheetml.table+xml"/>
  <Override PartName="/xl/tables/table888.xml" ContentType="application/vnd.openxmlformats-officedocument.spreadsheetml.table+xml"/>
  <Override PartName="/xl/tables/table889.xml" ContentType="application/vnd.openxmlformats-officedocument.spreadsheetml.table+xml"/>
  <Override PartName="/xl/tables/table890.xml" ContentType="application/vnd.openxmlformats-officedocument.spreadsheetml.table+xml"/>
  <Override PartName="/xl/tables/table89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ЦяКнига" defaultThemeVersion="166925"/>
  <mc:AlternateContent xmlns:mc="http://schemas.openxmlformats.org/markup-compatibility/2006">
    <mc:Choice Requires="x15">
      <x15ac:absPath xmlns:x15ac="http://schemas.microsoft.com/office/spreadsheetml/2010/11/ac" url="https://d.docs.live.net/4050d6280c872bd7/TRPG/ZZ_TOOLS/0_DEVELOPMENT/004 Excel online resources/"/>
    </mc:Choice>
  </mc:AlternateContent>
  <xr:revisionPtr revIDLastSave="5" documentId="13_ncr:1_{FE4B4202-A3B4-4D46-889A-D73550CECDFD}" xr6:coauthVersionLast="46" xr6:coauthVersionMax="46" xr10:uidLastSave="{D14E2CC2-16EE-4CB4-A1A9-029EA39C23C3}"/>
  <bookViews>
    <workbookView xWindow="-120" yWindow="-120" windowWidth="29040" windowHeight="15960" tabRatio="900" activeTab="5" xr2:uid="{4F53F769-D09A-40BF-B255-3C0E3D46531E}"/>
  </bookViews>
  <sheets>
    <sheet name="Phrase Tables" sheetId="35" r:id="rId1"/>
    <sheet name="Personal Detail Tables" sheetId="34" r:id="rId2"/>
    <sheet name="Instructions" sheetId="33" r:id="rId3"/>
    <sheet name="Shameless Plug" sheetId="32" r:id="rId4"/>
    <sheet name="Character Overview" sheetId="14" r:id="rId5"/>
    <sheet name="Character 1" sheetId="2" r:id="rId6"/>
    <sheet name="Character 2" sheetId="29" r:id="rId7"/>
    <sheet name="Character 3" sheetId="28" r:id="rId8"/>
    <sheet name="Character 4" sheetId="27" r:id="rId9"/>
    <sheet name="Character 5" sheetId="26" r:id="rId10"/>
    <sheet name="Character 6" sheetId="25" r:id="rId11"/>
    <sheet name="Character 7" sheetId="24" r:id="rId12"/>
    <sheet name="Character 8" sheetId="23" r:id="rId13"/>
    <sheet name="Character 9" sheetId="22" r:id="rId14"/>
    <sheet name="Character 10" sheetId="21" r:id="rId15"/>
    <sheet name="Pick and Choose" sheetId="30" r:id="rId16"/>
    <sheet name="Race Tables" sheetId="4" r:id="rId17"/>
    <sheet name="Class Tables" sheetId="5" state="hidden" r:id="rId18"/>
    <sheet name="Spell Tables" sheetId="7" state="hidden" r:id="rId19"/>
    <sheet name="Items" sheetId="8" state="hidden" r:id="rId20"/>
    <sheet name="Actions" sheetId="9" state="hidden" r:id="rId21"/>
  </sheets>
  <externalReferences>
    <externalReference r:id="rId22"/>
    <externalReference r:id="rId23"/>
  </externalReferences>
  <definedNames>
    <definedName name="Demographics">OFFSET('[2]Racial Information'!$B$4,0,0,1,COUNTIF('[2]Racial Information'!$B$4:$XFD$4,"&lt;&gt;"))</definedName>
    <definedName name="FlawChance">[1]Parameters!#REF!</definedName>
    <definedName name="Gender">[1]Generator!$F$3</definedName>
    <definedName name="POutput">[1]Generator!#REF!</definedName>
    <definedName name="RaceNamesPercent">OFFSET('[2]Racial Information'!$B$1,0,0,4,COUNTIF('[2]Racial Information'!$B$1:$XFD$1,"&lt;&gt;"))</definedName>
    <definedName name="Races">OFFSET('[2]Racial Information'!$B$1,0,0,1,COUNTIF('[2]Racial Information'!$B$1:$XFD$1,"&lt;&gt;"))</definedName>
    <definedName name="Region">[1]Generator!$F$6</definedName>
    <definedName name="_xlnm.Print_Area" localSheetId="5">'Character 1'!$A$1:$S$72,'Character 1'!$A$74:$T$109,'Character 1'!$A$111:$T$167,'Character 1'!$A$169:$T$343</definedName>
    <definedName name="_xlnm.Print_Area" localSheetId="14">'Character 10'!$A$1:$S$72,'Character 10'!$A$74:$T$109,'Character 10'!$A$111:$T$167,'Character 10'!$A$169:$T$343</definedName>
    <definedName name="_xlnm.Print_Area" localSheetId="6">'Character 2'!$A$1:$S$72,'Character 2'!$A$74:$T$109,'Character 2'!$A$111:$T$167,'Character 2'!$A$169:$T$343</definedName>
    <definedName name="_xlnm.Print_Area" localSheetId="7">'Character 3'!$A$1:$S$72,'Character 3'!$A$74:$T$109,'Character 3'!$A$111:$T$167,'Character 3'!$A$169:$T$343</definedName>
    <definedName name="_xlnm.Print_Area" localSheetId="8">'Character 4'!$A$1:$S$72,'Character 4'!$A$74:$T$109,'Character 4'!$A$111:$T$167,'Character 4'!$A$169:$T$343</definedName>
    <definedName name="_xlnm.Print_Area" localSheetId="9">'Character 5'!$A$1:$S$72,'Character 5'!$A$74:$T$109,'Character 5'!$A$111:$T$167,'Character 5'!$A$169:$T$343</definedName>
    <definedName name="_xlnm.Print_Area" localSheetId="10">'Character 6'!$A$1:$S$72,'Character 6'!$A$74:$T$109,'Character 6'!$A$111:$T$167,'Character 6'!$A$169:$T$343</definedName>
    <definedName name="_xlnm.Print_Area" localSheetId="11">'Character 7'!$A$1:$S$72,'Character 7'!$A$74:$T$109,'Character 7'!$A$111:$T$167,'Character 7'!$A$169:$T$343</definedName>
    <definedName name="_xlnm.Print_Area" localSheetId="12">'Character 8'!$A$1:$S$72,'Character 8'!$A$74:$T$109,'Character 8'!$A$111:$T$167,'Character 8'!$A$169:$T$343</definedName>
    <definedName name="_xlnm.Print_Area" localSheetId="13">'Character 9'!$A$1:$S$72,'Character 9'!$A$74:$T$109,'Character 9'!$A$111:$T$167,'Character 9'!$A$169:$T$343</definedName>
    <definedName name="_xlnm.Print_Area" localSheetId="15">'Pick and Choose'!$A$1:$S$72,'Pick and Choose'!$A$74:$T$109,'Pick and Choose'!$A$111:$T$167,'Pick and Choose'!$A$169:$T$343</definedName>
    <definedName name="_xlnm.Print_Area" localSheetId="3">'Shameless Plug'!$A$1:$X$57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83" i="34" l="1"/>
  <c r="O82" i="34"/>
  <c r="O81" i="34"/>
  <c r="O80" i="34"/>
  <c r="O79" i="34"/>
  <c r="O78" i="34"/>
  <c r="O77" i="34"/>
  <c r="O76" i="34"/>
  <c r="O75" i="34"/>
  <c r="O74" i="34"/>
  <c r="O73" i="34"/>
  <c r="O72" i="34"/>
  <c r="O71" i="34"/>
  <c r="O70" i="34"/>
  <c r="O69" i="34"/>
  <c r="O68" i="34"/>
  <c r="O67" i="34"/>
  <c r="O66" i="34"/>
  <c r="O65" i="34"/>
  <c r="O64" i="34"/>
  <c r="O63" i="34"/>
  <c r="O62" i="34"/>
  <c r="O61" i="34"/>
  <c r="O60" i="34"/>
  <c r="O59" i="34"/>
  <c r="O58" i="34"/>
  <c r="O57" i="34"/>
  <c r="O56" i="34"/>
  <c r="O55" i="34"/>
  <c r="O54" i="34"/>
  <c r="O53" i="34"/>
  <c r="O52" i="34"/>
  <c r="O51" i="34"/>
  <c r="O50" i="34"/>
  <c r="O49" i="34"/>
  <c r="O48" i="34"/>
  <c r="O47" i="34"/>
  <c r="O46" i="34"/>
  <c r="O45" i="34"/>
  <c r="O44" i="34"/>
  <c r="O43" i="34"/>
  <c r="O42" i="34"/>
  <c r="O41" i="34"/>
  <c r="O40" i="34"/>
  <c r="O39" i="34"/>
  <c r="O38" i="34"/>
  <c r="O37" i="34"/>
  <c r="O36" i="34"/>
  <c r="O35" i="34"/>
  <c r="O34" i="34"/>
  <c r="O33" i="34"/>
  <c r="O32" i="34"/>
  <c r="O31" i="34"/>
  <c r="O30" i="34"/>
  <c r="O29" i="34"/>
  <c r="O28" i="34"/>
  <c r="O27" i="34"/>
  <c r="O26" i="34"/>
  <c r="O25" i="34"/>
  <c r="O24" i="34"/>
  <c r="O23" i="34"/>
  <c r="O22" i="34"/>
  <c r="O21" i="34"/>
  <c r="O20" i="34"/>
  <c r="O19" i="34"/>
  <c r="O18" i="34"/>
  <c r="O17" i="34"/>
  <c r="O16" i="34"/>
  <c r="O15" i="34"/>
  <c r="O14" i="34"/>
  <c r="O13" i="34"/>
  <c r="O12" i="34"/>
  <c r="O11" i="34"/>
  <c r="O10" i="34"/>
  <c r="O9" i="34"/>
  <c r="O8" i="34"/>
  <c r="O7" i="34"/>
  <c r="O6" i="34"/>
  <c r="O5" i="34"/>
  <c r="O4" i="34"/>
  <c r="O3" i="34"/>
  <c r="O2" i="34"/>
  <c r="B95" i="30" l="1"/>
  <c r="P107" i="21"/>
  <c r="P106" i="21"/>
  <c r="M43" i="21"/>
  <c r="L43" i="21"/>
  <c r="K43" i="21"/>
  <c r="J43" i="21"/>
  <c r="M42" i="21"/>
  <c r="L42" i="21"/>
  <c r="K42" i="21"/>
  <c r="J42" i="21"/>
  <c r="M41" i="21"/>
  <c r="L41" i="21"/>
  <c r="K41" i="21"/>
  <c r="J41" i="21"/>
  <c r="M40" i="21"/>
  <c r="L40" i="21"/>
  <c r="K40" i="21"/>
  <c r="J40" i="21"/>
  <c r="M39" i="21"/>
  <c r="L39" i="21"/>
  <c r="K39" i="21"/>
  <c r="J39" i="21"/>
  <c r="M38" i="21"/>
  <c r="L38" i="21"/>
  <c r="K38" i="21"/>
  <c r="J38" i="21"/>
  <c r="AF36" i="21"/>
  <c r="AF35" i="21"/>
  <c r="AE32" i="21"/>
  <c r="AE31" i="21"/>
  <c r="AP30" i="21"/>
  <c r="AE30" i="21"/>
  <c r="AE29" i="21"/>
  <c r="AF26" i="21"/>
  <c r="AF25" i="21"/>
  <c r="AF24" i="21"/>
  <c r="AF23" i="21"/>
  <c r="AF21" i="21"/>
  <c r="AF20" i="21"/>
  <c r="BM16" i="21"/>
  <c r="CC20" i="21" s="1"/>
  <c r="BM14" i="21"/>
  <c r="O11" i="21"/>
  <c r="B95" i="21" s="1"/>
  <c r="R6" i="21"/>
  <c r="CC5" i="21"/>
  <c r="O3" i="21"/>
  <c r="D40" i="14" s="1"/>
  <c r="Q2" i="21"/>
  <c r="G40" i="14" s="1"/>
  <c r="O2" i="21"/>
  <c r="E40" i="14" s="1"/>
  <c r="P107" i="22"/>
  <c r="P106" i="22"/>
  <c r="M43" i="22"/>
  <c r="L43" i="22"/>
  <c r="K43" i="22"/>
  <c r="J43" i="22"/>
  <c r="M42" i="22"/>
  <c r="L42" i="22"/>
  <c r="K42" i="22"/>
  <c r="J42" i="22"/>
  <c r="M41" i="22"/>
  <c r="L41" i="22"/>
  <c r="K41" i="22"/>
  <c r="J41" i="22"/>
  <c r="M40" i="22"/>
  <c r="L40" i="22"/>
  <c r="K40" i="22"/>
  <c r="J40" i="22"/>
  <c r="M39" i="22"/>
  <c r="L39" i="22"/>
  <c r="K39" i="22"/>
  <c r="J39" i="22"/>
  <c r="M38" i="22"/>
  <c r="L38" i="22"/>
  <c r="K38" i="22"/>
  <c r="J38" i="22"/>
  <c r="AF36" i="22"/>
  <c r="AF35" i="22"/>
  <c r="P108" i="22" s="1"/>
  <c r="AE32" i="22"/>
  <c r="AE31" i="22"/>
  <c r="AP30" i="22"/>
  <c r="AE30" i="22"/>
  <c r="AE29" i="22"/>
  <c r="AF26" i="22"/>
  <c r="AF25" i="22"/>
  <c r="AF24" i="22"/>
  <c r="AF23" i="22"/>
  <c r="AF21" i="22"/>
  <c r="AF20" i="22"/>
  <c r="BM16" i="22"/>
  <c r="CC78" i="22" s="1"/>
  <c r="BM14" i="22"/>
  <c r="O11" i="22"/>
  <c r="B95" i="22" s="1"/>
  <c r="R6" i="22"/>
  <c r="CC5" i="22"/>
  <c r="O3" i="22"/>
  <c r="D36" i="14" s="1"/>
  <c r="Q2" i="22"/>
  <c r="Q1" i="22" s="1"/>
  <c r="O2" i="22"/>
  <c r="E36" i="14" s="1"/>
  <c r="P107" i="23"/>
  <c r="P106" i="23"/>
  <c r="M43" i="23"/>
  <c r="L43" i="23"/>
  <c r="K43" i="23"/>
  <c r="J43" i="23"/>
  <c r="M42" i="23"/>
  <c r="L42" i="23"/>
  <c r="K42" i="23"/>
  <c r="J42" i="23"/>
  <c r="M41" i="23"/>
  <c r="L41" i="23"/>
  <c r="K41" i="23"/>
  <c r="J41" i="23"/>
  <c r="M40" i="23"/>
  <c r="L40" i="23"/>
  <c r="K40" i="23"/>
  <c r="J40" i="23"/>
  <c r="M39" i="23"/>
  <c r="L39" i="23"/>
  <c r="K39" i="23"/>
  <c r="J39" i="23"/>
  <c r="M38" i="23"/>
  <c r="L38" i="23"/>
  <c r="K38" i="23"/>
  <c r="J38" i="23"/>
  <c r="AF36" i="23"/>
  <c r="AF35" i="23"/>
  <c r="O108" i="23" s="1"/>
  <c r="AE32" i="23"/>
  <c r="AE31" i="23"/>
  <c r="AP30" i="23"/>
  <c r="AE30" i="23"/>
  <c r="AE29" i="23"/>
  <c r="AF26" i="23"/>
  <c r="AF25" i="23"/>
  <c r="AF24" i="23"/>
  <c r="AF23" i="23"/>
  <c r="AF21" i="23"/>
  <c r="AF20" i="23"/>
  <c r="BM16" i="23"/>
  <c r="CC5" i="23" s="1"/>
  <c r="BM14" i="23"/>
  <c r="O11" i="23"/>
  <c r="O46" i="23" s="1"/>
  <c r="R6" i="23"/>
  <c r="O3" i="23"/>
  <c r="D32" i="14" s="1"/>
  <c r="Q2" i="23"/>
  <c r="B16" i="23" s="1"/>
  <c r="O2" i="23"/>
  <c r="E32" i="14" s="1"/>
  <c r="P107" i="24"/>
  <c r="P106" i="24"/>
  <c r="M43" i="24"/>
  <c r="L43" i="24"/>
  <c r="K43" i="24"/>
  <c r="J43" i="24"/>
  <c r="M42" i="24"/>
  <c r="L42" i="24"/>
  <c r="K42" i="24"/>
  <c r="J42" i="24"/>
  <c r="M41" i="24"/>
  <c r="L41" i="24"/>
  <c r="K41" i="24"/>
  <c r="J41" i="24"/>
  <c r="M40" i="24"/>
  <c r="L40" i="24"/>
  <c r="K40" i="24"/>
  <c r="J40" i="24"/>
  <c r="M39" i="24"/>
  <c r="L39" i="24"/>
  <c r="K39" i="24"/>
  <c r="J39" i="24"/>
  <c r="M38" i="24"/>
  <c r="L38" i="24"/>
  <c r="K38" i="24"/>
  <c r="J38" i="24"/>
  <c r="AF36" i="24"/>
  <c r="AF35" i="24"/>
  <c r="AE32" i="24"/>
  <c r="AE31" i="24"/>
  <c r="AP30" i="24"/>
  <c r="AE30" i="24"/>
  <c r="AE29" i="24"/>
  <c r="AF26" i="24"/>
  <c r="AF25" i="24"/>
  <c r="AF24" i="24"/>
  <c r="AF23" i="24"/>
  <c r="AF21" i="24"/>
  <c r="AF20" i="24"/>
  <c r="BM16" i="24"/>
  <c r="CC110" i="24" s="1"/>
  <c r="BM14" i="24"/>
  <c r="CC18" i="24" s="1"/>
  <c r="O11" i="24"/>
  <c r="B95" i="24" s="1"/>
  <c r="R6" i="24"/>
  <c r="O3" i="24"/>
  <c r="D28" i="14" s="1"/>
  <c r="Q2" i="24"/>
  <c r="G28" i="14" s="1"/>
  <c r="O2" i="24"/>
  <c r="E28" i="14" s="1"/>
  <c r="P107" i="25"/>
  <c r="P106" i="25"/>
  <c r="M43" i="25"/>
  <c r="L43" i="25"/>
  <c r="K43" i="25"/>
  <c r="J43" i="25"/>
  <c r="M42" i="25"/>
  <c r="L42" i="25"/>
  <c r="K42" i="25"/>
  <c r="J42" i="25"/>
  <c r="M41" i="25"/>
  <c r="L41" i="25"/>
  <c r="K41" i="25"/>
  <c r="J41" i="25"/>
  <c r="M40" i="25"/>
  <c r="L40" i="25"/>
  <c r="K40" i="25"/>
  <c r="J40" i="25"/>
  <c r="M39" i="25"/>
  <c r="L39" i="25"/>
  <c r="K39" i="25"/>
  <c r="J39" i="25"/>
  <c r="M38" i="25"/>
  <c r="L38" i="25"/>
  <c r="K38" i="25"/>
  <c r="J38" i="25"/>
  <c r="AF36" i="25"/>
  <c r="AF35" i="25"/>
  <c r="AE32" i="25"/>
  <c r="AE31" i="25"/>
  <c r="AP30" i="25"/>
  <c r="AE30" i="25"/>
  <c r="AE29" i="25"/>
  <c r="AF26" i="25"/>
  <c r="AF25" i="25"/>
  <c r="AF24" i="25"/>
  <c r="AF23" i="25"/>
  <c r="AF21" i="25"/>
  <c r="AF20" i="25"/>
  <c r="BM16" i="25"/>
  <c r="CC20" i="25" s="1"/>
  <c r="BM14" i="25"/>
  <c r="CC18" i="25" s="1"/>
  <c r="O11" i="25"/>
  <c r="B95" i="25" s="1"/>
  <c r="R6" i="25"/>
  <c r="O3" i="25"/>
  <c r="D24" i="14" s="1"/>
  <c r="Q2" i="25"/>
  <c r="B16" i="25" s="1"/>
  <c r="O2" i="25"/>
  <c r="E24" i="14" s="1"/>
  <c r="P107" i="26"/>
  <c r="P106" i="26"/>
  <c r="M43" i="26"/>
  <c r="L43" i="26"/>
  <c r="K43" i="26"/>
  <c r="J43" i="26"/>
  <c r="M42" i="26"/>
  <c r="L42" i="26"/>
  <c r="K42" i="26"/>
  <c r="J42" i="26"/>
  <c r="M41" i="26"/>
  <c r="L41" i="26"/>
  <c r="K41" i="26"/>
  <c r="J41" i="26"/>
  <c r="M40" i="26"/>
  <c r="L40" i="26"/>
  <c r="K40" i="26"/>
  <c r="J40" i="26"/>
  <c r="M39" i="26"/>
  <c r="L39" i="26"/>
  <c r="K39" i="26"/>
  <c r="J39" i="26"/>
  <c r="M38" i="26"/>
  <c r="L38" i="26"/>
  <c r="K38" i="26"/>
  <c r="J38" i="26"/>
  <c r="AF36" i="26"/>
  <c r="AF35" i="26"/>
  <c r="AE32" i="26"/>
  <c r="AE31" i="26"/>
  <c r="AP30" i="26"/>
  <c r="AE30" i="26"/>
  <c r="AE29" i="26"/>
  <c r="AF26" i="26"/>
  <c r="AF25" i="26"/>
  <c r="AF24" i="26"/>
  <c r="AF23" i="26"/>
  <c r="AF21" i="26"/>
  <c r="AF20" i="26"/>
  <c r="BM16" i="26"/>
  <c r="CC5" i="26" s="1"/>
  <c r="BM14" i="26"/>
  <c r="O11" i="26"/>
  <c r="B95" i="26" s="1"/>
  <c r="R6" i="26"/>
  <c r="O3" i="26"/>
  <c r="D20" i="14" s="1"/>
  <c r="Q2" i="26"/>
  <c r="P2" i="26" s="1"/>
  <c r="B18" i="26" s="1"/>
  <c r="O2" i="26"/>
  <c r="E20" i="14" s="1"/>
  <c r="P107" i="27"/>
  <c r="P106" i="27"/>
  <c r="M43" i="27"/>
  <c r="L43" i="27"/>
  <c r="K43" i="27"/>
  <c r="J43" i="27"/>
  <c r="M42" i="27"/>
  <c r="L42" i="27"/>
  <c r="K42" i="27"/>
  <c r="J42" i="27"/>
  <c r="M41" i="27"/>
  <c r="L41" i="27"/>
  <c r="K41" i="27"/>
  <c r="J41" i="27"/>
  <c r="M40" i="27"/>
  <c r="L40" i="27"/>
  <c r="K40" i="27"/>
  <c r="J40" i="27"/>
  <c r="M39" i="27"/>
  <c r="L39" i="27"/>
  <c r="K39" i="27"/>
  <c r="J39" i="27"/>
  <c r="M38" i="27"/>
  <c r="L38" i="27"/>
  <c r="K38" i="27"/>
  <c r="J38" i="27"/>
  <c r="AF36" i="27"/>
  <c r="AF35" i="27"/>
  <c r="AE32" i="27"/>
  <c r="AE31" i="27"/>
  <c r="AP30" i="27"/>
  <c r="AE30" i="27"/>
  <c r="AE29" i="27"/>
  <c r="AF26" i="27"/>
  <c r="AF25" i="27"/>
  <c r="AF24" i="27"/>
  <c r="AF23" i="27"/>
  <c r="AF21" i="27"/>
  <c r="AF20" i="27"/>
  <c r="BM16" i="27"/>
  <c r="CC78" i="27" s="1"/>
  <c r="BM14" i="27"/>
  <c r="CC18" i="27" s="1"/>
  <c r="O11" i="27"/>
  <c r="B95" i="27" s="1"/>
  <c r="R6" i="27"/>
  <c r="O3" i="27"/>
  <c r="D16" i="14" s="1"/>
  <c r="Q2" i="27"/>
  <c r="S19" i="27" s="1"/>
  <c r="O2" i="27"/>
  <c r="E16" i="14" s="1"/>
  <c r="P107" i="28"/>
  <c r="P106" i="28"/>
  <c r="M43" i="28"/>
  <c r="L43" i="28"/>
  <c r="K43" i="28"/>
  <c r="J43" i="28"/>
  <c r="M42" i="28"/>
  <c r="L42" i="28"/>
  <c r="K42" i="28"/>
  <c r="J42" i="28"/>
  <c r="M41" i="28"/>
  <c r="L41" i="28"/>
  <c r="K41" i="28"/>
  <c r="J41" i="28"/>
  <c r="M40" i="28"/>
  <c r="L40" i="28"/>
  <c r="K40" i="28"/>
  <c r="J40" i="28"/>
  <c r="M39" i="28"/>
  <c r="L39" i="28"/>
  <c r="K39" i="28"/>
  <c r="J39" i="28"/>
  <c r="M38" i="28"/>
  <c r="L38" i="28"/>
  <c r="K38" i="28"/>
  <c r="J38" i="28"/>
  <c r="AF36" i="28"/>
  <c r="AF35" i="28"/>
  <c r="B108" i="28" s="1"/>
  <c r="AE32" i="28"/>
  <c r="AE31" i="28"/>
  <c r="AP30" i="28"/>
  <c r="AE30" i="28"/>
  <c r="AE29" i="28"/>
  <c r="AF26" i="28"/>
  <c r="AF25" i="28"/>
  <c r="AF24" i="28"/>
  <c r="AF23" i="28"/>
  <c r="AF21" i="28"/>
  <c r="AF20" i="28"/>
  <c r="BM16" i="28"/>
  <c r="BM14" i="28"/>
  <c r="CC77" i="28" s="1"/>
  <c r="O11" i="28"/>
  <c r="B95" i="28" s="1"/>
  <c r="R6" i="28"/>
  <c r="CC5" i="28"/>
  <c r="O3" i="28"/>
  <c r="D12" i="14" s="1"/>
  <c r="Q2" i="28"/>
  <c r="G12" i="14" s="1"/>
  <c r="O2" i="28"/>
  <c r="E12" i="14" s="1"/>
  <c r="P107" i="29"/>
  <c r="P106" i="29"/>
  <c r="M43" i="29"/>
  <c r="L43" i="29"/>
  <c r="K43" i="29"/>
  <c r="J43" i="29"/>
  <c r="M42" i="29"/>
  <c r="L42" i="29"/>
  <c r="K42" i="29"/>
  <c r="J42" i="29"/>
  <c r="M41" i="29"/>
  <c r="L41" i="29"/>
  <c r="K41" i="29"/>
  <c r="J41" i="29"/>
  <c r="M40" i="29"/>
  <c r="L40" i="29"/>
  <c r="K40" i="29"/>
  <c r="J40" i="29"/>
  <c r="M39" i="29"/>
  <c r="L39" i="29"/>
  <c r="K39" i="29"/>
  <c r="J39" i="29"/>
  <c r="M38" i="29"/>
  <c r="L38" i="29"/>
  <c r="K38" i="29"/>
  <c r="J38" i="29"/>
  <c r="AF36" i="29"/>
  <c r="AF35" i="29"/>
  <c r="AE32" i="29"/>
  <c r="AE31" i="29"/>
  <c r="AP30" i="29"/>
  <c r="AE30" i="29"/>
  <c r="AE29" i="29"/>
  <c r="AF26" i="29"/>
  <c r="AF25" i="29"/>
  <c r="AF24" i="29"/>
  <c r="AF23" i="29"/>
  <c r="AF21" i="29"/>
  <c r="AF20" i="29"/>
  <c r="BM16" i="29"/>
  <c r="CC110" i="29" s="1"/>
  <c r="BM14" i="29"/>
  <c r="O11" i="29"/>
  <c r="B95" i="29" s="1"/>
  <c r="R6" i="29"/>
  <c r="O3" i="29"/>
  <c r="D8" i="14" s="1"/>
  <c r="Q2" i="29"/>
  <c r="G8" i="14" s="1"/>
  <c r="O2" i="29"/>
  <c r="E8" i="14" s="1"/>
  <c r="P107" i="2"/>
  <c r="P106" i="2"/>
  <c r="M43" i="2"/>
  <c r="L43" i="2"/>
  <c r="K43" i="2"/>
  <c r="J43" i="2"/>
  <c r="M42" i="2"/>
  <c r="L42" i="2"/>
  <c r="K42" i="2"/>
  <c r="J42" i="2"/>
  <c r="M41" i="2"/>
  <c r="L41" i="2"/>
  <c r="K41" i="2"/>
  <c r="J41" i="2"/>
  <c r="M40" i="2"/>
  <c r="L40" i="2"/>
  <c r="K40" i="2"/>
  <c r="J40" i="2"/>
  <c r="M39" i="2"/>
  <c r="L39" i="2"/>
  <c r="K39" i="2"/>
  <c r="J39" i="2"/>
  <c r="M38" i="2"/>
  <c r="L38" i="2"/>
  <c r="K38" i="2"/>
  <c r="J38" i="2"/>
  <c r="AF36" i="2"/>
  <c r="AF35" i="2"/>
  <c r="P108" i="2" s="1"/>
  <c r="AE32" i="2"/>
  <c r="AE31" i="2"/>
  <c r="AP30" i="2"/>
  <c r="AE30" i="2"/>
  <c r="AE29" i="2"/>
  <c r="AF26" i="2"/>
  <c r="AF25" i="2"/>
  <c r="AF24" i="2"/>
  <c r="AF23" i="2"/>
  <c r="AF21" i="2"/>
  <c r="AF20" i="2"/>
  <c r="BM16" i="2"/>
  <c r="CC5" i="2" s="1"/>
  <c r="BM14" i="2"/>
  <c r="O11" i="2"/>
  <c r="R6" i="2"/>
  <c r="O3" i="2"/>
  <c r="D4" i="14" s="1"/>
  <c r="Q2" i="2"/>
  <c r="G4" i="14" s="1"/>
  <c r="O2" i="2"/>
  <c r="E4" i="14" s="1"/>
  <c r="CC5" i="27" l="1"/>
  <c r="CC41" i="21"/>
  <c r="CC5" i="25"/>
  <c r="CC5" i="24"/>
  <c r="CC20" i="24"/>
  <c r="CC5" i="29"/>
  <c r="CC41" i="24"/>
  <c r="O95" i="30"/>
  <c r="P95" i="30"/>
  <c r="B100" i="30"/>
  <c r="Q95" i="30"/>
  <c r="Q95" i="29"/>
  <c r="B100" i="29"/>
  <c r="P95" i="29"/>
  <c r="P95" i="28"/>
  <c r="B100" i="28"/>
  <c r="Q95" i="28"/>
  <c r="P95" i="27"/>
  <c r="B100" i="27"/>
  <c r="Q95" i="27"/>
  <c r="P95" i="26"/>
  <c r="B100" i="26"/>
  <c r="Q95" i="26"/>
  <c r="Q95" i="25"/>
  <c r="B100" i="25"/>
  <c r="P95" i="25"/>
  <c r="P95" i="24"/>
  <c r="B100" i="24"/>
  <c r="Q95" i="24"/>
  <c r="B95" i="23"/>
  <c r="P95" i="22"/>
  <c r="B100" i="22"/>
  <c r="Q95" i="22"/>
  <c r="P95" i="21"/>
  <c r="B100" i="21"/>
  <c r="Q95" i="21"/>
  <c r="F20" i="14"/>
  <c r="G36" i="14"/>
  <c r="G32" i="14"/>
  <c r="G24" i="14"/>
  <c r="G20" i="14"/>
  <c r="G16" i="14"/>
  <c r="P2" i="22"/>
  <c r="I41" i="22" s="1"/>
  <c r="O6" i="21"/>
  <c r="B72" i="21"/>
  <c r="O51" i="21"/>
  <c r="O49" i="21"/>
  <c r="O47" i="21"/>
  <c r="O46" i="21"/>
  <c r="O48" i="21"/>
  <c r="O72" i="21"/>
  <c r="AF14" i="21"/>
  <c r="Q12" i="21" s="1"/>
  <c r="S19" i="21"/>
  <c r="B16" i="21"/>
  <c r="P1" i="21"/>
  <c r="P3" i="21"/>
  <c r="S11" i="21"/>
  <c r="P1" i="22"/>
  <c r="Q1" i="21"/>
  <c r="P2" i="21"/>
  <c r="I39" i="21" s="1"/>
  <c r="CC89" i="21"/>
  <c r="CC77" i="21"/>
  <c r="CC109" i="21"/>
  <c r="CC117" i="21"/>
  <c r="CC18" i="21"/>
  <c r="S23" i="21"/>
  <c r="O108" i="21"/>
  <c r="B108" i="21"/>
  <c r="P108" i="21"/>
  <c r="CC110" i="21"/>
  <c r="CC78" i="21"/>
  <c r="B103" i="21"/>
  <c r="B16" i="22"/>
  <c r="O6" i="22"/>
  <c r="CC117" i="22"/>
  <c r="CC109" i="22"/>
  <c r="CC89" i="22"/>
  <c r="CC77" i="22"/>
  <c r="CC18" i="22"/>
  <c r="P3" i="22"/>
  <c r="O72" i="22"/>
  <c r="B72" i="22"/>
  <c r="O51" i="22"/>
  <c r="O49" i="22"/>
  <c r="O47" i="22"/>
  <c r="O46" i="22"/>
  <c r="O48" i="22"/>
  <c r="S11" i="22"/>
  <c r="S23" i="22"/>
  <c r="AF14" i="22"/>
  <c r="S19" i="22"/>
  <c r="B103" i="22"/>
  <c r="CC20" i="22"/>
  <c r="CC110" i="22"/>
  <c r="CC41" i="22"/>
  <c r="B108" i="22"/>
  <c r="O108" i="22"/>
  <c r="P3" i="23"/>
  <c r="P1" i="23"/>
  <c r="S11" i="23"/>
  <c r="Q1" i="23"/>
  <c r="P2" i="23"/>
  <c r="O7" i="23" s="1"/>
  <c r="CC109" i="23"/>
  <c r="CC117" i="23"/>
  <c r="CC89" i="23"/>
  <c r="CC18" i="23"/>
  <c r="CC77" i="23"/>
  <c r="CC78" i="23"/>
  <c r="CC20" i="23"/>
  <c r="CC41" i="23"/>
  <c r="CC110" i="23"/>
  <c r="S19" i="23"/>
  <c r="O6" i="23"/>
  <c r="O72" i="23"/>
  <c r="O48" i="23"/>
  <c r="O47" i="23"/>
  <c r="S23" i="23"/>
  <c r="B72" i="23"/>
  <c r="O49" i="23"/>
  <c r="AF14" i="23"/>
  <c r="Q12" i="23" s="1"/>
  <c r="O51" i="23"/>
  <c r="B103" i="23"/>
  <c r="B108" i="23"/>
  <c r="P108" i="23"/>
  <c r="S11" i="24"/>
  <c r="S23" i="24"/>
  <c r="O46" i="24"/>
  <c r="O51" i="24"/>
  <c r="P1" i="24"/>
  <c r="P3" i="24"/>
  <c r="S19" i="24"/>
  <c r="P2" i="24"/>
  <c r="I38" i="24" s="1"/>
  <c r="Q1" i="24"/>
  <c r="O6" i="24"/>
  <c r="B16" i="24"/>
  <c r="P108" i="24"/>
  <c r="O108" i="24"/>
  <c r="B108" i="24"/>
  <c r="CC89" i="24"/>
  <c r="CC117" i="24"/>
  <c r="CC77" i="24"/>
  <c r="O48" i="24"/>
  <c r="O49" i="24"/>
  <c r="CC78" i="24"/>
  <c r="O72" i="24"/>
  <c r="B72" i="24"/>
  <c r="AF14" i="24"/>
  <c r="Q11" i="24" s="1"/>
  <c r="B103" i="24"/>
  <c r="O47" i="24"/>
  <c r="CC109" i="24"/>
  <c r="P3" i="25"/>
  <c r="S11" i="25"/>
  <c r="S23" i="25"/>
  <c r="P1" i="25"/>
  <c r="O49" i="25"/>
  <c r="P1" i="26"/>
  <c r="B72" i="25"/>
  <c r="B108" i="25"/>
  <c r="O108" i="25"/>
  <c r="P108" i="25"/>
  <c r="Q1" i="25"/>
  <c r="P2" i="25"/>
  <c r="I39" i="25" s="1"/>
  <c r="CC109" i="25"/>
  <c r="CC117" i="25"/>
  <c r="CC89" i="25"/>
  <c r="CC78" i="25"/>
  <c r="CC41" i="25"/>
  <c r="O46" i="25"/>
  <c r="O47" i="25"/>
  <c r="O51" i="25"/>
  <c r="CC110" i="25"/>
  <c r="O6" i="25"/>
  <c r="O72" i="25"/>
  <c r="O48" i="25"/>
  <c r="AF14" i="25"/>
  <c r="S19" i="25"/>
  <c r="B103" i="25"/>
  <c r="CC77" i="25"/>
  <c r="B17" i="26"/>
  <c r="O76" i="26"/>
  <c r="B16" i="26"/>
  <c r="S11" i="26"/>
  <c r="Q1" i="26"/>
  <c r="P3" i="26"/>
  <c r="B19" i="26"/>
  <c r="I42" i="26"/>
  <c r="I41" i="26"/>
  <c r="CC89" i="26"/>
  <c r="CC77" i="26"/>
  <c r="CC109" i="26"/>
  <c r="CC117" i="26"/>
  <c r="CC18" i="26"/>
  <c r="CC110" i="26"/>
  <c r="CC78" i="26"/>
  <c r="CC41" i="26"/>
  <c r="CC20" i="26"/>
  <c r="S19" i="26"/>
  <c r="I43" i="26"/>
  <c r="I38" i="26"/>
  <c r="I40" i="26"/>
  <c r="I39" i="26"/>
  <c r="O6" i="26"/>
  <c r="O7" i="26"/>
  <c r="O8" i="26"/>
  <c r="O72" i="26"/>
  <c r="B72" i="26"/>
  <c r="O51" i="26"/>
  <c r="O49" i="26"/>
  <c r="O47" i="26"/>
  <c r="O46" i="26"/>
  <c r="O48" i="26"/>
  <c r="S23" i="26"/>
  <c r="AF14" i="26"/>
  <c r="B15" i="26"/>
  <c r="B103" i="26"/>
  <c r="P108" i="26"/>
  <c r="O108" i="26"/>
  <c r="B108" i="26"/>
  <c r="AF14" i="27"/>
  <c r="Q11" i="27" s="1"/>
  <c r="O81" i="27" s="1"/>
  <c r="O6" i="27"/>
  <c r="B103" i="27"/>
  <c r="O72" i="27"/>
  <c r="B72" i="27"/>
  <c r="O48" i="27"/>
  <c r="O51" i="27"/>
  <c r="O49" i="27"/>
  <c r="O47" i="27"/>
  <c r="O46" i="27"/>
  <c r="S23" i="27"/>
  <c r="S11" i="27"/>
  <c r="O80" i="27" s="1"/>
  <c r="P2" i="27"/>
  <c r="I38" i="27" s="1"/>
  <c r="Q1" i="27"/>
  <c r="B16" i="27"/>
  <c r="P3" i="27"/>
  <c r="P1" i="27"/>
  <c r="CC20" i="27"/>
  <c r="CC117" i="27"/>
  <c r="CC89" i="27"/>
  <c r="CC77" i="27"/>
  <c r="CC109" i="27"/>
  <c r="CC110" i="27"/>
  <c r="CC41" i="27"/>
  <c r="P108" i="27"/>
  <c r="O108" i="27"/>
  <c r="B108" i="27"/>
  <c r="O108" i="28"/>
  <c r="P108" i="28"/>
  <c r="CC110" i="28"/>
  <c r="CC20" i="28"/>
  <c r="CC78" i="28"/>
  <c r="CC41" i="28"/>
  <c r="O46" i="28"/>
  <c r="S19" i="28"/>
  <c r="B16" i="28"/>
  <c r="P1" i="28"/>
  <c r="P3" i="28"/>
  <c r="S11" i="28"/>
  <c r="O80" i="28" s="1"/>
  <c r="O51" i="28"/>
  <c r="O6" i="28"/>
  <c r="O72" i="28"/>
  <c r="AF14" i="28"/>
  <c r="Q11" i="28" s="1"/>
  <c r="O47" i="28"/>
  <c r="B72" i="28"/>
  <c r="O49" i="28"/>
  <c r="O48" i="28"/>
  <c r="S23" i="28"/>
  <c r="Q1" i="28"/>
  <c r="P2" i="28"/>
  <c r="I39" i="28" s="1"/>
  <c r="CC109" i="28"/>
  <c r="CC18" i="28"/>
  <c r="CC117" i="28"/>
  <c r="CC89" i="28"/>
  <c r="B103" i="28"/>
  <c r="P1" i="29"/>
  <c r="P3" i="29"/>
  <c r="B103" i="29"/>
  <c r="P105" i="29" s="1"/>
  <c r="Q1" i="29"/>
  <c r="P2" i="29"/>
  <c r="I40" i="29" s="1"/>
  <c r="P3" i="2"/>
  <c r="B16" i="29"/>
  <c r="O6" i="29"/>
  <c r="O72" i="29"/>
  <c r="B72" i="29"/>
  <c r="O51" i="29"/>
  <c r="O49" i="29"/>
  <c r="O47" i="29"/>
  <c r="O46" i="29"/>
  <c r="O48" i="29"/>
  <c r="S11" i="29"/>
  <c r="O80" i="29" s="1"/>
  <c r="S23" i="29"/>
  <c r="AF14" i="29"/>
  <c r="Q12" i="29" s="1"/>
  <c r="S19" i="29"/>
  <c r="CC18" i="29"/>
  <c r="CC20" i="29"/>
  <c r="CC41" i="29"/>
  <c r="CC78" i="29"/>
  <c r="CC89" i="29"/>
  <c r="CC77" i="29"/>
  <c r="CC117" i="29"/>
  <c r="CC109" i="29"/>
  <c r="P108" i="29"/>
  <c r="O108" i="29"/>
  <c r="B108" i="29"/>
  <c r="P1" i="2"/>
  <c r="AF14" i="2"/>
  <c r="Q11" i="2" s="1"/>
  <c r="Q1" i="2"/>
  <c r="P2" i="2"/>
  <c r="O76" i="2" s="1"/>
  <c r="S11" i="2"/>
  <c r="O80" i="2" s="1"/>
  <c r="B16" i="2"/>
  <c r="S19" i="2"/>
  <c r="O6" i="2"/>
  <c r="B72" i="2"/>
  <c r="O51" i="2"/>
  <c r="O72" i="2"/>
  <c r="O48" i="2"/>
  <c r="O49" i="2"/>
  <c r="S23" i="2"/>
  <c r="B95" i="2"/>
  <c r="Q95" i="2" s="1"/>
  <c r="O47" i="2"/>
  <c r="O46" i="2"/>
  <c r="B103" i="2"/>
  <c r="CC89" i="2"/>
  <c r="CC77" i="2"/>
  <c r="CC109" i="2"/>
  <c r="CC117" i="2"/>
  <c r="CC18" i="2"/>
  <c r="CC110" i="2"/>
  <c r="CC78" i="2"/>
  <c r="CC41" i="2"/>
  <c r="CC20" i="2"/>
  <c r="O108" i="2"/>
  <c r="B108" i="2"/>
  <c r="O309" i="30"/>
  <c r="P107" i="30"/>
  <c r="P106" i="30"/>
  <c r="AF36" i="30"/>
  <c r="AF35" i="30"/>
  <c r="O108" i="30" s="1"/>
  <c r="AE32" i="30"/>
  <c r="AE31" i="30"/>
  <c r="AP30" i="30"/>
  <c r="AE30" i="30"/>
  <c r="AE29" i="30"/>
  <c r="AF26" i="30"/>
  <c r="AF25" i="30"/>
  <c r="AF24" i="30"/>
  <c r="AF23" i="30"/>
  <c r="AF21" i="30"/>
  <c r="AF20" i="30"/>
  <c r="BM16" i="30"/>
  <c r="CC5" i="30" s="1"/>
  <c r="BM14" i="30"/>
  <c r="CC18" i="30" s="1"/>
  <c r="M43" i="30"/>
  <c r="L43" i="30"/>
  <c r="K43" i="30"/>
  <c r="J43" i="30"/>
  <c r="M42" i="30"/>
  <c r="L42" i="30"/>
  <c r="K42" i="30"/>
  <c r="J42" i="30"/>
  <c r="M41" i="30"/>
  <c r="L41" i="30"/>
  <c r="K41" i="30"/>
  <c r="J41" i="30"/>
  <c r="O49" i="30"/>
  <c r="M40" i="30"/>
  <c r="L40" i="30"/>
  <c r="K40" i="30"/>
  <c r="J40" i="30"/>
  <c r="M39" i="30"/>
  <c r="L39" i="30"/>
  <c r="K39" i="30"/>
  <c r="J39" i="30"/>
  <c r="M38" i="30"/>
  <c r="L38" i="30"/>
  <c r="K38" i="30"/>
  <c r="J38" i="30"/>
  <c r="O3" i="30"/>
  <c r="R6" i="30"/>
  <c r="B16" i="30"/>
  <c r="O2" i="30"/>
  <c r="H41" i="14"/>
  <c r="H37" i="14"/>
  <c r="H33" i="14"/>
  <c r="H29" i="14"/>
  <c r="H25" i="14"/>
  <c r="H21" i="14"/>
  <c r="H17" i="14"/>
  <c r="H13" i="14"/>
  <c r="H9" i="14"/>
  <c r="H5" i="14"/>
  <c r="E41" i="14"/>
  <c r="E37" i="14"/>
  <c r="E33" i="14"/>
  <c r="E29" i="14"/>
  <c r="E25" i="14"/>
  <c r="E21" i="14"/>
  <c r="E17" i="14"/>
  <c r="E13" i="14"/>
  <c r="E9" i="14"/>
  <c r="E5" i="14"/>
  <c r="BG7" i="9" l="1"/>
  <c r="BG9" i="9"/>
  <c r="BG11" i="9"/>
  <c r="S61" i="14"/>
  <c r="BG10" i="9"/>
  <c r="BG8" i="9"/>
  <c r="BG5" i="9"/>
  <c r="BG6" i="9"/>
  <c r="BG4" i="9"/>
  <c r="BG3" i="9"/>
  <c r="BG2" i="9"/>
  <c r="O7" i="25"/>
  <c r="B100" i="23"/>
  <c r="P95" i="23"/>
  <c r="Q95" i="23"/>
  <c r="P95" i="2"/>
  <c r="B100" i="2"/>
  <c r="O8" i="22"/>
  <c r="F40" i="14"/>
  <c r="F36" i="14"/>
  <c r="B19" i="22"/>
  <c r="I43" i="22"/>
  <c r="B15" i="22"/>
  <c r="O7" i="22"/>
  <c r="F32" i="14"/>
  <c r="I39" i="22"/>
  <c r="F28" i="14"/>
  <c r="I40" i="22"/>
  <c r="F24" i="14"/>
  <c r="F16" i="14"/>
  <c r="I42" i="22"/>
  <c r="F12" i="14"/>
  <c r="B17" i="22"/>
  <c r="S62" i="14"/>
  <c r="Q11" i="21"/>
  <c r="O81" i="21" s="1"/>
  <c r="S60" i="14"/>
  <c r="S56" i="14"/>
  <c r="S59" i="14"/>
  <c r="S58" i="14"/>
  <c r="S57" i="14"/>
  <c r="S55" i="14"/>
  <c r="B17" i="23"/>
  <c r="O7" i="21"/>
  <c r="O76" i="22"/>
  <c r="B18" i="22"/>
  <c r="B17" i="21"/>
  <c r="I38" i="22"/>
  <c r="I42" i="21"/>
  <c r="B19" i="21"/>
  <c r="I43" i="21"/>
  <c r="I41" i="21"/>
  <c r="B18" i="21"/>
  <c r="B15" i="21"/>
  <c r="O8" i="21"/>
  <c r="S16" i="21"/>
  <c r="S15" i="21"/>
  <c r="I38" i="21"/>
  <c r="O76" i="21"/>
  <c r="O80" i="21"/>
  <c r="O106" i="21"/>
  <c r="O105" i="21"/>
  <c r="P104" i="21"/>
  <c r="O103" i="21"/>
  <c r="B102" i="21"/>
  <c r="B106" i="21"/>
  <c r="B105" i="21"/>
  <c r="O104" i="21"/>
  <c r="O107" i="21"/>
  <c r="B104" i="21"/>
  <c r="P103" i="21"/>
  <c r="B107" i="21"/>
  <c r="P105" i="21"/>
  <c r="O12" i="21"/>
  <c r="I40" i="21"/>
  <c r="I39" i="23"/>
  <c r="S15" i="22"/>
  <c r="S16" i="22"/>
  <c r="Q11" i="22"/>
  <c r="Q12" i="22"/>
  <c r="O12" i="22" s="1"/>
  <c r="O95" i="22" s="1"/>
  <c r="O80" i="22"/>
  <c r="O107" i="22"/>
  <c r="B104" i="22"/>
  <c r="B107" i="22"/>
  <c r="P105" i="22"/>
  <c r="P103" i="22"/>
  <c r="O104" i="22"/>
  <c r="O106" i="22"/>
  <c r="O105" i="22"/>
  <c r="O103" i="22"/>
  <c r="B105" i="22"/>
  <c r="P104" i="22"/>
  <c r="B102" i="22"/>
  <c r="B106" i="22"/>
  <c r="I40" i="23"/>
  <c r="O80" i="23"/>
  <c r="S16" i="23"/>
  <c r="S15" i="23"/>
  <c r="Q11" i="23"/>
  <c r="I39" i="24"/>
  <c r="B106" i="23"/>
  <c r="B105" i="23"/>
  <c r="O104" i="23"/>
  <c r="O107" i="23"/>
  <c r="B104" i="23"/>
  <c r="P104" i="23"/>
  <c r="O103" i="23"/>
  <c r="B102" i="23"/>
  <c r="B107" i="23"/>
  <c r="P105" i="23"/>
  <c r="O106" i="23"/>
  <c r="O105" i="23"/>
  <c r="P103" i="23"/>
  <c r="I43" i="23"/>
  <c r="B18" i="23"/>
  <c r="I42" i="23"/>
  <c r="I41" i="23"/>
  <c r="B15" i="23"/>
  <c r="O8" i="23"/>
  <c r="I38" i="23"/>
  <c r="B19" i="23"/>
  <c r="O7" i="24"/>
  <c r="O76" i="23"/>
  <c r="O12" i="23"/>
  <c r="O95" i="23" s="1"/>
  <c r="O80" i="24"/>
  <c r="S15" i="24"/>
  <c r="S16" i="24"/>
  <c r="O76" i="25"/>
  <c r="R103" i="24"/>
  <c r="O81" i="24"/>
  <c r="I40" i="24"/>
  <c r="Q12" i="24"/>
  <c r="R330" i="24" s="1"/>
  <c r="R331" i="24" s="1"/>
  <c r="B76" i="24"/>
  <c r="O76" i="24"/>
  <c r="S15" i="25"/>
  <c r="P76" i="24"/>
  <c r="R79" i="24" s="1"/>
  <c r="AQ58" i="24" s="1"/>
  <c r="AP58" i="24" s="1"/>
  <c r="B107" i="24"/>
  <c r="P105" i="24"/>
  <c r="P103" i="24"/>
  <c r="O106" i="24"/>
  <c r="O105" i="24"/>
  <c r="P104" i="24"/>
  <c r="O103" i="24"/>
  <c r="B102" i="24"/>
  <c r="O107" i="24"/>
  <c r="O104" i="24"/>
  <c r="B106" i="24"/>
  <c r="B105" i="24"/>
  <c r="B104" i="24"/>
  <c r="B17" i="24"/>
  <c r="B15" i="24"/>
  <c r="I42" i="24"/>
  <c r="I41" i="24"/>
  <c r="B19" i="24"/>
  <c r="I43" i="24"/>
  <c r="O8" i="24"/>
  <c r="B18" i="24"/>
  <c r="O80" i="25"/>
  <c r="S16" i="25"/>
  <c r="B17" i="25"/>
  <c r="I38" i="25"/>
  <c r="O7" i="27"/>
  <c r="Q12" i="25"/>
  <c r="O12" i="25" s="1"/>
  <c r="O95" i="25" s="1"/>
  <c r="Q11" i="25"/>
  <c r="B106" i="25"/>
  <c r="B105" i="25"/>
  <c r="O104" i="25"/>
  <c r="O107" i="25"/>
  <c r="B104" i="25"/>
  <c r="P104" i="25"/>
  <c r="O103" i="25"/>
  <c r="B102" i="25"/>
  <c r="B107" i="25"/>
  <c r="P105" i="25"/>
  <c r="O105" i="25"/>
  <c r="O106" i="25"/>
  <c r="P103" i="25"/>
  <c r="I43" i="25"/>
  <c r="B15" i="25"/>
  <c r="O8" i="25"/>
  <c r="I40" i="25"/>
  <c r="B19" i="25"/>
  <c r="B18" i="25"/>
  <c r="I41" i="25"/>
  <c r="I42" i="25"/>
  <c r="S15" i="26"/>
  <c r="Q12" i="27"/>
  <c r="P256" i="27" s="1"/>
  <c r="O80" i="26"/>
  <c r="S16" i="26"/>
  <c r="B107" i="26"/>
  <c r="P105" i="26"/>
  <c r="P103" i="26"/>
  <c r="O106" i="26"/>
  <c r="O105" i="26"/>
  <c r="P104" i="26"/>
  <c r="O103" i="26"/>
  <c r="B102" i="26"/>
  <c r="B106" i="26"/>
  <c r="B105" i="26"/>
  <c r="O104" i="26"/>
  <c r="B104" i="26"/>
  <c r="O107" i="26"/>
  <c r="Q11" i="26"/>
  <c r="Q12" i="26"/>
  <c r="O12" i="26" s="1"/>
  <c r="O95" i="26" s="1"/>
  <c r="I39" i="27"/>
  <c r="B76" i="27"/>
  <c r="B17" i="27"/>
  <c r="I40" i="27"/>
  <c r="S16" i="27"/>
  <c r="S15" i="27"/>
  <c r="R103" i="27"/>
  <c r="I42" i="27"/>
  <c r="I41" i="27"/>
  <c r="B19" i="27"/>
  <c r="I43" i="27"/>
  <c r="B18" i="27"/>
  <c r="B15" i="27"/>
  <c r="O8" i="27"/>
  <c r="O76" i="27"/>
  <c r="O107" i="27"/>
  <c r="B104" i="27"/>
  <c r="B107" i="27"/>
  <c r="P105" i="27"/>
  <c r="P103" i="27"/>
  <c r="O106" i="27"/>
  <c r="O105" i="27"/>
  <c r="P104" i="27"/>
  <c r="O103" i="27"/>
  <c r="B102" i="27"/>
  <c r="B105" i="27"/>
  <c r="O104" i="27"/>
  <c r="B106" i="27"/>
  <c r="P76" i="27"/>
  <c r="O7" i="28"/>
  <c r="R103" i="28"/>
  <c r="P76" i="28"/>
  <c r="B76" i="28"/>
  <c r="O81" i="28"/>
  <c r="I38" i="28"/>
  <c r="S15" i="28"/>
  <c r="S16" i="28"/>
  <c r="B17" i="28"/>
  <c r="B106" i="28"/>
  <c r="B105" i="28"/>
  <c r="O104" i="28"/>
  <c r="O105" i="28"/>
  <c r="B104" i="28"/>
  <c r="P103" i="28"/>
  <c r="O103" i="28"/>
  <c r="O107" i="28"/>
  <c r="P105" i="28"/>
  <c r="B102" i="28"/>
  <c r="B107" i="28"/>
  <c r="O106" i="28"/>
  <c r="P104" i="28"/>
  <c r="Q12" i="28"/>
  <c r="R330" i="28" s="1"/>
  <c r="R331" i="28" s="1"/>
  <c r="B19" i="28"/>
  <c r="B15" i="28"/>
  <c r="I42" i="28"/>
  <c r="I41" i="28"/>
  <c r="B18" i="28"/>
  <c r="I43" i="28"/>
  <c r="O8" i="28"/>
  <c r="O76" i="28"/>
  <c r="I40" i="28"/>
  <c r="F8" i="14"/>
  <c r="F4" i="14"/>
  <c r="B107" i="29"/>
  <c r="O107" i="29"/>
  <c r="B106" i="29"/>
  <c r="O105" i="29"/>
  <c r="B105" i="29"/>
  <c r="B102" i="29"/>
  <c r="O106" i="29"/>
  <c r="Q12" i="2"/>
  <c r="O250" i="2" s="1"/>
  <c r="B104" i="29"/>
  <c r="O103" i="29"/>
  <c r="P103" i="29"/>
  <c r="O104" i="29"/>
  <c r="P104" i="29"/>
  <c r="O7" i="29"/>
  <c r="S54" i="14"/>
  <c r="S53" i="14"/>
  <c r="Q11" i="29"/>
  <c r="Q290" i="29" s="1"/>
  <c r="Q291" i="29" s="1"/>
  <c r="I42" i="29"/>
  <c r="I41" i="29"/>
  <c r="B19" i="29"/>
  <c r="I43" i="29"/>
  <c r="B18" i="29"/>
  <c r="B15" i="29"/>
  <c r="O8" i="29"/>
  <c r="O76" i="29"/>
  <c r="O12" i="29"/>
  <c r="O95" i="29" s="1"/>
  <c r="S16" i="29"/>
  <c r="S15" i="29"/>
  <c r="B17" i="29"/>
  <c r="I38" i="29"/>
  <c r="I39" i="29"/>
  <c r="O81" i="2"/>
  <c r="O7" i="2"/>
  <c r="I40" i="2"/>
  <c r="O106" i="2"/>
  <c r="O105" i="2"/>
  <c r="P104" i="2"/>
  <c r="O103" i="2"/>
  <c r="B102" i="2"/>
  <c r="B106" i="2"/>
  <c r="B105" i="2"/>
  <c r="O104" i="2"/>
  <c r="O107" i="2"/>
  <c r="B104" i="2"/>
  <c r="P103" i="2"/>
  <c r="P105" i="2"/>
  <c r="B107" i="2"/>
  <c r="B17" i="2"/>
  <c r="I38" i="2"/>
  <c r="R103" i="2"/>
  <c r="S16" i="2"/>
  <c r="S15" i="2"/>
  <c r="I42" i="2"/>
  <c r="I41" i="2"/>
  <c r="I43" i="2"/>
  <c r="B19" i="2"/>
  <c r="B18" i="2"/>
  <c r="B15" i="2"/>
  <c r="O8" i="2"/>
  <c r="B76" i="2"/>
  <c r="P76" i="2"/>
  <c r="I39" i="2"/>
  <c r="P2" i="30"/>
  <c r="P3" i="30"/>
  <c r="Q1" i="30"/>
  <c r="O6" i="30"/>
  <c r="O191" i="30"/>
  <c r="O187" i="30"/>
  <c r="P177" i="30"/>
  <c r="P189" i="30"/>
  <c r="P187" i="30"/>
  <c r="O177" i="30"/>
  <c r="B72" i="30"/>
  <c r="AN28" i="30"/>
  <c r="AN27" i="30"/>
  <c r="O47" i="30"/>
  <c r="AF14" i="30"/>
  <c r="AM28" i="30"/>
  <c r="AM27" i="30"/>
  <c r="O48" i="30"/>
  <c r="P191" i="30"/>
  <c r="O72" i="30"/>
  <c r="S23" i="30"/>
  <c r="O51" i="30"/>
  <c r="O46" i="30"/>
  <c r="AS28" i="30"/>
  <c r="B103" i="30"/>
  <c r="S19" i="30"/>
  <c r="P1" i="30"/>
  <c r="S11" i="30"/>
  <c r="AS27" i="30"/>
  <c r="CC110" i="30"/>
  <c r="CC78" i="30"/>
  <c r="CC41" i="30"/>
  <c r="CC20" i="30"/>
  <c r="CC109" i="30"/>
  <c r="CC117" i="30"/>
  <c r="CC89" i="30"/>
  <c r="CC77" i="30"/>
  <c r="B108" i="30"/>
  <c r="P108" i="30"/>
  <c r="G41" i="14"/>
  <c r="G37" i="14"/>
  <c r="G33" i="14"/>
  <c r="G29" i="14"/>
  <c r="G25" i="14"/>
  <c r="G21" i="14"/>
  <c r="G17" i="14"/>
  <c r="G13" i="14"/>
  <c r="G9" i="14"/>
  <c r="F41" i="14"/>
  <c r="F37" i="14"/>
  <c r="F33" i="14"/>
  <c r="F29" i="14"/>
  <c r="F25" i="14"/>
  <c r="F21" i="14"/>
  <c r="F17" i="14"/>
  <c r="F13" i="14"/>
  <c r="F9" i="14"/>
  <c r="F5" i="14"/>
  <c r="D29" i="14"/>
  <c r="D41" i="14"/>
  <c r="D37" i="14"/>
  <c r="D33" i="14"/>
  <c r="D25" i="14"/>
  <c r="D21" i="14"/>
  <c r="D17" i="14"/>
  <c r="D13" i="14"/>
  <c r="D9" i="14"/>
  <c r="I40" i="14"/>
  <c r="I36" i="14"/>
  <c r="I32" i="14"/>
  <c r="I28" i="14"/>
  <c r="I24" i="14"/>
  <c r="I20" i="14"/>
  <c r="I16" i="14"/>
  <c r="I12" i="14"/>
  <c r="I8" i="14"/>
  <c r="U53" i="14"/>
  <c r="Z2" i="14"/>
  <c r="O181" i="21" l="1"/>
  <c r="O95" i="21"/>
  <c r="P260" i="27"/>
  <c r="O256" i="27"/>
  <c r="P246" i="2"/>
  <c r="O244" i="2"/>
  <c r="P256" i="2"/>
  <c r="O260" i="27"/>
  <c r="P244" i="27"/>
  <c r="Q240" i="27"/>
  <c r="S240" i="27"/>
  <c r="O244" i="27"/>
  <c r="P242" i="27"/>
  <c r="P258" i="2"/>
  <c r="O244" i="24"/>
  <c r="P242" i="2"/>
  <c r="AK41" i="2"/>
  <c r="O242" i="2"/>
  <c r="O256" i="2"/>
  <c r="O244" i="28"/>
  <c r="O242" i="27"/>
  <c r="P246" i="24"/>
  <c r="P242" i="24"/>
  <c r="AK41" i="24"/>
  <c r="P312" i="24" s="1"/>
  <c r="O258" i="2"/>
  <c r="O252" i="2"/>
  <c r="T259" i="21"/>
  <c r="T260" i="21" s="1"/>
  <c r="P260" i="2"/>
  <c r="P246" i="27"/>
  <c r="O246" i="27"/>
  <c r="O242" i="24"/>
  <c r="P258" i="27"/>
  <c r="P258" i="24"/>
  <c r="O258" i="24"/>
  <c r="P244" i="28"/>
  <c r="Q240" i="28"/>
  <c r="S240" i="28"/>
  <c r="Q240" i="2"/>
  <c r="S240" i="2"/>
  <c r="P244" i="2"/>
  <c r="O250" i="28"/>
  <c r="O246" i="24"/>
  <c r="O250" i="27"/>
  <c r="Q28" i="21"/>
  <c r="O258" i="27"/>
  <c r="P260" i="24"/>
  <c r="O260" i="24"/>
  <c r="T257" i="21"/>
  <c r="T258" i="21" s="1"/>
  <c r="AK41" i="27"/>
  <c r="P312" i="27" s="1"/>
  <c r="Q30" i="21"/>
  <c r="O290" i="21"/>
  <c r="O291" i="21" s="1"/>
  <c r="O330" i="21"/>
  <c r="P256" i="28"/>
  <c r="O256" i="28"/>
  <c r="Q240" i="21"/>
  <c r="Q249" i="21"/>
  <c r="Q255" i="21"/>
  <c r="R259" i="21"/>
  <c r="O258" i="21"/>
  <c r="O282" i="21"/>
  <c r="O283" i="21" s="1"/>
  <c r="O250" i="24"/>
  <c r="Q25" i="21"/>
  <c r="R241" i="21"/>
  <c r="P244" i="21"/>
  <c r="R278" i="21"/>
  <c r="R279" i="21" s="1"/>
  <c r="P330" i="21"/>
  <c r="P331" i="21" s="1"/>
  <c r="O260" i="21"/>
  <c r="AI2" i="21"/>
  <c r="O252" i="21"/>
  <c r="R251" i="21"/>
  <c r="O242" i="21"/>
  <c r="O278" i="21"/>
  <c r="O279" i="21" s="1"/>
  <c r="P290" i="21"/>
  <c r="P291" i="21" s="1"/>
  <c r="O292" i="21"/>
  <c r="O293" i="21" s="1"/>
  <c r="O252" i="28"/>
  <c r="AK41" i="28"/>
  <c r="P312" i="28" s="1"/>
  <c r="P242" i="28"/>
  <c r="O242" i="28"/>
  <c r="O258" i="28"/>
  <c r="O177" i="23"/>
  <c r="P177" i="23"/>
  <c r="O175" i="26"/>
  <c r="Q170" i="26"/>
  <c r="P175" i="26"/>
  <c r="S170" i="26"/>
  <c r="P191" i="22"/>
  <c r="O191" i="22"/>
  <c r="R103" i="21"/>
  <c r="Q29" i="21"/>
  <c r="P256" i="21"/>
  <c r="O244" i="21"/>
  <c r="P246" i="21"/>
  <c r="S241" i="21"/>
  <c r="P260" i="21"/>
  <c r="S240" i="21"/>
  <c r="T245" i="21"/>
  <c r="T246" i="21" s="1"/>
  <c r="P288" i="21"/>
  <c r="P289" i="21" s="1"/>
  <c r="S243" i="21"/>
  <c r="O250" i="21"/>
  <c r="P292" i="21"/>
  <c r="P293" i="21" s="1"/>
  <c r="S259" i="21"/>
  <c r="S278" i="21"/>
  <c r="S279" i="21" s="1"/>
  <c r="S290" i="21"/>
  <c r="S291" i="21" s="1"/>
  <c r="T255" i="21"/>
  <c r="T256" i="21" s="1"/>
  <c r="P274" i="21"/>
  <c r="P275" i="21" s="1"/>
  <c r="R292" i="21"/>
  <c r="R293" i="21" s="1"/>
  <c r="O256" i="21"/>
  <c r="Q274" i="21"/>
  <c r="Q275" i="21" s="1"/>
  <c r="O288" i="21"/>
  <c r="O289" i="21" s="1"/>
  <c r="S292" i="21"/>
  <c r="S293" i="21" s="1"/>
  <c r="B76" i="21"/>
  <c r="T243" i="21"/>
  <c r="T244" i="21" s="1"/>
  <c r="AK41" i="21"/>
  <c r="P312" i="21" s="1"/>
  <c r="P311" i="21"/>
  <c r="S245" i="21"/>
  <c r="R249" i="21"/>
  <c r="Q243" i="21"/>
  <c r="Q244" i="21" s="1"/>
  <c r="R290" i="21"/>
  <c r="R291" i="21" s="1"/>
  <c r="T241" i="21"/>
  <c r="T242" i="21" s="1"/>
  <c r="T249" i="21"/>
  <c r="T250" i="21" s="1"/>
  <c r="S330" i="21"/>
  <c r="S331" i="21" s="1"/>
  <c r="Q245" i="21"/>
  <c r="T251" i="21"/>
  <c r="T252" i="21" s="1"/>
  <c r="S255" i="21"/>
  <c r="O274" i="21"/>
  <c r="O275" i="21" s="1"/>
  <c r="O284" i="21"/>
  <c r="O285" i="21" s="1"/>
  <c r="Q292" i="21"/>
  <c r="Q293" i="21" s="1"/>
  <c r="R257" i="21"/>
  <c r="P278" i="21"/>
  <c r="P279" i="21" s="1"/>
  <c r="R311" i="21"/>
  <c r="S257" i="21"/>
  <c r="O276" i="21"/>
  <c r="O277" i="21" s="1"/>
  <c r="S288" i="21"/>
  <c r="S289" i="21" s="1"/>
  <c r="S311" i="21"/>
  <c r="P76" i="21"/>
  <c r="R80" i="21" s="1"/>
  <c r="AQ59" i="21" s="1"/>
  <c r="AP59" i="21" s="1"/>
  <c r="Q24" i="21"/>
  <c r="R245" i="21"/>
  <c r="P242" i="21"/>
  <c r="R274" i="21"/>
  <c r="R275" i="21" s="1"/>
  <c r="Q251" i="21"/>
  <c r="Q252" i="21" s="1"/>
  <c r="S249" i="21"/>
  <c r="R243" i="21"/>
  <c r="R244" i="21" s="1"/>
  <c r="S251" i="21"/>
  <c r="Q241" i="21"/>
  <c r="Q242" i="21" s="1"/>
  <c r="O246" i="21"/>
  <c r="R255" i="21"/>
  <c r="Q257" i="21"/>
  <c r="Q258" i="21" s="1"/>
  <c r="S274" i="21"/>
  <c r="S275" i="21" s="1"/>
  <c r="Q288" i="21"/>
  <c r="Q289" i="21" s="1"/>
  <c r="Q311" i="21"/>
  <c r="P258" i="21"/>
  <c r="R288" i="21"/>
  <c r="R289" i="21" s="1"/>
  <c r="Q330" i="21"/>
  <c r="Q331" i="21" s="1"/>
  <c r="Q259" i="21"/>
  <c r="Q278" i="21"/>
  <c r="Q279" i="21" s="1"/>
  <c r="Q290" i="21"/>
  <c r="Q291" i="21" s="1"/>
  <c r="R330" i="21"/>
  <c r="R331" i="21" s="1"/>
  <c r="O256" i="24"/>
  <c r="P256" i="24"/>
  <c r="P187" i="22"/>
  <c r="O12" i="24"/>
  <c r="P246" i="28"/>
  <c r="P244" i="24"/>
  <c r="S240" i="24"/>
  <c r="Q240" i="24"/>
  <c r="P177" i="21"/>
  <c r="O177" i="21"/>
  <c r="P187" i="26"/>
  <c r="O177" i="22"/>
  <c r="P177" i="22"/>
  <c r="P187" i="21"/>
  <c r="O181" i="25"/>
  <c r="O309" i="25"/>
  <c r="P309" i="25" s="1"/>
  <c r="P173" i="25"/>
  <c r="O309" i="23"/>
  <c r="P309" i="23" s="1"/>
  <c r="P173" i="23"/>
  <c r="O177" i="29"/>
  <c r="P177" i="29"/>
  <c r="Q170" i="23"/>
  <c r="P175" i="23"/>
  <c r="S170" i="23"/>
  <c r="O175" i="23"/>
  <c r="O252" i="24"/>
  <c r="O191" i="21"/>
  <c r="P191" i="21"/>
  <c r="P187" i="23"/>
  <c r="O50" i="21"/>
  <c r="P189" i="21"/>
  <c r="P189" i="22"/>
  <c r="P6" i="21"/>
  <c r="R113" i="21" s="1"/>
  <c r="P290" i="24"/>
  <c r="P291" i="24" s="1"/>
  <c r="T243" i="24"/>
  <c r="T244" i="24" s="1"/>
  <c r="P175" i="22"/>
  <c r="O175" i="22"/>
  <c r="S170" i="22"/>
  <c r="Q170" i="22"/>
  <c r="P6" i="23"/>
  <c r="AI3" i="23" s="1"/>
  <c r="O181" i="23"/>
  <c r="Q28" i="24"/>
  <c r="O309" i="22"/>
  <c r="P309" i="22" s="1"/>
  <c r="P173" i="22"/>
  <c r="P175" i="21"/>
  <c r="Q170" i="21"/>
  <c r="S170" i="21"/>
  <c r="O175" i="21"/>
  <c r="P187" i="25"/>
  <c r="P191" i="25"/>
  <c r="O191" i="25"/>
  <c r="O288" i="24"/>
  <c r="O289" i="24" s="1"/>
  <c r="S251" i="24"/>
  <c r="S255" i="24"/>
  <c r="P6" i="22"/>
  <c r="AI3" i="22" s="1"/>
  <c r="O181" i="22"/>
  <c r="AI1" i="21"/>
  <c r="S327" i="21"/>
  <c r="S328" i="21" s="1"/>
  <c r="R327" i="21"/>
  <c r="R328" i="21" s="1"/>
  <c r="Q327" i="21"/>
  <c r="Q328" i="21" s="1"/>
  <c r="R225" i="21"/>
  <c r="R226" i="21" s="1"/>
  <c r="P217" i="21"/>
  <c r="P218" i="21" s="1"/>
  <c r="P207" i="21"/>
  <c r="P208" i="21" s="1"/>
  <c r="Q308" i="21"/>
  <c r="S211" i="21"/>
  <c r="S212" i="21" s="1"/>
  <c r="Q190" i="21"/>
  <c r="P215" i="21"/>
  <c r="P216" i="21" s="1"/>
  <c r="R182" i="21"/>
  <c r="Q176" i="21"/>
  <c r="Q177" i="21" s="1"/>
  <c r="AL167" i="21"/>
  <c r="Q211" i="21"/>
  <c r="Q212" i="21" s="1"/>
  <c r="Q182" i="21"/>
  <c r="R174" i="21"/>
  <c r="R207" i="21"/>
  <c r="R208" i="21" s="1"/>
  <c r="T182" i="21"/>
  <c r="T183" i="21" s="1"/>
  <c r="Q180" i="21"/>
  <c r="Q181" i="21" s="1"/>
  <c r="B123" i="21"/>
  <c r="P173" i="21"/>
  <c r="O30" i="21"/>
  <c r="AL180" i="21"/>
  <c r="O34" i="21"/>
  <c r="O35" i="21"/>
  <c r="P308" i="21"/>
  <c r="Q172" i="21"/>
  <c r="P209" i="21"/>
  <c r="P210" i="21" s="1"/>
  <c r="S176" i="21"/>
  <c r="Q188" i="21"/>
  <c r="O31" i="21"/>
  <c r="P327" i="21"/>
  <c r="P328" i="21" s="1"/>
  <c r="O327" i="21"/>
  <c r="T223" i="21"/>
  <c r="T224" i="21" s="1"/>
  <c r="T211" i="21"/>
  <c r="T212" i="21" s="1"/>
  <c r="R186" i="21"/>
  <c r="Q225" i="21"/>
  <c r="Q226" i="21" s="1"/>
  <c r="S207" i="21"/>
  <c r="S208" i="21" s="1"/>
  <c r="S188" i="21"/>
  <c r="P225" i="21"/>
  <c r="P226" i="21" s="1"/>
  <c r="R211" i="21"/>
  <c r="R212" i="21" s="1"/>
  <c r="T180" i="21"/>
  <c r="T181" i="21" s="1"/>
  <c r="S174" i="21"/>
  <c r="AL155" i="21"/>
  <c r="S190" i="21"/>
  <c r="S180" i="21"/>
  <c r="T172" i="21"/>
  <c r="T173" i="21" s="1"/>
  <c r="T225" i="21"/>
  <c r="T226" i="21" s="1"/>
  <c r="Q174" i="21"/>
  <c r="S186" i="21"/>
  <c r="Q207" i="21"/>
  <c r="Q208" i="21" s="1"/>
  <c r="T174" i="21"/>
  <c r="T175" i="21" s="1"/>
  <c r="O29" i="21"/>
  <c r="AL156" i="21"/>
  <c r="O28" i="21"/>
  <c r="O309" i="21"/>
  <c r="P309" i="21" s="1"/>
  <c r="P223" i="21"/>
  <c r="P224" i="21" s="1"/>
  <c r="P211" i="21"/>
  <c r="P212" i="21" s="1"/>
  <c r="R190" i="21"/>
  <c r="S223" i="21"/>
  <c r="S224" i="21" s="1"/>
  <c r="R223" i="21"/>
  <c r="R224" i="21" s="1"/>
  <c r="T190" i="21"/>
  <c r="T191" i="21" s="1"/>
  <c r="AL179" i="21"/>
  <c r="Q223" i="21"/>
  <c r="Q224" i="21" s="1"/>
  <c r="T176" i="21"/>
  <c r="T177" i="21" s="1"/>
  <c r="P221" i="21"/>
  <c r="P222" i="21" s="1"/>
  <c r="R188" i="21"/>
  <c r="R180" i="21"/>
  <c r="S172" i="21"/>
  <c r="S225" i="21"/>
  <c r="S226" i="21" s="1"/>
  <c r="AL168" i="21"/>
  <c r="S182" i="21"/>
  <c r="R172" i="21"/>
  <c r="O33" i="21"/>
  <c r="S308" i="21"/>
  <c r="S309" i="21" s="1"/>
  <c r="R308" i="21"/>
  <c r="R221" i="21"/>
  <c r="R222" i="21" s="1"/>
  <c r="T207" i="21"/>
  <c r="T208" i="21" s="1"/>
  <c r="T188" i="21"/>
  <c r="T189" i="21" s="1"/>
  <c r="Q221" i="21"/>
  <c r="Q222" i="21" s="1"/>
  <c r="Q186" i="21"/>
  <c r="T221" i="21"/>
  <c r="T222" i="21" s="1"/>
  <c r="S221" i="21"/>
  <c r="S222" i="21" s="1"/>
  <c r="T186" i="21"/>
  <c r="T187" i="21" s="1"/>
  <c r="R176" i="21"/>
  <c r="O32" i="21"/>
  <c r="R292" i="24"/>
  <c r="R293" i="24" s="1"/>
  <c r="S249" i="24"/>
  <c r="T251" i="24"/>
  <c r="T252" i="24" s="1"/>
  <c r="S292" i="24"/>
  <c r="S293" i="24" s="1"/>
  <c r="P274" i="24"/>
  <c r="P275" i="24" s="1"/>
  <c r="S241" i="24"/>
  <c r="Q330" i="22"/>
  <c r="Q331" i="22" s="1"/>
  <c r="R311" i="22"/>
  <c r="R292" i="22"/>
  <c r="R293" i="22" s="1"/>
  <c r="P290" i="22"/>
  <c r="P291" i="22" s="1"/>
  <c r="R288" i="22"/>
  <c r="R289" i="22" s="1"/>
  <c r="P278" i="22"/>
  <c r="P279" i="22" s="1"/>
  <c r="P274" i="22"/>
  <c r="P275" i="22" s="1"/>
  <c r="T259" i="22"/>
  <c r="T260" i="22" s="1"/>
  <c r="P258" i="22"/>
  <c r="R257" i="22"/>
  <c r="T255" i="22"/>
  <c r="T256" i="22" s="1"/>
  <c r="P330" i="22"/>
  <c r="P331" i="22" s="1"/>
  <c r="Q311" i="22"/>
  <c r="Q292" i="22"/>
  <c r="Q293" i="22" s="1"/>
  <c r="S290" i="22"/>
  <c r="S291" i="22" s="1"/>
  <c r="O290" i="22"/>
  <c r="O291" i="22" s="1"/>
  <c r="Q288" i="22"/>
  <c r="Q289" i="22" s="1"/>
  <c r="O284" i="22"/>
  <c r="O285" i="22" s="1"/>
  <c r="S278" i="22"/>
  <c r="S279" i="22" s="1"/>
  <c r="O278" i="22"/>
  <c r="O279" i="22" s="1"/>
  <c r="S274" i="22"/>
  <c r="S275" i="22" s="1"/>
  <c r="O274" i="22"/>
  <c r="O275" i="22" s="1"/>
  <c r="S259" i="22"/>
  <c r="O258" i="22"/>
  <c r="Q257" i="22"/>
  <c r="R330" i="22"/>
  <c r="R331" i="22" s="1"/>
  <c r="S292" i="22"/>
  <c r="S293" i="22" s="1"/>
  <c r="O288" i="22"/>
  <c r="O289" i="22" s="1"/>
  <c r="O276" i="22"/>
  <c r="O277" i="22" s="1"/>
  <c r="Q274" i="22"/>
  <c r="Q275" i="22" s="1"/>
  <c r="Q259" i="22"/>
  <c r="S257" i="22"/>
  <c r="P256" i="22"/>
  <c r="Q255" i="22"/>
  <c r="T251" i="22"/>
  <c r="T252" i="22" s="1"/>
  <c r="O250" i="22"/>
  <c r="Q249" i="22"/>
  <c r="O246" i="22"/>
  <c r="Q245" i="22"/>
  <c r="S243" i="22"/>
  <c r="O242" i="22"/>
  <c r="Q241" i="22"/>
  <c r="O330" i="22"/>
  <c r="O331" i="22" s="1"/>
  <c r="P292" i="22"/>
  <c r="P293" i="22" s="1"/>
  <c r="R290" i="22"/>
  <c r="R291" i="22" s="1"/>
  <c r="R278" i="22"/>
  <c r="R279" i="22" s="1"/>
  <c r="P260" i="22"/>
  <c r="O256" i="22"/>
  <c r="S251" i="22"/>
  <c r="T249" i="22"/>
  <c r="T250" i="22" s="1"/>
  <c r="T245" i="22"/>
  <c r="T246" i="22" s="1"/>
  <c r="P244" i="22"/>
  <c r="R243" i="22"/>
  <c r="T241" i="22"/>
  <c r="T242" i="22" s="1"/>
  <c r="S240" i="22"/>
  <c r="O292" i="22"/>
  <c r="O293" i="22" s="1"/>
  <c r="S288" i="22"/>
  <c r="S289" i="22" s="1"/>
  <c r="Q278" i="22"/>
  <c r="Q279" i="22" s="1"/>
  <c r="S255" i="22"/>
  <c r="R251" i="22"/>
  <c r="S249" i="22"/>
  <c r="Q243" i="22"/>
  <c r="S241" i="22"/>
  <c r="S330" i="22"/>
  <c r="S331" i="22" s="1"/>
  <c r="P288" i="22"/>
  <c r="P289" i="22" s="1"/>
  <c r="T257" i="22"/>
  <c r="T258" i="22" s="1"/>
  <c r="R255" i="22"/>
  <c r="R256" i="22" s="1"/>
  <c r="Q251" i="22"/>
  <c r="R249" i="22"/>
  <c r="P246" i="22"/>
  <c r="R241" i="22"/>
  <c r="Q290" i="22"/>
  <c r="Q291" i="22" s="1"/>
  <c r="O260" i="22"/>
  <c r="O244" i="22"/>
  <c r="Q240" i="22"/>
  <c r="R274" i="22"/>
  <c r="R275" i="22" s="1"/>
  <c r="R259" i="22"/>
  <c r="T243" i="22"/>
  <c r="T244" i="22" s="1"/>
  <c r="O282" i="22"/>
  <c r="O283" i="22" s="1"/>
  <c r="S245" i="22"/>
  <c r="O252" i="22"/>
  <c r="R245" i="22"/>
  <c r="Q30" i="22"/>
  <c r="S311" i="22"/>
  <c r="P311" i="22"/>
  <c r="Q29" i="22"/>
  <c r="Q28" i="22"/>
  <c r="AI2" i="22"/>
  <c r="P242" i="22"/>
  <c r="R103" i="22"/>
  <c r="Q25" i="22"/>
  <c r="P76" i="22"/>
  <c r="AK41" i="22"/>
  <c r="P312" i="22" s="1"/>
  <c r="Q24" i="22"/>
  <c r="B76" i="22"/>
  <c r="O81" i="22"/>
  <c r="P189" i="23"/>
  <c r="AI1" i="22"/>
  <c r="O30" i="22"/>
  <c r="O29" i="22"/>
  <c r="S186" i="22"/>
  <c r="O31" i="22"/>
  <c r="P308" i="22"/>
  <c r="R221" i="22"/>
  <c r="R222" i="22" s="1"/>
  <c r="T207" i="22"/>
  <c r="T208" i="22" s="1"/>
  <c r="Q221" i="22"/>
  <c r="Q222" i="22" s="1"/>
  <c r="P215" i="22"/>
  <c r="P216" i="22" s="1"/>
  <c r="R190" i="22"/>
  <c r="Q308" i="22"/>
  <c r="R180" i="22"/>
  <c r="S172" i="22"/>
  <c r="T190" i="22"/>
  <c r="T191" i="22" s="1"/>
  <c r="R176" i="22"/>
  <c r="B123" i="22"/>
  <c r="S174" i="22"/>
  <c r="S207" i="22"/>
  <c r="S208" i="22" s="1"/>
  <c r="Q172" i="22"/>
  <c r="O32" i="22"/>
  <c r="T186" i="22"/>
  <c r="T187" i="22" s="1"/>
  <c r="S225" i="22"/>
  <c r="S226" i="22" s="1"/>
  <c r="Q211" i="22"/>
  <c r="Q212" i="22" s="1"/>
  <c r="AL156" i="22"/>
  <c r="Q176" i="22"/>
  <c r="O34" i="22"/>
  <c r="AL168" i="22"/>
  <c r="R159" i="22" s="1"/>
  <c r="S308" i="22"/>
  <c r="R308" i="22"/>
  <c r="R225" i="22"/>
  <c r="R226" i="22" s="1"/>
  <c r="P217" i="22"/>
  <c r="P218" i="22" s="1"/>
  <c r="P207" i="22"/>
  <c r="P208" i="22" s="1"/>
  <c r="S211" i="22"/>
  <c r="S212" i="22" s="1"/>
  <c r="P225" i="22"/>
  <c r="P226" i="22" s="1"/>
  <c r="R211" i="22"/>
  <c r="R212" i="22" s="1"/>
  <c r="T188" i="22"/>
  <c r="T189" i="22" s="1"/>
  <c r="Q182" i="22"/>
  <c r="R174" i="22"/>
  <c r="Q223" i="22"/>
  <c r="Q224" i="22" s="1"/>
  <c r="Q186" i="22"/>
  <c r="S176" i="22"/>
  <c r="T174" i="22"/>
  <c r="T175" i="22" s="1"/>
  <c r="R182" i="22"/>
  <c r="Q180" i="22"/>
  <c r="Q181" i="22" s="1"/>
  <c r="AL179" i="22"/>
  <c r="T158" i="22" s="1"/>
  <c r="O327" i="22"/>
  <c r="P211" i="22"/>
  <c r="P212" i="22" s="1"/>
  <c r="S223" i="22"/>
  <c r="S224" i="22" s="1"/>
  <c r="T221" i="22"/>
  <c r="T222" i="22" s="1"/>
  <c r="T176" i="22"/>
  <c r="T177" i="22" s="1"/>
  <c r="S188" i="22"/>
  <c r="P209" i="22"/>
  <c r="P210" i="22" s="1"/>
  <c r="R172" i="22"/>
  <c r="S327" i="22"/>
  <c r="S328" i="22" s="1"/>
  <c r="R327" i="22"/>
  <c r="R328" i="22" s="1"/>
  <c r="T223" i="22"/>
  <c r="T224" i="22" s="1"/>
  <c r="T211" i="22"/>
  <c r="T212" i="22" s="1"/>
  <c r="Q327" i="22"/>
  <c r="Q328" i="22" s="1"/>
  <c r="Q225" i="22"/>
  <c r="Q226" i="22" s="1"/>
  <c r="P327" i="22"/>
  <c r="P328" i="22" s="1"/>
  <c r="R223" i="22"/>
  <c r="R224" i="22" s="1"/>
  <c r="Q207" i="22"/>
  <c r="Q208" i="22" s="1"/>
  <c r="S180" i="22"/>
  <c r="T172" i="22"/>
  <c r="T173" i="22" s="1"/>
  <c r="S221" i="22"/>
  <c r="S222" i="22" s="1"/>
  <c r="Q190" i="22"/>
  <c r="T182" i="22"/>
  <c r="T183" i="22" s="1"/>
  <c r="P221" i="22"/>
  <c r="P222" i="22" s="1"/>
  <c r="S182" i="22"/>
  <c r="T180" i="22"/>
  <c r="T181" i="22" s="1"/>
  <c r="AL155" i="22"/>
  <c r="R188" i="22"/>
  <c r="O28" i="22"/>
  <c r="R207" i="22"/>
  <c r="R208" i="22" s="1"/>
  <c r="O35" i="22"/>
  <c r="O33" i="22"/>
  <c r="P223" i="22"/>
  <c r="P224" i="22" s="1"/>
  <c r="R186" i="22"/>
  <c r="Q174" i="22"/>
  <c r="Q175" i="22" s="1"/>
  <c r="AL180" i="22"/>
  <c r="S190" i="22"/>
  <c r="Q188" i="22"/>
  <c r="T225" i="22"/>
  <c r="T226" i="22" s="1"/>
  <c r="O50" i="22"/>
  <c r="AL167" i="22"/>
  <c r="R158" i="22" s="1"/>
  <c r="Q255" i="24"/>
  <c r="Q256" i="24" s="1"/>
  <c r="O246" i="28"/>
  <c r="P191" i="26"/>
  <c r="O191" i="26"/>
  <c r="R76" i="24"/>
  <c r="AQ55" i="24" s="1"/>
  <c r="AP55" i="24" s="1"/>
  <c r="AI1" i="23"/>
  <c r="P191" i="23"/>
  <c r="O191" i="23"/>
  <c r="S311" i="23"/>
  <c r="S288" i="23"/>
  <c r="S289" i="23" s="1"/>
  <c r="O276" i="23"/>
  <c r="O277" i="23" s="1"/>
  <c r="S257" i="23"/>
  <c r="R311" i="23"/>
  <c r="P278" i="23"/>
  <c r="P279" i="23" s="1"/>
  <c r="R257" i="23"/>
  <c r="Q292" i="23"/>
  <c r="Q293" i="23" s="1"/>
  <c r="O284" i="23"/>
  <c r="O285" i="23" s="1"/>
  <c r="O274" i="23"/>
  <c r="O275" i="23" s="1"/>
  <c r="S255" i="23"/>
  <c r="S251" i="23"/>
  <c r="R243" i="23"/>
  <c r="P288" i="23"/>
  <c r="P289" i="23" s="1"/>
  <c r="S245" i="23"/>
  <c r="Q240" i="23"/>
  <c r="R249" i="23"/>
  <c r="R259" i="23"/>
  <c r="O330" i="23"/>
  <c r="T243" i="23"/>
  <c r="T244" i="23" s="1"/>
  <c r="P256" i="23"/>
  <c r="B76" i="23"/>
  <c r="S292" i="23"/>
  <c r="S293" i="23" s="1"/>
  <c r="O288" i="23"/>
  <c r="O289" i="23" s="1"/>
  <c r="Q274" i="23"/>
  <c r="Q275" i="23" s="1"/>
  <c r="O256" i="23"/>
  <c r="R292" i="23"/>
  <c r="R293" i="23" s="1"/>
  <c r="P274" i="23"/>
  <c r="P275" i="23" s="1"/>
  <c r="T255" i="23"/>
  <c r="T256" i="23" s="1"/>
  <c r="S290" i="23"/>
  <c r="S291" i="23" s="1"/>
  <c r="S278" i="23"/>
  <c r="S279" i="23" s="1"/>
  <c r="S259" i="23"/>
  <c r="P292" i="23"/>
  <c r="P293" i="23" s="1"/>
  <c r="T249" i="23"/>
  <c r="T250" i="23" s="1"/>
  <c r="T241" i="23"/>
  <c r="T242" i="23" s="1"/>
  <c r="T257" i="23"/>
  <c r="T258" i="23" s="1"/>
  <c r="O244" i="23"/>
  <c r="R290" i="23"/>
  <c r="R291" i="23" s="1"/>
  <c r="P246" i="23"/>
  <c r="Q249" i="23"/>
  <c r="P242" i="23"/>
  <c r="T251" i="23"/>
  <c r="T252" i="23" s="1"/>
  <c r="Q30" i="23"/>
  <c r="O250" i="23"/>
  <c r="P76" i="23"/>
  <c r="O81" i="23"/>
  <c r="Q311" i="23"/>
  <c r="S274" i="23"/>
  <c r="S275" i="23" s="1"/>
  <c r="R255" i="23"/>
  <c r="S330" i="23"/>
  <c r="S331" i="23" s="1"/>
  <c r="S241" i="23"/>
  <c r="R274" i="23"/>
  <c r="R275" i="23" s="1"/>
  <c r="R245" i="23"/>
  <c r="P311" i="23"/>
  <c r="Q28" i="23"/>
  <c r="O292" i="23"/>
  <c r="O293" i="23" s="1"/>
  <c r="O282" i="23"/>
  <c r="O283" i="23" s="1"/>
  <c r="O260" i="23"/>
  <c r="Q255" i="23"/>
  <c r="P290" i="23"/>
  <c r="P291" i="23" s="1"/>
  <c r="T259" i="23"/>
  <c r="T260" i="23" s="1"/>
  <c r="P330" i="23"/>
  <c r="P331" i="23" s="1"/>
  <c r="O290" i="23"/>
  <c r="O291" i="23" s="1"/>
  <c r="O278" i="23"/>
  <c r="O279" i="23" s="1"/>
  <c r="O258" i="23"/>
  <c r="R278" i="23"/>
  <c r="R279" i="23" s="1"/>
  <c r="T245" i="23"/>
  <c r="T246" i="23" s="1"/>
  <c r="S240" i="23"/>
  <c r="R251" i="23"/>
  <c r="Q243" i="23"/>
  <c r="Q244" i="23" s="1"/>
  <c r="P260" i="23"/>
  <c r="R241" i="23"/>
  <c r="O246" i="23"/>
  <c r="O252" i="23"/>
  <c r="O242" i="23"/>
  <c r="Q245" i="23"/>
  <c r="Q29" i="23"/>
  <c r="R103" i="23"/>
  <c r="R330" i="23"/>
  <c r="R331" i="23" s="1"/>
  <c r="Q290" i="23"/>
  <c r="Q291" i="23" s="1"/>
  <c r="Q278" i="23"/>
  <c r="Q279" i="23" s="1"/>
  <c r="Q259" i="23"/>
  <c r="Q260" i="23" s="1"/>
  <c r="Q330" i="23"/>
  <c r="Q331" i="23" s="1"/>
  <c r="R288" i="23"/>
  <c r="R289" i="23" s="1"/>
  <c r="P258" i="23"/>
  <c r="Q288" i="23"/>
  <c r="Q289" i="23" s="1"/>
  <c r="Q257" i="23"/>
  <c r="P244" i="23"/>
  <c r="S249" i="23"/>
  <c r="Q251" i="23"/>
  <c r="Q241" i="23"/>
  <c r="Q242" i="23" s="1"/>
  <c r="AK41" i="23"/>
  <c r="P312" i="23" s="1"/>
  <c r="AI2" i="23"/>
  <c r="Q25" i="23"/>
  <c r="Q24" i="23"/>
  <c r="S243" i="23"/>
  <c r="O181" i="26"/>
  <c r="O177" i="26"/>
  <c r="P177" i="26"/>
  <c r="AQ45" i="24"/>
  <c r="AP45" i="24" s="1"/>
  <c r="R78" i="24"/>
  <c r="AQ57" i="24" s="1"/>
  <c r="AP57" i="24" s="1"/>
  <c r="R80" i="24"/>
  <c r="AQ59" i="24" s="1"/>
  <c r="AP59" i="24" s="1"/>
  <c r="Q80" i="24"/>
  <c r="AQ54" i="24" s="1"/>
  <c r="AP54" i="24" s="1"/>
  <c r="Q274" i="24"/>
  <c r="Q275" i="24" s="1"/>
  <c r="T255" i="24"/>
  <c r="T256" i="24" s="1"/>
  <c r="O330" i="24"/>
  <c r="R249" i="24"/>
  <c r="R259" i="24"/>
  <c r="O292" i="24"/>
  <c r="O293" i="24" s="1"/>
  <c r="P330" i="24"/>
  <c r="P331" i="24" s="1"/>
  <c r="S330" i="24"/>
  <c r="S331" i="24" s="1"/>
  <c r="S327" i="23"/>
  <c r="S328" i="23" s="1"/>
  <c r="R327" i="23"/>
  <c r="R328" i="23" s="1"/>
  <c r="Q327" i="23"/>
  <c r="Q328" i="23" s="1"/>
  <c r="Q225" i="23"/>
  <c r="Q226" i="23" s="1"/>
  <c r="S207" i="23"/>
  <c r="S208" i="23" s="1"/>
  <c r="S188" i="23"/>
  <c r="R223" i="23"/>
  <c r="R224" i="23" s="1"/>
  <c r="R211" i="23"/>
  <c r="R212" i="23" s="1"/>
  <c r="S221" i="23"/>
  <c r="S222" i="23" s="1"/>
  <c r="T186" i="23"/>
  <c r="T187" i="23" s="1"/>
  <c r="Q172" i="23"/>
  <c r="T207" i="23"/>
  <c r="T208" i="23" s="1"/>
  <c r="T182" i="23"/>
  <c r="T183" i="23" s="1"/>
  <c r="R225" i="23"/>
  <c r="R226" i="23" s="1"/>
  <c r="R190" i="23"/>
  <c r="B123" i="23"/>
  <c r="AL180" i="23"/>
  <c r="O28" i="23"/>
  <c r="T174" i="23"/>
  <c r="T175" i="23" s="1"/>
  <c r="O30" i="23"/>
  <c r="O29" i="23"/>
  <c r="Q221" i="23"/>
  <c r="Q222" i="23" s="1"/>
  <c r="P221" i="23"/>
  <c r="P222" i="23" s="1"/>
  <c r="S174" i="23"/>
  <c r="T188" i="23"/>
  <c r="T189" i="23" s="1"/>
  <c r="T172" i="23"/>
  <c r="T173" i="23" s="1"/>
  <c r="R180" i="23"/>
  <c r="P217" i="23"/>
  <c r="P218" i="23" s="1"/>
  <c r="O33" i="23"/>
  <c r="P308" i="23"/>
  <c r="S211" i="23"/>
  <c r="S212" i="23" s="1"/>
  <c r="Q223" i="23"/>
  <c r="Q224" i="23" s="1"/>
  <c r="AL179" i="23"/>
  <c r="P211" i="23"/>
  <c r="P212" i="23" s="1"/>
  <c r="S186" i="23"/>
  <c r="T176" i="23"/>
  <c r="T177" i="23" s="1"/>
  <c r="Q207" i="23"/>
  <c r="Q208" i="23" s="1"/>
  <c r="R186" i="23"/>
  <c r="S176" i="23"/>
  <c r="Q180" i="23"/>
  <c r="Q181" i="23" s="1"/>
  <c r="T223" i="23"/>
  <c r="T224" i="23" s="1"/>
  <c r="R172" i="23"/>
  <c r="Q188" i="23"/>
  <c r="O31" i="23"/>
  <c r="P327" i="23"/>
  <c r="P328" i="23" s="1"/>
  <c r="O327" i="23"/>
  <c r="S223" i="23"/>
  <c r="S224" i="23" s="1"/>
  <c r="Q308" i="23"/>
  <c r="T221" i="23"/>
  <c r="T222" i="23" s="1"/>
  <c r="P209" i="23"/>
  <c r="P210" i="23" s="1"/>
  <c r="Q211" i="23"/>
  <c r="Q212" i="23" s="1"/>
  <c r="R182" i="23"/>
  <c r="Q176" i="23"/>
  <c r="AL167" i="23"/>
  <c r="P223" i="23"/>
  <c r="P224" i="23" s="1"/>
  <c r="T190" i="23"/>
  <c r="T191" i="23" s="1"/>
  <c r="Q182" i="23"/>
  <c r="R174" i="23"/>
  <c r="S190" i="23"/>
  <c r="Q174" i="23"/>
  <c r="T211" i="23"/>
  <c r="T212" i="23" s="1"/>
  <c r="AL168" i="23"/>
  <c r="S182" i="23"/>
  <c r="P207" i="23"/>
  <c r="P208" i="23" s="1"/>
  <c r="AL156" i="23"/>
  <c r="O35" i="23"/>
  <c r="Q186" i="23"/>
  <c r="T225" i="23"/>
  <c r="T226" i="23" s="1"/>
  <c r="R207" i="23"/>
  <c r="R208" i="23" s="1"/>
  <c r="T180" i="23"/>
  <c r="T181" i="23" s="1"/>
  <c r="AL155" i="23"/>
  <c r="R221" i="23"/>
  <c r="R222" i="23" s="1"/>
  <c r="S180" i="23"/>
  <c r="S225" i="23"/>
  <c r="S226" i="23" s="1"/>
  <c r="R188" i="23"/>
  <c r="S172" i="23"/>
  <c r="R176" i="23"/>
  <c r="O34" i="23"/>
  <c r="O50" i="23"/>
  <c r="S308" i="23"/>
  <c r="R308" i="23"/>
  <c r="Q190" i="23"/>
  <c r="Q191" i="23" s="1"/>
  <c r="P225" i="23"/>
  <c r="P226" i="23" s="1"/>
  <c r="P215" i="23"/>
  <c r="P216" i="23" s="1"/>
  <c r="O32" i="23"/>
  <c r="O284" i="24"/>
  <c r="O285" i="24" s="1"/>
  <c r="R278" i="24"/>
  <c r="R279" i="24" s="1"/>
  <c r="Q249" i="24"/>
  <c r="P278" i="24"/>
  <c r="P279" i="24" s="1"/>
  <c r="R241" i="24"/>
  <c r="S278" i="24"/>
  <c r="S279" i="24" s="1"/>
  <c r="S245" i="24"/>
  <c r="P311" i="24"/>
  <c r="Q257" i="24"/>
  <c r="Q30" i="24"/>
  <c r="S288" i="24"/>
  <c r="S289" i="24" s="1"/>
  <c r="T257" i="24"/>
  <c r="T258" i="24" s="1"/>
  <c r="AI2" i="24"/>
  <c r="Q259" i="24"/>
  <c r="R245" i="24"/>
  <c r="O282" i="24"/>
  <c r="O283" i="24" s="1"/>
  <c r="T259" i="24"/>
  <c r="T260" i="24" s="1"/>
  <c r="R243" i="24"/>
  <c r="R244" i="24" s="1"/>
  <c r="O290" i="24"/>
  <c r="O291" i="24" s="1"/>
  <c r="R257" i="24"/>
  <c r="S259" i="24"/>
  <c r="Q311" i="24"/>
  <c r="P292" i="24"/>
  <c r="P293" i="24" s="1"/>
  <c r="R290" i="24"/>
  <c r="R291" i="24" s="1"/>
  <c r="O276" i="24"/>
  <c r="O277" i="24" s="1"/>
  <c r="Q292" i="24"/>
  <c r="Q293" i="24" s="1"/>
  <c r="R274" i="24"/>
  <c r="R275" i="24" s="1"/>
  <c r="R251" i="24"/>
  <c r="Q24" i="24"/>
  <c r="Q330" i="2"/>
  <c r="Q331" i="2" s="1"/>
  <c r="O12" i="2"/>
  <c r="Q182" i="2" s="1"/>
  <c r="O246" i="2"/>
  <c r="S292" i="27"/>
  <c r="S293" i="27" s="1"/>
  <c r="Q243" i="27"/>
  <c r="R243" i="27"/>
  <c r="Q330" i="24"/>
  <c r="Q331" i="24" s="1"/>
  <c r="O274" i="24"/>
  <c r="O275" i="24" s="1"/>
  <c r="R255" i="24"/>
  <c r="R256" i="24" s="1"/>
  <c r="P288" i="24"/>
  <c r="P289" i="24" s="1"/>
  <c r="Q251" i="24"/>
  <c r="S257" i="24"/>
  <c r="O278" i="24"/>
  <c r="O279" i="24" s="1"/>
  <c r="Q241" i="24"/>
  <c r="R311" i="24"/>
  <c r="Q243" i="24"/>
  <c r="Q244" i="24" s="1"/>
  <c r="Q290" i="24"/>
  <c r="Q291" i="24" s="1"/>
  <c r="R288" i="24"/>
  <c r="R289" i="24" s="1"/>
  <c r="T249" i="24"/>
  <c r="T250" i="24" s="1"/>
  <c r="Q245" i="24"/>
  <c r="Q246" i="24" s="1"/>
  <c r="S290" i="24"/>
  <c r="S291" i="24" s="1"/>
  <c r="S243" i="24"/>
  <c r="Q278" i="24"/>
  <c r="Q279" i="24" s="1"/>
  <c r="T241" i="24"/>
  <c r="T242" i="24" s="1"/>
  <c r="Q288" i="24"/>
  <c r="Q289" i="24" s="1"/>
  <c r="S274" i="24"/>
  <c r="S275" i="24" s="1"/>
  <c r="Q25" i="24"/>
  <c r="S311" i="24"/>
  <c r="S312" i="24" s="1"/>
  <c r="T245" i="24"/>
  <c r="T246" i="24" s="1"/>
  <c r="Q29" i="24"/>
  <c r="P258" i="28"/>
  <c r="R249" i="27"/>
  <c r="S170" i="25"/>
  <c r="Q170" i="25"/>
  <c r="O175" i="25"/>
  <c r="P175" i="25"/>
  <c r="R257" i="27"/>
  <c r="S288" i="27"/>
  <c r="S289" i="27" s="1"/>
  <c r="P6" i="25"/>
  <c r="O177" i="25"/>
  <c r="O50" i="25"/>
  <c r="P177" i="25"/>
  <c r="O50" i="26"/>
  <c r="O309" i="26"/>
  <c r="P309" i="26" s="1"/>
  <c r="P173" i="26"/>
  <c r="R290" i="27"/>
  <c r="R291" i="27" s="1"/>
  <c r="O252" i="27"/>
  <c r="O274" i="27"/>
  <c r="O275" i="27" s="1"/>
  <c r="S257" i="27"/>
  <c r="S311" i="27"/>
  <c r="Q24" i="27"/>
  <c r="T241" i="27"/>
  <c r="T242" i="27" s="1"/>
  <c r="S255" i="27"/>
  <c r="Q292" i="27"/>
  <c r="Q293" i="27" s="1"/>
  <c r="R311" i="27"/>
  <c r="O276" i="27"/>
  <c r="O277" i="27" s="1"/>
  <c r="Q28" i="27"/>
  <c r="O12" i="27"/>
  <c r="AI2" i="27"/>
  <c r="Q30" i="27"/>
  <c r="Q249" i="27"/>
  <c r="Q250" i="27" s="1"/>
  <c r="P288" i="27"/>
  <c r="P289" i="27" s="1"/>
  <c r="R251" i="27"/>
  <c r="O284" i="27"/>
  <c r="O285" i="27" s="1"/>
  <c r="P278" i="27"/>
  <c r="P279" i="27" s="1"/>
  <c r="T249" i="27"/>
  <c r="T250" i="27" s="1"/>
  <c r="Q25" i="27"/>
  <c r="S251" i="27"/>
  <c r="S243" i="27"/>
  <c r="T243" i="27"/>
  <c r="T244" i="27" s="1"/>
  <c r="Q251" i="27"/>
  <c r="Q252" i="27" s="1"/>
  <c r="S330" i="27"/>
  <c r="S331" i="27" s="1"/>
  <c r="R255" i="27"/>
  <c r="Q257" i="27"/>
  <c r="S274" i="27"/>
  <c r="S275" i="27" s="1"/>
  <c r="Q288" i="27"/>
  <c r="Q289" i="27" s="1"/>
  <c r="Q311" i="27"/>
  <c r="R288" i="27"/>
  <c r="R289" i="27" s="1"/>
  <c r="Q330" i="27"/>
  <c r="Q331" i="27" s="1"/>
  <c r="Q259" i="27"/>
  <c r="Q278" i="27"/>
  <c r="Q279" i="27" s="1"/>
  <c r="Q290" i="27"/>
  <c r="Q291" i="27" s="1"/>
  <c r="R330" i="27"/>
  <c r="R331" i="27" s="1"/>
  <c r="R330" i="25"/>
  <c r="R331" i="25" s="1"/>
  <c r="S311" i="25"/>
  <c r="S292" i="25"/>
  <c r="S293" i="25" s="1"/>
  <c r="O292" i="25"/>
  <c r="O293" i="25" s="1"/>
  <c r="Q290" i="25"/>
  <c r="Q291" i="25" s="1"/>
  <c r="S288" i="25"/>
  <c r="S289" i="25" s="1"/>
  <c r="O288" i="25"/>
  <c r="O289" i="25" s="1"/>
  <c r="O282" i="25"/>
  <c r="O283" i="25" s="1"/>
  <c r="Q278" i="25"/>
  <c r="Q279" i="25" s="1"/>
  <c r="O276" i="25"/>
  <c r="O277" i="25" s="1"/>
  <c r="Q274" i="25"/>
  <c r="Q275" i="25" s="1"/>
  <c r="O260" i="25"/>
  <c r="Q259" i="25"/>
  <c r="S257" i="25"/>
  <c r="O256" i="25"/>
  <c r="Q255" i="25"/>
  <c r="Q330" i="25"/>
  <c r="Q331" i="25" s="1"/>
  <c r="R311" i="25"/>
  <c r="R292" i="25"/>
  <c r="R293" i="25" s="1"/>
  <c r="P290" i="25"/>
  <c r="P291" i="25" s="1"/>
  <c r="R288" i="25"/>
  <c r="R289" i="25" s="1"/>
  <c r="P278" i="25"/>
  <c r="P279" i="25" s="1"/>
  <c r="P274" i="25"/>
  <c r="P275" i="25" s="1"/>
  <c r="T259" i="25"/>
  <c r="T260" i="25" s="1"/>
  <c r="P258" i="25"/>
  <c r="R257" i="25"/>
  <c r="T255" i="25"/>
  <c r="T256" i="25" s="1"/>
  <c r="P330" i="25"/>
  <c r="P331" i="25" s="1"/>
  <c r="Q311" i="25"/>
  <c r="Q292" i="25"/>
  <c r="Q293" i="25" s="1"/>
  <c r="S290" i="25"/>
  <c r="S291" i="25" s="1"/>
  <c r="O290" i="25"/>
  <c r="O291" i="25" s="1"/>
  <c r="Q288" i="25"/>
  <c r="Q289" i="25" s="1"/>
  <c r="O284" i="25"/>
  <c r="O285" i="25" s="1"/>
  <c r="S278" i="25"/>
  <c r="S279" i="25" s="1"/>
  <c r="O278" i="25"/>
  <c r="O279" i="25" s="1"/>
  <c r="S274" i="25"/>
  <c r="S275" i="25" s="1"/>
  <c r="O274" i="25"/>
  <c r="O275" i="25" s="1"/>
  <c r="S259" i="25"/>
  <c r="O258" i="25"/>
  <c r="Q257" i="25"/>
  <c r="S255" i="25"/>
  <c r="P292" i="25"/>
  <c r="P293" i="25" s="1"/>
  <c r="R278" i="25"/>
  <c r="R279" i="25" s="1"/>
  <c r="R255" i="25"/>
  <c r="O252" i="25"/>
  <c r="Q251" i="25"/>
  <c r="R249" i="25"/>
  <c r="P246" i="25"/>
  <c r="R245" i="25"/>
  <c r="T243" i="25"/>
  <c r="T244" i="25" s="1"/>
  <c r="P242" i="25"/>
  <c r="R241" i="25"/>
  <c r="O330" i="25"/>
  <c r="O331" i="25" s="1"/>
  <c r="R290" i="25"/>
  <c r="R291" i="25" s="1"/>
  <c r="P260" i="25"/>
  <c r="S251" i="25"/>
  <c r="T249" i="25"/>
  <c r="T250" i="25" s="1"/>
  <c r="T245" i="25"/>
  <c r="T246" i="25" s="1"/>
  <c r="P244" i="25"/>
  <c r="R243" i="25"/>
  <c r="T241" i="25"/>
  <c r="T242" i="25" s="1"/>
  <c r="S240" i="25"/>
  <c r="T251" i="25"/>
  <c r="T252" i="25" s="1"/>
  <c r="O250" i="25"/>
  <c r="Q245" i="25"/>
  <c r="S243" i="25"/>
  <c r="O242" i="25"/>
  <c r="R274" i="25"/>
  <c r="R275" i="25" s="1"/>
  <c r="R259" i="25"/>
  <c r="R251" i="25"/>
  <c r="S249" i="25"/>
  <c r="Q243" i="25"/>
  <c r="S241" i="25"/>
  <c r="P288" i="25"/>
  <c r="P289" i="25" s="1"/>
  <c r="Q249" i="25"/>
  <c r="O246" i="25"/>
  <c r="S245" i="25"/>
  <c r="S330" i="25"/>
  <c r="S331" i="25" s="1"/>
  <c r="T257" i="25"/>
  <c r="T258" i="25" s="1"/>
  <c r="Q241" i="25"/>
  <c r="AK41" i="25"/>
  <c r="P312" i="25" s="1"/>
  <c r="Q29" i="25"/>
  <c r="Q28" i="25"/>
  <c r="P256" i="25"/>
  <c r="Q240" i="25"/>
  <c r="Q25" i="25"/>
  <c r="Q24" i="25"/>
  <c r="AI2" i="25"/>
  <c r="O244" i="25"/>
  <c r="P311" i="25"/>
  <c r="Q30" i="25"/>
  <c r="O81" i="25"/>
  <c r="R103" i="25"/>
  <c r="P76" i="25"/>
  <c r="B76" i="25"/>
  <c r="Q29" i="27"/>
  <c r="P311" i="27"/>
  <c r="R259" i="27"/>
  <c r="R260" i="27" s="1"/>
  <c r="T245" i="27"/>
  <c r="T246" i="27" s="1"/>
  <c r="Q245" i="27"/>
  <c r="Q246" i="27" s="1"/>
  <c r="T251" i="27"/>
  <c r="T252" i="27" s="1"/>
  <c r="O330" i="27"/>
  <c r="R245" i="27"/>
  <c r="S245" i="27"/>
  <c r="R278" i="27"/>
  <c r="R279" i="27" s="1"/>
  <c r="O278" i="27"/>
  <c r="O279" i="27" s="1"/>
  <c r="O290" i="27"/>
  <c r="O291" i="27" s="1"/>
  <c r="P330" i="27"/>
  <c r="P331" i="27" s="1"/>
  <c r="T259" i="27"/>
  <c r="T260" i="27" s="1"/>
  <c r="P290" i="27"/>
  <c r="P291" i="27" s="1"/>
  <c r="Q255" i="27"/>
  <c r="Q256" i="27" s="1"/>
  <c r="O282" i="27"/>
  <c r="O283" i="27" s="1"/>
  <c r="O292" i="27"/>
  <c r="O293" i="27" s="1"/>
  <c r="AI1" i="25"/>
  <c r="R190" i="25"/>
  <c r="AL156" i="25"/>
  <c r="O28" i="25"/>
  <c r="AL180" i="25"/>
  <c r="S159" i="25" s="1"/>
  <c r="T174" i="25"/>
  <c r="T175" i="25" s="1"/>
  <c r="P308" i="25"/>
  <c r="S308" i="25"/>
  <c r="R308" i="25"/>
  <c r="Q211" i="25"/>
  <c r="Q212" i="25" s="1"/>
  <c r="Q188" i="25"/>
  <c r="Q221" i="25"/>
  <c r="Q222" i="25" s="1"/>
  <c r="Q186" i="25"/>
  <c r="T223" i="25"/>
  <c r="T224" i="25" s="1"/>
  <c r="AL179" i="25"/>
  <c r="S158" i="25" s="1"/>
  <c r="P215" i="25"/>
  <c r="P216" i="25" s="1"/>
  <c r="R180" i="25"/>
  <c r="T225" i="25"/>
  <c r="T226" i="25" s="1"/>
  <c r="Q180" i="25"/>
  <c r="S176" i="25"/>
  <c r="S182" i="25"/>
  <c r="O35" i="25"/>
  <c r="AL167" i="25"/>
  <c r="R223" i="25"/>
  <c r="R224" i="25" s="1"/>
  <c r="S180" i="25"/>
  <c r="T207" i="25"/>
  <c r="T208" i="25" s="1"/>
  <c r="R172" i="25"/>
  <c r="B123" i="25"/>
  <c r="O32" i="25"/>
  <c r="P221" i="25"/>
  <c r="P222" i="25" s="1"/>
  <c r="S223" i="25"/>
  <c r="S224" i="25" s="1"/>
  <c r="P189" i="25"/>
  <c r="T188" i="25"/>
  <c r="T189" i="25" s="1"/>
  <c r="R188" i="25"/>
  <c r="AL168" i="25"/>
  <c r="R159" i="25" s="1"/>
  <c r="T182" i="25"/>
  <c r="T183" i="25" s="1"/>
  <c r="T186" i="25"/>
  <c r="T187" i="25" s="1"/>
  <c r="S327" i="25"/>
  <c r="S328" i="25" s="1"/>
  <c r="R327" i="25"/>
  <c r="R328" i="25" s="1"/>
  <c r="Q327" i="25"/>
  <c r="Q328" i="25" s="1"/>
  <c r="S225" i="25"/>
  <c r="S226" i="25" s="1"/>
  <c r="Q207" i="25"/>
  <c r="Q208" i="25" s="1"/>
  <c r="S186" i="25"/>
  <c r="S211" i="25"/>
  <c r="S212" i="25" s="1"/>
  <c r="Q190" i="25"/>
  <c r="Q191" i="25" s="1"/>
  <c r="P217" i="25"/>
  <c r="P218" i="25" s="1"/>
  <c r="R186" i="25"/>
  <c r="Q172" i="25"/>
  <c r="P225" i="25"/>
  <c r="P226" i="25" s="1"/>
  <c r="R211" i="25"/>
  <c r="R212" i="25" s="1"/>
  <c r="Q182" i="25"/>
  <c r="R174" i="25"/>
  <c r="P223" i="25"/>
  <c r="P224" i="25" s="1"/>
  <c r="Q174" i="25"/>
  <c r="R207" i="25"/>
  <c r="R208" i="25" s="1"/>
  <c r="P211" i="25"/>
  <c r="P212" i="25" s="1"/>
  <c r="O33" i="25"/>
  <c r="R176" i="25"/>
  <c r="O29" i="25"/>
  <c r="P327" i="25"/>
  <c r="P328" i="25" s="1"/>
  <c r="O327" i="25"/>
  <c r="Q223" i="25"/>
  <c r="Q224" i="25" s="1"/>
  <c r="S190" i="25"/>
  <c r="Q225" i="25"/>
  <c r="Q226" i="25" s="1"/>
  <c r="S207" i="25"/>
  <c r="S208" i="25" s="1"/>
  <c r="S188" i="25"/>
  <c r="Q308" i="25"/>
  <c r="T211" i="25"/>
  <c r="T212" i="25" s="1"/>
  <c r="R182" i="25"/>
  <c r="Q176" i="25"/>
  <c r="T190" i="25"/>
  <c r="T191" i="25" s="1"/>
  <c r="T172" i="25"/>
  <c r="T173" i="25" s="1"/>
  <c r="S172" i="25"/>
  <c r="O31" i="25"/>
  <c r="P209" i="25"/>
  <c r="P210" i="25" s="1"/>
  <c r="S221" i="25"/>
  <c r="S222" i="25" s="1"/>
  <c r="R225" i="25"/>
  <c r="R226" i="25" s="1"/>
  <c r="P207" i="25"/>
  <c r="P208" i="25" s="1"/>
  <c r="T180" i="25"/>
  <c r="T181" i="25" s="1"/>
  <c r="S174" i="25"/>
  <c r="AL155" i="25"/>
  <c r="T221" i="25"/>
  <c r="T222" i="25" s="1"/>
  <c r="T176" i="25"/>
  <c r="T177" i="25" s="1"/>
  <c r="O30" i="25"/>
  <c r="O34" i="25"/>
  <c r="R221" i="25"/>
  <c r="R222" i="25" s="1"/>
  <c r="R274" i="27"/>
  <c r="R275" i="27" s="1"/>
  <c r="Q241" i="27"/>
  <c r="Q242" i="27" s="1"/>
  <c r="R241" i="27"/>
  <c r="T257" i="27"/>
  <c r="T258" i="27" s="1"/>
  <c r="S241" i="27"/>
  <c r="S249" i="27"/>
  <c r="P292" i="27"/>
  <c r="P293" i="27" s="1"/>
  <c r="S259" i="27"/>
  <c r="S278" i="27"/>
  <c r="S279" i="27" s="1"/>
  <c r="S290" i="27"/>
  <c r="S291" i="27" s="1"/>
  <c r="T255" i="27"/>
  <c r="T256" i="27" s="1"/>
  <c r="P274" i="27"/>
  <c r="P275" i="27" s="1"/>
  <c r="R292" i="27"/>
  <c r="R293" i="27" s="1"/>
  <c r="Q274" i="27"/>
  <c r="Q275" i="27" s="1"/>
  <c r="O288" i="27"/>
  <c r="O289" i="27" s="1"/>
  <c r="S255" i="2"/>
  <c r="P6" i="26"/>
  <c r="R330" i="26"/>
  <c r="R331" i="26" s="1"/>
  <c r="S311" i="26"/>
  <c r="S292" i="26"/>
  <c r="S293" i="26" s="1"/>
  <c r="O292" i="26"/>
  <c r="O293" i="26" s="1"/>
  <c r="Q290" i="26"/>
  <c r="Q291" i="26" s="1"/>
  <c r="S288" i="26"/>
  <c r="S289" i="26" s="1"/>
  <c r="O288" i="26"/>
  <c r="O289" i="26" s="1"/>
  <c r="O282" i="26"/>
  <c r="O283" i="26" s="1"/>
  <c r="Q278" i="26"/>
  <c r="Q279" i="26" s="1"/>
  <c r="O276" i="26"/>
  <c r="O277" i="26" s="1"/>
  <c r="Q274" i="26"/>
  <c r="Q275" i="26" s="1"/>
  <c r="O260" i="26"/>
  <c r="Q259" i="26"/>
  <c r="S257" i="26"/>
  <c r="O256" i="26"/>
  <c r="Q255" i="26"/>
  <c r="Q330" i="26"/>
  <c r="Q331" i="26" s="1"/>
  <c r="R311" i="26"/>
  <c r="R292" i="26"/>
  <c r="R293" i="26" s="1"/>
  <c r="P290" i="26"/>
  <c r="P291" i="26" s="1"/>
  <c r="R288" i="26"/>
  <c r="R289" i="26" s="1"/>
  <c r="P278" i="26"/>
  <c r="P279" i="26" s="1"/>
  <c r="P274" i="26"/>
  <c r="P275" i="26" s="1"/>
  <c r="T259" i="26"/>
  <c r="T260" i="26" s="1"/>
  <c r="P258" i="26"/>
  <c r="R257" i="26"/>
  <c r="T255" i="26"/>
  <c r="T256" i="26" s="1"/>
  <c r="P330" i="26"/>
  <c r="P331" i="26" s="1"/>
  <c r="Q311" i="26"/>
  <c r="Q292" i="26"/>
  <c r="Q293" i="26" s="1"/>
  <c r="S290" i="26"/>
  <c r="S291" i="26" s="1"/>
  <c r="O290" i="26"/>
  <c r="O291" i="26" s="1"/>
  <c r="Q288" i="26"/>
  <c r="Q289" i="26" s="1"/>
  <c r="O284" i="26"/>
  <c r="O285" i="26" s="1"/>
  <c r="S278" i="26"/>
  <c r="S279" i="26" s="1"/>
  <c r="O278" i="26"/>
  <c r="O279" i="26" s="1"/>
  <c r="S274" i="26"/>
  <c r="S275" i="26" s="1"/>
  <c r="O274" i="26"/>
  <c r="O275" i="26" s="1"/>
  <c r="S259" i="26"/>
  <c r="O258" i="26"/>
  <c r="Q257" i="26"/>
  <c r="S255" i="26"/>
  <c r="P292" i="26"/>
  <c r="P293" i="26" s="1"/>
  <c r="R278" i="26"/>
  <c r="R279" i="26" s="1"/>
  <c r="R255" i="26"/>
  <c r="O252" i="26"/>
  <c r="Q251" i="26"/>
  <c r="R249" i="26"/>
  <c r="P246" i="26"/>
  <c r="R245" i="26"/>
  <c r="T243" i="26"/>
  <c r="T244" i="26" s="1"/>
  <c r="P242" i="26"/>
  <c r="R241" i="26"/>
  <c r="S330" i="26"/>
  <c r="S331" i="26" s="1"/>
  <c r="P288" i="26"/>
  <c r="P289" i="26" s="1"/>
  <c r="T257" i="26"/>
  <c r="T258" i="26" s="1"/>
  <c r="T251" i="26"/>
  <c r="T252" i="26" s="1"/>
  <c r="O250" i="26"/>
  <c r="Q249" i="26"/>
  <c r="Q250" i="26" s="1"/>
  <c r="O246" i="26"/>
  <c r="Q245" i="26"/>
  <c r="S243" i="26"/>
  <c r="O242" i="26"/>
  <c r="Q241" i="26"/>
  <c r="R290" i="26"/>
  <c r="R291" i="26" s="1"/>
  <c r="P260" i="26"/>
  <c r="T245" i="26"/>
  <c r="T246" i="26" s="1"/>
  <c r="P244" i="26"/>
  <c r="S240" i="26"/>
  <c r="R274" i="26"/>
  <c r="R275" i="26" s="1"/>
  <c r="R259" i="26"/>
  <c r="S245" i="26"/>
  <c r="O244" i="26"/>
  <c r="Q240" i="26"/>
  <c r="O330" i="26"/>
  <c r="O331" i="26" s="1"/>
  <c r="S251" i="26"/>
  <c r="T249" i="26"/>
  <c r="T250" i="26" s="1"/>
  <c r="R243" i="26"/>
  <c r="T241" i="26"/>
  <c r="T242" i="26" s="1"/>
  <c r="S241" i="26"/>
  <c r="P256" i="26"/>
  <c r="R251" i="26"/>
  <c r="P311" i="26"/>
  <c r="Q25" i="26"/>
  <c r="Q24" i="26"/>
  <c r="S249" i="26"/>
  <c r="Q30" i="26"/>
  <c r="Q243" i="26"/>
  <c r="AK41" i="26"/>
  <c r="P312" i="26" s="1"/>
  <c r="Q29" i="26"/>
  <c r="AI2" i="26"/>
  <c r="Q28" i="26"/>
  <c r="P76" i="26"/>
  <c r="O81" i="26"/>
  <c r="B76" i="26"/>
  <c r="R103" i="26"/>
  <c r="O12" i="28"/>
  <c r="O260" i="28"/>
  <c r="P260" i="28"/>
  <c r="AI1" i="26"/>
  <c r="AL156" i="26"/>
  <c r="O31" i="26"/>
  <c r="P327" i="26"/>
  <c r="P328" i="26" s="1"/>
  <c r="O327" i="26"/>
  <c r="Q223" i="26"/>
  <c r="Q224" i="26" s="1"/>
  <c r="S190" i="26"/>
  <c r="T223" i="26"/>
  <c r="T224" i="26" s="1"/>
  <c r="T211" i="26"/>
  <c r="T212" i="26" s="1"/>
  <c r="Q221" i="26"/>
  <c r="Q222" i="26" s="1"/>
  <c r="Q172" i="26"/>
  <c r="P209" i="26"/>
  <c r="P210" i="26" s="1"/>
  <c r="T186" i="26"/>
  <c r="T187" i="26" s="1"/>
  <c r="T176" i="26"/>
  <c r="T177" i="26" s="1"/>
  <c r="S211" i="26"/>
  <c r="S212" i="26" s="1"/>
  <c r="T182" i="26"/>
  <c r="T183" i="26" s="1"/>
  <c r="R223" i="26"/>
  <c r="R224" i="26" s="1"/>
  <c r="T190" i="26"/>
  <c r="T191" i="26" s="1"/>
  <c r="O29" i="26"/>
  <c r="T174" i="26"/>
  <c r="T175" i="26" s="1"/>
  <c r="O28" i="26"/>
  <c r="S327" i="26"/>
  <c r="S328" i="26" s="1"/>
  <c r="R327" i="26"/>
  <c r="R328" i="26" s="1"/>
  <c r="S225" i="26"/>
  <c r="S226" i="26" s="1"/>
  <c r="S186" i="26"/>
  <c r="P207" i="26"/>
  <c r="P208" i="26" s="1"/>
  <c r="S188" i="26"/>
  <c r="AL179" i="26"/>
  <c r="S158" i="26" s="1"/>
  <c r="P221" i="26"/>
  <c r="P222" i="26" s="1"/>
  <c r="R188" i="26"/>
  <c r="S223" i="26"/>
  <c r="S224" i="26" s="1"/>
  <c r="S176" i="26"/>
  <c r="R176" i="26"/>
  <c r="AL180" i="26"/>
  <c r="T159" i="26" s="1"/>
  <c r="S221" i="26"/>
  <c r="S222" i="26" s="1"/>
  <c r="P223" i="26"/>
  <c r="P224" i="26" s="1"/>
  <c r="P211" i="26"/>
  <c r="P212" i="26" s="1"/>
  <c r="R190" i="26"/>
  <c r="S207" i="26"/>
  <c r="S208" i="26" s="1"/>
  <c r="R182" i="26"/>
  <c r="Q176" i="26"/>
  <c r="Q177" i="26" s="1"/>
  <c r="AL167" i="26"/>
  <c r="Q158" i="26" s="1"/>
  <c r="R207" i="26"/>
  <c r="R208" i="26" s="1"/>
  <c r="Q174" i="26"/>
  <c r="P225" i="26"/>
  <c r="P226" i="26" s="1"/>
  <c r="AL168" i="26"/>
  <c r="Q159" i="26" s="1"/>
  <c r="Q186" i="26"/>
  <c r="R172" i="26"/>
  <c r="O35" i="26"/>
  <c r="O30" i="26"/>
  <c r="Q327" i="26"/>
  <c r="Q328" i="26" s="1"/>
  <c r="Q207" i="26"/>
  <c r="Q208" i="26" s="1"/>
  <c r="P217" i="26"/>
  <c r="P218" i="26" s="1"/>
  <c r="S180" i="26"/>
  <c r="R186" i="26"/>
  <c r="Q180" i="26"/>
  <c r="T221" i="26"/>
  <c r="T222" i="26" s="1"/>
  <c r="P189" i="26"/>
  <c r="P308" i="26"/>
  <c r="S308" i="26"/>
  <c r="R308" i="26"/>
  <c r="Q211" i="26"/>
  <c r="Q212" i="26" s="1"/>
  <c r="Q188" i="26"/>
  <c r="Q308" i="26"/>
  <c r="R221" i="26"/>
  <c r="R222" i="26" s="1"/>
  <c r="T207" i="26"/>
  <c r="T208" i="26" s="1"/>
  <c r="T188" i="26"/>
  <c r="T189" i="26" s="1"/>
  <c r="Q190" i="26"/>
  <c r="Q191" i="26" s="1"/>
  <c r="T180" i="26"/>
  <c r="T181" i="26" s="1"/>
  <c r="S174" i="26"/>
  <c r="AL155" i="26"/>
  <c r="T225" i="26"/>
  <c r="T226" i="26" s="1"/>
  <c r="Q182" i="26"/>
  <c r="R174" i="26"/>
  <c r="Q225" i="26"/>
  <c r="Q226" i="26" s="1"/>
  <c r="R180" i="26"/>
  <c r="S172" i="26"/>
  <c r="R211" i="26"/>
  <c r="R212" i="26" s="1"/>
  <c r="S182" i="26"/>
  <c r="B123" i="26"/>
  <c r="P215" i="26"/>
  <c r="P216" i="26" s="1"/>
  <c r="O34" i="26"/>
  <c r="O33" i="26"/>
  <c r="R225" i="26"/>
  <c r="R226" i="26" s="1"/>
  <c r="T172" i="26"/>
  <c r="T173" i="26" s="1"/>
  <c r="O32" i="26"/>
  <c r="R80" i="27"/>
  <c r="AQ59" i="27" s="1"/>
  <c r="AP59" i="27" s="1"/>
  <c r="Q80" i="27"/>
  <c r="AQ54" i="27" s="1"/>
  <c r="AP54" i="27" s="1"/>
  <c r="R78" i="27"/>
  <c r="AQ57" i="27" s="1"/>
  <c r="AP57" i="27" s="1"/>
  <c r="R76" i="27"/>
  <c r="AQ55" i="27" s="1"/>
  <c r="AP55" i="27" s="1"/>
  <c r="R79" i="27"/>
  <c r="AQ58" i="27" s="1"/>
  <c r="AP58" i="27" s="1"/>
  <c r="AQ45" i="27"/>
  <c r="AP45" i="27" s="1"/>
  <c r="Q27" i="28"/>
  <c r="R255" i="28"/>
  <c r="S243" i="28"/>
  <c r="Q251" i="28"/>
  <c r="O284" i="28"/>
  <c r="O285" i="28" s="1"/>
  <c r="T259" i="28"/>
  <c r="T260" i="28" s="1"/>
  <c r="R259" i="28"/>
  <c r="S278" i="28"/>
  <c r="S279" i="28" s="1"/>
  <c r="R290" i="28"/>
  <c r="R291" i="28" s="1"/>
  <c r="P290" i="28"/>
  <c r="P291" i="28" s="1"/>
  <c r="O282" i="28"/>
  <c r="O283" i="28" s="1"/>
  <c r="Q241" i="28"/>
  <c r="Q242" i="28" s="1"/>
  <c r="P330" i="28"/>
  <c r="P331" i="28" s="1"/>
  <c r="Q255" i="28"/>
  <c r="O292" i="28"/>
  <c r="O293" i="28" s="1"/>
  <c r="Q24" i="28"/>
  <c r="Q28" i="28"/>
  <c r="R241" i="28"/>
  <c r="R242" i="28" s="1"/>
  <c r="P311" i="28"/>
  <c r="S259" i="28"/>
  <c r="Q288" i="28"/>
  <c r="Q289" i="28" s="1"/>
  <c r="Q245" i="28"/>
  <c r="Q246" i="28" s="1"/>
  <c r="S274" i="28"/>
  <c r="S275" i="28" s="1"/>
  <c r="Q249" i="28"/>
  <c r="S245" i="28"/>
  <c r="P292" i="28"/>
  <c r="P293" i="28" s="1"/>
  <c r="T255" i="28"/>
  <c r="T256" i="28" s="1"/>
  <c r="P274" i="28"/>
  <c r="P275" i="28" s="1"/>
  <c r="R292" i="28"/>
  <c r="R293" i="28" s="1"/>
  <c r="Q274" i="28"/>
  <c r="Q275" i="28" s="1"/>
  <c r="O288" i="28"/>
  <c r="O289" i="28" s="1"/>
  <c r="S292" i="28"/>
  <c r="S293" i="28" s="1"/>
  <c r="Q30" i="28"/>
  <c r="P288" i="28"/>
  <c r="P289" i="28" s="1"/>
  <c r="Q25" i="28"/>
  <c r="T245" i="28"/>
  <c r="T246" i="28" s="1"/>
  <c r="T257" i="28"/>
  <c r="T258" i="28" s="1"/>
  <c r="Q311" i="28"/>
  <c r="R249" i="28"/>
  <c r="O290" i="28"/>
  <c r="O291" i="28" s="1"/>
  <c r="R245" i="28"/>
  <c r="S290" i="28"/>
  <c r="S291" i="28" s="1"/>
  <c r="T241" i="28"/>
  <c r="T242" i="28" s="1"/>
  <c r="S251" i="28"/>
  <c r="R274" i="28"/>
  <c r="R275" i="28" s="1"/>
  <c r="S241" i="28"/>
  <c r="S249" i="28"/>
  <c r="S250" i="28" s="1"/>
  <c r="R257" i="28"/>
  <c r="P278" i="28"/>
  <c r="P279" i="28" s="1"/>
  <c r="R311" i="28"/>
  <c r="S257" i="28"/>
  <c r="O276" i="28"/>
  <c r="O277" i="28" s="1"/>
  <c r="S288" i="28"/>
  <c r="S289" i="28" s="1"/>
  <c r="S311" i="28"/>
  <c r="Q80" i="28"/>
  <c r="AQ54" i="28" s="1"/>
  <c r="AP54" i="28" s="1"/>
  <c r="R78" i="28"/>
  <c r="AQ57" i="28" s="1"/>
  <c r="AP57" i="28" s="1"/>
  <c r="R76" i="28"/>
  <c r="AQ55" i="28" s="1"/>
  <c r="AP55" i="28" s="1"/>
  <c r="R80" i="28"/>
  <c r="AQ59" i="28" s="1"/>
  <c r="AP59" i="28" s="1"/>
  <c r="R79" i="28"/>
  <c r="AQ58" i="28" s="1"/>
  <c r="AP58" i="28" s="1"/>
  <c r="AQ45" i="28"/>
  <c r="AP45" i="28" s="1"/>
  <c r="AI2" i="28"/>
  <c r="Q26" i="28"/>
  <c r="Q29" i="28"/>
  <c r="Q292" i="28"/>
  <c r="Q293" i="28" s="1"/>
  <c r="T251" i="28"/>
  <c r="T252" i="28" s="1"/>
  <c r="R243" i="28"/>
  <c r="O274" i="28"/>
  <c r="O275" i="28" s="1"/>
  <c r="S255" i="28"/>
  <c r="T249" i="28"/>
  <c r="T250" i="28" s="1"/>
  <c r="S330" i="28"/>
  <c r="S331" i="28" s="1"/>
  <c r="T243" i="28"/>
  <c r="T244" i="28" s="1"/>
  <c r="Q257" i="28"/>
  <c r="O278" i="28"/>
  <c r="O279" i="28" s="1"/>
  <c r="Q243" i="28"/>
  <c r="R251" i="28"/>
  <c r="R278" i="28"/>
  <c r="R279" i="28" s="1"/>
  <c r="O330" i="28"/>
  <c r="R288" i="28"/>
  <c r="R289" i="28" s="1"/>
  <c r="Q330" i="28"/>
  <c r="Q331" i="28" s="1"/>
  <c r="Q259" i="28"/>
  <c r="Q278" i="28"/>
  <c r="Q279" i="28" s="1"/>
  <c r="Q290" i="28"/>
  <c r="Q291" i="28" s="1"/>
  <c r="R278" i="29"/>
  <c r="R279" i="29" s="1"/>
  <c r="S311" i="29"/>
  <c r="O181" i="29"/>
  <c r="P189" i="29"/>
  <c r="O284" i="29"/>
  <c r="O285" i="29" s="1"/>
  <c r="S251" i="29"/>
  <c r="R257" i="29"/>
  <c r="P256" i="29"/>
  <c r="Q245" i="29"/>
  <c r="R311" i="29"/>
  <c r="R251" i="29"/>
  <c r="S255" i="29"/>
  <c r="O276" i="29"/>
  <c r="O277" i="29" s="1"/>
  <c r="R243" i="2"/>
  <c r="T255" i="2"/>
  <c r="T256" i="2" s="1"/>
  <c r="P173" i="29"/>
  <c r="O309" i="29"/>
  <c r="P309" i="29" s="1"/>
  <c r="AI2" i="2"/>
  <c r="O260" i="2"/>
  <c r="Q288" i="2"/>
  <c r="Q289" i="2" s="1"/>
  <c r="T251" i="2"/>
  <c r="T252" i="2" s="1"/>
  <c r="Q27" i="2"/>
  <c r="Q290" i="2"/>
  <c r="Q291" i="2" s="1"/>
  <c r="P290" i="2"/>
  <c r="P291" i="2" s="1"/>
  <c r="Q30" i="2"/>
  <c r="S330" i="2"/>
  <c r="S331" i="2" s="1"/>
  <c r="R274" i="2"/>
  <c r="R275" i="2" s="1"/>
  <c r="O290" i="2"/>
  <c r="O291" i="2" s="1"/>
  <c r="R255" i="2"/>
  <c r="Q243" i="2"/>
  <c r="Q244" i="2" s="1"/>
  <c r="Q292" i="2"/>
  <c r="Q293" i="2" s="1"/>
  <c r="R290" i="2"/>
  <c r="R291" i="2" s="1"/>
  <c r="Q245" i="2"/>
  <c r="Q246" i="2" s="1"/>
  <c r="Q255" i="2"/>
  <c r="Q256" i="2" s="1"/>
  <c r="S288" i="2"/>
  <c r="S289" i="2" s="1"/>
  <c r="R292" i="2"/>
  <c r="R293" i="2" s="1"/>
  <c r="R249" i="2"/>
  <c r="S259" i="2"/>
  <c r="O276" i="2"/>
  <c r="O277" i="2" s="1"/>
  <c r="O274" i="2"/>
  <c r="O275" i="2" s="1"/>
  <c r="T249" i="2"/>
  <c r="T250" i="2" s="1"/>
  <c r="Q259" i="2"/>
  <c r="O330" i="2"/>
  <c r="S290" i="2"/>
  <c r="S291" i="2" s="1"/>
  <c r="T259" i="2"/>
  <c r="T260" i="2" s="1"/>
  <c r="R330" i="2"/>
  <c r="R331" i="2" s="1"/>
  <c r="Q24" i="2"/>
  <c r="T243" i="2"/>
  <c r="T244" i="2" s="1"/>
  <c r="P292" i="2"/>
  <c r="P293" i="2" s="1"/>
  <c r="Q311" i="2"/>
  <c r="R251" i="2"/>
  <c r="S278" i="2"/>
  <c r="S279" i="2" s="1"/>
  <c r="T241" i="2"/>
  <c r="T242" i="2" s="1"/>
  <c r="S251" i="2"/>
  <c r="Q241" i="2"/>
  <c r="R259" i="2"/>
  <c r="P330" i="2"/>
  <c r="P331" i="2" s="1"/>
  <c r="P274" i="2"/>
  <c r="P275" i="2" s="1"/>
  <c r="P191" i="29"/>
  <c r="O191" i="29"/>
  <c r="R259" i="29"/>
  <c r="Q25" i="29"/>
  <c r="P292" i="29"/>
  <c r="P293" i="29" s="1"/>
  <c r="O246" i="29"/>
  <c r="Q257" i="29"/>
  <c r="Q288" i="29"/>
  <c r="Q289" i="29" s="1"/>
  <c r="Q330" i="29"/>
  <c r="Q331" i="29" s="1"/>
  <c r="Q278" i="29"/>
  <c r="Q279" i="29" s="1"/>
  <c r="R330" i="29"/>
  <c r="R331" i="29" s="1"/>
  <c r="Q26" i="2"/>
  <c r="Q25" i="2"/>
  <c r="Q28" i="2"/>
  <c r="S257" i="2"/>
  <c r="R241" i="2"/>
  <c r="S274" i="2"/>
  <c r="S275" i="2" s="1"/>
  <c r="R245" i="2"/>
  <c r="S245" i="2"/>
  <c r="T257" i="2"/>
  <c r="T258" i="2" s="1"/>
  <c r="O282" i="2"/>
  <c r="O283" i="2" s="1"/>
  <c r="S311" i="2"/>
  <c r="Q274" i="2"/>
  <c r="Q275" i="2" s="1"/>
  <c r="S292" i="2"/>
  <c r="S293" i="2" s="1"/>
  <c r="Q249" i="2"/>
  <c r="Q250" i="2" s="1"/>
  <c r="Q278" i="2"/>
  <c r="Q279" i="2" s="1"/>
  <c r="O292" i="2"/>
  <c r="O293" i="2" s="1"/>
  <c r="R257" i="2"/>
  <c r="P278" i="2"/>
  <c r="P279" i="2" s="1"/>
  <c r="R311" i="2"/>
  <c r="AI2" i="29"/>
  <c r="Q27" i="29"/>
  <c r="Q251" i="29"/>
  <c r="T243" i="29"/>
  <c r="T244" i="29" s="1"/>
  <c r="R243" i="29"/>
  <c r="O330" i="29"/>
  <c r="T251" i="29"/>
  <c r="T252" i="29" s="1"/>
  <c r="O274" i="29"/>
  <c r="O275" i="29" s="1"/>
  <c r="Q292" i="29"/>
  <c r="Q293" i="29" s="1"/>
  <c r="P278" i="29"/>
  <c r="P279" i="29" s="1"/>
  <c r="S257" i="29"/>
  <c r="S288" i="29"/>
  <c r="S289" i="29" s="1"/>
  <c r="Q29" i="29"/>
  <c r="R241" i="29"/>
  <c r="P260" i="29"/>
  <c r="P258" i="29"/>
  <c r="Q29" i="2"/>
  <c r="R278" i="2"/>
  <c r="R279" i="2" s="1"/>
  <c r="Q251" i="2"/>
  <c r="Q252" i="2" s="1"/>
  <c r="O288" i="2"/>
  <c r="O289" i="2" s="1"/>
  <c r="S241" i="2"/>
  <c r="S249" i="2"/>
  <c r="S250" i="2" s="1"/>
  <c r="P288" i="2"/>
  <c r="P289" i="2" s="1"/>
  <c r="T245" i="2"/>
  <c r="T246" i="2" s="1"/>
  <c r="O278" i="2"/>
  <c r="O279" i="2" s="1"/>
  <c r="P312" i="2"/>
  <c r="S243" i="2"/>
  <c r="Q257" i="2"/>
  <c r="O284" i="2"/>
  <c r="O285" i="2" s="1"/>
  <c r="P311" i="2"/>
  <c r="R288" i="2"/>
  <c r="R289" i="2" s="1"/>
  <c r="P76" i="29"/>
  <c r="R79" i="29" s="1"/>
  <c r="AQ58" i="29" s="1"/>
  <c r="AP58" i="29" s="1"/>
  <c r="Q28" i="29"/>
  <c r="Q24" i="29"/>
  <c r="Q30" i="29"/>
  <c r="S241" i="29"/>
  <c r="R245" i="29"/>
  <c r="P244" i="29"/>
  <c r="Q241" i="29"/>
  <c r="T257" i="29"/>
  <c r="T258" i="29" s="1"/>
  <c r="S274" i="29"/>
  <c r="S275" i="29" s="1"/>
  <c r="Q311" i="29"/>
  <c r="R288" i="29"/>
  <c r="R289" i="29" s="1"/>
  <c r="Q259" i="29"/>
  <c r="P187" i="29"/>
  <c r="P6" i="29"/>
  <c r="B76" i="29"/>
  <c r="R103" i="29"/>
  <c r="O81" i="29"/>
  <c r="Q26" i="29"/>
  <c r="O244" i="29"/>
  <c r="AK41" i="29"/>
  <c r="P312" i="29" s="1"/>
  <c r="P311" i="29"/>
  <c r="P246" i="29"/>
  <c r="Q243" i="29"/>
  <c r="Q244" i="29" s="1"/>
  <c r="R274" i="29"/>
  <c r="R275" i="29" s="1"/>
  <c r="O252" i="29"/>
  <c r="S240" i="29"/>
  <c r="T245" i="29"/>
  <c r="T246" i="29" s="1"/>
  <c r="R290" i="29"/>
  <c r="R291" i="29" s="1"/>
  <c r="O242" i="29"/>
  <c r="Q249" i="29"/>
  <c r="P288" i="29"/>
  <c r="P289" i="29" s="1"/>
  <c r="O258" i="29"/>
  <c r="O278" i="29"/>
  <c r="O279" i="29" s="1"/>
  <c r="O290" i="29"/>
  <c r="O291" i="29" s="1"/>
  <c r="P330" i="29"/>
  <c r="P331" i="29" s="1"/>
  <c r="T259" i="29"/>
  <c r="T260" i="29" s="1"/>
  <c r="P290" i="29"/>
  <c r="P291" i="29" s="1"/>
  <c r="Q255" i="29"/>
  <c r="O260" i="29"/>
  <c r="O282" i="29"/>
  <c r="O283" i="29" s="1"/>
  <c r="O292" i="29"/>
  <c r="O293" i="29" s="1"/>
  <c r="S245" i="29"/>
  <c r="Q240" i="29"/>
  <c r="R249" i="29"/>
  <c r="S249" i="29"/>
  <c r="P242" i="29"/>
  <c r="R255" i="29"/>
  <c r="T241" i="29"/>
  <c r="T242" i="29" s="1"/>
  <c r="T249" i="29"/>
  <c r="T250" i="29" s="1"/>
  <c r="S243" i="29"/>
  <c r="O250" i="29"/>
  <c r="S330" i="29"/>
  <c r="S331" i="29" s="1"/>
  <c r="S259" i="29"/>
  <c r="S278" i="29"/>
  <c r="S279" i="29" s="1"/>
  <c r="S290" i="29"/>
  <c r="S291" i="29" s="1"/>
  <c r="T255" i="29"/>
  <c r="T256" i="29" s="1"/>
  <c r="P274" i="29"/>
  <c r="P275" i="29" s="1"/>
  <c r="R292" i="29"/>
  <c r="R293" i="29" s="1"/>
  <c r="O256" i="29"/>
  <c r="Q274" i="29"/>
  <c r="Q275" i="29" s="1"/>
  <c r="O288" i="29"/>
  <c r="O289" i="29" s="1"/>
  <c r="S292" i="29"/>
  <c r="S293" i="29" s="1"/>
  <c r="AI1" i="29"/>
  <c r="S170" i="29"/>
  <c r="Q170" i="29"/>
  <c r="P175" i="29"/>
  <c r="O175" i="29"/>
  <c r="O50" i="29"/>
  <c r="R186" i="29"/>
  <c r="S327" i="29"/>
  <c r="S328" i="29" s="1"/>
  <c r="R327" i="29"/>
  <c r="R328" i="29" s="1"/>
  <c r="T223" i="29"/>
  <c r="T224" i="29" s="1"/>
  <c r="T211" i="29"/>
  <c r="T212" i="29" s="1"/>
  <c r="S223" i="29"/>
  <c r="S224" i="29" s="1"/>
  <c r="R172" i="29"/>
  <c r="P215" i="29"/>
  <c r="P216" i="29" s="1"/>
  <c r="T186" i="29"/>
  <c r="T187" i="29" s="1"/>
  <c r="Q172" i="29"/>
  <c r="S190" i="29"/>
  <c r="T172" i="29"/>
  <c r="T173" i="29" s="1"/>
  <c r="Q174" i="29"/>
  <c r="B123" i="29"/>
  <c r="T225" i="29"/>
  <c r="T226" i="29" s="1"/>
  <c r="O34" i="29"/>
  <c r="T176" i="29"/>
  <c r="T177" i="29" s="1"/>
  <c r="O29" i="29"/>
  <c r="O31" i="29"/>
  <c r="R221" i="29"/>
  <c r="R222" i="29" s="1"/>
  <c r="T207" i="29"/>
  <c r="T208" i="29" s="1"/>
  <c r="Q190" i="29"/>
  <c r="Q191" i="29" s="1"/>
  <c r="Q207" i="29"/>
  <c r="Q208" i="29" s="1"/>
  <c r="T174" i="29"/>
  <c r="T175" i="29" s="1"/>
  <c r="R223" i="29"/>
  <c r="R224" i="29" s="1"/>
  <c r="AL155" i="29"/>
  <c r="S221" i="29"/>
  <c r="S222" i="29" s="1"/>
  <c r="S180" i="29"/>
  <c r="P209" i="29"/>
  <c r="P210" i="29" s="1"/>
  <c r="R188" i="29"/>
  <c r="S186" i="29"/>
  <c r="P308" i="29"/>
  <c r="S308" i="29"/>
  <c r="P217" i="29"/>
  <c r="P218" i="29" s="1"/>
  <c r="Q225" i="29"/>
  <c r="Q226" i="29" s="1"/>
  <c r="S188" i="29"/>
  <c r="Q188" i="29"/>
  <c r="Q180" i="29"/>
  <c r="Q181" i="29" s="1"/>
  <c r="T221" i="29"/>
  <c r="T222" i="29" s="1"/>
  <c r="AL179" i="29"/>
  <c r="Q211" i="29"/>
  <c r="Q212" i="29" s="1"/>
  <c r="R180" i="29"/>
  <c r="O28" i="29"/>
  <c r="P327" i="29"/>
  <c r="P328" i="29" s="1"/>
  <c r="O327" i="29"/>
  <c r="P223" i="29"/>
  <c r="P224" i="29" s="1"/>
  <c r="P211" i="29"/>
  <c r="P212" i="29" s="1"/>
  <c r="R190" i="29"/>
  <c r="R191" i="29" s="1"/>
  <c r="Q221" i="29"/>
  <c r="Q222" i="29" s="1"/>
  <c r="Q186" i="29"/>
  <c r="S225" i="29"/>
  <c r="S226" i="29" s="1"/>
  <c r="S182" i="29"/>
  <c r="R176" i="29"/>
  <c r="AL168" i="29"/>
  <c r="P225" i="29"/>
  <c r="P226" i="29" s="1"/>
  <c r="R211" i="29"/>
  <c r="R212" i="29" s="1"/>
  <c r="R182" i="29"/>
  <c r="Q176" i="29"/>
  <c r="Q177" i="29" s="1"/>
  <c r="AL167" i="29"/>
  <c r="Q182" i="29"/>
  <c r="P221" i="29"/>
  <c r="P222" i="29" s="1"/>
  <c r="S172" i="29"/>
  <c r="O32" i="29"/>
  <c r="Q223" i="29"/>
  <c r="Q224" i="29" s="1"/>
  <c r="R207" i="29"/>
  <c r="R208" i="29" s="1"/>
  <c r="S176" i="29"/>
  <c r="O33" i="29"/>
  <c r="Q308" i="29"/>
  <c r="T188" i="29"/>
  <c r="T189" i="29" s="1"/>
  <c r="S211" i="29"/>
  <c r="S212" i="29" s="1"/>
  <c r="Q327" i="29"/>
  <c r="Q328" i="29" s="1"/>
  <c r="AL180" i="29"/>
  <c r="AL156" i="29"/>
  <c r="T190" i="29"/>
  <c r="T191" i="29" s="1"/>
  <c r="T180" i="29"/>
  <c r="T181" i="29" s="1"/>
  <c r="S174" i="29"/>
  <c r="T182" i="29"/>
  <c r="T183" i="29" s="1"/>
  <c r="R308" i="29"/>
  <c r="R225" i="29"/>
  <c r="R226" i="29" s="1"/>
  <c r="P207" i="29"/>
  <c r="P208" i="29" s="1"/>
  <c r="S207" i="29"/>
  <c r="S208" i="29" s="1"/>
  <c r="R174" i="29"/>
  <c r="O35" i="29"/>
  <c r="O30" i="29"/>
  <c r="R79" i="2"/>
  <c r="AQ58" i="2" s="1"/>
  <c r="AP58" i="2" s="1"/>
  <c r="R80" i="2"/>
  <c r="AQ59" i="2" s="1"/>
  <c r="AP59" i="2" s="1"/>
  <c r="R78" i="2"/>
  <c r="AQ57" i="2" s="1"/>
  <c r="AP57" i="2" s="1"/>
  <c r="Q80" i="2"/>
  <c r="AQ54" i="2" s="1"/>
  <c r="AP54" i="2" s="1"/>
  <c r="R76" i="2"/>
  <c r="AQ55" i="2" s="1"/>
  <c r="AP55" i="2" s="1"/>
  <c r="AQ45" i="2"/>
  <c r="AP45" i="2" s="1"/>
  <c r="O7" i="30"/>
  <c r="B17" i="30"/>
  <c r="I38" i="30"/>
  <c r="O76" i="30"/>
  <c r="I42" i="30"/>
  <c r="O8" i="30"/>
  <c r="I40" i="30"/>
  <c r="I43" i="30"/>
  <c r="B19" i="30"/>
  <c r="I39" i="30"/>
  <c r="B15" i="30"/>
  <c r="B18" i="30"/>
  <c r="I41" i="30"/>
  <c r="S16" i="30"/>
  <c r="S15" i="30"/>
  <c r="O80" i="30"/>
  <c r="O105" i="30"/>
  <c r="P104" i="30"/>
  <c r="B105" i="30"/>
  <c r="O104" i="30"/>
  <c r="P103" i="30"/>
  <c r="O107" i="30"/>
  <c r="O106" i="30"/>
  <c r="B104" i="30"/>
  <c r="O103" i="30"/>
  <c r="P105" i="30"/>
  <c r="B106" i="30"/>
  <c r="B102" i="30"/>
  <c r="B107" i="30"/>
  <c r="AM20" i="30"/>
  <c r="AM16" i="30"/>
  <c r="AM23" i="30"/>
  <c r="AM15" i="30"/>
  <c r="AM22" i="30"/>
  <c r="AM18" i="30"/>
  <c r="AM19" i="30"/>
  <c r="AM17" i="30"/>
  <c r="AM13" i="30"/>
  <c r="AM9" i="30"/>
  <c r="AM7" i="30"/>
  <c r="AM10" i="30"/>
  <c r="AM6" i="30"/>
  <c r="AM21" i="30"/>
  <c r="AM11" i="30"/>
  <c r="AM8" i="30"/>
  <c r="AM12" i="30"/>
  <c r="AM14" i="30"/>
  <c r="AN23" i="30"/>
  <c r="AN15" i="30"/>
  <c r="AN22" i="30"/>
  <c r="AN18" i="30"/>
  <c r="AN21" i="30"/>
  <c r="AN19" i="30"/>
  <c r="AN17" i="30"/>
  <c r="AN14" i="30"/>
  <c r="AN20" i="30"/>
  <c r="AN6" i="30"/>
  <c r="AN16" i="30"/>
  <c r="AN11" i="30"/>
  <c r="AN10" i="30"/>
  <c r="AN8" i="30"/>
  <c r="AN12" i="30"/>
  <c r="AN13" i="30"/>
  <c r="AN7" i="30"/>
  <c r="AN9" i="30"/>
  <c r="AS22" i="30"/>
  <c r="AS18" i="30"/>
  <c r="AS12" i="30"/>
  <c r="AS21" i="30"/>
  <c r="AS19" i="30"/>
  <c r="AS17" i="30"/>
  <c r="AS14" i="30"/>
  <c r="AS20" i="30"/>
  <c r="AS16" i="30"/>
  <c r="AS23" i="30"/>
  <c r="AS15" i="30"/>
  <c r="AS13" i="30"/>
  <c r="AS11" i="30"/>
  <c r="AS10" i="30"/>
  <c r="AS8" i="30"/>
  <c r="AS7" i="30"/>
  <c r="AS9" i="30"/>
  <c r="AS6" i="30"/>
  <c r="U61" i="14"/>
  <c r="G5" i="14"/>
  <c r="D5" i="14"/>
  <c r="I4" i="14"/>
  <c r="U56" i="14"/>
  <c r="U59" i="14"/>
  <c r="U60" i="14"/>
  <c r="U55" i="14"/>
  <c r="U54" i="14"/>
  <c r="U62" i="14"/>
  <c r="U58" i="14"/>
  <c r="U57" i="14"/>
  <c r="Q242" i="25" l="1"/>
  <c r="R246" i="27"/>
  <c r="S312" i="28"/>
  <c r="Q244" i="27"/>
  <c r="Q242" i="26"/>
  <c r="R242" i="25"/>
  <c r="R177" i="26"/>
  <c r="S177" i="26" s="1"/>
  <c r="S312" i="22"/>
  <c r="Q244" i="28"/>
  <c r="Q260" i="27"/>
  <c r="Q252" i="24"/>
  <c r="Q244" i="25"/>
  <c r="Q252" i="28"/>
  <c r="R252" i="28" s="1"/>
  <c r="S252" i="28" s="1"/>
  <c r="Q250" i="25"/>
  <c r="Q246" i="21"/>
  <c r="Q191" i="21"/>
  <c r="R191" i="21" s="1"/>
  <c r="O331" i="2"/>
  <c r="R246" i="2"/>
  <c r="S260" i="27"/>
  <c r="R244" i="27"/>
  <c r="Q252" i="26"/>
  <c r="Q177" i="23"/>
  <c r="R177" i="23"/>
  <c r="S244" i="27"/>
  <c r="Q246" i="25"/>
  <c r="R246" i="25" s="1"/>
  <c r="P187" i="27"/>
  <c r="O95" i="27"/>
  <c r="R180" i="28"/>
  <c r="O95" i="28"/>
  <c r="O331" i="23"/>
  <c r="Q174" i="24"/>
  <c r="O95" i="24"/>
  <c r="Q177" i="25"/>
  <c r="R177" i="25" s="1"/>
  <c r="Q181" i="26"/>
  <c r="Q258" i="24"/>
  <c r="O177" i="2"/>
  <c r="S312" i="21"/>
  <c r="T324" i="21" s="1"/>
  <c r="AL89" i="21" s="1"/>
  <c r="AK89" i="21" s="1"/>
  <c r="AJ89" i="21" s="1"/>
  <c r="R246" i="21"/>
  <c r="S246" i="21" s="1"/>
  <c r="R258" i="24"/>
  <c r="S258" i="24" s="1"/>
  <c r="Q258" i="27"/>
  <c r="R258" i="27" s="1"/>
  <c r="S312" i="25"/>
  <c r="S312" i="23"/>
  <c r="Q258" i="23"/>
  <c r="R258" i="23" s="1"/>
  <c r="S258" i="23" s="1"/>
  <c r="R256" i="2"/>
  <c r="S256" i="2" s="1"/>
  <c r="Q246" i="22"/>
  <c r="R246" i="22" s="1"/>
  <c r="S246" i="22" s="1"/>
  <c r="R242" i="26"/>
  <c r="Q258" i="26"/>
  <c r="Q242" i="2"/>
  <c r="R242" i="2" s="1"/>
  <c r="Q312" i="2" s="1"/>
  <c r="Q246" i="29"/>
  <c r="R246" i="29" s="1"/>
  <c r="Q252" i="22"/>
  <c r="R252" i="22" s="1"/>
  <c r="Q250" i="21"/>
  <c r="S250" i="21" s="1"/>
  <c r="Q256" i="28"/>
  <c r="R256" i="28" s="1"/>
  <c r="R242" i="23"/>
  <c r="S242" i="23" s="1"/>
  <c r="R312" i="23" s="1"/>
  <c r="O331" i="27"/>
  <c r="Q177" i="22"/>
  <c r="R177" i="22" s="1"/>
  <c r="P177" i="2"/>
  <c r="Q256" i="29"/>
  <c r="Q258" i="2"/>
  <c r="S258" i="2" s="1"/>
  <c r="Q175" i="21"/>
  <c r="R175" i="21" s="1"/>
  <c r="S175" i="21" s="1"/>
  <c r="Q260" i="28"/>
  <c r="Q260" i="25"/>
  <c r="R260" i="25" s="1"/>
  <c r="Q260" i="21"/>
  <c r="R256" i="27"/>
  <c r="Q175" i="26"/>
  <c r="R175" i="26" s="1"/>
  <c r="Q258" i="28"/>
  <c r="R260" i="23"/>
  <c r="S260" i="23" s="1"/>
  <c r="R181" i="23"/>
  <c r="S181" i="23" s="1"/>
  <c r="Q258" i="25"/>
  <c r="S246" i="29"/>
  <c r="Q260" i="24"/>
  <c r="Q260" i="29"/>
  <c r="R260" i="29" s="1"/>
  <c r="Q246" i="26"/>
  <c r="R191" i="23"/>
  <c r="S191" i="23" s="1"/>
  <c r="Q260" i="2"/>
  <c r="O309" i="2"/>
  <c r="P309" i="2" s="1"/>
  <c r="R246" i="26"/>
  <c r="Q244" i="26"/>
  <c r="O95" i="2"/>
  <c r="P191" i="2"/>
  <c r="O191" i="2"/>
  <c r="R177" i="29"/>
  <c r="S177" i="29" s="1"/>
  <c r="R191" i="25"/>
  <c r="S191" i="25" s="1"/>
  <c r="P187" i="24"/>
  <c r="P177" i="24"/>
  <c r="O177" i="24"/>
  <c r="Q250" i="28"/>
  <c r="R250" i="28" s="1"/>
  <c r="O331" i="29"/>
  <c r="S244" i="24"/>
  <c r="Q242" i="22"/>
  <c r="R242" i="22" s="1"/>
  <c r="Q312" i="22" s="1"/>
  <c r="Q252" i="25"/>
  <c r="R252" i="25" s="1"/>
  <c r="S252" i="25" s="1"/>
  <c r="Q175" i="23"/>
  <c r="R175" i="23" s="1"/>
  <c r="Q256" i="25"/>
  <c r="R256" i="25" s="1"/>
  <c r="R250" i="2"/>
  <c r="R242" i="27"/>
  <c r="O181" i="2"/>
  <c r="R258" i="21"/>
  <c r="S258" i="21" s="1"/>
  <c r="Q250" i="23"/>
  <c r="Q242" i="24"/>
  <c r="R242" i="24" s="1"/>
  <c r="Q312" i="24" s="1"/>
  <c r="S244" i="21"/>
  <c r="Q256" i="21"/>
  <c r="R256" i="21" s="1"/>
  <c r="R177" i="21"/>
  <c r="S177" i="21" s="1"/>
  <c r="R191" i="26"/>
  <c r="S191" i="26" s="1"/>
  <c r="R244" i="28"/>
  <c r="S244" i="28" s="1"/>
  <c r="S256" i="28"/>
  <c r="Q250" i="29"/>
  <c r="S250" i="29" s="1"/>
  <c r="R181" i="29"/>
  <c r="S181" i="29" s="1"/>
  <c r="R175" i="22"/>
  <c r="S175" i="22" s="1"/>
  <c r="R181" i="21"/>
  <c r="S181" i="21" s="1"/>
  <c r="S312" i="26"/>
  <c r="O328" i="21"/>
  <c r="O177" i="27"/>
  <c r="R244" i="23"/>
  <c r="S244" i="23" s="1"/>
  <c r="P177" i="27"/>
  <c r="Q312" i="25"/>
  <c r="S242" i="25"/>
  <c r="R312" i="25" s="1"/>
  <c r="R252" i="27"/>
  <c r="S252" i="27" s="1"/>
  <c r="Q175" i="29"/>
  <c r="Q250" i="24"/>
  <c r="R250" i="24" s="1"/>
  <c r="S309" i="23"/>
  <c r="R260" i="2"/>
  <c r="Q256" i="22"/>
  <c r="S256" i="22" s="1"/>
  <c r="Q191" i="22"/>
  <c r="R191" i="22" s="1"/>
  <c r="P187" i="2"/>
  <c r="R244" i="26"/>
  <c r="R242" i="21"/>
  <c r="Q312" i="21" s="1"/>
  <c r="O331" i="28"/>
  <c r="S242" i="28"/>
  <c r="R312" i="28" s="1"/>
  <c r="Q312" i="28"/>
  <c r="Q256" i="26"/>
  <c r="Q256" i="23"/>
  <c r="R256" i="23" s="1"/>
  <c r="S246" i="27"/>
  <c r="Q252" i="29"/>
  <c r="Q246" i="23"/>
  <c r="R246" i="23" s="1"/>
  <c r="O175" i="28"/>
  <c r="R244" i="2"/>
  <c r="Q258" i="22"/>
  <c r="R258" i="22" s="1"/>
  <c r="P173" i="24"/>
  <c r="S170" i="24"/>
  <c r="O328" i="22"/>
  <c r="P340" i="22" s="1"/>
  <c r="AL98" i="22" s="1"/>
  <c r="AK98" i="22" s="1"/>
  <c r="AJ98" i="22" s="1"/>
  <c r="Q170" i="24"/>
  <c r="Q244" i="22"/>
  <c r="R244" i="22" s="1"/>
  <c r="R246" i="24"/>
  <c r="S246" i="24" s="1"/>
  <c r="O331" i="24"/>
  <c r="R260" i="28"/>
  <c r="S260" i="28" s="1"/>
  <c r="R250" i="23"/>
  <c r="S250" i="23" s="1"/>
  <c r="Q250" i="22"/>
  <c r="R252" i="26"/>
  <c r="O331" i="21"/>
  <c r="Q252" i="23"/>
  <c r="R252" i="23" s="1"/>
  <c r="O181" i="28"/>
  <c r="O309" i="24"/>
  <c r="P309" i="24" s="1"/>
  <c r="Q242" i="29"/>
  <c r="P175" i="24"/>
  <c r="O175" i="24"/>
  <c r="S242" i="2"/>
  <c r="R312" i="2" s="1"/>
  <c r="S312" i="2"/>
  <c r="R252" i="21"/>
  <c r="S252" i="21" s="1"/>
  <c r="R76" i="21"/>
  <c r="AQ55" i="21" s="1"/>
  <c r="AP55" i="21" s="1"/>
  <c r="B109" i="29"/>
  <c r="AI3" i="29"/>
  <c r="S242" i="21"/>
  <c r="R312" i="21" s="1"/>
  <c r="P209" i="2"/>
  <c r="P210" i="2" s="1"/>
  <c r="AQ45" i="21"/>
  <c r="AP45" i="21" s="1"/>
  <c r="Q223" i="24"/>
  <c r="Q224" i="24" s="1"/>
  <c r="B109" i="22"/>
  <c r="P191" i="24"/>
  <c r="AI1" i="24"/>
  <c r="O191" i="24"/>
  <c r="R244" i="29"/>
  <c r="S244" i="29" s="1"/>
  <c r="S190" i="24"/>
  <c r="AF6" i="22"/>
  <c r="R186" i="24"/>
  <c r="AF7" i="22"/>
  <c r="T176" i="24"/>
  <c r="T177" i="24" s="1"/>
  <c r="Q113" i="22"/>
  <c r="S304" i="21"/>
  <c r="T300" i="21"/>
  <c r="Q260" i="26"/>
  <c r="O28" i="24"/>
  <c r="O181" i="24"/>
  <c r="S312" i="29"/>
  <c r="S190" i="27"/>
  <c r="O328" i="25"/>
  <c r="P342" i="25" s="1"/>
  <c r="AL100" i="25" s="1"/>
  <c r="AK100" i="25" s="1"/>
  <c r="AJ100" i="25" s="1"/>
  <c r="R252" i="2"/>
  <c r="S252" i="2" s="1"/>
  <c r="AI3" i="21"/>
  <c r="R304" i="21"/>
  <c r="Q260" i="22"/>
  <c r="Q296" i="21"/>
  <c r="T302" i="21"/>
  <c r="T304" i="21"/>
  <c r="Q80" i="21"/>
  <c r="AQ54" i="21" s="1"/>
  <c r="AP54" i="21" s="1"/>
  <c r="R79" i="21"/>
  <c r="AQ58" i="21" s="1"/>
  <c r="AP58" i="21" s="1"/>
  <c r="Q302" i="21"/>
  <c r="Q181" i="25"/>
  <c r="R181" i="25" s="1"/>
  <c r="R78" i="21"/>
  <c r="AQ57" i="21" s="1"/>
  <c r="AP57" i="21" s="1"/>
  <c r="R303" i="21"/>
  <c r="S295" i="21"/>
  <c r="T299" i="21"/>
  <c r="T297" i="21"/>
  <c r="S302" i="21"/>
  <c r="R298" i="21"/>
  <c r="P189" i="24"/>
  <c r="T303" i="21"/>
  <c r="T301" i="21"/>
  <c r="S298" i="21"/>
  <c r="R299" i="21"/>
  <c r="Q303" i="21"/>
  <c r="P187" i="28"/>
  <c r="AF5" i="25"/>
  <c r="AI3" i="25"/>
  <c r="T298" i="21"/>
  <c r="T296" i="21"/>
  <c r="P6" i="24"/>
  <c r="AI3" i="24" s="1"/>
  <c r="T174" i="24"/>
  <c r="T175" i="24" s="1"/>
  <c r="P215" i="24"/>
  <c r="P216" i="24" s="1"/>
  <c r="P209" i="24"/>
  <c r="P210" i="24" s="1"/>
  <c r="S308" i="24"/>
  <c r="R327" i="24"/>
  <c r="R328" i="24" s="1"/>
  <c r="S340" i="24" s="1"/>
  <c r="AL134" i="24" s="1"/>
  <c r="AK134" i="24" s="1"/>
  <c r="AJ134" i="24" s="1"/>
  <c r="R113" i="23"/>
  <c r="AF6" i="23"/>
  <c r="AF8" i="21"/>
  <c r="S299" i="21"/>
  <c r="S297" i="21"/>
  <c r="R296" i="21"/>
  <c r="R302" i="21"/>
  <c r="Q297" i="21"/>
  <c r="Q295" i="21"/>
  <c r="Q300" i="21"/>
  <c r="Q175" i="25"/>
  <c r="AL180" i="24"/>
  <c r="P221" i="24"/>
  <c r="P222" i="24" s="1"/>
  <c r="P308" i="24"/>
  <c r="R180" i="24"/>
  <c r="R176" i="24"/>
  <c r="O32" i="24"/>
  <c r="P8" i="23"/>
  <c r="P100" i="23" s="1"/>
  <c r="B109" i="21"/>
  <c r="S296" i="21"/>
  <c r="S301" i="21"/>
  <c r="R297" i="21"/>
  <c r="R295" i="21"/>
  <c r="Q301" i="21"/>
  <c r="Q299" i="21"/>
  <c r="Q304" i="21"/>
  <c r="Q176" i="24"/>
  <c r="Q177" i="24" s="1"/>
  <c r="Q186" i="24"/>
  <c r="R174" i="24"/>
  <c r="T188" i="24"/>
  <c r="T189" i="24" s="1"/>
  <c r="O50" i="24"/>
  <c r="O109" i="23"/>
  <c r="T295" i="21"/>
  <c r="S303" i="21"/>
  <c r="S300" i="21"/>
  <c r="R300" i="21"/>
  <c r="R301" i="21"/>
  <c r="Q298" i="21"/>
  <c r="R181" i="26"/>
  <c r="S181" i="26" s="1"/>
  <c r="R258" i="26"/>
  <c r="T186" i="24"/>
  <c r="T187" i="24" s="1"/>
  <c r="Q188" i="24"/>
  <c r="Q172" i="24"/>
  <c r="R188" i="24"/>
  <c r="Q182" i="24"/>
  <c r="T225" i="24"/>
  <c r="T226" i="24" s="1"/>
  <c r="Q221" i="24"/>
  <c r="Q222" i="24" s="1"/>
  <c r="S174" i="24"/>
  <c r="P225" i="24"/>
  <c r="P226" i="24" s="1"/>
  <c r="R190" i="24"/>
  <c r="B123" i="24"/>
  <c r="P217" i="24"/>
  <c r="P218" i="24" s="1"/>
  <c r="T221" i="24"/>
  <c r="T222" i="24" s="1"/>
  <c r="S223" i="24"/>
  <c r="S224" i="24" s="1"/>
  <c r="R225" i="24"/>
  <c r="R226" i="24" s="1"/>
  <c r="O30" i="24"/>
  <c r="R172" i="24"/>
  <c r="R308" i="24"/>
  <c r="S188" i="24"/>
  <c r="S327" i="24"/>
  <c r="S328" i="24" s="1"/>
  <c r="O34" i="24"/>
  <c r="P211" i="24"/>
  <c r="P212" i="24" s="1"/>
  <c r="P223" i="24"/>
  <c r="P224" i="24" s="1"/>
  <c r="S221" i="24"/>
  <c r="S222" i="24" s="1"/>
  <c r="S182" i="24"/>
  <c r="T211" i="24"/>
  <c r="T212" i="24" s="1"/>
  <c r="Q207" i="24"/>
  <c r="Q208" i="24" s="1"/>
  <c r="Q327" i="24"/>
  <c r="Q328" i="24" s="1"/>
  <c r="AL155" i="24"/>
  <c r="P207" i="24"/>
  <c r="P208" i="24" s="1"/>
  <c r="T182" i="24"/>
  <c r="T183" i="24" s="1"/>
  <c r="O31" i="24"/>
  <c r="AL168" i="24"/>
  <c r="S186" i="24"/>
  <c r="O327" i="24"/>
  <c r="T190" i="24"/>
  <c r="T191" i="24" s="1"/>
  <c r="R182" i="24"/>
  <c r="T223" i="24"/>
  <c r="T224" i="24" s="1"/>
  <c r="R211" i="24"/>
  <c r="R212" i="24" s="1"/>
  <c r="S207" i="24"/>
  <c r="S208" i="24" s="1"/>
  <c r="O29" i="24"/>
  <c r="O35" i="24"/>
  <c r="O50" i="2"/>
  <c r="P223" i="27"/>
  <c r="P224" i="27" s="1"/>
  <c r="S180" i="24"/>
  <c r="O33" i="24"/>
  <c r="AL156" i="24"/>
  <c r="Q308" i="24"/>
  <c r="R207" i="24"/>
  <c r="R208" i="24" s="1"/>
  <c r="S176" i="24"/>
  <c r="R221" i="24"/>
  <c r="R222" i="24" s="1"/>
  <c r="T172" i="24"/>
  <c r="T173" i="24" s="1"/>
  <c r="S211" i="24"/>
  <c r="S212" i="24" s="1"/>
  <c r="Q180" i="24"/>
  <c r="T180" i="24"/>
  <c r="T181" i="24" s="1"/>
  <c r="S225" i="24"/>
  <c r="S226" i="24" s="1"/>
  <c r="S172" i="24"/>
  <c r="P327" i="24"/>
  <c r="P328" i="24" s="1"/>
  <c r="Q342" i="24" s="1"/>
  <c r="AL112" i="24" s="1"/>
  <c r="AK112" i="24" s="1"/>
  <c r="AJ112" i="24" s="1"/>
  <c r="AL167" i="24"/>
  <c r="R158" i="24" s="1"/>
  <c r="Q190" i="24"/>
  <c r="T207" i="24"/>
  <c r="T208" i="24" s="1"/>
  <c r="AL179" i="24"/>
  <c r="S158" i="24" s="1"/>
  <c r="R223" i="24"/>
  <c r="R224" i="24" s="1"/>
  <c r="Q225" i="24"/>
  <c r="Q226" i="24" s="1"/>
  <c r="Q211" i="24"/>
  <c r="Q212" i="24" s="1"/>
  <c r="T182" i="27"/>
  <c r="T183" i="27" s="1"/>
  <c r="Q170" i="28"/>
  <c r="AF9" i="23"/>
  <c r="AF11" i="23"/>
  <c r="AF8" i="23"/>
  <c r="P109" i="23"/>
  <c r="P327" i="2"/>
  <c r="P328" i="2" s="1"/>
  <c r="Q343" i="2" s="1"/>
  <c r="AL113" i="2" s="1"/>
  <c r="AK113" i="2" s="1"/>
  <c r="AJ113" i="2" s="1"/>
  <c r="S170" i="28"/>
  <c r="R244" i="25"/>
  <c r="S244" i="25" s="1"/>
  <c r="Q113" i="23"/>
  <c r="AF3" i="23"/>
  <c r="AF2" i="23"/>
  <c r="AF5" i="23"/>
  <c r="B109" i="23"/>
  <c r="P189" i="2"/>
  <c r="R182" i="2"/>
  <c r="P175" i="28"/>
  <c r="AF4" i="23"/>
  <c r="AF7" i="23"/>
  <c r="AF10" i="23"/>
  <c r="H40" i="23" s="1"/>
  <c r="R246" i="28"/>
  <c r="S246" i="28" s="1"/>
  <c r="O327" i="28"/>
  <c r="S207" i="28"/>
  <c r="S208" i="28" s="1"/>
  <c r="R250" i="26"/>
  <c r="S250" i="26" s="1"/>
  <c r="R250" i="27"/>
  <c r="S250" i="27" s="1"/>
  <c r="AI1" i="2"/>
  <c r="S170" i="2"/>
  <c r="O175" i="2"/>
  <c r="Q170" i="2"/>
  <c r="P175" i="2"/>
  <c r="Q258" i="29"/>
  <c r="R252" i="24"/>
  <c r="P191" i="27"/>
  <c r="O191" i="27"/>
  <c r="R327" i="28"/>
  <c r="R328" i="28" s="1"/>
  <c r="S339" i="28" s="1"/>
  <c r="AL133" i="28" s="1"/>
  <c r="AK133" i="28" s="1"/>
  <c r="AJ133" i="28" s="1"/>
  <c r="O309" i="28"/>
  <c r="P309" i="28" s="1"/>
  <c r="P173" i="28"/>
  <c r="S250" i="24"/>
  <c r="S309" i="25"/>
  <c r="R113" i="22"/>
  <c r="AF4" i="22"/>
  <c r="AF11" i="22"/>
  <c r="P8" i="22"/>
  <c r="P100" i="22" s="1"/>
  <c r="AF5" i="21"/>
  <c r="AF8" i="22"/>
  <c r="AF5" i="22"/>
  <c r="O109" i="22"/>
  <c r="AF9" i="22"/>
  <c r="AF2" i="21"/>
  <c r="AF4" i="21"/>
  <c r="AF10" i="22"/>
  <c r="AF3" i="22"/>
  <c r="AF2" i="22"/>
  <c r="P109" i="22"/>
  <c r="P8" i="21"/>
  <c r="P100" i="21" s="1"/>
  <c r="AF11" i="21"/>
  <c r="Q113" i="21"/>
  <c r="AF10" i="21"/>
  <c r="AF3" i="21"/>
  <c r="P109" i="21"/>
  <c r="O328" i="23"/>
  <c r="AF7" i="21"/>
  <c r="AF9" i="21"/>
  <c r="AF6" i="21"/>
  <c r="O109" i="21"/>
  <c r="R250" i="25"/>
  <c r="S250" i="25" s="1"/>
  <c r="S186" i="28"/>
  <c r="R207" i="28"/>
  <c r="R208" i="28" s="1"/>
  <c r="R223" i="28"/>
  <c r="R224" i="28" s="1"/>
  <c r="S252" i="24"/>
  <c r="S180" i="28"/>
  <c r="P177" i="28"/>
  <c r="O177" i="28"/>
  <c r="S242" i="27"/>
  <c r="R312" i="27" s="1"/>
  <c r="T190" i="27"/>
  <c r="T191" i="27" s="1"/>
  <c r="Q170" i="27"/>
  <c r="P175" i="27"/>
  <c r="O175" i="27"/>
  <c r="S170" i="27"/>
  <c r="S312" i="27"/>
  <c r="Q312" i="27"/>
  <c r="S256" i="27"/>
  <c r="AL167" i="27"/>
  <c r="Q158" i="27" s="1"/>
  <c r="Q327" i="27"/>
  <c r="Q328" i="27" s="1"/>
  <c r="R343" i="27" s="1"/>
  <c r="AL125" i="27" s="1"/>
  <c r="AK125" i="27" s="1"/>
  <c r="AJ125" i="27" s="1"/>
  <c r="R308" i="27"/>
  <c r="P173" i="27"/>
  <c r="T207" i="27"/>
  <c r="T208" i="27" s="1"/>
  <c r="O309" i="27"/>
  <c r="P309" i="27" s="1"/>
  <c r="Q180" i="27"/>
  <c r="O327" i="27"/>
  <c r="R176" i="27"/>
  <c r="S309" i="22"/>
  <c r="T174" i="2"/>
  <c r="T175" i="2" s="1"/>
  <c r="P215" i="2"/>
  <c r="P216" i="2" s="1"/>
  <c r="B123" i="2"/>
  <c r="O33" i="2"/>
  <c r="Q186" i="2"/>
  <c r="Q172" i="2"/>
  <c r="S256" i="24"/>
  <c r="R181" i="22"/>
  <c r="S181" i="22" s="1"/>
  <c r="T236" i="21"/>
  <c r="T232" i="21"/>
  <c r="T235" i="21"/>
  <c r="T231" i="21"/>
  <c r="T230" i="21"/>
  <c r="T233" i="21"/>
  <c r="T234" i="21"/>
  <c r="T237" i="21"/>
  <c r="S237" i="21"/>
  <c r="S233" i="21"/>
  <c r="S236" i="21"/>
  <c r="S232" i="21"/>
  <c r="S235" i="21"/>
  <c r="S230" i="21"/>
  <c r="S231" i="21"/>
  <c r="S234" i="21"/>
  <c r="R341" i="21"/>
  <c r="AL123" i="21" s="1"/>
  <c r="AK123" i="21" s="1"/>
  <c r="AJ123" i="21" s="1"/>
  <c r="R340" i="21"/>
  <c r="AL122" i="21" s="1"/>
  <c r="AK122" i="21" s="1"/>
  <c r="AJ122" i="21" s="1"/>
  <c r="R343" i="21"/>
  <c r="AL125" i="21" s="1"/>
  <c r="AK125" i="21" s="1"/>
  <c r="AJ125" i="21" s="1"/>
  <c r="R342" i="21"/>
  <c r="AL124" i="21" s="1"/>
  <c r="AK124" i="21" s="1"/>
  <c r="AJ124" i="21" s="1"/>
  <c r="S211" i="2"/>
  <c r="S212" i="2" s="1"/>
  <c r="R186" i="2"/>
  <c r="S223" i="2"/>
  <c r="S224" i="2" s="1"/>
  <c r="R190" i="2"/>
  <c r="Q180" i="2"/>
  <c r="Q181" i="2" s="1"/>
  <c r="O327" i="2"/>
  <c r="Q159" i="21"/>
  <c r="R159" i="21"/>
  <c r="T158" i="21"/>
  <c r="S158" i="21"/>
  <c r="S340" i="21"/>
  <c r="AL134" i="21" s="1"/>
  <c r="AK134" i="21" s="1"/>
  <c r="AJ134" i="21" s="1"/>
  <c r="S343" i="21"/>
  <c r="AL137" i="21" s="1"/>
  <c r="AK137" i="21" s="1"/>
  <c r="AJ137" i="21" s="1"/>
  <c r="S339" i="21"/>
  <c r="AL133" i="21" s="1"/>
  <c r="AK133" i="21" s="1"/>
  <c r="AJ133" i="21" s="1"/>
  <c r="S342" i="21"/>
  <c r="AL136" i="21" s="1"/>
  <c r="AK136" i="21" s="1"/>
  <c r="AJ136" i="21" s="1"/>
  <c r="S338" i="21"/>
  <c r="AL132" i="21" s="1"/>
  <c r="AK132" i="21" s="1"/>
  <c r="AJ132" i="21" s="1"/>
  <c r="S341" i="21"/>
  <c r="AL135" i="21" s="1"/>
  <c r="AK135" i="21" s="1"/>
  <c r="AJ135" i="21" s="1"/>
  <c r="T134" i="21"/>
  <c r="T159" i="21"/>
  <c r="S159" i="21"/>
  <c r="R308" i="2"/>
  <c r="T180" i="2"/>
  <c r="T181" i="2" s="1"/>
  <c r="P217" i="2"/>
  <c r="P218" i="2" s="1"/>
  <c r="O34" i="2"/>
  <c r="S188" i="2"/>
  <c r="P173" i="2"/>
  <c r="Q235" i="21"/>
  <c r="Q231" i="21"/>
  <c r="Q234" i="21"/>
  <c r="Q237" i="21"/>
  <c r="Q232" i="21"/>
  <c r="Q233" i="21"/>
  <c r="Q236" i="21"/>
  <c r="Q342" i="21"/>
  <c r="AL112" i="21" s="1"/>
  <c r="AK112" i="21" s="1"/>
  <c r="AJ112" i="21" s="1"/>
  <c r="Q341" i="21"/>
  <c r="AL111" i="21" s="1"/>
  <c r="AK111" i="21" s="1"/>
  <c r="AJ111" i="21" s="1"/>
  <c r="Q340" i="21"/>
  <c r="AL110" i="21" s="1"/>
  <c r="AK110" i="21" s="1"/>
  <c r="AJ110" i="21" s="1"/>
  <c r="Q343" i="21"/>
  <c r="AL113" i="21" s="1"/>
  <c r="AK113" i="21" s="1"/>
  <c r="AJ113" i="21" s="1"/>
  <c r="R234" i="21"/>
  <c r="R230" i="21"/>
  <c r="R237" i="21"/>
  <c r="R233" i="21"/>
  <c r="R232" i="21"/>
  <c r="R235" i="21"/>
  <c r="R236" i="21"/>
  <c r="R231" i="21"/>
  <c r="Q158" i="21"/>
  <c r="R158" i="21"/>
  <c r="T343" i="21"/>
  <c r="AL149" i="21" s="1"/>
  <c r="AK149" i="21" s="1"/>
  <c r="AJ149" i="21" s="1"/>
  <c r="T339" i="21"/>
  <c r="AL145" i="21" s="1"/>
  <c r="AK145" i="21" s="1"/>
  <c r="AJ145" i="21" s="1"/>
  <c r="T342" i="21"/>
  <c r="AL148" i="21" s="1"/>
  <c r="AK148" i="21" s="1"/>
  <c r="AJ148" i="21" s="1"/>
  <c r="T338" i="21"/>
  <c r="AL144" i="21" s="1"/>
  <c r="AK144" i="21" s="1"/>
  <c r="AJ144" i="21" s="1"/>
  <c r="T341" i="21"/>
  <c r="AL147" i="21" s="1"/>
  <c r="AK147" i="21" s="1"/>
  <c r="AJ147" i="21" s="1"/>
  <c r="T340" i="21"/>
  <c r="AL146" i="21" s="1"/>
  <c r="AK146" i="21" s="1"/>
  <c r="AJ146" i="21" s="1"/>
  <c r="Q159" i="22"/>
  <c r="Q158" i="22"/>
  <c r="R234" i="22"/>
  <c r="R230" i="22"/>
  <c r="R237" i="22"/>
  <c r="R233" i="22"/>
  <c r="R232" i="22"/>
  <c r="R235" i="22"/>
  <c r="R231" i="22"/>
  <c r="R236" i="22"/>
  <c r="Q235" i="22"/>
  <c r="Q231" i="22"/>
  <c r="Q234" i="22"/>
  <c r="Q237" i="22"/>
  <c r="Q232" i="22"/>
  <c r="Q236" i="22"/>
  <c r="Q233" i="22"/>
  <c r="T342" i="22"/>
  <c r="AL148" i="22" s="1"/>
  <c r="AK148" i="22" s="1"/>
  <c r="AJ148" i="22" s="1"/>
  <c r="T338" i="22"/>
  <c r="AL144" i="22" s="1"/>
  <c r="AK144" i="22" s="1"/>
  <c r="AJ144" i="22" s="1"/>
  <c r="T341" i="22"/>
  <c r="AL147" i="22" s="1"/>
  <c r="AK147" i="22" s="1"/>
  <c r="AJ147" i="22" s="1"/>
  <c r="T343" i="22"/>
  <c r="AL149" i="22" s="1"/>
  <c r="AK149" i="22" s="1"/>
  <c r="AJ149" i="22" s="1"/>
  <c r="T339" i="22"/>
  <c r="AL145" i="22" s="1"/>
  <c r="AK145" i="22" s="1"/>
  <c r="AJ145" i="22" s="1"/>
  <c r="T340" i="22"/>
  <c r="AL146" i="22" s="1"/>
  <c r="AK146" i="22" s="1"/>
  <c r="AJ146" i="22" s="1"/>
  <c r="S172" i="27"/>
  <c r="Q225" i="27"/>
  <c r="Q226" i="27" s="1"/>
  <c r="Q308" i="27"/>
  <c r="O31" i="27"/>
  <c r="Q207" i="27"/>
  <c r="Q208" i="27" s="1"/>
  <c r="Q186" i="27"/>
  <c r="T223" i="27"/>
  <c r="T224" i="27" s="1"/>
  <c r="O35" i="27"/>
  <c r="AL155" i="27"/>
  <c r="T176" i="27"/>
  <c r="T177" i="27" s="1"/>
  <c r="R211" i="27"/>
  <c r="R212" i="27" s="1"/>
  <c r="P191" i="28"/>
  <c r="S237" i="22"/>
  <c r="S233" i="22"/>
  <c r="S236" i="22"/>
  <c r="S232" i="22"/>
  <c r="S235" i="22"/>
  <c r="S230" i="22"/>
  <c r="S231" i="22"/>
  <c r="S234" i="22"/>
  <c r="S158" i="22"/>
  <c r="T159" i="22"/>
  <c r="R302" i="22"/>
  <c r="R298" i="22"/>
  <c r="R301" i="22"/>
  <c r="R297" i="22"/>
  <c r="R303" i="22"/>
  <c r="R295" i="22"/>
  <c r="R304" i="22"/>
  <c r="R296" i="22"/>
  <c r="R299" i="22"/>
  <c r="R300" i="22"/>
  <c r="Q303" i="22"/>
  <c r="Q299" i="22"/>
  <c r="Q295" i="22"/>
  <c r="Q302" i="22"/>
  <c r="Q298" i="22"/>
  <c r="Q300" i="22"/>
  <c r="Q301" i="22"/>
  <c r="Q296" i="22"/>
  <c r="Q304" i="22"/>
  <c r="Q297" i="22"/>
  <c r="B109" i="26"/>
  <c r="AI3" i="26"/>
  <c r="R340" i="22"/>
  <c r="AL122" i="22" s="1"/>
  <c r="AK122" i="22" s="1"/>
  <c r="AJ122" i="22" s="1"/>
  <c r="R343" i="22"/>
  <c r="AL125" i="22" s="1"/>
  <c r="AK125" i="22" s="1"/>
  <c r="AJ125" i="22" s="1"/>
  <c r="R342" i="22"/>
  <c r="AL124" i="22" s="1"/>
  <c r="AK124" i="22" s="1"/>
  <c r="AJ124" i="22" s="1"/>
  <c r="R341" i="22"/>
  <c r="AL123" i="22" s="1"/>
  <c r="AK123" i="22" s="1"/>
  <c r="AJ123" i="22" s="1"/>
  <c r="T304" i="22"/>
  <c r="T300" i="22"/>
  <c r="T296" i="22"/>
  <c r="T303" i="22"/>
  <c r="T299" i="22"/>
  <c r="T295" i="22"/>
  <c r="T301" i="22"/>
  <c r="T302" i="22"/>
  <c r="T298" i="22"/>
  <c r="T297" i="22"/>
  <c r="T172" i="27"/>
  <c r="T173" i="27" s="1"/>
  <c r="O50" i="27"/>
  <c r="R174" i="27"/>
  <c r="R188" i="27"/>
  <c r="S174" i="27"/>
  <c r="S225" i="27"/>
  <c r="S226" i="27" s="1"/>
  <c r="AL156" i="27"/>
  <c r="S221" i="27"/>
  <c r="S222" i="27" s="1"/>
  <c r="O28" i="27"/>
  <c r="Q172" i="27"/>
  <c r="S188" i="27"/>
  <c r="R223" i="27"/>
  <c r="R224" i="27" s="1"/>
  <c r="O191" i="28"/>
  <c r="Q341" i="22"/>
  <c r="AL111" i="22" s="1"/>
  <c r="AK111" i="22" s="1"/>
  <c r="AJ111" i="22" s="1"/>
  <c r="Q340" i="22"/>
  <c r="AL110" i="22" s="1"/>
  <c r="AK110" i="22" s="1"/>
  <c r="AJ110" i="22" s="1"/>
  <c r="Q342" i="22"/>
  <c r="AL112" i="22" s="1"/>
  <c r="AK112" i="22" s="1"/>
  <c r="AJ112" i="22" s="1"/>
  <c r="Q343" i="22"/>
  <c r="AL113" i="22" s="1"/>
  <c r="AK113" i="22" s="1"/>
  <c r="AJ113" i="22" s="1"/>
  <c r="Q80" i="22"/>
  <c r="AQ54" i="22" s="1"/>
  <c r="AP54" i="22" s="1"/>
  <c r="R78" i="22"/>
  <c r="AQ57" i="22" s="1"/>
  <c r="AP57" i="22" s="1"/>
  <c r="R76" i="22"/>
  <c r="AQ55" i="22" s="1"/>
  <c r="AP55" i="22" s="1"/>
  <c r="R79" i="22"/>
  <c r="AQ58" i="22" s="1"/>
  <c r="AP58" i="22" s="1"/>
  <c r="AQ45" i="22"/>
  <c r="AP45" i="22" s="1"/>
  <c r="R80" i="22"/>
  <c r="AQ59" i="22" s="1"/>
  <c r="AP59" i="22" s="1"/>
  <c r="S207" i="27"/>
  <c r="S208" i="27" s="1"/>
  <c r="R182" i="27"/>
  <c r="P211" i="27"/>
  <c r="P212" i="27" s="1"/>
  <c r="T225" i="27"/>
  <c r="T226" i="27" s="1"/>
  <c r="T188" i="27"/>
  <c r="T189" i="27" s="1"/>
  <c r="P225" i="27"/>
  <c r="P226" i="27" s="1"/>
  <c r="Q221" i="27"/>
  <c r="Q222" i="27" s="1"/>
  <c r="P327" i="27"/>
  <c r="P328" i="27" s="1"/>
  <c r="Q342" i="27" s="1"/>
  <c r="AL112" i="27" s="1"/>
  <c r="AK112" i="27" s="1"/>
  <c r="AJ112" i="27" s="1"/>
  <c r="AL168" i="27"/>
  <c r="Q159" i="27" s="1"/>
  <c r="R225" i="27"/>
  <c r="R226" i="27" s="1"/>
  <c r="S343" i="22"/>
  <c r="AL137" i="22" s="1"/>
  <c r="AK137" i="22" s="1"/>
  <c r="AJ137" i="22" s="1"/>
  <c r="S339" i="22"/>
  <c r="AL133" i="22" s="1"/>
  <c r="AK133" i="22" s="1"/>
  <c r="AJ133" i="22" s="1"/>
  <c r="S342" i="22"/>
  <c r="AL136" i="22" s="1"/>
  <c r="AK136" i="22" s="1"/>
  <c r="AJ136" i="22" s="1"/>
  <c r="S338" i="22"/>
  <c r="AL132" i="22" s="1"/>
  <c r="AK132" i="22" s="1"/>
  <c r="AJ132" i="22" s="1"/>
  <c r="S340" i="22"/>
  <c r="AL134" i="22" s="1"/>
  <c r="AK134" i="22" s="1"/>
  <c r="AJ134" i="22" s="1"/>
  <c r="S341" i="22"/>
  <c r="AL135" i="22" s="1"/>
  <c r="AK135" i="22" s="1"/>
  <c r="AJ135" i="22" s="1"/>
  <c r="T236" i="22"/>
  <c r="T232" i="22"/>
  <c r="T235" i="22"/>
  <c r="T231" i="22"/>
  <c r="T230" i="22"/>
  <c r="T233" i="22"/>
  <c r="T234" i="22"/>
  <c r="T237" i="22"/>
  <c r="S301" i="22"/>
  <c r="S297" i="22"/>
  <c r="S304" i="22"/>
  <c r="S300" i="22"/>
  <c r="S296" i="22"/>
  <c r="S298" i="22"/>
  <c r="S299" i="22"/>
  <c r="S302" i="22"/>
  <c r="S295" i="22"/>
  <c r="S303" i="22"/>
  <c r="S159" i="22"/>
  <c r="P6" i="27"/>
  <c r="AI3" i="27" s="1"/>
  <c r="R180" i="27"/>
  <c r="AL179" i="27"/>
  <c r="T180" i="27"/>
  <c r="T181" i="27" s="1"/>
  <c r="Q190" i="27"/>
  <c r="Q191" i="27" s="1"/>
  <c r="Q182" i="27"/>
  <c r="Q188" i="27"/>
  <c r="R207" i="27"/>
  <c r="R208" i="27" s="1"/>
  <c r="R327" i="27"/>
  <c r="R328" i="27" s="1"/>
  <c r="S342" i="27" s="1"/>
  <c r="AL136" i="27" s="1"/>
  <c r="AK136" i="27" s="1"/>
  <c r="AJ136" i="27" s="1"/>
  <c r="O29" i="27"/>
  <c r="R221" i="27"/>
  <c r="R222" i="27" s="1"/>
  <c r="T186" i="27"/>
  <c r="T187" i="27" s="1"/>
  <c r="O33" i="27"/>
  <c r="T174" i="27"/>
  <c r="T175" i="27" s="1"/>
  <c r="R186" i="27"/>
  <c r="P209" i="27"/>
  <c r="P210" i="27" s="1"/>
  <c r="S308" i="27"/>
  <c r="Q176" i="27"/>
  <c r="S223" i="27"/>
  <c r="S224" i="27" s="1"/>
  <c r="S182" i="27"/>
  <c r="P207" i="27"/>
  <c r="P208" i="27" s="1"/>
  <c r="Q223" i="27"/>
  <c r="Q224" i="27" s="1"/>
  <c r="AI1" i="27"/>
  <c r="Q302" i="24"/>
  <c r="S211" i="27"/>
  <c r="S212" i="27" s="1"/>
  <c r="O30" i="27"/>
  <c r="Q174" i="27"/>
  <c r="Q175" i="27" s="1"/>
  <c r="R190" i="27"/>
  <c r="Q211" i="27"/>
  <c r="Q212" i="27" s="1"/>
  <c r="P221" i="27"/>
  <c r="P222" i="27" s="1"/>
  <c r="S327" i="27"/>
  <c r="S328" i="27" s="1"/>
  <c r="T339" i="27" s="1"/>
  <c r="AL145" i="27" s="1"/>
  <c r="AK145" i="27" s="1"/>
  <c r="AJ145" i="27" s="1"/>
  <c r="S180" i="27"/>
  <c r="S186" i="27"/>
  <c r="P215" i="27"/>
  <c r="P216" i="27" s="1"/>
  <c r="O32" i="27"/>
  <c r="AL180" i="27"/>
  <c r="S159" i="27" s="1"/>
  <c r="T211" i="27"/>
  <c r="T212" i="27" s="1"/>
  <c r="T221" i="27"/>
  <c r="T222" i="27" s="1"/>
  <c r="P308" i="27"/>
  <c r="R172" i="27"/>
  <c r="O34" i="27"/>
  <c r="B123" i="27"/>
  <c r="S176" i="27"/>
  <c r="P217" i="27"/>
  <c r="P218" i="27" s="1"/>
  <c r="S299" i="24"/>
  <c r="AF10" i="25"/>
  <c r="O181" i="27"/>
  <c r="P189" i="27"/>
  <c r="Q299" i="24"/>
  <c r="Q303" i="23"/>
  <c r="Q298" i="23"/>
  <c r="Q304" i="23"/>
  <c r="Q299" i="23"/>
  <c r="Q297" i="23"/>
  <c r="Q300" i="23"/>
  <c r="Q295" i="23"/>
  <c r="Q301" i="23"/>
  <c r="Q296" i="23"/>
  <c r="Q302" i="23"/>
  <c r="T176" i="28"/>
  <c r="T177" i="28" s="1"/>
  <c r="O33" i="28"/>
  <c r="S301" i="23"/>
  <c r="S296" i="23"/>
  <c r="S298" i="23"/>
  <c r="S300" i="23"/>
  <c r="S303" i="23"/>
  <c r="S297" i="23"/>
  <c r="S299" i="23"/>
  <c r="S302" i="23"/>
  <c r="S304" i="23"/>
  <c r="S295" i="23"/>
  <c r="R80" i="23"/>
  <c r="AQ59" i="23" s="1"/>
  <c r="AP59" i="23" s="1"/>
  <c r="R76" i="23"/>
  <c r="AQ55" i="23" s="1"/>
  <c r="AP55" i="23" s="1"/>
  <c r="AQ45" i="23"/>
  <c r="AP45" i="23" s="1"/>
  <c r="Q80" i="23"/>
  <c r="AQ54" i="23" s="1"/>
  <c r="AP54" i="23" s="1"/>
  <c r="R79" i="23"/>
  <c r="AQ58" i="23" s="1"/>
  <c r="AP58" i="23" s="1"/>
  <c r="R78" i="23"/>
  <c r="AQ57" i="23" s="1"/>
  <c r="AP57" i="23" s="1"/>
  <c r="T304" i="23"/>
  <c r="T299" i="23"/>
  <c r="T300" i="23"/>
  <c r="T295" i="23"/>
  <c r="T301" i="23"/>
  <c r="T296" i="23"/>
  <c r="T302" i="23"/>
  <c r="T297" i="23"/>
  <c r="T303" i="23"/>
  <c r="T298" i="23"/>
  <c r="R225" i="28"/>
  <c r="R226" i="28" s="1"/>
  <c r="R299" i="23"/>
  <c r="R301" i="23"/>
  <c r="R300" i="23"/>
  <c r="R295" i="23"/>
  <c r="R297" i="23"/>
  <c r="R302" i="23"/>
  <c r="R296" i="23"/>
  <c r="R298" i="23"/>
  <c r="R303" i="23"/>
  <c r="R304" i="23"/>
  <c r="R341" i="23"/>
  <c r="AL123" i="23" s="1"/>
  <c r="AK123" i="23" s="1"/>
  <c r="AJ123" i="23" s="1"/>
  <c r="R340" i="23"/>
  <c r="AL122" i="23" s="1"/>
  <c r="AK122" i="23" s="1"/>
  <c r="AJ122" i="23" s="1"/>
  <c r="R343" i="23"/>
  <c r="AL125" i="23" s="1"/>
  <c r="AK125" i="23" s="1"/>
  <c r="AJ125" i="23" s="1"/>
  <c r="R342" i="23"/>
  <c r="AL124" i="23" s="1"/>
  <c r="AK124" i="23" s="1"/>
  <c r="AJ124" i="23" s="1"/>
  <c r="R237" i="23"/>
  <c r="R233" i="23"/>
  <c r="R236" i="23"/>
  <c r="R232" i="23"/>
  <c r="R235" i="23"/>
  <c r="R230" i="23"/>
  <c r="R231" i="23"/>
  <c r="R234" i="23"/>
  <c r="S340" i="23"/>
  <c r="AL134" i="23" s="1"/>
  <c r="AK134" i="23" s="1"/>
  <c r="AJ134" i="23" s="1"/>
  <c r="S343" i="23"/>
  <c r="AL137" i="23" s="1"/>
  <c r="AK137" i="23" s="1"/>
  <c r="AJ137" i="23" s="1"/>
  <c r="S339" i="23"/>
  <c r="AL133" i="23" s="1"/>
  <c r="AK133" i="23" s="1"/>
  <c r="AJ133" i="23" s="1"/>
  <c r="S342" i="23"/>
  <c r="AL136" i="23" s="1"/>
  <c r="AK136" i="23" s="1"/>
  <c r="AJ136" i="23" s="1"/>
  <c r="S338" i="23"/>
  <c r="AL132" i="23" s="1"/>
  <c r="AK132" i="23" s="1"/>
  <c r="AJ132" i="23" s="1"/>
  <c r="S341" i="23"/>
  <c r="AL135" i="23" s="1"/>
  <c r="AK135" i="23" s="1"/>
  <c r="AJ135" i="23" s="1"/>
  <c r="Q113" i="25"/>
  <c r="R159" i="23"/>
  <c r="Q159" i="23"/>
  <c r="R158" i="23"/>
  <c r="Q158" i="23"/>
  <c r="T159" i="23"/>
  <c r="S159" i="23"/>
  <c r="S236" i="23"/>
  <c r="S232" i="23"/>
  <c r="S235" i="23"/>
  <c r="S231" i="23"/>
  <c r="S230" i="23"/>
  <c r="S233" i="23"/>
  <c r="S234" i="23"/>
  <c r="S237" i="23"/>
  <c r="T343" i="23"/>
  <c r="AL149" i="23" s="1"/>
  <c r="AK149" i="23" s="1"/>
  <c r="AJ149" i="23" s="1"/>
  <c r="T339" i="23"/>
  <c r="AL145" i="23" s="1"/>
  <c r="AK145" i="23" s="1"/>
  <c r="AJ145" i="23" s="1"/>
  <c r="T342" i="23"/>
  <c r="AL148" i="23" s="1"/>
  <c r="AK148" i="23" s="1"/>
  <c r="AJ148" i="23" s="1"/>
  <c r="T338" i="23"/>
  <c r="AL144" i="23" s="1"/>
  <c r="AK144" i="23" s="1"/>
  <c r="AJ144" i="23" s="1"/>
  <c r="T341" i="23"/>
  <c r="AL147" i="23" s="1"/>
  <c r="AK147" i="23" s="1"/>
  <c r="AJ147" i="23" s="1"/>
  <c r="T340" i="23"/>
  <c r="AL146" i="23" s="1"/>
  <c r="AK146" i="23" s="1"/>
  <c r="AJ146" i="23" s="1"/>
  <c r="AF8" i="25"/>
  <c r="T235" i="23"/>
  <c r="T231" i="23"/>
  <c r="T234" i="23"/>
  <c r="T230" i="23"/>
  <c r="T233" i="23"/>
  <c r="T236" i="23"/>
  <c r="T237" i="23"/>
  <c r="T232" i="23"/>
  <c r="Q342" i="23"/>
  <c r="AL112" i="23" s="1"/>
  <c r="AK112" i="23" s="1"/>
  <c r="AJ112" i="23" s="1"/>
  <c r="Q341" i="23"/>
  <c r="AL111" i="23" s="1"/>
  <c r="AK111" i="23" s="1"/>
  <c r="AJ111" i="23" s="1"/>
  <c r="Q340" i="23"/>
  <c r="AL110" i="23" s="1"/>
  <c r="AK110" i="23" s="1"/>
  <c r="AJ110" i="23" s="1"/>
  <c r="Q343" i="23"/>
  <c r="AL113" i="23" s="1"/>
  <c r="AK113" i="23" s="1"/>
  <c r="AJ113" i="23" s="1"/>
  <c r="Q234" i="23"/>
  <c r="Q237" i="23"/>
  <c r="Q233" i="23"/>
  <c r="Q232" i="23"/>
  <c r="Q235" i="23"/>
  <c r="Q236" i="23"/>
  <c r="Q231" i="23"/>
  <c r="T158" i="23"/>
  <c r="S158" i="23"/>
  <c r="S301" i="27"/>
  <c r="Q296" i="27"/>
  <c r="S296" i="27"/>
  <c r="S302" i="24"/>
  <c r="R298" i="27"/>
  <c r="T301" i="24"/>
  <c r="T296" i="24"/>
  <c r="T298" i="24"/>
  <c r="T297" i="24"/>
  <c r="T299" i="24"/>
  <c r="T303" i="24"/>
  <c r="T304" i="24"/>
  <c r="T302" i="24"/>
  <c r="T295" i="24"/>
  <c r="T300" i="24"/>
  <c r="T221" i="2"/>
  <c r="T222" i="2" s="1"/>
  <c r="P211" i="2"/>
  <c r="P212" i="2" s="1"/>
  <c r="Q327" i="2"/>
  <c r="Q328" i="2" s="1"/>
  <c r="O31" i="2"/>
  <c r="P225" i="2"/>
  <c r="P226" i="2" s="1"/>
  <c r="T211" i="2"/>
  <c r="T212" i="2" s="1"/>
  <c r="S221" i="2"/>
  <c r="S222" i="2" s="1"/>
  <c r="R176" i="2"/>
  <c r="R188" i="2"/>
  <c r="T172" i="2"/>
  <c r="T173" i="2" s="1"/>
  <c r="R225" i="2"/>
  <c r="R226" i="2" s="1"/>
  <c r="S190" i="2"/>
  <c r="O28" i="2"/>
  <c r="P223" i="2"/>
  <c r="P224" i="2" s="1"/>
  <c r="R223" i="2"/>
  <c r="R224" i="2" s="1"/>
  <c r="AL180" i="2"/>
  <c r="T223" i="2"/>
  <c r="T224" i="2" s="1"/>
  <c r="AL156" i="2"/>
  <c r="S207" i="2"/>
  <c r="S208" i="2" s="1"/>
  <c r="T188" i="2"/>
  <c r="T189" i="2" s="1"/>
  <c r="S186" i="2"/>
  <c r="R304" i="27"/>
  <c r="R113" i="25"/>
  <c r="AF4" i="25"/>
  <c r="B109" i="25"/>
  <c r="S296" i="24"/>
  <c r="S300" i="24"/>
  <c r="S295" i="24"/>
  <c r="S298" i="24"/>
  <c r="S297" i="24"/>
  <c r="Q296" i="24"/>
  <c r="Q298" i="24"/>
  <c r="Q295" i="24"/>
  <c r="Q300" i="24"/>
  <c r="Q297" i="24"/>
  <c r="Q301" i="24"/>
  <c r="Q303" i="24"/>
  <c r="S304" i="24"/>
  <c r="P6" i="2"/>
  <c r="AI3" i="2" s="1"/>
  <c r="S182" i="2"/>
  <c r="R207" i="2"/>
  <c r="R208" i="2" s="1"/>
  <c r="AL179" i="2"/>
  <c r="T158" i="2" s="1"/>
  <c r="R327" i="2"/>
  <c r="R328" i="2" s="1"/>
  <c r="S339" i="2" s="1"/>
  <c r="AL133" i="2" s="1"/>
  <c r="AK133" i="2" s="1"/>
  <c r="AJ133" i="2" s="1"/>
  <c r="Q221" i="2"/>
  <c r="Q222" i="2" s="1"/>
  <c r="AL155" i="2"/>
  <c r="S308" i="2"/>
  <c r="P221" i="2"/>
  <c r="P222" i="2" s="1"/>
  <c r="S172" i="2"/>
  <c r="S180" i="2"/>
  <c r="AL167" i="2"/>
  <c r="R158" i="2" s="1"/>
  <c r="Q223" i="2"/>
  <c r="Q224" i="2" s="1"/>
  <c r="Q190" i="2"/>
  <c r="Q191" i="2" s="1"/>
  <c r="Q188" i="2"/>
  <c r="O29" i="2"/>
  <c r="R172" i="2"/>
  <c r="R173" i="2" s="1"/>
  <c r="T225" i="2"/>
  <c r="T226" i="2" s="1"/>
  <c r="R211" i="2"/>
  <c r="R212" i="2" s="1"/>
  <c r="Q225" i="2"/>
  <c r="Q226" i="2" s="1"/>
  <c r="T207" i="2"/>
  <c r="T208" i="2" s="1"/>
  <c r="Q207" i="2"/>
  <c r="Q208" i="2" s="1"/>
  <c r="AF7" i="25"/>
  <c r="AF11" i="25"/>
  <c r="T301" i="27"/>
  <c r="S303" i="24"/>
  <c r="Q304" i="24"/>
  <c r="S301" i="24"/>
  <c r="T186" i="2"/>
  <c r="T187" i="2" s="1"/>
  <c r="T182" i="2"/>
  <c r="T183" i="2" s="1"/>
  <c r="Q211" i="2"/>
  <c r="Q212" i="2" s="1"/>
  <c r="S327" i="2"/>
  <c r="S328" i="2" s="1"/>
  <c r="T342" i="2" s="1"/>
  <c r="AL148" i="2" s="1"/>
  <c r="AK148" i="2" s="1"/>
  <c r="AJ148" i="2" s="1"/>
  <c r="O30" i="2"/>
  <c r="T176" i="2"/>
  <c r="T177" i="2" s="1"/>
  <c r="S174" i="2"/>
  <c r="O35" i="2"/>
  <c r="T190" i="2"/>
  <c r="T191" i="2" s="1"/>
  <c r="R180" i="2"/>
  <c r="R181" i="2" s="1"/>
  <c r="P207" i="2"/>
  <c r="P208" i="2" s="1"/>
  <c r="Q176" i="2"/>
  <c r="Q308" i="2"/>
  <c r="P308" i="2"/>
  <c r="AL168" i="2"/>
  <c r="S176" i="2"/>
  <c r="O32" i="2"/>
  <c r="Q174" i="2"/>
  <c r="R174" i="2"/>
  <c r="R221" i="2"/>
  <c r="R222" i="2" s="1"/>
  <c r="S225" i="2"/>
  <c r="S226" i="2" s="1"/>
  <c r="AF6" i="26"/>
  <c r="P8" i="25"/>
  <c r="P100" i="25" s="1"/>
  <c r="AF9" i="25"/>
  <c r="R302" i="24"/>
  <c r="R296" i="24"/>
  <c r="R303" i="24"/>
  <c r="R298" i="24"/>
  <c r="R297" i="24"/>
  <c r="R299" i="24"/>
  <c r="R301" i="24"/>
  <c r="R300" i="24"/>
  <c r="R295" i="24"/>
  <c r="R304" i="24"/>
  <c r="S309" i="29"/>
  <c r="R303" i="27"/>
  <c r="AF10" i="26"/>
  <c r="AF2" i="25"/>
  <c r="AF3" i="25"/>
  <c r="O109" i="25"/>
  <c r="P109" i="25"/>
  <c r="R258" i="28"/>
  <c r="S258" i="28" s="1"/>
  <c r="Q302" i="27"/>
  <c r="R256" i="26"/>
  <c r="R299" i="27"/>
  <c r="S303" i="27"/>
  <c r="AF2" i="26"/>
  <c r="AF6" i="25"/>
  <c r="S309" i="26"/>
  <c r="O328" i="26"/>
  <c r="P342" i="26" s="1"/>
  <c r="AL100" i="26" s="1"/>
  <c r="AK100" i="26" s="1"/>
  <c r="AJ100" i="26" s="1"/>
  <c r="AF4" i="26"/>
  <c r="T296" i="27"/>
  <c r="S297" i="27"/>
  <c r="R256" i="29"/>
  <c r="P8" i="26"/>
  <c r="P100" i="26" s="1"/>
  <c r="O109" i="26"/>
  <c r="S300" i="27"/>
  <c r="R296" i="27"/>
  <c r="R302" i="27"/>
  <c r="S298" i="27"/>
  <c r="P189" i="28"/>
  <c r="T172" i="28"/>
  <c r="T173" i="28" s="1"/>
  <c r="Q221" i="28"/>
  <c r="Q222" i="28" s="1"/>
  <c r="S225" i="28"/>
  <c r="S226" i="28" s="1"/>
  <c r="T174" i="28"/>
  <c r="T175" i="28" s="1"/>
  <c r="P207" i="28"/>
  <c r="P208" i="28" s="1"/>
  <c r="T302" i="27"/>
  <c r="S295" i="27"/>
  <c r="S304" i="27"/>
  <c r="S302" i="27"/>
  <c r="R297" i="27"/>
  <c r="R295" i="27"/>
  <c r="AF8" i="26"/>
  <c r="AF7" i="26"/>
  <c r="P109" i="26"/>
  <c r="O32" i="28"/>
  <c r="AL167" i="28"/>
  <c r="Q188" i="28"/>
  <c r="Q176" i="28"/>
  <c r="Q177" i="28" s="1"/>
  <c r="AL155" i="28"/>
  <c r="S299" i="27"/>
  <c r="R300" i="27"/>
  <c r="R301" i="27"/>
  <c r="R113" i="26"/>
  <c r="AF3" i="26"/>
  <c r="AF5" i="26"/>
  <c r="Q303" i="27"/>
  <c r="T297" i="27"/>
  <c r="R341" i="25"/>
  <c r="AL123" i="25" s="1"/>
  <c r="AK123" i="25" s="1"/>
  <c r="AJ123" i="25" s="1"/>
  <c r="R340" i="25"/>
  <c r="AL122" i="25" s="1"/>
  <c r="AK122" i="25" s="1"/>
  <c r="AJ122" i="25" s="1"/>
  <c r="R343" i="25"/>
  <c r="AL125" i="25" s="1"/>
  <c r="AK125" i="25" s="1"/>
  <c r="AJ125" i="25" s="1"/>
  <c r="R342" i="25"/>
  <c r="AL124" i="25" s="1"/>
  <c r="AK124" i="25" s="1"/>
  <c r="AJ124" i="25" s="1"/>
  <c r="T295" i="27"/>
  <c r="T300" i="27"/>
  <c r="Q297" i="27"/>
  <c r="Q295" i="27"/>
  <c r="Q300" i="27"/>
  <c r="T237" i="25"/>
  <c r="T233" i="25"/>
  <c r="T235" i="25"/>
  <c r="T231" i="25"/>
  <c r="T232" i="25"/>
  <c r="T230" i="25"/>
  <c r="T236" i="25"/>
  <c r="T234" i="25"/>
  <c r="R235" i="25"/>
  <c r="R231" i="25"/>
  <c r="R237" i="25"/>
  <c r="R233" i="25"/>
  <c r="R234" i="25"/>
  <c r="R232" i="25"/>
  <c r="R230" i="25"/>
  <c r="R236" i="25"/>
  <c r="S340" i="25"/>
  <c r="AL134" i="25" s="1"/>
  <c r="AK134" i="25" s="1"/>
  <c r="AJ134" i="25" s="1"/>
  <c r="S343" i="25"/>
  <c r="AL137" i="25" s="1"/>
  <c r="AK137" i="25" s="1"/>
  <c r="AJ137" i="25" s="1"/>
  <c r="S339" i="25"/>
  <c r="AL133" i="25" s="1"/>
  <c r="AK133" i="25" s="1"/>
  <c r="AJ133" i="25" s="1"/>
  <c r="S342" i="25"/>
  <c r="AL136" i="25" s="1"/>
  <c r="AK136" i="25" s="1"/>
  <c r="AJ136" i="25" s="1"/>
  <c r="S338" i="25"/>
  <c r="AL132" i="25" s="1"/>
  <c r="AK132" i="25" s="1"/>
  <c r="AJ132" i="25" s="1"/>
  <c r="S341" i="25"/>
  <c r="AL135" i="25" s="1"/>
  <c r="AK135" i="25" s="1"/>
  <c r="AJ135" i="25" s="1"/>
  <c r="Q304" i="25"/>
  <c r="Q300" i="25"/>
  <c r="Q296" i="25"/>
  <c r="Q303" i="25"/>
  <c r="Q299" i="25"/>
  <c r="Q295" i="25"/>
  <c r="Q302" i="25"/>
  <c r="Q298" i="25"/>
  <c r="Q301" i="25"/>
  <c r="Q297" i="25"/>
  <c r="R303" i="25"/>
  <c r="R299" i="25"/>
  <c r="R295" i="25"/>
  <c r="R302" i="25"/>
  <c r="R298" i="25"/>
  <c r="R301" i="25"/>
  <c r="R297" i="25"/>
  <c r="R296" i="25"/>
  <c r="R304" i="25"/>
  <c r="R300" i="25"/>
  <c r="Q159" i="25"/>
  <c r="T299" i="27"/>
  <c r="T304" i="27"/>
  <c r="Q301" i="27"/>
  <c r="Q299" i="27"/>
  <c r="Q304" i="27"/>
  <c r="Q113" i="26"/>
  <c r="AF9" i="26"/>
  <c r="AF11" i="26"/>
  <c r="S234" i="25"/>
  <c r="S230" i="25"/>
  <c r="S236" i="25"/>
  <c r="S232" i="25"/>
  <c r="S237" i="25"/>
  <c r="S235" i="25"/>
  <c r="S233" i="25"/>
  <c r="S231" i="25"/>
  <c r="Q236" i="25"/>
  <c r="Q232" i="25"/>
  <c r="Q234" i="25"/>
  <c r="Q231" i="25"/>
  <c r="Q237" i="25"/>
  <c r="Q233" i="25"/>
  <c r="Q235" i="25"/>
  <c r="T343" i="25"/>
  <c r="AL149" i="25" s="1"/>
  <c r="AK149" i="25" s="1"/>
  <c r="AJ149" i="25" s="1"/>
  <c r="T339" i="25"/>
  <c r="AL145" i="25" s="1"/>
  <c r="AK145" i="25" s="1"/>
  <c r="AJ145" i="25" s="1"/>
  <c r="T342" i="25"/>
  <c r="AL148" i="25" s="1"/>
  <c r="AK148" i="25" s="1"/>
  <c r="AJ148" i="25" s="1"/>
  <c r="T338" i="25"/>
  <c r="AL144" i="25" s="1"/>
  <c r="AK144" i="25" s="1"/>
  <c r="AJ144" i="25" s="1"/>
  <c r="T341" i="25"/>
  <c r="AL147" i="25" s="1"/>
  <c r="AK147" i="25" s="1"/>
  <c r="AJ147" i="25" s="1"/>
  <c r="T340" i="25"/>
  <c r="AL146" i="25" s="1"/>
  <c r="AK146" i="25" s="1"/>
  <c r="AJ146" i="25" s="1"/>
  <c r="S302" i="25"/>
  <c r="S298" i="25"/>
  <c r="S301" i="25"/>
  <c r="S297" i="25"/>
  <c r="S304" i="25"/>
  <c r="S300" i="25"/>
  <c r="S296" i="25"/>
  <c r="S299" i="25"/>
  <c r="S303" i="25"/>
  <c r="S295" i="25"/>
  <c r="T301" i="25"/>
  <c r="T297" i="25"/>
  <c r="T304" i="25"/>
  <c r="T300" i="25"/>
  <c r="T296" i="25"/>
  <c r="T303" i="25"/>
  <c r="T299" i="25"/>
  <c r="T295" i="25"/>
  <c r="T302" i="25"/>
  <c r="T298" i="25"/>
  <c r="T159" i="25"/>
  <c r="T298" i="27"/>
  <c r="T303" i="27"/>
  <c r="Q298" i="27"/>
  <c r="Q342" i="25"/>
  <c r="AL112" i="25" s="1"/>
  <c r="AK112" i="25" s="1"/>
  <c r="AJ112" i="25" s="1"/>
  <c r="Q341" i="25"/>
  <c r="AL111" i="25" s="1"/>
  <c r="AK111" i="25" s="1"/>
  <c r="AJ111" i="25" s="1"/>
  <c r="Q340" i="25"/>
  <c r="AL110" i="25" s="1"/>
  <c r="AK110" i="25" s="1"/>
  <c r="AJ110" i="25" s="1"/>
  <c r="Q343" i="25"/>
  <c r="AL113" i="25" s="1"/>
  <c r="AK113" i="25" s="1"/>
  <c r="AJ113" i="25" s="1"/>
  <c r="R80" i="25"/>
  <c r="AQ59" i="25" s="1"/>
  <c r="AP59" i="25" s="1"/>
  <c r="R79" i="25"/>
  <c r="AQ58" i="25" s="1"/>
  <c r="AP58" i="25" s="1"/>
  <c r="AQ45" i="25"/>
  <c r="AP45" i="25" s="1"/>
  <c r="Q80" i="25"/>
  <c r="AQ54" i="25" s="1"/>
  <c r="AP54" i="25" s="1"/>
  <c r="R76" i="25"/>
  <c r="AQ55" i="25" s="1"/>
  <c r="AP55" i="25" s="1"/>
  <c r="R78" i="25"/>
  <c r="AQ57" i="25" s="1"/>
  <c r="AP57" i="25" s="1"/>
  <c r="T158" i="25"/>
  <c r="Q158" i="25"/>
  <c r="R158" i="25"/>
  <c r="S159" i="26"/>
  <c r="T207" i="28"/>
  <c r="T208" i="28" s="1"/>
  <c r="R186" i="28"/>
  <c r="R182" i="28"/>
  <c r="AL156" i="28"/>
  <c r="Q182" i="28"/>
  <c r="S211" i="28"/>
  <c r="S212" i="28" s="1"/>
  <c r="P327" i="28"/>
  <c r="P328" i="28" s="1"/>
  <c r="Q341" i="28" s="1"/>
  <c r="AL111" i="28" s="1"/>
  <c r="AK111" i="28" s="1"/>
  <c r="AJ111" i="28" s="1"/>
  <c r="R176" i="28"/>
  <c r="Q211" i="28"/>
  <c r="Q212" i="28" s="1"/>
  <c r="S190" i="28"/>
  <c r="S308" i="28"/>
  <c r="R188" i="28"/>
  <c r="T186" i="28"/>
  <c r="T187" i="28" s="1"/>
  <c r="S174" i="28"/>
  <c r="P221" i="28"/>
  <c r="P222" i="28" s="1"/>
  <c r="S327" i="28"/>
  <c r="S328" i="28" s="1"/>
  <c r="T341" i="28" s="1"/>
  <c r="AL147" i="28" s="1"/>
  <c r="AK147" i="28" s="1"/>
  <c r="AJ147" i="28" s="1"/>
  <c r="Q236" i="26"/>
  <c r="Q232" i="26"/>
  <c r="Q235" i="26"/>
  <c r="Q231" i="26"/>
  <c r="Q233" i="26"/>
  <c r="Q234" i="26"/>
  <c r="Q237" i="26"/>
  <c r="Q342" i="26"/>
  <c r="AL112" i="26" s="1"/>
  <c r="AK112" i="26" s="1"/>
  <c r="AJ112" i="26" s="1"/>
  <c r="Q341" i="26"/>
  <c r="AL111" i="26" s="1"/>
  <c r="AK111" i="26" s="1"/>
  <c r="AJ111" i="26" s="1"/>
  <c r="Q340" i="26"/>
  <c r="AL110" i="26" s="1"/>
  <c r="AK110" i="26" s="1"/>
  <c r="AJ110" i="26" s="1"/>
  <c r="Q343" i="26"/>
  <c r="AL113" i="26" s="1"/>
  <c r="AK113" i="26" s="1"/>
  <c r="AJ113" i="26" s="1"/>
  <c r="T301" i="26"/>
  <c r="T297" i="26"/>
  <c r="T304" i="26"/>
  <c r="T300" i="26"/>
  <c r="T296" i="26"/>
  <c r="T303" i="26"/>
  <c r="T299" i="26"/>
  <c r="T295" i="26"/>
  <c r="T302" i="26"/>
  <c r="T298" i="26"/>
  <c r="T237" i="26"/>
  <c r="T233" i="26"/>
  <c r="T236" i="26"/>
  <c r="T232" i="26"/>
  <c r="T231" i="26"/>
  <c r="T234" i="26"/>
  <c r="T235" i="26"/>
  <c r="T230" i="26"/>
  <c r="S234" i="26"/>
  <c r="S230" i="26"/>
  <c r="S237" i="26"/>
  <c r="S233" i="26"/>
  <c r="S236" i="26"/>
  <c r="S231" i="26"/>
  <c r="S232" i="26"/>
  <c r="S235" i="26"/>
  <c r="Q304" i="26"/>
  <c r="Q300" i="26"/>
  <c r="Q296" i="26"/>
  <c r="Q303" i="26"/>
  <c r="Q299" i="26"/>
  <c r="Q295" i="26"/>
  <c r="Q302" i="26"/>
  <c r="Q298" i="26"/>
  <c r="Q297" i="26"/>
  <c r="Q301" i="26"/>
  <c r="R303" i="26"/>
  <c r="R299" i="26"/>
  <c r="R295" i="26"/>
  <c r="R302" i="26"/>
  <c r="R298" i="26"/>
  <c r="R301" i="26"/>
  <c r="R297" i="26"/>
  <c r="R296" i="26"/>
  <c r="R304" i="26"/>
  <c r="R300" i="26"/>
  <c r="O35" i="28"/>
  <c r="O34" i="28"/>
  <c r="P217" i="28"/>
  <c r="P218" i="28" s="1"/>
  <c r="Q186" i="28"/>
  <c r="R221" i="28"/>
  <c r="R222" i="28" s="1"/>
  <c r="Q223" i="28"/>
  <c r="Q224" i="28" s="1"/>
  <c r="R308" i="28"/>
  <c r="Q174" i="28"/>
  <c r="Q175" i="28" s="1"/>
  <c r="Q180" i="28"/>
  <c r="Q181" i="28" s="1"/>
  <c r="Q225" i="28"/>
  <c r="Q226" i="28" s="1"/>
  <c r="S223" i="28"/>
  <c r="S224" i="28" s="1"/>
  <c r="AL180" i="28"/>
  <c r="S159" i="28" s="1"/>
  <c r="Q207" i="28"/>
  <c r="Q208" i="28" s="1"/>
  <c r="P215" i="28"/>
  <c r="P216" i="28" s="1"/>
  <c r="O31" i="28"/>
  <c r="T182" i="28"/>
  <c r="T183" i="28" s="1"/>
  <c r="AL168" i="28"/>
  <c r="P209" i="28"/>
  <c r="P210" i="28" s="1"/>
  <c r="P308" i="28"/>
  <c r="P211" i="28"/>
  <c r="P212" i="28" s="1"/>
  <c r="T211" i="28"/>
  <c r="T212" i="28" s="1"/>
  <c r="T180" i="28"/>
  <c r="T181" i="28" s="1"/>
  <c r="T225" i="28"/>
  <c r="T226" i="28" s="1"/>
  <c r="AI1" i="28"/>
  <c r="R341" i="26"/>
  <c r="AL123" i="26" s="1"/>
  <c r="AK123" i="26" s="1"/>
  <c r="AJ123" i="26" s="1"/>
  <c r="R340" i="26"/>
  <c r="AL122" i="26" s="1"/>
  <c r="AK122" i="26" s="1"/>
  <c r="AJ122" i="26" s="1"/>
  <c r="R343" i="26"/>
  <c r="AL125" i="26" s="1"/>
  <c r="AK125" i="26" s="1"/>
  <c r="AJ125" i="26" s="1"/>
  <c r="R342" i="26"/>
  <c r="AL124" i="26" s="1"/>
  <c r="AK124" i="26" s="1"/>
  <c r="AJ124" i="26" s="1"/>
  <c r="S302" i="26"/>
  <c r="S298" i="26"/>
  <c r="S301" i="26"/>
  <c r="S297" i="26"/>
  <c r="S304" i="26"/>
  <c r="S300" i="26"/>
  <c r="S296" i="26"/>
  <c r="S299" i="26"/>
  <c r="S295" i="26"/>
  <c r="S303" i="26"/>
  <c r="R235" i="26"/>
  <c r="R231" i="26"/>
  <c r="R234" i="26"/>
  <c r="R230" i="26"/>
  <c r="R233" i="26"/>
  <c r="R236" i="26"/>
  <c r="R237" i="26"/>
  <c r="R232" i="26"/>
  <c r="T343" i="26"/>
  <c r="AL149" i="26" s="1"/>
  <c r="AK149" i="26" s="1"/>
  <c r="AJ149" i="26" s="1"/>
  <c r="T339" i="26"/>
  <c r="AL145" i="26" s="1"/>
  <c r="AK145" i="26" s="1"/>
  <c r="AJ145" i="26" s="1"/>
  <c r="T342" i="26"/>
  <c r="AL148" i="26" s="1"/>
  <c r="AK148" i="26" s="1"/>
  <c r="AJ148" i="26" s="1"/>
  <c r="T338" i="26"/>
  <c r="AL144" i="26" s="1"/>
  <c r="AK144" i="26" s="1"/>
  <c r="AJ144" i="26" s="1"/>
  <c r="T341" i="26"/>
  <c r="AL147" i="26" s="1"/>
  <c r="AK147" i="26" s="1"/>
  <c r="AJ147" i="26" s="1"/>
  <c r="T340" i="26"/>
  <c r="AL146" i="26" s="1"/>
  <c r="AK146" i="26" s="1"/>
  <c r="AJ146" i="26" s="1"/>
  <c r="P6" i="28"/>
  <c r="AF4" i="28" s="1"/>
  <c r="R190" i="28"/>
  <c r="R174" i="28"/>
  <c r="S188" i="28"/>
  <c r="O50" i="28"/>
  <c r="S182" i="28"/>
  <c r="T223" i="28"/>
  <c r="T224" i="28" s="1"/>
  <c r="O28" i="28"/>
  <c r="Q172" i="28"/>
  <c r="R211" i="28"/>
  <c r="R212" i="28" s="1"/>
  <c r="R172" i="28"/>
  <c r="S221" i="28"/>
  <c r="S222" i="28" s="1"/>
  <c r="O30" i="28"/>
  <c r="S176" i="28"/>
  <c r="T190" i="28"/>
  <c r="T191" i="28" s="1"/>
  <c r="AL179" i="28"/>
  <c r="P225" i="28"/>
  <c r="P226" i="28" s="1"/>
  <c r="Q190" i="28"/>
  <c r="Q191" i="28" s="1"/>
  <c r="B123" i="28"/>
  <c r="T188" i="28"/>
  <c r="T189" i="28" s="1"/>
  <c r="T221" i="28"/>
  <c r="T222" i="28" s="1"/>
  <c r="O29" i="28"/>
  <c r="S172" i="28"/>
  <c r="Q308" i="28"/>
  <c r="P223" i="28"/>
  <c r="P224" i="28" s="1"/>
  <c r="Q327" i="28"/>
  <c r="Q328" i="28" s="1"/>
  <c r="R340" i="28" s="1"/>
  <c r="AL122" i="28" s="1"/>
  <c r="AK122" i="28" s="1"/>
  <c r="AJ122" i="28" s="1"/>
  <c r="S340" i="26"/>
  <c r="AL134" i="26" s="1"/>
  <c r="AK134" i="26" s="1"/>
  <c r="AJ134" i="26" s="1"/>
  <c r="S343" i="26"/>
  <c r="AL137" i="26" s="1"/>
  <c r="AK137" i="26" s="1"/>
  <c r="AJ137" i="26" s="1"/>
  <c r="S339" i="26"/>
  <c r="AL133" i="26" s="1"/>
  <c r="AK133" i="26" s="1"/>
  <c r="AJ133" i="26" s="1"/>
  <c r="S342" i="26"/>
  <c r="AL136" i="26" s="1"/>
  <c r="AK136" i="26" s="1"/>
  <c r="AJ136" i="26" s="1"/>
  <c r="S338" i="26"/>
  <c r="AL132" i="26" s="1"/>
  <c r="AK132" i="26" s="1"/>
  <c r="AJ132" i="26" s="1"/>
  <c r="S341" i="26"/>
  <c r="AL135" i="26" s="1"/>
  <c r="AK135" i="26" s="1"/>
  <c r="AJ135" i="26" s="1"/>
  <c r="Q80" i="26"/>
  <c r="AQ54" i="26" s="1"/>
  <c r="AP54" i="26" s="1"/>
  <c r="R78" i="26"/>
  <c r="AQ57" i="26" s="1"/>
  <c r="AP57" i="26" s="1"/>
  <c r="R76" i="26"/>
  <c r="AQ55" i="26" s="1"/>
  <c r="AP55" i="26" s="1"/>
  <c r="R79" i="26"/>
  <c r="AQ58" i="26" s="1"/>
  <c r="AP58" i="26" s="1"/>
  <c r="AQ45" i="26"/>
  <c r="AP45" i="26" s="1"/>
  <c r="R80" i="26"/>
  <c r="AQ59" i="26" s="1"/>
  <c r="AP59" i="26" s="1"/>
  <c r="R159" i="26"/>
  <c r="T158" i="26"/>
  <c r="R158" i="26"/>
  <c r="S246" i="2"/>
  <c r="S302" i="28"/>
  <c r="S298" i="28"/>
  <c r="S301" i="28"/>
  <c r="S297" i="28"/>
  <c r="S299" i="28"/>
  <c r="S303" i="28"/>
  <c r="S300" i="28"/>
  <c r="S296" i="28"/>
  <c r="S304" i="28"/>
  <c r="S295" i="28"/>
  <c r="R303" i="28"/>
  <c r="R299" i="28"/>
  <c r="R295" i="28"/>
  <c r="R302" i="28"/>
  <c r="R298" i="28"/>
  <c r="R304" i="28"/>
  <c r="R296" i="28"/>
  <c r="R301" i="28"/>
  <c r="R300" i="28"/>
  <c r="R297" i="28"/>
  <c r="Q304" i="28"/>
  <c r="Q300" i="28"/>
  <c r="Q296" i="28"/>
  <c r="Q303" i="28"/>
  <c r="Q299" i="28"/>
  <c r="Q295" i="28"/>
  <c r="Q301" i="28"/>
  <c r="Q297" i="28"/>
  <c r="Q302" i="28"/>
  <c r="Q298" i="28"/>
  <c r="T301" i="28"/>
  <c r="T297" i="28"/>
  <c r="T304" i="28"/>
  <c r="T300" i="28"/>
  <c r="T296" i="28"/>
  <c r="T302" i="28"/>
  <c r="T298" i="28"/>
  <c r="T295" i="28"/>
  <c r="T303" i="28"/>
  <c r="T299" i="28"/>
  <c r="R258" i="29"/>
  <c r="Q304" i="2"/>
  <c r="Q295" i="2"/>
  <c r="T304" i="29"/>
  <c r="T304" i="2"/>
  <c r="R76" i="29"/>
  <c r="AQ55" i="29" s="1"/>
  <c r="AP55" i="29" s="1"/>
  <c r="R304" i="29"/>
  <c r="S244" i="2"/>
  <c r="AF10" i="29"/>
  <c r="AF2" i="29"/>
  <c r="AF8" i="29"/>
  <c r="O109" i="29"/>
  <c r="Q113" i="29"/>
  <c r="AF3" i="29"/>
  <c r="AF7" i="29"/>
  <c r="AF9" i="29"/>
  <c r="P109" i="29"/>
  <c r="AF4" i="29"/>
  <c r="AF5" i="29"/>
  <c r="AF11" i="29"/>
  <c r="R113" i="29"/>
  <c r="AF6" i="29"/>
  <c r="P8" i="29"/>
  <c r="P100" i="29" s="1"/>
  <c r="S301" i="2"/>
  <c r="S302" i="29"/>
  <c r="O328" i="29"/>
  <c r="AQ45" i="29"/>
  <c r="AP45" i="29" s="1"/>
  <c r="R78" i="29"/>
  <c r="AQ57" i="29" s="1"/>
  <c r="AP57" i="29" s="1"/>
  <c r="R300" i="2"/>
  <c r="T300" i="2"/>
  <c r="S303" i="2"/>
  <c r="R80" i="29"/>
  <c r="AQ59" i="29" s="1"/>
  <c r="AP59" i="29" s="1"/>
  <c r="Q80" i="29"/>
  <c r="AQ54" i="29" s="1"/>
  <c r="AP54" i="29" s="1"/>
  <c r="R303" i="29"/>
  <c r="S298" i="29"/>
  <c r="Q297" i="29"/>
  <c r="R303" i="2"/>
  <c r="Q296" i="2"/>
  <c r="T300" i="29"/>
  <c r="T301" i="2"/>
  <c r="R301" i="2"/>
  <c r="S298" i="2"/>
  <c r="Q299" i="2"/>
  <c r="S299" i="29"/>
  <c r="T299" i="2"/>
  <c r="T295" i="29"/>
  <c r="S304" i="29"/>
  <c r="T302" i="2"/>
  <c r="T295" i="2"/>
  <c r="R295" i="2"/>
  <c r="R304" i="2"/>
  <c r="R298" i="2"/>
  <c r="S295" i="2"/>
  <c r="S304" i="2"/>
  <c r="Q300" i="2"/>
  <c r="Q297" i="2"/>
  <c r="Q303" i="2"/>
  <c r="T299" i="29"/>
  <c r="T301" i="29"/>
  <c r="S295" i="29"/>
  <c r="S297" i="29"/>
  <c r="T297" i="2"/>
  <c r="T296" i="2"/>
  <c r="R296" i="2"/>
  <c r="R299" i="2"/>
  <c r="R302" i="2"/>
  <c r="S299" i="2"/>
  <c r="S296" i="2"/>
  <c r="S297" i="2"/>
  <c r="Q301" i="2"/>
  <c r="Q298" i="2"/>
  <c r="T296" i="29"/>
  <c r="S296" i="29"/>
  <c r="S301" i="29"/>
  <c r="T303" i="2"/>
  <c r="T298" i="2"/>
  <c r="R297" i="2"/>
  <c r="S300" i="2"/>
  <c r="S302" i="2"/>
  <c r="Q302" i="2"/>
  <c r="T298" i="29"/>
  <c r="S303" i="29"/>
  <c r="S300" i="29"/>
  <c r="S191" i="29"/>
  <c r="R302" i="29"/>
  <c r="Q296" i="29"/>
  <c r="R297" i="29"/>
  <c r="R295" i="29"/>
  <c r="Q295" i="29"/>
  <c r="Q300" i="29"/>
  <c r="T297" i="29"/>
  <c r="R300" i="29"/>
  <c r="R301" i="29"/>
  <c r="R299" i="29"/>
  <c r="Q298" i="29"/>
  <c r="Q303" i="29"/>
  <c r="Q301" i="29"/>
  <c r="Q299" i="29"/>
  <c r="Q304" i="29"/>
  <c r="T302" i="29"/>
  <c r="T303" i="29"/>
  <c r="R296" i="29"/>
  <c r="R298" i="29"/>
  <c r="Q302" i="29"/>
  <c r="R341" i="29"/>
  <c r="AL123" i="29" s="1"/>
  <c r="AK123" i="29" s="1"/>
  <c r="AJ123" i="29" s="1"/>
  <c r="R340" i="29"/>
  <c r="AL122" i="29" s="1"/>
  <c r="AK122" i="29" s="1"/>
  <c r="AJ122" i="29" s="1"/>
  <c r="R343" i="29"/>
  <c r="AL125" i="29" s="1"/>
  <c r="AK125" i="29" s="1"/>
  <c r="AJ125" i="29" s="1"/>
  <c r="R342" i="29"/>
  <c r="AL124" i="29" s="1"/>
  <c r="AK124" i="29" s="1"/>
  <c r="AJ124" i="29" s="1"/>
  <c r="R234" i="29"/>
  <c r="R230" i="29"/>
  <c r="R237" i="29"/>
  <c r="R233" i="29"/>
  <c r="R231" i="29"/>
  <c r="R232" i="29"/>
  <c r="R235" i="29"/>
  <c r="R236" i="29"/>
  <c r="R158" i="29"/>
  <c r="Q158" i="29"/>
  <c r="S237" i="29"/>
  <c r="S233" i="29"/>
  <c r="S236" i="29"/>
  <c r="S232" i="29"/>
  <c r="S234" i="29"/>
  <c r="S235" i="29"/>
  <c r="S231" i="29"/>
  <c r="S230" i="29"/>
  <c r="R159" i="29"/>
  <c r="Q159" i="29"/>
  <c r="Q235" i="29"/>
  <c r="Q231" i="29"/>
  <c r="Q234" i="29"/>
  <c r="Q236" i="29"/>
  <c r="Q237" i="29"/>
  <c r="Q232" i="29"/>
  <c r="Q233" i="29"/>
  <c r="S340" i="29"/>
  <c r="AL134" i="29" s="1"/>
  <c r="AK134" i="29" s="1"/>
  <c r="AJ134" i="29" s="1"/>
  <c r="S343" i="29"/>
  <c r="AL137" i="29" s="1"/>
  <c r="AK137" i="29" s="1"/>
  <c r="AJ137" i="29" s="1"/>
  <c r="S339" i="29"/>
  <c r="AL133" i="29" s="1"/>
  <c r="AK133" i="29" s="1"/>
  <c r="AJ133" i="29" s="1"/>
  <c r="S342" i="29"/>
  <c r="AL136" i="29" s="1"/>
  <c r="AK136" i="29" s="1"/>
  <c r="AJ136" i="29" s="1"/>
  <c r="S338" i="29"/>
  <c r="AL132" i="29" s="1"/>
  <c r="AK132" i="29" s="1"/>
  <c r="AJ132" i="29" s="1"/>
  <c r="S341" i="29"/>
  <c r="AL135" i="29" s="1"/>
  <c r="AK135" i="29" s="1"/>
  <c r="AJ135" i="29" s="1"/>
  <c r="T236" i="29"/>
  <c r="T232" i="29"/>
  <c r="T235" i="29"/>
  <c r="T231" i="29"/>
  <c r="T237" i="29"/>
  <c r="T230" i="29"/>
  <c r="T233" i="29"/>
  <c r="T234" i="29"/>
  <c r="T343" i="29"/>
  <c r="AL149" i="29" s="1"/>
  <c r="AK149" i="29" s="1"/>
  <c r="AJ149" i="29" s="1"/>
  <c r="T339" i="29"/>
  <c r="AL145" i="29" s="1"/>
  <c r="AK145" i="29" s="1"/>
  <c r="AJ145" i="29" s="1"/>
  <c r="T342" i="29"/>
  <c r="AL148" i="29" s="1"/>
  <c r="AK148" i="29" s="1"/>
  <c r="AJ148" i="29" s="1"/>
  <c r="T338" i="29"/>
  <c r="AL144" i="29" s="1"/>
  <c r="AK144" i="29" s="1"/>
  <c r="AJ144" i="29" s="1"/>
  <c r="T341" i="29"/>
  <c r="AL147" i="29" s="1"/>
  <c r="AK147" i="29" s="1"/>
  <c r="AJ147" i="29" s="1"/>
  <c r="T340" i="29"/>
  <c r="AL146" i="29" s="1"/>
  <c r="AK146" i="29" s="1"/>
  <c r="AJ146" i="29" s="1"/>
  <c r="T159" i="29"/>
  <c r="S159" i="29"/>
  <c r="Q342" i="29"/>
  <c r="AL112" i="29" s="1"/>
  <c r="AK112" i="29" s="1"/>
  <c r="AJ112" i="29" s="1"/>
  <c r="Q341" i="29"/>
  <c r="AL111" i="29" s="1"/>
  <c r="AK111" i="29" s="1"/>
  <c r="AJ111" i="29" s="1"/>
  <c r="Q340" i="29"/>
  <c r="AL110" i="29" s="1"/>
  <c r="AK110" i="29" s="1"/>
  <c r="AJ110" i="29" s="1"/>
  <c r="Q343" i="29"/>
  <c r="AL113" i="29" s="1"/>
  <c r="AK113" i="29" s="1"/>
  <c r="AJ113" i="29" s="1"/>
  <c r="T158" i="29"/>
  <c r="S158" i="29"/>
  <c r="O181" i="30"/>
  <c r="Q170" i="30"/>
  <c r="S170" i="30"/>
  <c r="P175" i="30"/>
  <c r="O175" i="30"/>
  <c r="O50" i="30"/>
  <c r="P330" i="30"/>
  <c r="P331" i="30" s="1"/>
  <c r="Q311" i="30"/>
  <c r="P260" i="30"/>
  <c r="Q292" i="30"/>
  <c r="Q293" i="30" s="1"/>
  <c r="S259" i="30"/>
  <c r="S260" i="30" s="1"/>
  <c r="S330" i="30"/>
  <c r="S331" i="30" s="1"/>
  <c r="O330" i="30"/>
  <c r="O331" i="30" s="1"/>
  <c r="P311" i="30"/>
  <c r="R330" i="30"/>
  <c r="R331" i="30" s="1"/>
  <c r="S311" i="30"/>
  <c r="S312" i="30" s="1"/>
  <c r="S292" i="30"/>
  <c r="S293" i="30" s="1"/>
  <c r="O292" i="30"/>
  <c r="O293" i="30" s="1"/>
  <c r="Q259" i="30"/>
  <c r="Q260" i="30" s="1"/>
  <c r="Q330" i="30"/>
  <c r="Q331" i="30" s="1"/>
  <c r="R292" i="30"/>
  <c r="R293" i="30" s="1"/>
  <c r="P258" i="30"/>
  <c r="P290" i="30"/>
  <c r="P291" i="30" s="1"/>
  <c r="R257" i="30"/>
  <c r="R258" i="30" s="1"/>
  <c r="R288" i="30"/>
  <c r="R289" i="30" s="1"/>
  <c r="T255" i="30"/>
  <c r="T256" i="30" s="1"/>
  <c r="O252" i="30"/>
  <c r="O284" i="30"/>
  <c r="O285" i="30" s="1"/>
  <c r="Q251" i="30"/>
  <c r="R249" i="30"/>
  <c r="P246" i="30"/>
  <c r="P278" i="30"/>
  <c r="P279" i="30" s="1"/>
  <c r="R245" i="30"/>
  <c r="T243" i="30"/>
  <c r="T244" i="30" s="1"/>
  <c r="P242" i="30"/>
  <c r="P274" i="30"/>
  <c r="P275" i="30" s="1"/>
  <c r="R241" i="30"/>
  <c r="R242" i="30" s="1"/>
  <c r="Q240" i="30"/>
  <c r="R311" i="30"/>
  <c r="R312" i="30" s="1"/>
  <c r="P292" i="30"/>
  <c r="P293" i="30" s="1"/>
  <c r="O258" i="30"/>
  <c r="S290" i="30"/>
  <c r="S291" i="30" s="1"/>
  <c r="O290" i="30"/>
  <c r="O291" i="30" s="1"/>
  <c r="Q257" i="30"/>
  <c r="Q258" i="30" s="1"/>
  <c r="Q288" i="30"/>
  <c r="Q289" i="30" s="1"/>
  <c r="S255" i="30"/>
  <c r="S256" i="30" s="1"/>
  <c r="T251" i="30"/>
  <c r="T252" i="30" s="1"/>
  <c r="O250" i="30"/>
  <c r="O282" i="30"/>
  <c r="O283" i="30" s="1"/>
  <c r="Q249" i="30"/>
  <c r="Q250" i="30" s="1"/>
  <c r="O246" i="30"/>
  <c r="S278" i="30"/>
  <c r="S279" i="30" s="1"/>
  <c r="O278" i="30"/>
  <c r="O279" i="30" s="1"/>
  <c r="Q245" i="30"/>
  <c r="Q246" i="30" s="1"/>
  <c r="S243" i="30"/>
  <c r="S244" i="30" s="1"/>
  <c r="O242" i="30"/>
  <c r="S274" i="30"/>
  <c r="S275" i="30" s="1"/>
  <c r="O274" i="30"/>
  <c r="O275" i="30" s="1"/>
  <c r="Q241" i="30"/>
  <c r="Q242" i="30" s="1"/>
  <c r="T259" i="30"/>
  <c r="T260" i="30" s="1"/>
  <c r="R290" i="30"/>
  <c r="R291" i="30" s="1"/>
  <c r="T257" i="30"/>
  <c r="T258" i="30" s="1"/>
  <c r="P256" i="30"/>
  <c r="P288" i="30"/>
  <c r="P289" i="30" s="1"/>
  <c r="R255" i="30"/>
  <c r="R256" i="30" s="1"/>
  <c r="S251" i="30"/>
  <c r="S252" i="30" s="1"/>
  <c r="T249" i="30"/>
  <c r="T250" i="30" s="1"/>
  <c r="R278" i="30"/>
  <c r="R279" i="30" s="1"/>
  <c r="T245" i="30"/>
  <c r="T246" i="30" s="1"/>
  <c r="P244" i="30"/>
  <c r="R243" i="30"/>
  <c r="R244" i="30" s="1"/>
  <c r="R274" i="30"/>
  <c r="R275" i="30" s="1"/>
  <c r="T241" i="30"/>
  <c r="T242" i="30" s="1"/>
  <c r="O260" i="30"/>
  <c r="S288" i="30"/>
  <c r="S289" i="30" s="1"/>
  <c r="Q243" i="30"/>
  <c r="Q244" i="30" s="1"/>
  <c r="S240" i="30"/>
  <c r="R259" i="30"/>
  <c r="R260" i="30" s="1"/>
  <c r="O288" i="30"/>
  <c r="O289" i="30" s="1"/>
  <c r="Q274" i="30"/>
  <c r="Q275" i="30" s="1"/>
  <c r="Q290" i="30"/>
  <c r="Q291" i="30" s="1"/>
  <c r="Q255" i="30"/>
  <c r="Q256" i="30" s="1"/>
  <c r="R251" i="30"/>
  <c r="R252" i="30" s="1"/>
  <c r="S249" i="30"/>
  <c r="S250" i="30" s="1"/>
  <c r="Q278" i="30"/>
  <c r="Q279" i="30" s="1"/>
  <c r="O244" i="30"/>
  <c r="S241" i="30"/>
  <c r="S242" i="30" s="1"/>
  <c r="O256" i="30"/>
  <c r="S245" i="30"/>
  <c r="S246" i="30" s="1"/>
  <c r="AK41" i="30"/>
  <c r="Q29" i="30"/>
  <c r="Q19" i="30"/>
  <c r="S257" i="30"/>
  <c r="S258" i="30" s="1"/>
  <c r="Q26" i="30"/>
  <c r="Q30" i="30"/>
  <c r="Q25" i="30"/>
  <c r="Q22" i="30"/>
  <c r="Q21" i="30"/>
  <c r="O276" i="30"/>
  <c r="O277" i="30" s="1"/>
  <c r="Q28" i="30"/>
  <c r="Q24" i="30"/>
  <c r="R15" i="30"/>
  <c r="AF17" i="30" s="1"/>
  <c r="Q27" i="30"/>
  <c r="Q20" i="30"/>
  <c r="AI2" i="30"/>
  <c r="B76" i="30"/>
  <c r="O81" i="30"/>
  <c r="P76" i="30"/>
  <c r="R103" i="30"/>
  <c r="AL180" i="30"/>
  <c r="AL156" i="30"/>
  <c r="S327" i="30"/>
  <c r="S328" i="30" s="1"/>
  <c r="P221" i="30"/>
  <c r="P222" i="30" s="1"/>
  <c r="R190" i="30"/>
  <c r="R191" i="30" s="1"/>
  <c r="P217" i="30"/>
  <c r="P218" i="30" s="1"/>
  <c r="S211" i="30"/>
  <c r="S212" i="30" s="1"/>
  <c r="S207" i="30"/>
  <c r="S208" i="30" s="1"/>
  <c r="O32" i="30"/>
  <c r="S176" i="30"/>
  <c r="S177" i="30" s="1"/>
  <c r="R207" i="30"/>
  <c r="R208" i="30" s="1"/>
  <c r="S182" i="30"/>
  <c r="P211" i="30"/>
  <c r="P212" i="30" s="1"/>
  <c r="O29" i="30"/>
  <c r="P215" i="30"/>
  <c r="P216" i="30" s="1"/>
  <c r="O31" i="30"/>
  <c r="O30" i="30"/>
  <c r="Q180" i="30"/>
  <c r="Q181" i="30" s="1"/>
  <c r="AL155" i="30"/>
  <c r="Q308" i="30"/>
  <c r="T221" i="30"/>
  <c r="T222" i="30" s="1"/>
  <c r="Q223" i="30"/>
  <c r="Q224" i="30" s="1"/>
  <c r="Q225" i="30"/>
  <c r="Q226" i="30" s="1"/>
  <c r="T182" i="30"/>
  <c r="T183" i="30" s="1"/>
  <c r="R172" i="30"/>
  <c r="R173" i="30" s="1"/>
  <c r="Q327" i="30"/>
  <c r="Q328" i="30" s="1"/>
  <c r="AL167" i="30"/>
  <c r="O327" i="30"/>
  <c r="AL179" i="30"/>
  <c r="R223" i="30"/>
  <c r="R224" i="30" s="1"/>
  <c r="Q186" i="30"/>
  <c r="Q187" i="30" s="1"/>
  <c r="R225" i="30"/>
  <c r="R226" i="30" s="1"/>
  <c r="T223" i="30"/>
  <c r="T224" i="30" s="1"/>
  <c r="R221" i="30"/>
  <c r="R222" i="30" s="1"/>
  <c r="T225" i="30"/>
  <c r="T226" i="30" s="1"/>
  <c r="Q182" i="30"/>
  <c r="Q183" i="30" s="1"/>
  <c r="T176" i="30"/>
  <c r="T177" i="30" s="1"/>
  <c r="T172" i="30"/>
  <c r="T173" i="30" s="1"/>
  <c r="P225" i="30"/>
  <c r="P226" i="30" s="1"/>
  <c r="S221" i="30"/>
  <c r="S222" i="30" s="1"/>
  <c r="S180" i="30"/>
  <c r="P209" i="30"/>
  <c r="P210" i="30" s="1"/>
  <c r="S172" i="30"/>
  <c r="R180" i="30"/>
  <c r="R181" i="30" s="1"/>
  <c r="T174" i="30"/>
  <c r="T175" i="30" s="1"/>
  <c r="S223" i="30"/>
  <c r="S224" i="30" s="1"/>
  <c r="O34" i="30"/>
  <c r="O28" i="30"/>
  <c r="Q176" i="30"/>
  <c r="Q177" i="30" s="1"/>
  <c r="AL168" i="30"/>
  <c r="T190" i="30"/>
  <c r="T191" i="30" s="1"/>
  <c r="P173" i="30"/>
  <c r="Q221" i="30"/>
  <c r="Q222" i="30" s="1"/>
  <c r="R308" i="30"/>
  <c r="P327" i="30"/>
  <c r="P328" i="30" s="1"/>
  <c r="P308" i="30"/>
  <c r="S308" i="30"/>
  <c r="S225" i="30"/>
  <c r="S226" i="30" s="1"/>
  <c r="S188" i="30"/>
  <c r="S190" i="30"/>
  <c r="P223" i="30"/>
  <c r="P224" i="30" s="1"/>
  <c r="S186" i="30"/>
  <c r="S187" i="30" s="1"/>
  <c r="T188" i="30"/>
  <c r="T189" i="30" s="1"/>
  <c r="T180" i="30"/>
  <c r="T181" i="30" s="1"/>
  <c r="R174" i="30"/>
  <c r="Q174" i="30"/>
  <c r="Q175" i="30" s="1"/>
  <c r="B123" i="30"/>
  <c r="Q190" i="30"/>
  <c r="Q191" i="30" s="1"/>
  <c r="Q211" i="30"/>
  <c r="Q212" i="30" s="1"/>
  <c r="Q207" i="30"/>
  <c r="Q208" i="30" s="1"/>
  <c r="T186" i="30"/>
  <c r="T187" i="30" s="1"/>
  <c r="T207" i="30"/>
  <c r="T208" i="30" s="1"/>
  <c r="P207" i="30"/>
  <c r="P208" i="30" s="1"/>
  <c r="AI1" i="30"/>
  <c r="R327" i="30"/>
  <c r="R328" i="30" s="1"/>
  <c r="Q188" i="30"/>
  <c r="Q189" i="30" s="1"/>
  <c r="R186" i="30"/>
  <c r="R187" i="30" s="1"/>
  <c r="R188" i="30"/>
  <c r="R189" i="30" s="1"/>
  <c r="R211" i="30"/>
  <c r="R212" i="30" s="1"/>
  <c r="R176" i="30"/>
  <c r="R177" i="30" s="1"/>
  <c r="T211" i="30"/>
  <c r="T212" i="30" s="1"/>
  <c r="O33" i="30"/>
  <c r="R182" i="30"/>
  <c r="R183" i="30" s="1"/>
  <c r="O35" i="30"/>
  <c r="Q172" i="30"/>
  <c r="S174" i="30"/>
  <c r="P6" i="30"/>
  <c r="AI3" i="30" s="1"/>
  <c r="T53" i="14"/>
  <c r="R53" i="14" s="1"/>
  <c r="T61" i="14"/>
  <c r="T60" i="14"/>
  <c r="T62" i="14"/>
  <c r="T59" i="14"/>
  <c r="T55" i="14"/>
  <c r="T56" i="14"/>
  <c r="T54" i="14"/>
  <c r="T57" i="14"/>
  <c r="T58" i="14"/>
  <c r="C12" i="14"/>
  <c r="C16" i="14"/>
  <c r="C20" i="14"/>
  <c r="C24" i="14"/>
  <c r="C28" i="14"/>
  <c r="C32" i="14"/>
  <c r="C36" i="14"/>
  <c r="C40" i="14"/>
  <c r="B58" i="8"/>
  <c r="G58" i="8" s="1"/>
  <c r="B59" i="8"/>
  <c r="G59" i="8" s="1"/>
  <c r="B60" i="8"/>
  <c r="G60" i="8" s="1"/>
  <c r="B61" i="8"/>
  <c r="G61" i="8" s="1"/>
  <c r="B62" i="8"/>
  <c r="G62" i="8" s="1"/>
  <c r="B57" i="8"/>
  <c r="G57" i="8" s="1"/>
  <c r="B64" i="8"/>
  <c r="E64" i="8" s="1"/>
  <c r="B65" i="8"/>
  <c r="F65" i="8" s="1"/>
  <c r="B66" i="8"/>
  <c r="G66" i="8" s="1"/>
  <c r="B63" i="8"/>
  <c r="G63" i="8" s="1"/>
  <c r="B52" i="8"/>
  <c r="C52" i="8" s="1"/>
  <c r="B53" i="8"/>
  <c r="F53" i="8" s="1"/>
  <c r="B54" i="8"/>
  <c r="E54" i="8" s="1"/>
  <c r="B55" i="8"/>
  <c r="D55" i="8" s="1"/>
  <c r="B56" i="8"/>
  <c r="G56" i="8" s="1"/>
  <c r="B48" i="8"/>
  <c r="C48" i="8" s="1"/>
  <c r="B49" i="8"/>
  <c r="F49" i="8" s="1"/>
  <c r="B50" i="8"/>
  <c r="C50" i="8" s="1"/>
  <c r="B51" i="8"/>
  <c r="F51" i="8" s="1"/>
  <c r="B47" i="8"/>
  <c r="F47" i="8" s="1"/>
  <c r="R258" i="2" l="1"/>
  <c r="S242" i="26"/>
  <c r="R312" i="26" s="1"/>
  <c r="T322" i="22"/>
  <c r="AL87" i="22" s="1"/>
  <c r="AK87" i="22" s="1"/>
  <c r="AJ87" i="22" s="1"/>
  <c r="S191" i="21"/>
  <c r="Q252" i="30"/>
  <c r="BJ9" i="23"/>
  <c r="Q177" i="2"/>
  <c r="S246" i="25"/>
  <c r="S252" i="26"/>
  <c r="S256" i="29"/>
  <c r="R250" i="29"/>
  <c r="R260" i="21"/>
  <c r="S260" i="21" s="1"/>
  <c r="S177" i="23"/>
  <c r="AY21" i="23"/>
  <c r="S244" i="22"/>
  <c r="S256" i="23"/>
  <c r="R260" i="24"/>
  <c r="S260" i="24" s="1"/>
  <c r="R250" i="30"/>
  <c r="S258" i="27"/>
  <c r="Q181" i="24"/>
  <c r="R181" i="24" s="1"/>
  <c r="S181" i="24" s="1"/>
  <c r="S177" i="25"/>
  <c r="S260" i="2"/>
  <c r="R250" i="21"/>
  <c r="Q312" i="26"/>
  <c r="Q175" i="24"/>
  <c r="S246" i="26"/>
  <c r="R175" i="29"/>
  <c r="S175" i="29" s="1"/>
  <c r="P98" i="29"/>
  <c r="P97" i="29"/>
  <c r="S97" i="29"/>
  <c r="S89" i="29"/>
  <c r="R260" i="22"/>
  <c r="S260" i="22" s="1"/>
  <c r="Q312" i="23"/>
  <c r="T322" i="21"/>
  <c r="AL87" i="21" s="1"/>
  <c r="AK87" i="21" s="1"/>
  <c r="AJ87" i="21" s="1"/>
  <c r="AZ22" i="26"/>
  <c r="P97" i="26"/>
  <c r="P98" i="26"/>
  <c r="S89" i="26"/>
  <c r="S97" i="26"/>
  <c r="BI8" i="25"/>
  <c r="BM8" i="25" s="1"/>
  <c r="CC37" i="25" s="1"/>
  <c r="P98" i="25"/>
  <c r="P97" i="25"/>
  <c r="S97" i="25"/>
  <c r="S89" i="25"/>
  <c r="AZ10" i="23"/>
  <c r="P97" i="23"/>
  <c r="P98" i="23"/>
  <c r="S97" i="23"/>
  <c r="S89" i="23"/>
  <c r="BI11" i="22"/>
  <c r="BM11" i="22" s="1"/>
  <c r="CC50" i="22" s="1"/>
  <c r="P98" i="22"/>
  <c r="P97" i="22"/>
  <c r="S97" i="22"/>
  <c r="S89" i="22"/>
  <c r="R250" i="22"/>
  <c r="S250" i="22" s="1"/>
  <c r="BI11" i="21"/>
  <c r="BM11" i="21" s="1"/>
  <c r="CC107" i="21" s="1"/>
  <c r="P97" i="21"/>
  <c r="P98" i="21"/>
  <c r="S97" i="21"/>
  <c r="S89" i="21"/>
  <c r="T321" i="21"/>
  <c r="AL86" i="21" s="1"/>
  <c r="AK86" i="21" s="1"/>
  <c r="AJ86" i="21" s="1"/>
  <c r="T323" i="21"/>
  <c r="AL88" i="21" s="1"/>
  <c r="AK88" i="21" s="1"/>
  <c r="AJ88" i="21" s="1"/>
  <c r="S177" i="22"/>
  <c r="S258" i="26"/>
  <c r="T321" i="25"/>
  <c r="AL86" i="25" s="1"/>
  <c r="AK86" i="25" s="1"/>
  <c r="AJ86" i="25" s="1"/>
  <c r="T324" i="23"/>
  <c r="AL89" i="23" s="1"/>
  <c r="AK89" i="23" s="1"/>
  <c r="AJ89" i="23" s="1"/>
  <c r="S252" i="22"/>
  <c r="S260" i="25"/>
  <c r="S256" i="25"/>
  <c r="R175" i="28"/>
  <c r="S175" i="28" s="1"/>
  <c r="Q175" i="2"/>
  <c r="S181" i="25"/>
  <c r="R258" i="25"/>
  <c r="S258" i="25" s="1"/>
  <c r="S175" i="26"/>
  <c r="S260" i="29"/>
  <c r="S246" i="23"/>
  <c r="BJ17" i="23"/>
  <c r="R252" i="29"/>
  <c r="S252" i="29" s="1"/>
  <c r="S256" i="21"/>
  <c r="Q177" i="27"/>
  <c r="R177" i="27" s="1"/>
  <c r="S258" i="22"/>
  <c r="S256" i="26"/>
  <c r="S242" i="24"/>
  <c r="R312" i="24" s="1"/>
  <c r="S244" i="26"/>
  <c r="S242" i="22"/>
  <c r="R312" i="22" s="1"/>
  <c r="BK13" i="23"/>
  <c r="BM13" i="23" s="1"/>
  <c r="CC100" i="23" s="1"/>
  <c r="BK9" i="23"/>
  <c r="BD15" i="23"/>
  <c r="BM15" i="23" s="1"/>
  <c r="CC19" i="23" s="1"/>
  <c r="BD20" i="23"/>
  <c r="BH17" i="23"/>
  <c r="AX20" i="23"/>
  <c r="S175" i="23"/>
  <c r="AX12" i="23"/>
  <c r="BL22" i="25"/>
  <c r="R242" i="29"/>
  <c r="Q312" i="29" s="1"/>
  <c r="BE10" i="22"/>
  <c r="S191" i="22"/>
  <c r="BL21" i="25"/>
  <c r="BC20" i="21"/>
  <c r="BH9" i="23"/>
  <c r="R175" i="25"/>
  <c r="S175" i="25" s="1"/>
  <c r="P340" i="29"/>
  <c r="AL98" i="29" s="1"/>
  <c r="AK98" i="29" s="1"/>
  <c r="AJ98" i="29" s="1"/>
  <c r="E43" i="21"/>
  <c r="BE10" i="23"/>
  <c r="BE19" i="23"/>
  <c r="AY10" i="23"/>
  <c r="Q191" i="24"/>
  <c r="AX12" i="22"/>
  <c r="AX20" i="22"/>
  <c r="R181" i="28"/>
  <c r="S181" i="28" s="1"/>
  <c r="P341" i="21"/>
  <c r="AL99" i="21" s="1"/>
  <c r="AK99" i="21" s="1"/>
  <c r="AJ99" i="21" s="1"/>
  <c r="BI8" i="21"/>
  <c r="BM8" i="21" s="1"/>
  <c r="CC12" i="21" s="1"/>
  <c r="R177" i="24"/>
  <c r="S177" i="24" s="1"/>
  <c r="BE19" i="22"/>
  <c r="BL21" i="23"/>
  <c r="BL22" i="23"/>
  <c r="BD20" i="21"/>
  <c r="R260" i="26"/>
  <c r="S260" i="26" s="1"/>
  <c r="BF10" i="23"/>
  <c r="BF19" i="23"/>
  <c r="BB7" i="25"/>
  <c r="BM7" i="25" s="1"/>
  <c r="CC73" i="25" s="1"/>
  <c r="BL22" i="22"/>
  <c r="T322" i="26"/>
  <c r="AL87" i="26" s="1"/>
  <c r="AK87" i="26" s="1"/>
  <c r="AJ87" i="26" s="1"/>
  <c r="BL21" i="22"/>
  <c r="AX20" i="25"/>
  <c r="B116" i="23"/>
  <c r="BJ9" i="22"/>
  <c r="BJ17" i="22"/>
  <c r="T322" i="23"/>
  <c r="AL87" i="23" s="1"/>
  <c r="AK87" i="23" s="1"/>
  <c r="AJ87" i="23" s="1"/>
  <c r="BE10" i="21"/>
  <c r="R191" i="28"/>
  <c r="S191" i="28" s="1"/>
  <c r="S258" i="29"/>
  <c r="T321" i="23"/>
  <c r="AL86" i="23" s="1"/>
  <c r="AK86" i="23" s="1"/>
  <c r="AJ86" i="23" s="1"/>
  <c r="R191" i="27"/>
  <c r="S191" i="27" s="1"/>
  <c r="BI8" i="22"/>
  <c r="BM8" i="22" s="1"/>
  <c r="CC12" i="22" s="1"/>
  <c r="BC12" i="23"/>
  <c r="BC20" i="23"/>
  <c r="S342" i="24"/>
  <c r="AL136" i="24" s="1"/>
  <c r="AK136" i="24" s="1"/>
  <c r="AJ136" i="24" s="1"/>
  <c r="T323" i="23"/>
  <c r="AL88" i="23" s="1"/>
  <c r="AK88" i="23" s="1"/>
  <c r="AJ88" i="23" s="1"/>
  <c r="R175" i="2"/>
  <c r="R177" i="2"/>
  <c r="P343" i="22"/>
  <c r="AL101" i="22" s="1"/>
  <c r="AK101" i="22" s="1"/>
  <c r="AJ101" i="22" s="1"/>
  <c r="P341" i="22"/>
  <c r="AL99" i="22" s="1"/>
  <c r="AK99" i="22" s="1"/>
  <c r="AJ99" i="22" s="1"/>
  <c r="AX12" i="25"/>
  <c r="P342" i="22"/>
  <c r="AL100" i="22" s="1"/>
  <c r="AK100" i="22" s="1"/>
  <c r="AJ100" i="22" s="1"/>
  <c r="BK9" i="22"/>
  <c r="BK13" i="22"/>
  <c r="BM13" i="22" s="1"/>
  <c r="CC17" i="22" s="1"/>
  <c r="Q181" i="27"/>
  <c r="BC12" i="21"/>
  <c r="BG9" i="21"/>
  <c r="BG23" i="21"/>
  <c r="H42" i="29"/>
  <c r="P342" i="21"/>
  <c r="AL100" i="21" s="1"/>
  <c r="AK100" i="21" s="1"/>
  <c r="AJ100" i="21" s="1"/>
  <c r="BJ17" i="26"/>
  <c r="BF19" i="26"/>
  <c r="BF10" i="26"/>
  <c r="R177" i="28"/>
  <c r="S177" i="28" s="1"/>
  <c r="AZ22" i="23"/>
  <c r="E43" i="25"/>
  <c r="G40" i="21"/>
  <c r="R175" i="27"/>
  <c r="S175" i="27" s="1"/>
  <c r="S252" i="23"/>
  <c r="S309" i="28"/>
  <c r="T321" i="28" s="1"/>
  <c r="AL86" i="28" s="1"/>
  <c r="AK86" i="28" s="1"/>
  <c r="AJ86" i="28" s="1"/>
  <c r="D39" i="21"/>
  <c r="BB23" i="25"/>
  <c r="BJ9" i="21"/>
  <c r="H40" i="21"/>
  <c r="P72" i="23"/>
  <c r="BI11" i="23"/>
  <c r="BM11" i="23" s="1"/>
  <c r="BI8" i="23"/>
  <c r="BM8" i="23" s="1"/>
  <c r="S339" i="24"/>
  <c r="AL133" i="24" s="1"/>
  <c r="AK133" i="24" s="1"/>
  <c r="AJ133" i="24" s="1"/>
  <c r="BG23" i="23"/>
  <c r="BG9" i="23"/>
  <c r="BH9" i="21"/>
  <c r="F38" i="22"/>
  <c r="P343" i="21"/>
  <c r="AL101" i="21" s="1"/>
  <c r="AK101" i="21" s="1"/>
  <c r="AJ101" i="21" s="1"/>
  <c r="P340" i="21"/>
  <c r="AL98" i="21" s="1"/>
  <c r="AK98" i="21" s="1"/>
  <c r="AJ98" i="21" s="1"/>
  <c r="B114" i="26"/>
  <c r="BK9" i="29"/>
  <c r="BJ17" i="29"/>
  <c r="BJ9" i="29"/>
  <c r="AZ22" i="22"/>
  <c r="AZ10" i="22"/>
  <c r="BE19" i="29"/>
  <c r="P72" i="26"/>
  <c r="BG23" i="26"/>
  <c r="BG9" i="26"/>
  <c r="AY10" i="29"/>
  <c r="AY21" i="29"/>
  <c r="BE10" i="29"/>
  <c r="BE19" i="21"/>
  <c r="BA18" i="23"/>
  <c r="BM18" i="23" s="1"/>
  <c r="BA6" i="23"/>
  <c r="BM6" i="23" s="1"/>
  <c r="Q340" i="2"/>
  <c r="AL110" i="2" s="1"/>
  <c r="AK110" i="2" s="1"/>
  <c r="AJ110" i="2" s="1"/>
  <c r="BH17" i="21"/>
  <c r="P72" i="22"/>
  <c r="BH17" i="22"/>
  <c r="BH9" i="22"/>
  <c r="BF10" i="22"/>
  <c r="S309" i="24"/>
  <c r="T322" i="25"/>
  <c r="AL87" i="25" s="1"/>
  <c r="AK87" i="25" s="1"/>
  <c r="AJ87" i="25" s="1"/>
  <c r="BF19" i="22"/>
  <c r="BJ9" i="26"/>
  <c r="O328" i="24"/>
  <c r="P341" i="24" s="1"/>
  <c r="AL99" i="24" s="1"/>
  <c r="AK99" i="24" s="1"/>
  <c r="AJ99" i="24" s="1"/>
  <c r="G42" i="21"/>
  <c r="S341" i="24"/>
  <c r="AL135" i="24" s="1"/>
  <c r="AK135" i="24" s="1"/>
  <c r="AJ135" i="24" s="1"/>
  <c r="S343" i="24"/>
  <c r="AL137" i="24" s="1"/>
  <c r="AK137" i="24" s="1"/>
  <c r="AJ137" i="24" s="1"/>
  <c r="T158" i="24"/>
  <c r="G38" i="21"/>
  <c r="S338" i="24"/>
  <c r="AL132" i="24" s="1"/>
  <c r="AK132" i="24" s="1"/>
  <c r="AJ132" i="24" s="1"/>
  <c r="BB23" i="23"/>
  <c r="BB7" i="23"/>
  <c r="BM7" i="23" s="1"/>
  <c r="B114" i="23"/>
  <c r="F43" i="22"/>
  <c r="S342" i="28"/>
  <c r="AL136" i="28" s="1"/>
  <c r="AK136" i="28" s="1"/>
  <c r="AJ136" i="28" s="1"/>
  <c r="P341" i="23"/>
  <c r="AL99" i="23" s="1"/>
  <c r="AK99" i="23" s="1"/>
  <c r="AJ99" i="23" s="1"/>
  <c r="F41" i="22"/>
  <c r="S343" i="28"/>
  <c r="AL137" i="28" s="1"/>
  <c r="AK137" i="28" s="1"/>
  <c r="AJ137" i="28" s="1"/>
  <c r="P343" i="23"/>
  <c r="AL101" i="23" s="1"/>
  <c r="AK101" i="23" s="1"/>
  <c r="AJ101" i="23" s="1"/>
  <c r="F39" i="22"/>
  <c r="F42" i="22"/>
  <c r="T323" i="25"/>
  <c r="AL88" i="25" s="1"/>
  <c r="AK88" i="25" s="1"/>
  <c r="AJ88" i="25" s="1"/>
  <c r="F40" i="22"/>
  <c r="H38" i="21"/>
  <c r="F43" i="23"/>
  <c r="S159" i="24"/>
  <c r="P343" i="25"/>
  <c r="AL101" i="25" s="1"/>
  <c r="AK101" i="25" s="1"/>
  <c r="AJ101" i="25" s="1"/>
  <c r="BH17" i="26"/>
  <c r="BH9" i="26"/>
  <c r="AF6" i="24"/>
  <c r="BJ17" i="21"/>
  <c r="AX20" i="21"/>
  <c r="AX12" i="21"/>
  <c r="P340" i="25"/>
  <c r="AL98" i="25" s="1"/>
  <c r="AK98" i="25" s="1"/>
  <c r="AJ98" i="25" s="1"/>
  <c r="T159" i="24"/>
  <c r="T321" i="29"/>
  <c r="AL86" i="29" s="1"/>
  <c r="AK86" i="29" s="1"/>
  <c r="AJ86" i="29" s="1"/>
  <c r="BD15" i="21"/>
  <c r="BM15" i="21" s="1"/>
  <c r="CC68" i="21" s="1"/>
  <c r="P341" i="25"/>
  <c r="AL99" i="25" s="1"/>
  <c r="AK99" i="25" s="1"/>
  <c r="AJ99" i="25" s="1"/>
  <c r="T339" i="24"/>
  <c r="AL145" i="24" s="1"/>
  <c r="AK145" i="24" s="1"/>
  <c r="AJ145" i="24" s="1"/>
  <c r="F38" i="23"/>
  <c r="S181" i="2"/>
  <c r="S309" i="27"/>
  <c r="T321" i="27" s="1"/>
  <c r="AL86" i="27" s="1"/>
  <c r="AK86" i="27" s="1"/>
  <c r="AJ86" i="27" s="1"/>
  <c r="O328" i="27"/>
  <c r="P343" i="27" s="1"/>
  <c r="AL101" i="27" s="1"/>
  <c r="AK101" i="27" s="1"/>
  <c r="AJ101" i="27" s="1"/>
  <c r="BF19" i="29"/>
  <c r="P72" i="21"/>
  <c r="E38" i="23"/>
  <c r="R340" i="27"/>
  <c r="AL122" i="27" s="1"/>
  <c r="AK122" i="27" s="1"/>
  <c r="AJ122" i="27" s="1"/>
  <c r="O109" i="24"/>
  <c r="T232" i="24"/>
  <c r="AF2" i="24"/>
  <c r="R113" i="2"/>
  <c r="P8" i="24"/>
  <c r="P100" i="24" s="1"/>
  <c r="AF7" i="24"/>
  <c r="AF8" i="24"/>
  <c r="AF11" i="24"/>
  <c r="P109" i="24"/>
  <c r="AY21" i="25"/>
  <c r="AY10" i="25"/>
  <c r="AZ10" i="26"/>
  <c r="BE19" i="26"/>
  <c r="BE10" i="26"/>
  <c r="R113" i="24"/>
  <c r="AF9" i="24"/>
  <c r="AF3" i="24"/>
  <c r="AF10" i="24"/>
  <c r="R340" i="24"/>
  <c r="AL122" i="24" s="1"/>
  <c r="AK122" i="24" s="1"/>
  <c r="AJ122" i="24" s="1"/>
  <c r="BA6" i="29"/>
  <c r="BM6" i="29" s="1"/>
  <c r="CC84" i="29" s="1"/>
  <c r="Q113" i="24"/>
  <c r="AF5" i="24"/>
  <c r="AF4" i="24"/>
  <c r="B109" i="24"/>
  <c r="O328" i="2"/>
  <c r="P341" i="2" s="1"/>
  <c r="AL99" i="2" s="1"/>
  <c r="AK99" i="2" s="1"/>
  <c r="AJ99" i="2" s="1"/>
  <c r="E40" i="23"/>
  <c r="G40" i="23"/>
  <c r="H39" i="22"/>
  <c r="D42" i="23"/>
  <c r="T234" i="24"/>
  <c r="BF10" i="29"/>
  <c r="S341" i="28"/>
  <c r="AL135" i="28" s="1"/>
  <c r="AK135" i="28" s="1"/>
  <c r="AJ135" i="28" s="1"/>
  <c r="S340" i="28"/>
  <c r="AL134" i="28" s="1"/>
  <c r="AK134" i="28" s="1"/>
  <c r="AJ134" i="28" s="1"/>
  <c r="R342" i="27"/>
  <c r="AL124" i="27" s="1"/>
  <c r="AK124" i="27" s="1"/>
  <c r="AJ124" i="27" s="1"/>
  <c r="R341" i="27"/>
  <c r="AL123" i="27" s="1"/>
  <c r="AK123" i="27" s="1"/>
  <c r="AJ123" i="27" s="1"/>
  <c r="T324" i="22"/>
  <c r="AL89" i="22" s="1"/>
  <c r="AK89" i="22" s="1"/>
  <c r="AJ89" i="22" s="1"/>
  <c r="H42" i="21"/>
  <c r="H41" i="21"/>
  <c r="D43" i="23"/>
  <c r="S338" i="28"/>
  <c r="AL132" i="28" s="1"/>
  <c r="AK132" i="28" s="1"/>
  <c r="AJ132" i="28" s="1"/>
  <c r="T324" i="25"/>
  <c r="AL89" i="25" s="1"/>
  <c r="AK89" i="25" s="1"/>
  <c r="AJ89" i="25" s="1"/>
  <c r="Q158" i="24"/>
  <c r="P342" i="23"/>
  <c r="AL100" i="23" s="1"/>
  <c r="AK100" i="23" s="1"/>
  <c r="AJ100" i="23" s="1"/>
  <c r="H39" i="21"/>
  <c r="H43" i="21"/>
  <c r="P340" i="23"/>
  <c r="AL98" i="23" s="1"/>
  <c r="AK98" i="23" s="1"/>
  <c r="AJ98" i="23" s="1"/>
  <c r="D41" i="21"/>
  <c r="S237" i="24"/>
  <c r="Q234" i="24"/>
  <c r="AY21" i="22"/>
  <c r="AY10" i="22"/>
  <c r="T159" i="27"/>
  <c r="Q343" i="27"/>
  <c r="AL113" i="27" s="1"/>
  <c r="AK113" i="27" s="1"/>
  <c r="AJ113" i="27" s="1"/>
  <c r="G39" i="23"/>
  <c r="E39" i="23"/>
  <c r="Q231" i="24"/>
  <c r="S235" i="24"/>
  <c r="S309" i="2"/>
  <c r="T323" i="2" s="1"/>
  <c r="AL88" i="2" s="1"/>
  <c r="AK88" i="2" s="1"/>
  <c r="AJ88" i="2" s="1"/>
  <c r="T230" i="24"/>
  <c r="D42" i="22"/>
  <c r="G43" i="22"/>
  <c r="BK13" i="29"/>
  <c r="BM13" i="29" s="1"/>
  <c r="CC76" i="29" s="1"/>
  <c r="O328" i="28"/>
  <c r="P342" i="28" s="1"/>
  <c r="AL100" i="28" s="1"/>
  <c r="AK100" i="28" s="1"/>
  <c r="AJ100" i="28" s="1"/>
  <c r="T231" i="24"/>
  <c r="R234" i="24"/>
  <c r="S233" i="24"/>
  <c r="S234" i="24"/>
  <c r="S232" i="24"/>
  <c r="T340" i="24"/>
  <c r="AL146" i="24" s="1"/>
  <c r="AK146" i="24" s="1"/>
  <c r="AJ146" i="24" s="1"/>
  <c r="T338" i="24"/>
  <c r="AL144" i="24" s="1"/>
  <c r="AK144" i="24" s="1"/>
  <c r="AJ144" i="24" s="1"/>
  <c r="T343" i="24"/>
  <c r="AL149" i="24" s="1"/>
  <c r="AK149" i="24" s="1"/>
  <c r="AJ149" i="24" s="1"/>
  <c r="E41" i="23"/>
  <c r="E43" i="23"/>
  <c r="G41" i="22"/>
  <c r="T236" i="24"/>
  <c r="T237" i="24"/>
  <c r="T235" i="24"/>
  <c r="S230" i="24"/>
  <c r="S231" i="24"/>
  <c r="S236" i="24"/>
  <c r="R342" i="24"/>
  <c r="AL124" i="24" s="1"/>
  <c r="AK124" i="24" s="1"/>
  <c r="AJ124" i="24" s="1"/>
  <c r="R343" i="24"/>
  <c r="AL125" i="24" s="1"/>
  <c r="AK125" i="24" s="1"/>
  <c r="AJ125" i="24" s="1"/>
  <c r="R341" i="24"/>
  <c r="AL123" i="24" s="1"/>
  <c r="AK123" i="24" s="1"/>
  <c r="AJ123" i="24" s="1"/>
  <c r="T342" i="24"/>
  <c r="AL148" i="24" s="1"/>
  <c r="AK148" i="24" s="1"/>
  <c r="AJ148" i="24" s="1"/>
  <c r="E42" i="23"/>
  <c r="D41" i="22"/>
  <c r="Q237" i="24"/>
  <c r="T233" i="24"/>
  <c r="T341" i="24"/>
  <c r="AL147" i="24" s="1"/>
  <c r="AK147" i="24" s="1"/>
  <c r="AJ147" i="24" s="1"/>
  <c r="R236" i="24"/>
  <c r="R159" i="24"/>
  <c r="R231" i="24"/>
  <c r="R233" i="24"/>
  <c r="Q341" i="24"/>
  <c r="AL111" i="24" s="1"/>
  <c r="AK111" i="24" s="1"/>
  <c r="AJ111" i="24" s="1"/>
  <c r="Q236" i="24"/>
  <c r="G41" i="23"/>
  <c r="G38" i="23"/>
  <c r="F39" i="23"/>
  <c r="F41" i="23"/>
  <c r="E39" i="21"/>
  <c r="Q341" i="2"/>
  <c r="AL111" i="2" s="1"/>
  <c r="AK111" i="2" s="1"/>
  <c r="AJ111" i="2" s="1"/>
  <c r="Q342" i="2"/>
  <c r="AL112" i="2" s="1"/>
  <c r="AK112" i="2" s="1"/>
  <c r="AJ112" i="2" s="1"/>
  <c r="Q159" i="24"/>
  <c r="R235" i="24"/>
  <c r="R232" i="24"/>
  <c r="R237" i="24"/>
  <c r="Q343" i="24"/>
  <c r="AL113" i="24" s="1"/>
  <c r="AK113" i="24" s="1"/>
  <c r="AJ113" i="24" s="1"/>
  <c r="Q232" i="24"/>
  <c r="Q233" i="24"/>
  <c r="G42" i="23"/>
  <c r="G43" i="23"/>
  <c r="F40" i="23"/>
  <c r="F42" i="23"/>
  <c r="E42" i="21"/>
  <c r="R230" i="24"/>
  <c r="Q340" i="24"/>
  <c r="AL110" i="24" s="1"/>
  <c r="AK110" i="24" s="1"/>
  <c r="AJ110" i="24" s="1"/>
  <c r="Q235" i="24"/>
  <c r="BB23" i="22"/>
  <c r="BB7" i="22"/>
  <c r="BM7" i="22" s="1"/>
  <c r="H41" i="22"/>
  <c r="BA18" i="29"/>
  <c r="BM18" i="29" s="1"/>
  <c r="CC22" i="29" s="1"/>
  <c r="BC12" i="22"/>
  <c r="BC20" i="22"/>
  <c r="D40" i="22"/>
  <c r="E39" i="22"/>
  <c r="D38" i="23"/>
  <c r="H42" i="23"/>
  <c r="H38" i="23"/>
  <c r="D39" i="23"/>
  <c r="H42" i="22"/>
  <c r="H40" i="22"/>
  <c r="G41" i="21"/>
  <c r="B114" i="21"/>
  <c r="BB23" i="21"/>
  <c r="BB7" i="21"/>
  <c r="BM7" i="21" s="1"/>
  <c r="B116" i="21"/>
  <c r="S342" i="2"/>
  <c r="AL136" i="2" s="1"/>
  <c r="AK136" i="2" s="1"/>
  <c r="AJ136" i="2" s="1"/>
  <c r="AF2" i="2"/>
  <c r="H43" i="23"/>
  <c r="H41" i="23"/>
  <c r="D40" i="23"/>
  <c r="H43" i="22"/>
  <c r="H38" i="22"/>
  <c r="G39" i="21"/>
  <c r="AF6" i="2"/>
  <c r="S343" i="2"/>
  <c r="AL137" i="2" s="1"/>
  <c r="AK137" i="2" s="1"/>
  <c r="AJ137" i="2" s="1"/>
  <c r="P109" i="2"/>
  <c r="H39" i="23"/>
  <c r="D41" i="23"/>
  <c r="G43" i="21"/>
  <c r="F38" i="21"/>
  <c r="O109" i="27"/>
  <c r="BB23" i="26"/>
  <c r="E40" i="21"/>
  <c r="Q158" i="2"/>
  <c r="R158" i="27"/>
  <c r="BB7" i="26"/>
  <c r="BM7" i="26" s="1"/>
  <c r="CC48" i="26" s="1"/>
  <c r="R191" i="2"/>
  <c r="S191" i="2" s="1"/>
  <c r="E38" i="21"/>
  <c r="E41" i="21"/>
  <c r="BD20" i="22"/>
  <c r="BD15" i="22"/>
  <c r="BM15" i="22" s="1"/>
  <c r="BL21" i="21"/>
  <c r="BL22" i="21"/>
  <c r="AZ22" i="21"/>
  <c r="AZ10" i="21"/>
  <c r="F41" i="21"/>
  <c r="BG9" i="22"/>
  <c r="BG23" i="22"/>
  <c r="AY21" i="21"/>
  <c r="AY10" i="21"/>
  <c r="F42" i="21"/>
  <c r="BA6" i="25"/>
  <c r="BM6" i="25" s="1"/>
  <c r="BA18" i="25"/>
  <c r="BM18" i="25" s="1"/>
  <c r="BE19" i="25"/>
  <c r="BE10" i="25"/>
  <c r="BA6" i="22"/>
  <c r="BM6" i="22" s="1"/>
  <c r="BA18" i="22"/>
  <c r="BM18" i="22" s="1"/>
  <c r="BF10" i="21"/>
  <c r="BF19" i="21"/>
  <c r="BK13" i="21"/>
  <c r="BM13" i="21" s="1"/>
  <c r="BK9" i="21"/>
  <c r="B116" i="22"/>
  <c r="B114" i="22"/>
  <c r="D42" i="21"/>
  <c r="G38" i="22"/>
  <c r="E43" i="22"/>
  <c r="BD15" i="25"/>
  <c r="BM15" i="25" s="1"/>
  <c r="BD20" i="25"/>
  <c r="H41" i="25"/>
  <c r="G39" i="22"/>
  <c r="E38" i="22"/>
  <c r="E40" i="22"/>
  <c r="D43" i="22"/>
  <c r="D38" i="22"/>
  <c r="D40" i="21"/>
  <c r="D43" i="21"/>
  <c r="F39" i="21"/>
  <c r="F43" i="21"/>
  <c r="T341" i="27"/>
  <c r="AL147" i="27" s="1"/>
  <c r="AK147" i="27" s="1"/>
  <c r="AJ147" i="27" s="1"/>
  <c r="R159" i="27"/>
  <c r="T343" i="27"/>
  <c r="AL149" i="27" s="1"/>
  <c r="AK149" i="27" s="1"/>
  <c r="AJ149" i="27" s="1"/>
  <c r="G40" i="22"/>
  <c r="E41" i="22"/>
  <c r="E42" i="22"/>
  <c r="D39" i="22"/>
  <c r="D38" i="21"/>
  <c r="F40" i="21"/>
  <c r="BA6" i="21"/>
  <c r="BM6" i="21" s="1"/>
  <c r="BA18" i="21"/>
  <c r="BM18" i="21" s="1"/>
  <c r="AF8" i="28"/>
  <c r="G42" i="22"/>
  <c r="BJ17" i="25"/>
  <c r="BJ9" i="25"/>
  <c r="S341" i="2"/>
  <c r="AL135" i="2" s="1"/>
  <c r="AK135" i="2" s="1"/>
  <c r="AJ135" i="2" s="1"/>
  <c r="AF8" i="2"/>
  <c r="AF9" i="2"/>
  <c r="AF7" i="2"/>
  <c r="B109" i="2"/>
  <c r="S338" i="2"/>
  <c r="AL132" i="2" s="1"/>
  <c r="AK132" i="2" s="1"/>
  <c r="AJ132" i="2" s="1"/>
  <c r="S340" i="2"/>
  <c r="AL134" i="2" s="1"/>
  <c r="AK134" i="2" s="1"/>
  <c r="AJ134" i="2" s="1"/>
  <c r="AF3" i="2"/>
  <c r="AF5" i="2"/>
  <c r="P8" i="2"/>
  <c r="AZ10" i="2" s="1"/>
  <c r="O109" i="2"/>
  <c r="Q113" i="2"/>
  <c r="AF4" i="2"/>
  <c r="AF10" i="2"/>
  <c r="AF11" i="2"/>
  <c r="BI11" i="25"/>
  <c r="BM11" i="25" s="1"/>
  <c r="CC107" i="25" s="1"/>
  <c r="BF19" i="25"/>
  <c r="BF10" i="25"/>
  <c r="T323" i="22"/>
  <c r="AL88" i="22" s="1"/>
  <c r="AK88" i="22" s="1"/>
  <c r="AJ88" i="22" s="1"/>
  <c r="T321" i="22"/>
  <c r="AL86" i="22" s="1"/>
  <c r="AK86" i="22" s="1"/>
  <c r="AJ86" i="22" s="1"/>
  <c r="R236" i="27"/>
  <c r="S159" i="2"/>
  <c r="T339" i="2"/>
  <c r="AL145" i="2" s="1"/>
  <c r="AK145" i="2" s="1"/>
  <c r="AJ145" i="2" s="1"/>
  <c r="R237" i="27"/>
  <c r="S237" i="2"/>
  <c r="T159" i="2"/>
  <c r="R234" i="27"/>
  <c r="T230" i="27"/>
  <c r="Q236" i="27"/>
  <c r="AF10" i="27"/>
  <c r="T232" i="27"/>
  <c r="H39" i="26"/>
  <c r="Q234" i="27"/>
  <c r="S235" i="2"/>
  <c r="Q159" i="2"/>
  <c r="P8" i="27"/>
  <c r="P100" i="27" s="1"/>
  <c r="BK9" i="26"/>
  <c r="BK13" i="26"/>
  <c r="BM13" i="26" s="1"/>
  <c r="H39" i="25"/>
  <c r="R232" i="27"/>
  <c r="BK9" i="25"/>
  <c r="BK13" i="25"/>
  <c r="BM13" i="25" s="1"/>
  <c r="R341" i="2"/>
  <c r="AL123" i="2" s="1"/>
  <c r="AK123" i="2" s="1"/>
  <c r="AJ123" i="2" s="1"/>
  <c r="T340" i="2"/>
  <c r="AL146" i="2" s="1"/>
  <c r="AK146" i="2" s="1"/>
  <c r="AJ146" i="2" s="1"/>
  <c r="S339" i="27"/>
  <c r="AL133" i="27" s="1"/>
  <c r="AK133" i="27" s="1"/>
  <c r="AJ133" i="27" s="1"/>
  <c r="AF3" i="27"/>
  <c r="G39" i="25"/>
  <c r="Q309" i="2"/>
  <c r="R323" i="2" s="1"/>
  <c r="AL64" i="2" s="1"/>
  <c r="AK64" i="2" s="1"/>
  <c r="AJ64" i="2" s="1"/>
  <c r="S230" i="27"/>
  <c r="T338" i="27"/>
  <c r="AL144" i="27" s="1"/>
  <c r="AK144" i="27" s="1"/>
  <c r="AJ144" i="27" s="1"/>
  <c r="T158" i="27"/>
  <c r="R231" i="27"/>
  <c r="S232" i="27"/>
  <c r="H42" i="25"/>
  <c r="H43" i="25"/>
  <c r="Q232" i="27"/>
  <c r="T342" i="27"/>
  <c r="AL148" i="27" s="1"/>
  <c r="AK148" i="27" s="1"/>
  <c r="AJ148" i="27" s="1"/>
  <c r="S158" i="27"/>
  <c r="R233" i="27"/>
  <c r="R235" i="27"/>
  <c r="H40" i="25"/>
  <c r="T237" i="27"/>
  <c r="S235" i="27"/>
  <c r="T340" i="27"/>
  <c r="AL146" i="27" s="1"/>
  <c r="AK146" i="27" s="1"/>
  <c r="AJ146" i="27" s="1"/>
  <c r="R230" i="27"/>
  <c r="Q237" i="2"/>
  <c r="S233" i="2"/>
  <c r="S232" i="2"/>
  <c r="R343" i="2"/>
  <c r="AL125" i="2" s="1"/>
  <c r="AK125" i="2" s="1"/>
  <c r="AJ125" i="2" s="1"/>
  <c r="T343" i="2"/>
  <c r="AL149" i="2" s="1"/>
  <c r="AK149" i="2" s="1"/>
  <c r="AJ149" i="2" s="1"/>
  <c r="Q340" i="27"/>
  <c r="AL110" i="27" s="1"/>
  <c r="AK110" i="27" s="1"/>
  <c r="AJ110" i="27" s="1"/>
  <c r="Q231" i="27"/>
  <c r="Q233" i="27"/>
  <c r="S341" i="27"/>
  <c r="AL135" i="27" s="1"/>
  <c r="AK135" i="27" s="1"/>
  <c r="AJ135" i="27" s="1"/>
  <c r="S236" i="27"/>
  <c r="AF5" i="27"/>
  <c r="B109" i="27"/>
  <c r="AF4" i="27"/>
  <c r="P109" i="27"/>
  <c r="T236" i="27"/>
  <c r="T234" i="27"/>
  <c r="R159" i="2"/>
  <c r="S234" i="2"/>
  <c r="S236" i="2"/>
  <c r="R342" i="2"/>
  <c r="AL124" i="2" s="1"/>
  <c r="AK124" i="2" s="1"/>
  <c r="AJ124" i="2" s="1"/>
  <c r="R340" i="2"/>
  <c r="AL122" i="2" s="1"/>
  <c r="AK122" i="2" s="1"/>
  <c r="AJ122" i="2" s="1"/>
  <c r="T338" i="2"/>
  <c r="AL144" i="2" s="1"/>
  <c r="AK144" i="2" s="1"/>
  <c r="AJ144" i="2" s="1"/>
  <c r="T323" i="29"/>
  <c r="AL88" i="29" s="1"/>
  <c r="AK88" i="29" s="1"/>
  <c r="AJ88" i="29" s="1"/>
  <c r="Q341" i="27"/>
  <c r="AL111" i="27" s="1"/>
  <c r="AK111" i="27" s="1"/>
  <c r="AJ111" i="27" s="1"/>
  <c r="Q235" i="27"/>
  <c r="Q237" i="27"/>
  <c r="S338" i="27"/>
  <c r="AL132" i="27" s="1"/>
  <c r="AK132" i="27" s="1"/>
  <c r="AJ132" i="27" s="1"/>
  <c r="S340" i="27"/>
  <c r="AL134" i="27" s="1"/>
  <c r="AK134" i="27" s="1"/>
  <c r="AJ134" i="27" s="1"/>
  <c r="S233" i="27"/>
  <c r="S231" i="27"/>
  <c r="Q113" i="27"/>
  <c r="AF2" i="27"/>
  <c r="AF8" i="27"/>
  <c r="AF6" i="27"/>
  <c r="T231" i="27"/>
  <c r="T233" i="27"/>
  <c r="S230" i="2"/>
  <c r="T341" i="2"/>
  <c r="AL147" i="2" s="1"/>
  <c r="AK147" i="2" s="1"/>
  <c r="AJ147" i="2" s="1"/>
  <c r="S343" i="27"/>
  <c r="AL137" i="27" s="1"/>
  <c r="AK137" i="27" s="1"/>
  <c r="AJ137" i="27" s="1"/>
  <c r="S234" i="27"/>
  <c r="S231" i="2"/>
  <c r="T322" i="29"/>
  <c r="AL87" i="29" s="1"/>
  <c r="AK87" i="29" s="1"/>
  <c r="AJ87" i="29" s="1"/>
  <c r="S237" i="27"/>
  <c r="R113" i="27"/>
  <c r="AF7" i="27"/>
  <c r="AF9" i="27"/>
  <c r="AF11" i="27"/>
  <c r="T235" i="27"/>
  <c r="D38" i="25"/>
  <c r="P72" i="25"/>
  <c r="BG23" i="25"/>
  <c r="BG9" i="25"/>
  <c r="B116" i="25"/>
  <c r="B114" i="25"/>
  <c r="E42" i="26"/>
  <c r="F40" i="26"/>
  <c r="G40" i="25"/>
  <c r="BC20" i="26"/>
  <c r="BC12" i="26"/>
  <c r="AY10" i="26"/>
  <c r="AY21" i="26"/>
  <c r="O109" i="28"/>
  <c r="H38" i="25"/>
  <c r="E39" i="25"/>
  <c r="D42" i="25"/>
  <c r="AZ10" i="25"/>
  <c r="AZ22" i="25"/>
  <c r="T324" i="26"/>
  <c r="AL89" i="26" s="1"/>
  <c r="AK89" i="26" s="1"/>
  <c r="AJ89" i="26" s="1"/>
  <c r="E40" i="25"/>
  <c r="D43" i="25"/>
  <c r="T321" i="26"/>
  <c r="AL86" i="26" s="1"/>
  <c r="AK86" i="26" s="1"/>
  <c r="AJ86" i="26" s="1"/>
  <c r="E41" i="25"/>
  <c r="E38" i="25"/>
  <c r="D39" i="25"/>
  <c r="D41" i="25"/>
  <c r="T323" i="26"/>
  <c r="AL88" i="26" s="1"/>
  <c r="AK88" i="26" s="1"/>
  <c r="AJ88" i="26" s="1"/>
  <c r="E42" i="25"/>
  <c r="G43" i="25"/>
  <c r="D40" i="25"/>
  <c r="AX20" i="26"/>
  <c r="AX12" i="26"/>
  <c r="R237" i="2"/>
  <c r="T232" i="2"/>
  <c r="R235" i="2"/>
  <c r="R342" i="28"/>
  <c r="AL124" i="28" s="1"/>
  <c r="AK124" i="28" s="1"/>
  <c r="AJ124" i="28" s="1"/>
  <c r="R343" i="28"/>
  <c r="AL125" i="28" s="1"/>
  <c r="AK125" i="28" s="1"/>
  <c r="AJ125" i="28" s="1"/>
  <c r="R341" i="28"/>
  <c r="AL123" i="28" s="1"/>
  <c r="AK123" i="28" s="1"/>
  <c r="AJ123" i="28" s="1"/>
  <c r="P341" i="26"/>
  <c r="AL99" i="26" s="1"/>
  <c r="AK99" i="26" s="1"/>
  <c r="AJ99" i="26" s="1"/>
  <c r="P343" i="26"/>
  <c r="AL101" i="26" s="1"/>
  <c r="AK101" i="26" s="1"/>
  <c r="AJ101" i="26" s="1"/>
  <c r="G41" i="25"/>
  <c r="D38" i="26"/>
  <c r="H40" i="26"/>
  <c r="BH9" i="25"/>
  <c r="BH17" i="25"/>
  <c r="BA6" i="26"/>
  <c r="BM6" i="26" s="1"/>
  <c r="BA18" i="26"/>
  <c r="BM18" i="26" s="1"/>
  <c r="T230" i="2"/>
  <c r="T324" i="29"/>
  <c r="AL89" i="29" s="1"/>
  <c r="AK89" i="29" s="1"/>
  <c r="AJ89" i="29" s="1"/>
  <c r="G42" i="25"/>
  <c r="F39" i="26"/>
  <c r="Q235" i="2"/>
  <c r="P340" i="26"/>
  <c r="AL98" i="26" s="1"/>
  <c r="AK98" i="26" s="1"/>
  <c r="AJ98" i="26" s="1"/>
  <c r="B116" i="26"/>
  <c r="G38" i="25"/>
  <c r="F42" i="25"/>
  <c r="R233" i="2"/>
  <c r="T235" i="2"/>
  <c r="T234" i="2"/>
  <c r="T236" i="2"/>
  <c r="R232" i="2"/>
  <c r="R230" i="2"/>
  <c r="Q232" i="2"/>
  <c r="Q234" i="2"/>
  <c r="D41" i="26"/>
  <c r="F38" i="26"/>
  <c r="F42" i="26"/>
  <c r="E38" i="26"/>
  <c r="T233" i="2"/>
  <c r="T231" i="2"/>
  <c r="R236" i="2"/>
  <c r="R234" i="2"/>
  <c r="Q236" i="2"/>
  <c r="Q231" i="2"/>
  <c r="S158" i="2"/>
  <c r="Q343" i="28"/>
  <c r="AL113" i="28" s="1"/>
  <c r="AK113" i="28" s="1"/>
  <c r="AJ113" i="28" s="1"/>
  <c r="D40" i="26"/>
  <c r="F43" i="26"/>
  <c r="G43" i="26"/>
  <c r="F38" i="25"/>
  <c r="BL21" i="26"/>
  <c r="BL22" i="26"/>
  <c r="T237" i="2"/>
  <c r="R231" i="2"/>
  <c r="Q233" i="2"/>
  <c r="AZ10" i="29"/>
  <c r="AZ22" i="29"/>
  <c r="BC20" i="25"/>
  <c r="BC12" i="25"/>
  <c r="Q340" i="28"/>
  <c r="AL110" i="28" s="1"/>
  <c r="AK110" i="28" s="1"/>
  <c r="AJ110" i="28" s="1"/>
  <c r="R235" i="28"/>
  <c r="E39" i="26"/>
  <c r="F39" i="25"/>
  <c r="Q342" i="28"/>
  <c r="AL112" i="28" s="1"/>
  <c r="AK112" i="28" s="1"/>
  <c r="AJ112" i="28" s="1"/>
  <c r="G38" i="26"/>
  <c r="E43" i="26"/>
  <c r="E40" i="26"/>
  <c r="F43" i="25"/>
  <c r="F40" i="25"/>
  <c r="BI8" i="26"/>
  <c r="BM8" i="26" s="1"/>
  <c r="BI11" i="26"/>
  <c r="BM11" i="26" s="1"/>
  <c r="E41" i="26"/>
  <c r="F41" i="25"/>
  <c r="BD15" i="26"/>
  <c r="BM15" i="26" s="1"/>
  <c r="BD20" i="26"/>
  <c r="S158" i="28"/>
  <c r="T158" i="28"/>
  <c r="T159" i="28"/>
  <c r="D39" i="26"/>
  <c r="D43" i="26"/>
  <c r="D42" i="26"/>
  <c r="Q158" i="28"/>
  <c r="R158" i="28"/>
  <c r="Q159" i="28"/>
  <c r="R113" i="28"/>
  <c r="AF3" i="28"/>
  <c r="R159" i="28"/>
  <c r="R233" i="28"/>
  <c r="AF5" i="28"/>
  <c r="E40" i="28" s="1"/>
  <c r="H43" i="26"/>
  <c r="H42" i="26"/>
  <c r="H38" i="26"/>
  <c r="H41" i="26"/>
  <c r="T235" i="28"/>
  <c r="T231" i="28"/>
  <c r="AI3" i="28"/>
  <c r="AF11" i="28"/>
  <c r="AF10" i="28"/>
  <c r="AF7" i="28"/>
  <c r="Q113" i="28"/>
  <c r="B109" i="28"/>
  <c r="AF6" i="28"/>
  <c r="AF9" i="28"/>
  <c r="AF2" i="28"/>
  <c r="Q231" i="28"/>
  <c r="R236" i="28"/>
  <c r="R230" i="28"/>
  <c r="R237" i="28"/>
  <c r="R232" i="28"/>
  <c r="R234" i="28"/>
  <c r="P8" i="28"/>
  <c r="P100" i="28" s="1"/>
  <c r="P109" i="28"/>
  <c r="T234" i="28"/>
  <c r="R231" i="28"/>
  <c r="Q233" i="28"/>
  <c r="T342" i="28"/>
  <c r="AL148" i="28" s="1"/>
  <c r="AK148" i="28" s="1"/>
  <c r="AJ148" i="28" s="1"/>
  <c r="T230" i="28"/>
  <c r="G42" i="26"/>
  <c r="G40" i="26"/>
  <c r="G41" i="26"/>
  <c r="G39" i="26"/>
  <c r="F41" i="26"/>
  <c r="S231" i="28"/>
  <c r="T233" i="28"/>
  <c r="T236" i="28"/>
  <c r="S230" i="28"/>
  <c r="T339" i="28"/>
  <c r="AL145" i="28" s="1"/>
  <c r="AK145" i="28" s="1"/>
  <c r="AJ145" i="28" s="1"/>
  <c r="T237" i="28"/>
  <c r="T340" i="28"/>
  <c r="AL146" i="28" s="1"/>
  <c r="AK146" i="28" s="1"/>
  <c r="AJ146" i="28" s="1"/>
  <c r="T338" i="28"/>
  <c r="AL144" i="28" s="1"/>
  <c r="AK144" i="28" s="1"/>
  <c r="AJ144" i="28" s="1"/>
  <c r="T343" i="28"/>
  <c r="AL149" i="28" s="1"/>
  <c r="AK149" i="28" s="1"/>
  <c r="AJ149" i="28" s="1"/>
  <c r="T232" i="28"/>
  <c r="S234" i="28"/>
  <c r="BH9" i="29"/>
  <c r="BI11" i="29"/>
  <c r="BM11" i="29" s="1"/>
  <c r="BI8" i="29"/>
  <c r="BM8" i="29" s="1"/>
  <c r="S237" i="28"/>
  <c r="S232" i="28"/>
  <c r="S235" i="28"/>
  <c r="Q236" i="28"/>
  <c r="Q234" i="28"/>
  <c r="Q237" i="28"/>
  <c r="S233" i="28"/>
  <c r="Q232" i="28"/>
  <c r="S236" i="28"/>
  <c r="Q235" i="28"/>
  <c r="BH17" i="29"/>
  <c r="BC12" i="29"/>
  <c r="BC20" i="29"/>
  <c r="BD15" i="29"/>
  <c r="BM15" i="29" s="1"/>
  <c r="CC40" i="29" s="1"/>
  <c r="BD20" i="29"/>
  <c r="BL21" i="29"/>
  <c r="BL22" i="29"/>
  <c r="D38" i="29"/>
  <c r="D42" i="29"/>
  <c r="H39" i="29"/>
  <c r="P341" i="29"/>
  <c r="AL99" i="29" s="1"/>
  <c r="AK99" i="29" s="1"/>
  <c r="AJ99" i="29" s="1"/>
  <c r="D40" i="29"/>
  <c r="B116" i="29"/>
  <c r="AX20" i="29"/>
  <c r="AX12" i="29"/>
  <c r="G40" i="29"/>
  <c r="D41" i="29"/>
  <c r="E39" i="29"/>
  <c r="F41" i="29"/>
  <c r="B114" i="29"/>
  <c r="D39" i="29"/>
  <c r="D43" i="29"/>
  <c r="G39" i="29"/>
  <c r="P72" i="29"/>
  <c r="F40" i="29"/>
  <c r="E43" i="29"/>
  <c r="E40" i="29"/>
  <c r="G42" i="29"/>
  <c r="G38" i="29"/>
  <c r="H43" i="29"/>
  <c r="H40" i="29"/>
  <c r="P342" i="29"/>
  <c r="AL100" i="29" s="1"/>
  <c r="AK100" i="29" s="1"/>
  <c r="AJ100" i="29" s="1"/>
  <c r="BG23" i="29"/>
  <c r="BG9" i="29"/>
  <c r="F43" i="29"/>
  <c r="G41" i="29"/>
  <c r="G43" i="29"/>
  <c r="H41" i="29"/>
  <c r="H38" i="29"/>
  <c r="P343" i="29"/>
  <c r="AL101" i="29" s="1"/>
  <c r="AK101" i="29" s="1"/>
  <c r="AJ101" i="29" s="1"/>
  <c r="F39" i="29"/>
  <c r="F42" i="29"/>
  <c r="E41" i="29"/>
  <c r="BB23" i="29"/>
  <c r="BB7" i="29"/>
  <c r="BM7" i="29" s="1"/>
  <c r="F38" i="29"/>
  <c r="E42" i="29"/>
  <c r="E38" i="29"/>
  <c r="S191" i="30"/>
  <c r="S159" i="30"/>
  <c r="T159" i="30"/>
  <c r="Q158" i="30"/>
  <c r="R158" i="30"/>
  <c r="Q159" i="30"/>
  <c r="R159" i="30"/>
  <c r="T158" i="30"/>
  <c r="S158" i="30"/>
  <c r="S309" i="30"/>
  <c r="T321" i="30" s="1"/>
  <c r="AL86" i="30" s="1"/>
  <c r="AK86" i="30" s="1"/>
  <c r="AJ86" i="30" s="1"/>
  <c r="R175" i="30"/>
  <c r="S175" i="30" s="1"/>
  <c r="S181" i="30"/>
  <c r="Q312" i="30"/>
  <c r="P312" i="30" s="1"/>
  <c r="R246" i="30"/>
  <c r="Q340" i="30"/>
  <c r="AL110" i="30" s="1"/>
  <c r="AK110" i="30" s="1"/>
  <c r="AJ110" i="30" s="1"/>
  <c r="Q343" i="30"/>
  <c r="AL113" i="30" s="1"/>
  <c r="AK113" i="30" s="1"/>
  <c r="AJ113" i="30" s="1"/>
  <c r="Q341" i="30"/>
  <c r="AL111" i="30" s="1"/>
  <c r="AK111" i="30" s="1"/>
  <c r="AJ111" i="30" s="1"/>
  <c r="Q342" i="30"/>
  <c r="AL112" i="30" s="1"/>
  <c r="AK112" i="30" s="1"/>
  <c r="AJ112" i="30" s="1"/>
  <c r="T237" i="30"/>
  <c r="T236" i="30"/>
  <c r="T232" i="30"/>
  <c r="T230" i="30"/>
  <c r="T233" i="30"/>
  <c r="T234" i="30"/>
  <c r="T231" i="30"/>
  <c r="T235" i="30"/>
  <c r="Q233" i="30"/>
  <c r="Q234" i="30"/>
  <c r="Q235" i="30"/>
  <c r="Q231" i="30"/>
  <c r="Q237" i="30"/>
  <c r="Q232" i="30"/>
  <c r="Q236" i="30"/>
  <c r="O328" i="30"/>
  <c r="Q309" i="30"/>
  <c r="B146" i="30"/>
  <c r="O254" i="30"/>
  <c r="T253" i="30"/>
  <c r="T254" i="30" s="1"/>
  <c r="T247" i="30"/>
  <c r="T248" i="30" s="1"/>
  <c r="S253" i="30"/>
  <c r="S254" i="30" s="1"/>
  <c r="S247" i="30"/>
  <c r="S248" i="30" s="1"/>
  <c r="R149" i="30"/>
  <c r="R253" i="30"/>
  <c r="R254" i="30" s="1"/>
  <c r="P248" i="30"/>
  <c r="R247" i="30"/>
  <c r="R248" i="30" s="1"/>
  <c r="P254" i="30"/>
  <c r="O248" i="30"/>
  <c r="Q247" i="30"/>
  <c r="Q248" i="30" s="1"/>
  <c r="B147" i="30"/>
  <c r="Q253" i="30"/>
  <c r="Q254" i="30" s="1"/>
  <c r="R26" i="30"/>
  <c r="R25" i="30"/>
  <c r="R22" i="30"/>
  <c r="R21" i="30"/>
  <c r="R24" i="30"/>
  <c r="R16" i="30"/>
  <c r="R23" i="30"/>
  <c r="R17" i="30"/>
  <c r="B148" i="30"/>
  <c r="S342" i="30"/>
  <c r="AL136" i="30" s="1"/>
  <c r="AK136" i="30" s="1"/>
  <c r="AJ136" i="30" s="1"/>
  <c r="S339" i="30"/>
  <c r="AL133" i="30" s="1"/>
  <c r="AK133" i="30" s="1"/>
  <c r="AJ133" i="30" s="1"/>
  <c r="S340" i="30"/>
  <c r="AL134" i="30" s="1"/>
  <c r="AK134" i="30" s="1"/>
  <c r="AJ134" i="30" s="1"/>
  <c r="S343" i="30"/>
  <c r="AL137" i="30" s="1"/>
  <c r="AK137" i="30" s="1"/>
  <c r="AJ137" i="30" s="1"/>
  <c r="S341" i="30"/>
  <c r="AL135" i="30" s="1"/>
  <c r="AK135" i="30" s="1"/>
  <c r="AJ135" i="30" s="1"/>
  <c r="S338" i="30"/>
  <c r="AL132" i="30" s="1"/>
  <c r="AK132" i="30" s="1"/>
  <c r="AJ132" i="30" s="1"/>
  <c r="S235" i="30"/>
  <c r="S231" i="30"/>
  <c r="S237" i="30"/>
  <c r="S236" i="30"/>
  <c r="S232" i="30"/>
  <c r="S230" i="30"/>
  <c r="S233" i="30"/>
  <c r="S234" i="30"/>
  <c r="R301" i="30"/>
  <c r="R297" i="30"/>
  <c r="R304" i="30"/>
  <c r="R300" i="30"/>
  <c r="R303" i="30"/>
  <c r="R299" i="30"/>
  <c r="R296" i="30"/>
  <c r="R298" i="30"/>
  <c r="R295" i="30"/>
  <c r="R302" i="30"/>
  <c r="S304" i="30"/>
  <c r="S300" i="30"/>
  <c r="S303" i="30"/>
  <c r="S299" i="30"/>
  <c r="S302" i="30"/>
  <c r="S298" i="30"/>
  <c r="S295" i="30"/>
  <c r="S301" i="30"/>
  <c r="S296" i="30"/>
  <c r="S297" i="30"/>
  <c r="R78" i="30"/>
  <c r="AQ57" i="30" s="1"/>
  <c r="AP57" i="30" s="1"/>
  <c r="AO57" i="30" s="1"/>
  <c r="Q80" i="30"/>
  <c r="AQ54" i="30" s="1"/>
  <c r="AP54" i="30" s="1"/>
  <c r="AO54" i="30" s="1"/>
  <c r="AQ45" i="30"/>
  <c r="AP45" i="30" s="1"/>
  <c r="R80" i="30"/>
  <c r="AQ59" i="30" s="1"/>
  <c r="AP59" i="30" s="1"/>
  <c r="AO59" i="30" s="1"/>
  <c r="R79" i="30"/>
  <c r="AQ58" i="30" s="1"/>
  <c r="AP58" i="30" s="1"/>
  <c r="R76" i="30"/>
  <c r="AQ55" i="30" s="1"/>
  <c r="AP55" i="30" s="1"/>
  <c r="O109" i="30"/>
  <c r="B109" i="30"/>
  <c r="P109" i="30"/>
  <c r="AF2" i="30"/>
  <c r="AF3" i="30"/>
  <c r="AF6" i="30"/>
  <c r="AF9" i="30"/>
  <c r="AF7" i="30"/>
  <c r="AF8" i="30"/>
  <c r="P8" i="30"/>
  <c r="AF4" i="30"/>
  <c r="AF5" i="30"/>
  <c r="AF10" i="30"/>
  <c r="AF11" i="30"/>
  <c r="Q113" i="30"/>
  <c r="R113" i="30"/>
  <c r="R343" i="30"/>
  <c r="AL125" i="30" s="1"/>
  <c r="AK125" i="30" s="1"/>
  <c r="AJ125" i="30" s="1"/>
  <c r="R341" i="30"/>
  <c r="AL123" i="30" s="1"/>
  <c r="AK123" i="30" s="1"/>
  <c r="AJ123" i="30" s="1"/>
  <c r="R342" i="30"/>
  <c r="AL124" i="30" s="1"/>
  <c r="AK124" i="30" s="1"/>
  <c r="AJ124" i="30" s="1"/>
  <c r="R340" i="30"/>
  <c r="AL122" i="30" s="1"/>
  <c r="AK122" i="30" s="1"/>
  <c r="AJ122" i="30" s="1"/>
  <c r="R234" i="30"/>
  <c r="R235" i="30"/>
  <c r="R231" i="30"/>
  <c r="R237" i="30"/>
  <c r="R236" i="30"/>
  <c r="R232" i="30"/>
  <c r="R230" i="30"/>
  <c r="R233" i="30"/>
  <c r="T342" i="30"/>
  <c r="AL148" i="30" s="1"/>
  <c r="AK148" i="30" s="1"/>
  <c r="AJ148" i="30" s="1"/>
  <c r="T339" i="30"/>
  <c r="AL145" i="30" s="1"/>
  <c r="AK145" i="30" s="1"/>
  <c r="AJ145" i="30" s="1"/>
  <c r="T340" i="30"/>
  <c r="AL146" i="30" s="1"/>
  <c r="AK146" i="30" s="1"/>
  <c r="AJ146" i="30" s="1"/>
  <c r="T343" i="30"/>
  <c r="AL149" i="30" s="1"/>
  <c r="AK149" i="30" s="1"/>
  <c r="AJ149" i="30" s="1"/>
  <c r="T341" i="30"/>
  <c r="AL147" i="30" s="1"/>
  <c r="AK147" i="30" s="1"/>
  <c r="AJ147" i="30" s="1"/>
  <c r="T338" i="30"/>
  <c r="AL144" i="30" s="1"/>
  <c r="AK144" i="30" s="1"/>
  <c r="AJ144" i="30" s="1"/>
  <c r="T303" i="30"/>
  <c r="T299" i="30"/>
  <c r="T296" i="30"/>
  <c r="T302" i="30"/>
  <c r="T301" i="30"/>
  <c r="T297" i="30"/>
  <c r="T304" i="30"/>
  <c r="T298" i="30"/>
  <c r="T295" i="30"/>
  <c r="T300" i="30"/>
  <c r="Q302" i="30"/>
  <c r="Q298" i="30"/>
  <c r="Q295" i="30"/>
  <c r="Q301" i="30"/>
  <c r="Q304" i="30"/>
  <c r="Q300" i="30"/>
  <c r="Q303" i="30"/>
  <c r="Q296" i="30"/>
  <c r="Q297" i="30"/>
  <c r="Q299" i="30"/>
  <c r="D6" i="14"/>
  <c r="C41" i="14"/>
  <c r="C37" i="14"/>
  <c r="C33" i="14"/>
  <c r="C29" i="14"/>
  <c r="C25" i="14"/>
  <c r="C21" i="14"/>
  <c r="C17" i="14"/>
  <c r="C9" i="14"/>
  <c r="C8" i="14"/>
  <c r="Q62" i="14"/>
  <c r="A40" i="14" s="1"/>
  <c r="R62" i="14"/>
  <c r="Q61" i="14"/>
  <c r="A36" i="14" s="1"/>
  <c r="R61" i="14"/>
  <c r="Q60" i="14"/>
  <c r="A32" i="14" s="1"/>
  <c r="R60" i="14"/>
  <c r="Q59" i="14"/>
  <c r="A28" i="14" s="1"/>
  <c r="R59" i="14"/>
  <c r="Q58" i="14"/>
  <c r="A24" i="14" s="1"/>
  <c r="R58" i="14"/>
  <c r="Q57" i="14"/>
  <c r="A20" i="14" s="1"/>
  <c r="R57" i="14"/>
  <c r="Q56" i="14"/>
  <c r="A16" i="14" s="1"/>
  <c r="R56" i="14"/>
  <c r="Q53" i="14"/>
  <c r="A4" i="14" s="1"/>
  <c r="Q55" i="14"/>
  <c r="A12" i="14" s="1"/>
  <c r="R55" i="14"/>
  <c r="Q54" i="14"/>
  <c r="A8" i="14" s="1"/>
  <c r="R54" i="14"/>
  <c r="G50" i="8"/>
  <c r="D56" i="8"/>
  <c r="D61" i="8"/>
  <c r="G51" i="8"/>
  <c r="D57" i="8"/>
  <c r="E63" i="8"/>
  <c r="G52" i="8"/>
  <c r="D59" i="8"/>
  <c r="F64" i="8"/>
  <c r="G49" i="8"/>
  <c r="F54" i="8"/>
  <c r="D60" i="8"/>
  <c r="G65" i="8"/>
  <c r="G48" i="8"/>
  <c r="G53" i="8"/>
  <c r="E55" i="8"/>
  <c r="D58" i="8"/>
  <c r="D62" i="8"/>
  <c r="D47" i="8"/>
  <c r="D48" i="8"/>
  <c r="D49" i="8"/>
  <c r="D50" i="8"/>
  <c r="D51" i="8"/>
  <c r="D52" i="8"/>
  <c r="D53" i="8"/>
  <c r="C54" i="8"/>
  <c r="G54" i="8"/>
  <c r="F55" i="8"/>
  <c r="E56" i="8"/>
  <c r="E57" i="8"/>
  <c r="E58" i="8"/>
  <c r="E59" i="8"/>
  <c r="E60" i="8"/>
  <c r="E61" i="8"/>
  <c r="E62" i="8"/>
  <c r="F63" i="8"/>
  <c r="G64" i="8"/>
  <c r="E66" i="8"/>
  <c r="G47" i="8"/>
  <c r="E47" i="8"/>
  <c r="E48" i="8"/>
  <c r="E49" i="8"/>
  <c r="E50" i="8"/>
  <c r="E51" i="8"/>
  <c r="E52" i="8"/>
  <c r="E53" i="8"/>
  <c r="D54" i="8"/>
  <c r="C55" i="8"/>
  <c r="G55" i="8"/>
  <c r="F56" i="8"/>
  <c r="F57" i="8"/>
  <c r="F58" i="8"/>
  <c r="F59" i="8"/>
  <c r="F60" i="8"/>
  <c r="F61" i="8"/>
  <c r="F62" i="8"/>
  <c r="E65" i="8"/>
  <c r="F66" i="8"/>
  <c r="F48" i="8"/>
  <c r="F50" i="8"/>
  <c r="F52" i="8"/>
  <c r="C56" i="8"/>
  <c r="C53" i="8"/>
  <c r="C51" i="8"/>
  <c r="C49" i="8"/>
  <c r="C47" i="8"/>
  <c r="T323" i="30" l="1"/>
  <c r="AL88" i="30" s="1"/>
  <c r="AK88" i="30" s="1"/>
  <c r="AJ88" i="30" s="1"/>
  <c r="S177" i="2"/>
  <c r="B114" i="30"/>
  <c r="B116" i="30"/>
  <c r="B264" i="30"/>
  <c r="P100" i="30"/>
  <c r="R175" i="24"/>
  <c r="S175" i="24" s="1"/>
  <c r="BM21" i="23"/>
  <c r="CC25" i="23" s="1"/>
  <c r="BA6" i="2"/>
  <c r="BM6" i="2" s="1"/>
  <c r="CC10" i="2" s="1"/>
  <c r="B262" i="30"/>
  <c r="CC115" i="22"/>
  <c r="S175" i="2"/>
  <c r="BM22" i="26"/>
  <c r="CC26" i="26" s="1"/>
  <c r="BH17" i="27"/>
  <c r="CC105" i="25"/>
  <c r="P98" i="30"/>
  <c r="P97" i="30"/>
  <c r="S97" i="30"/>
  <c r="S89" i="30"/>
  <c r="S98" i="29"/>
  <c r="S99" i="29" s="1"/>
  <c r="BB23" i="28"/>
  <c r="P97" i="28"/>
  <c r="P98" i="28"/>
  <c r="S97" i="28"/>
  <c r="S89" i="28"/>
  <c r="CC97" i="25"/>
  <c r="CC12" i="25"/>
  <c r="CC114" i="25"/>
  <c r="S97" i="27"/>
  <c r="S89" i="27"/>
  <c r="BE10" i="24"/>
  <c r="BB7" i="27"/>
  <c r="BM7" i="27" s="1"/>
  <c r="CC2" i="27" s="1"/>
  <c r="P98" i="27"/>
  <c r="P97" i="27"/>
  <c r="CC30" i="22"/>
  <c r="CC107" i="22"/>
  <c r="CC59" i="22"/>
  <c r="S98" i="26"/>
  <c r="CC15" i="22"/>
  <c r="S98" i="25"/>
  <c r="S99" i="25" s="1"/>
  <c r="P72" i="24"/>
  <c r="P97" i="24"/>
  <c r="P98" i="24"/>
  <c r="S97" i="24"/>
  <c r="S89" i="24"/>
  <c r="S98" i="23"/>
  <c r="S99" i="23" s="1"/>
  <c r="CC59" i="21"/>
  <c r="CC30" i="21"/>
  <c r="S98" i="22"/>
  <c r="S99" i="22" s="1"/>
  <c r="CC50" i="21"/>
  <c r="CC115" i="21"/>
  <c r="CC15" i="21"/>
  <c r="S98" i="21"/>
  <c r="S99" i="21" s="1"/>
  <c r="BF10" i="24"/>
  <c r="BB23" i="2"/>
  <c r="BB7" i="2"/>
  <c r="BM7" i="2" s="1"/>
  <c r="CC11" i="2" s="1"/>
  <c r="R191" i="24"/>
  <c r="S191" i="24" s="1"/>
  <c r="BM17" i="23"/>
  <c r="CC21" i="23" s="1"/>
  <c r="BM19" i="23"/>
  <c r="CC69" i="23" s="1"/>
  <c r="BC20" i="2"/>
  <c r="BE10" i="27"/>
  <c r="BE19" i="27"/>
  <c r="S177" i="27"/>
  <c r="BB7" i="28"/>
  <c r="BM7" i="28" s="1"/>
  <c r="CC11" i="28" s="1"/>
  <c r="BL22" i="24"/>
  <c r="AX12" i="24"/>
  <c r="CC17" i="23"/>
  <c r="AX20" i="24"/>
  <c r="CC67" i="23"/>
  <c r="BE19" i="24"/>
  <c r="CC88" i="23"/>
  <c r="CC108" i="23"/>
  <c r="CC4" i="23"/>
  <c r="CC52" i="23"/>
  <c r="CC76" i="23"/>
  <c r="BH9" i="2"/>
  <c r="P100" i="2"/>
  <c r="S242" i="29"/>
  <c r="R312" i="29" s="1"/>
  <c r="BJ9" i="27"/>
  <c r="CC32" i="23"/>
  <c r="CC118" i="23"/>
  <c r="CC40" i="23"/>
  <c r="CC68" i="23"/>
  <c r="BL21" i="2"/>
  <c r="BM20" i="23"/>
  <c r="CC119" i="23" s="1"/>
  <c r="BM12" i="23"/>
  <c r="CC87" i="23" s="1"/>
  <c r="BM22" i="25"/>
  <c r="CC62" i="25" s="1"/>
  <c r="BF19" i="24"/>
  <c r="BM21" i="25"/>
  <c r="CC25" i="25" s="1"/>
  <c r="BK9" i="2"/>
  <c r="BC12" i="2"/>
  <c r="BM9" i="23"/>
  <c r="CC74" i="23" s="1"/>
  <c r="BJ17" i="27"/>
  <c r="BH17" i="2"/>
  <c r="AY21" i="2"/>
  <c r="BC20" i="24"/>
  <c r="BJ9" i="24"/>
  <c r="BA18" i="24"/>
  <c r="BM18" i="24" s="1"/>
  <c r="CC22" i="24" s="1"/>
  <c r="CC114" i="21"/>
  <c r="BM10" i="23"/>
  <c r="CC14" i="23" s="1"/>
  <c r="R181" i="27"/>
  <c r="S181" i="27" s="1"/>
  <c r="CC37" i="21"/>
  <c r="CC105" i="21"/>
  <c r="BM12" i="22"/>
  <c r="CC75" i="22" s="1"/>
  <c r="BD20" i="2"/>
  <c r="CC97" i="21"/>
  <c r="AY21" i="27"/>
  <c r="AY10" i="27"/>
  <c r="BI11" i="27"/>
  <c r="BM11" i="27" s="1"/>
  <c r="CC115" i="27" s="1"/>
  <c r="BM19" i="22"/>
  <c r="CC92" i="22" s="1"/>
  <c r="BB7" i="24"/>
  <c r="BM7" i="24" s="1"/>
  <c r="CC73" i="24" s="1"/>
  <c r="BB23" i="24"/>
  <c r="BA6" i="24"/>
  <c r="BM6" i="24" s="1"/>
  <c r="CC10" i="24" s="1"/>
  <c r="BE19" i="2"/>
  <c r="BM20" i="21"/>
  <c r="CC111" i="21" s="1"/>
  <c r="BM22" i="23"/>
  <c r="CC80" i="23" s="1"/>
  <c r="BJ17" i="24"/>
  <c r="BD20" i="24"/>
  <c r="BA18" i="2"/>
  <c r="BM18" i="2" s="1"/>
  <c r="CC91" i="2" s="1"/>
  <c r="BE19" i="28"/>
  <c r="BB23" i="27"/>
  <c r="BD15" i="24"/>
  <c r="BM15" i="24" s="1"/>
  <c r="CC68" i="24" s="1"/>
  <c r="BL21" i="24"/>
  <c r="BM21" i="22"/>
  <c r="CC93" i="22" s="1"/>
  <c r="BC12" i="24"/>
  <c r="BI8" i="24"/>
  <c r="BM8" i="24" s="1"/>
  <c r="CC105" i="24" s="1"/>
  <c r="CC11" i="25"/>
  <c r="CC38" i="25"/>
  <c r="CC2" i="25"/>
  <c r="CC48" i="25"/>
  <c r="AY10" i="2"/>
  <c r="BM22" i="22"/>
  <c r="CC26" i="22" s="1"/>
  <c r="AY10" i="24"/>
  <c r="BM17" i="22"/>
  <c r="CC53" i="22" s="1"/>
  <c r="P72" i="27"/>
  <c r="BD15" i="2"/>
  <c r="BM15" i="2" s="1"/>
  <c r="CC40" i="2" s="1"/>
  <c r="BA6" i="27"/>
  <c r="BM6" i="27" s="1"/>
  <c r="CC84" i="27" s="1"/>
  <c r="BA18" i="27"/>
  <c r="BM18" i="27" s="1"/>
  <c r="CC91" i="27" s="1"/>
  <c r="B116" i="24"/>
  <c r="CC114" i="22"/>
  <c r="BI11" i="24"/>
  <c r="BM11" i="24" s="1"/>
  <c r="CC115" i="24" s="1"/>
  <c r="AZ22" i="27"/>
  <c r="CC97" i="22"/>
  <c r="CC37" i="22"/>
  <c r="CC105" i="22"/>
  <c r="BK13" i="24"/>
  <c r="BM13" i="24" s="1"/>
  <c r="CC88" i="24" s="1"/>
  <c r="BK9" i="24"/>
  <c r="CC67" i="22"/>
  <c r="BI11" i="2"/>
  <c r="BM11" i="2" s="1"/>
  <c r="CC50" i="2" s="1"/>
  <c r="BI8" i="2"/>
  <c r="BM8" i="2" s="1"/>
  <c r="CC105" i="2" s="1"/>
  <c r="BE10" i="2"/>
  <c r="CC100" i="22"/>
  <c r="BH9" i="24"/>
  <c r="BH17" i="24"/>
  <c r="CC88" i="22"/>
  <c r="CC4" i="22"/>
  <c r="BM21" i="29"/>
  <c r="CC25" i="29" s="1"/>
  <c r="CC108" i="22"/>
  <c r="CC52" i="22"/>
  <c r="AZ10" i="27"/>
  <c r="CC76" i="22"/>
  <c r="BM23" i="21"/>
  <c r="CC7" i="21" s="1"/>
  <c r="BK13" i="2"/>
  <c r="BM13" i="2" s="1"/>
  <c r="CC67" i="2" s="1"/>
  <c r="BL21" i="28"/>
  <c r="BM17" i="26"/>
  <c r="CC21" i="26" s="1"/>
  <c r="BM12" i="25"/>
  <c r="CC66" i="25" s="1"/>
  <c r="BM23" i="25"/>
  <c r="CC81" i="25" s="1"/>
  <c r="BM23" i="26"/>
  <c r="CC27" i="26" s="1"/>
  <c r="BL22" i="2"/>
  <c r="BM19" i="26"/>
  <c r="CC69" i="26" s="1"/>
  <c r="BM12" i="21"/>
  <c r="CC60" i="21" s="1"/>
  <c r="AZ10" i="24"/>
  <c r="AZ22" i="24"/>
  <c r="BF19" i="28"/>
  <c r="P342" i="24"/>
  <c r="AL100" i="24" s="1"/>
  <c r="AK100" i="24" s="1"/>
  <c r="AJ100" i="24" s="1"/>
  <c r="P340" i="24"/>
  <c r="AL98" i="24" s="1"/>
  <c r="AK98" i="24" s="1"/>
  <c r="AJ98" i="24" s="1"/>
  <c r="T324" i="28"/>
  <c r="AL89" i="28" s="1"/>
  <c r="AK89" i="28" s="1"/>
  <c r="AJ89" i="28" s="1"/>
  <c r="T322" i="28"/>
  <c r="AL87" i="28" s="1"/>
  <c r="AK87" i="28" s="1"/>
  <c r="AJ87" i="28" s="1"/>
  <c r="T323" i="28"/>
  <c r="AL88" i="28" s="1"/>
  <c r="AK88" i="28" s="1"/>
  <c r="AJ88" i="28" s="1"/>
  <c r="BG9" i="28"/>
  <c r="BM23" i="23"/>
  <c r="CC81" i="23" s="1"/>
  <c r="B114" i="28"/>
  <c r="BL22" i="28"/>
  <c r="BM17" i="29"/>
  <c r="CC6" i="29" s="1"/>
  <c r="BM9" i="26"/>
  <c r="CC13" i="26" s="1"/>
  <c r="BM9" i="21"/>
  <c r="CC65" i="21" s="1"/>
  <c r="BM19" i="29"/>
  <c r="CC23" i="29" s="1"/>
  <c r="F42" i="24"/>
  <c r="CC107" i="23"/>
  <c r="CC30" i="23"/>
  <c r="CC59" i="23"/>
  <c r="CC50" i="23"/>
  <c r="CC115" i="23"/>
  <c r="CC15" i="23"/>
  <c r="CC105" i="23"/>
  <c r="CC114" i="23"/>
  <c r="CC37" i="23"/>
  <c r="CC97" i="23"/>
  <c r="CC12" i="23"/>
  <c r="BF10" i="28"/>
  <c r="AZ22" i="2"/>
  <c r="B116" i="27"/>
  <c r="P342" i="27"/>
  <c r="AL100" i="27" s="1"/>
  <c r="AK100" i="27" s="1"/>
  <c r="AJ100" i="27" s="1"/>
  <c r="P341" i="27"/>
  <c r="AL99" i="27" s="1"/>
  <c r="AK99" i="27" s="1"/>
  <c r="AJ99" i="27" s="1"/>
  <c r="CC40" i="21"/>
  <c r="BM19" i="21"/>
  <c r="CC69" i="21" s="1"/>
  <c r="AX12" i="2"/>
  <c r="CC118" i="21"/>
  <c r="CC57" i="29"/>
  <c r="AX20" i="2"/>
  <c r="P340" i="27"/>
  <c r="AL98" i="27" s="1"/>
  <c r="AK98" i="27" s="1"/>
  <c r="AJ98" i="27" s="1"/>
  <c r="B114" i="27"/>
  <c r="BH9" i="27"/>
  <c r="CC32" i="21"/>
  <c r="BM10" i="22"/>
  <c r="CC98" i="22" s="1"/>
  <c r="CC19" i="21"/>
  <c r="BG23" i="28"/>
  <c r="BA6" i="28"/>
  <c r="BM6" i="28" s="1"/>
  <c r="BA18" i="28"/>
  <c r="BM18" i="28" s="1"/>
  <c r="P341" i="28"/>
  <c r="AL99" i="28" s="1"/>
  <c r="AK99" i="28" s="1"/>
  <c r="AJ99" i="28" s="1"/>
  <c r="H43" i="24"/>
  <c r="BM9" i="22"/>
  <c r="CC13" i="22" s="1"/>
  <c r="CC57" i="23"/>
  <c r="CC84" i="23"/>
  <c r="CC47" i="23"/>
  <c r="CC10" i="23"/>
  <c r="AY21" i="24"/>
  <c r="CC91" i="23"/>
  <c r="CC22" i="23"/>
  <c r="CC108" i="29"/>
  <c r="CC17" i="29"/>
  <c r="P343" i="24"/>
  <c r="AL101" i="24" s="1"/>
  <c r="AK101" i="24" s="1"/>
  <c r="AJ101" i="24" s="1"/>
  <c r="BM17" i="21"/>
  <c r="CC53" i="21" s="1"/>
  <c r="H42" i="24"/>
  <c r="E39" i="24"/>
  <c r="BG9" i="2"/>
  <c r="T324" i="24"/>
  <c r="AL89" i="24" s="1"/>
  <c r="AK89" i="24" s="1"/>
  <c r="AJ89" i="24" s="1"/>
  <c r="BG23" i="2"/>
  <c r="T322" i="24"/>
  <c r="AL87" i="24" s="1"/>
  <c r="AK87" i="24" s="1"/>
  <c r="AJ87" i="24" s="1"/>
  <c r="T323" i="24"/>
  <c r="AL88" i="24" s="1"/>
  <c r="AK88" i="24" s="1"/>
  <c r="AJ88" i="24" s="1"/>
  <c r="T321" i="24"/>
  <c r="AL86" i="24" s="1"/>
  <c r="AK86" i="24" s="1"/>
  <c r="AJ86" i="24" s="1"/>
  <c r="BK9" i="28"/>
  <c r="F38" i="24"/>
  <c r="CC73" i="23"/>
  <c r="CC2" i="23"/>
  <c r="CC38" i="23"/>
  <c r="CC48" i="23"/>
  <c r="CC11" i="23"/>
  <c r="CC47" i="29"/>
  <c r="P343" i="2"/>
  <c r="AL101" i="2" s="1"/>
  <c r="AK101" i="2" s="1"/>
  <c r="AJ101" i="2" s="1"/>
  <c r="BM10" i="21"/>
  <c r="CC106" i="21" s="1"/>
  <c r="D42" i="24"/>
  <c r="D43" i="2"/>
  <c r="F42" i="2"/>
  <c r="BM23" i="22"/>
  <c r="CC81" i="22" s="1"/>
  <c r="P343" i="28"/>
  <c r="AL101" i="28" s="1"/>
  <c r="AK101" i="28" s="1"/>
  <c r="AJ101" i="28" s="1"/>
  <c r="P340" i="28"/>
  <c r="AL98" i="28" s="1"/>
  <c r="AK98" i="28" s="1"/>
  <c r="AJ98" i="28" s="1"/>
  <c r="H39" i="24"/>
  <c r="T323" i="27"/>
  <c r="AL88" i="27" s="1"/>
  <c r="AK88" i="27" s="1"/>
  <c r="AJ88" i="27" s="1"/>
  <c r="H40" i="24"/>
  <c r="BM10" i="26"/>
  <c r="CC98" i="26" s="1"/>
  <c r="T324" i="27"/>
  <c r="AL89" i="27" s="1"/>
  <c r="AK89" i="27" s="1"/>
  <c r="AJ89" i="27" s="1"/>
  <c r="T322" i="27"/>
  <c r="AL87" i="27" s="1"/>
  <c r="AK87" i="27" s="1"/>
  <c r="AJ87" i="27" s="1"/>
  <c r="H38" i="24"/>
  <c r="B114" i="24"/>
  <c r="T324" i="2"/>
  <c r="AL89" i="2" s="1"/>
  <c r="AK89" i="2" s="1"/>
  <c r="AJ89" i="2" s="1"/>
  <c r="CC73" i="26"/>
  <c r="H41" i="24"/>
  <c r="BM20" i="22"/>
  <c r="CC61" i="22" s="1"/>
  <c r="CC10" i="29"/>
  <c r="G41" i="24"/>
  <c r="D39" i="2"/>
  <c r="D40" i="2"/>
  <c r="BK13" i="28"/>
  <c r="BM13" i="28" s="1"/>
  <c r="CC4" i="28" s="1"/>
  <c r="AX20" i="27"/>
  <c r="BG9" i="24"/>
  <c r="BG23" i="24"/>
  <c r="E41" i="24"/>
  <c r="B116" i="28"/>
  <c r="BD20" i="28"/>
  <c r="BD15" i="28"/>
  <c r="BM15" i="28" s="1"/>
  <c r="D43" i="24"/>
  <c r="F43" i="24"/>
  <c r="F39" i="24"/>
  <c r="F41" i="24"/>
  <c r="F40" i="24"/>
  <c r="O39" i="23"/>
  <c r="P39" i="23" s="1"/>
  <c r="AI21" i="23" s="1"/>
  <c r="E43" i="24"/>
  <c r="D41" i="24"/>
  <c r="G43" i="24"/>
  <c r="D42" i="2"/>
  <c r="D38" i="2"/>
  <c r="P342" i="2"/>
  <c r="AL100" i="2" s="1"/>
  <c r="AK100" i="2" s="1"/>
  <c r="AJ100" i="2" s="1"/>
  <c r="T322" i="2"/>
  <c r="AL87" i="2" s="1"/>
  <c r="AK87" i="2" s="1"/>
  <c r="AJ87" i="2" s="1"/>
  <c r="G39" i="24"/>
  <c r="D39" i="24"/>
  <c r="E40" i="24"/>
  <c r="E42" i="24"/>
  <c r="D41" i="2"/>
  <c r="CC91" i="29"/>
  <c r="G38" i="24"/>
  <c r="G40" i="24"/>
  <c r="D40" i="24"/>
  <c r="E38" i="24"/>
  <c r="BM10" i="29"/>
  <c r="CC86" i="29" s="1"/>
  <c r="T321" i="2"/>
  <c r="AL86" i="2" s="1"/>
  <c r="AK86" i="2" s="1"/>
  <c r="AJ86" i="2" s="1"/>
  <c r="P340" i="2"/>
  <c r="AL98" i="2" s="1"/>
  <c r="AK98" i="2" s="1"/>
  <c r="AJ98" i="2" s="1"/>
  <c r="G42" i="24"/>
  <c r="D38" i="24"/>
  <c r="O43" i="22"/>
  <c r="P43" i="22" s="1"/>
  <c r="BI8" i="27"/>
  <c r="BM8" i="27" s="1"/>
  <c r="CC12" i="27" s="1"/>
  <c r="BJ9" i="2"/>
  <c r="BF19" i="2"/>
  <c r="BF10" i="2"/>
  <c r="CC67" i="29"/>
  <c r="CC88" i="29"/>
  <c r="G41" i="28"/>
  <c r="G43" i="2"/>
  <c r="O42" i="23"/>
  <c r="P42" i="23" s="1"/>
  <c r="O187" i="23" s="1"/>
  <c r="CC100" i="29"/>
  <c r="CC4" i="29"/>
  <c r="CC52" i="29"/>
  <c r="BH9" i="28"/>
  <c r="E40" i="27"/>
  <c r="BC12" i="28"/>
  <c r="O41" i="21"/>
  <c r="P41" i="21" s="1"/>
  <c r="AI20" i="21" s="1"/>
  <c r="B114" i="2"/>
  <c r="O39" i="21"/>
  <c r="P39" i="21" s="1"/>
  <c r="O43" i="23"/>
  <c r="P43" i="23" s="1"/>
  <c r="O183" i="23" s="1"/>
  <c r="Q183" i="23" s="1"/>
  <c r="B116" i="2"/>
  <c r="AX12" i="27"/>
  <c r="D42" i="27"/>
  <c r="O43" i="21"/>
  <c r="P43" i="21" s="1"/>
  <c r="O183" i="21" s="1"/>
  <c r="Q183" i="21" s="1"/>
  <c r="CC11" i="26"/>
  <c r="BM20" i="25"/>
  <c r="CC70" i="25" s="1"/>
  <c r="O39" i="22"/>
  <c r="P39" i="22" s="1"/>
  <c r="P47" i="22" s="1"/>
  <c r="O41" i="23"/>
  <c r="P41" i="23" s="1"/>
  <c r="O173" i="23" s="1"/>
  <c r="Q173" i="23" s="1"/>
  <c r="O41" i="22"/>
  <c r="P41" i="22" s="1"/>
  <c r="O173" i="22" s="1"/>
  <c r="P72" i="2"/>
  <c r="BM17" i="25"/>
  <c r="CC6" i="25" s="1"/>
  <c r="H41" i="2"/>
  <c r="S97" i="2"/>
  <c r="S98" i="2" s="1"/>
  <c r="O42" i="21"/>
  <c r="P42" i="21" s="1"/>
  <c r="AI15" i="21" s="1"/>
  <c r="CC73" i="22"/>
  <c r="CC2" i="22"/>
  <c r="CC38" i="22"/>
  <c r="CC48" i="22"/>
  <c r="CC11" i="22"/>
  <c r="BM19" i="25"/>
  <c r="CC23" i="25" s="1"/>
  <c r="F39" i="27"/>
  <c r="O42" i="22"/>
  <c r="P42" i="22" s="1"/>
  <c r="O187" i="22" s="1"/>
  <c r="Q187" i="22" s="1"/>
  <c r="CC2" i="26"/>
  <c r="CC11" i="21"/>
  <c r="CC38" i="21"/>
  <c r="CC48" i="21"/>
  <c r="CC2" i="21"/>
  <c r="CC73" i="21"/>
  <c r="CC38" i="26"/>
  <c r="F43" i="2"/>
  <c r="CC59" i="25"/>
  <c r="F38" i="27"/>
  <c r="BM21" i="21"/>
  <c r="CC25" i="21" s="1"/>
  <c r="BM22" i="21"/>
  <c r="CC62" i="21" s="1"/>
  <c r="H38" i="2"/>
  <c r="BF10" i="27"/>
  <c r="BF19" i="27"/>
  <c r="CC118" i="22"/>
  <c r="CC40" i="22"/>
  <c r="CC68" i="22"/>
  <c r="CC19" i="22"/>
  <c r="CC32" i="22"/>
  <c r="F38" i="28"/>
  <c r="BK9" i="27"/>
  <c r="BK13" i="27"/>
  <c r="BM13" i="27" s="1"/>
  <c r="BH17" i="28"/>
  <c r="CC22" i="25"/>
  <c r="CC91" i="25"/>
  <c r="CC10" i="25"/>
  <c r="CC57" i="25"/>
  <c r="CC47" i="25"/>
  <c r="CC84" i="25"/>
  <c r="Q104" i="22"/>
  <c r="CC91" i="22"/>
  <c r="CC22" i="22"/>
  <c r="CC57" i="22"/>
  <c r="CC10" i="22"/>
  <c r="CC47" i="22"/>
  <c r="CC84" i="22"/>
  <c r="Q103" i="24"/>
  <c r="E43" i="27"/>
  <c r="BD15" i="27"/>
  <c r="BM15" i="27" s="1"/>
  <c r="BD20" i="27"/>
  <c r="CC100" i="21"/>
  <c r="CC52" i="21"/>
  <c r="CC108" i="21"/>
  <c r="CC4" i="21"/>
  <c r="CC76" i="21"/>
  <c r="CC67" i="21"/>
  <c r="CC88" i="21"/>
  <c r="CC17" i="21"/>
  <c r="H42" i="27"/>
  <c r="CC115" i="25"/>
  <c r="CC84" i="21"/>
  <c r="CC57" i="21"/>
  <c r="CC10" i="21"/>
  <c r="CC47" i="21"/>
  <c r="S89" i="2"/>
  <c r="F39" i="2"/>
  <c r="E39" i="28"/>
  <c r="CC22" i="21"/>
  <c r="CC91" i="21"/>
  <c r="CC40" i="25"/>
  <c r="CC68" i="25"/>
  <c r="CC19" i="25"/>
  <c r="CC32" i="25"/>
  <c r="CC118" i="25"/>
  <c r="F42" i="27"/>
  <c r="H40" i="2"/>
  <c r="E39" i="2"/>
  <c r="F38" i="2"/>
  <c r="F40" i="2"/>
  <c r="H42" i="2"/>
  <c r="H43" i="2"/>
  <c r="F43" i="27"/>
  <c r="F40" i="27"/>
  <c r="CC30" i="25"/>
  <c r="E42" i="2"/>
  <c r="G38" i="2"/>
  <c r="F41" i="2"/>
  <c r="H39" i="2"/>
  <c r="F41" i="27"/>
  <c r="CC50" i="25"/>
  <c r="CC15" i="25"/>
  <c r="G41" i="2"/>
  <c r="P98" i="2"/>
  <c r="G39" i="28"/>
  <c r="G39" i="2"/>
  <c r="E43" i="2"/>
  <c r="E40" i="2"/>
  <c r="G40" i="2"/>
  <c r="G42" i="2"/>
  <c r="E41" i="2"/>
  <c r="E38" i="2"/>
  <c r="P97" i="2"/>
  <c r="BJ17" i="2"/>
  <c r="E43" i="28"/>
  <c r="G38" i="28"/>
  <c r="D43" i="27"/>
  <c r="BG23" i="27"/>
  <c r="BG9" i="27"/>
  <c r="E42" i="28"/>
  <c r="G42" i="28"/>
  <c r="BM10" i="25"/>
  <c r="CC86" i="25" s="1"/>
  <c r="R322" i="2"/>
  <c r="AL63" i="2" s="1"/>
  <c r="AK63" i="2" s="1"/>
  <c r="AJ63" i="2" s="1"/>
  <c r="H43" i="27"/>
  <c r="F41" i="28"/>
  <c r="R324" i="2"/>
  <c r="AL65" i="2" s="1"/>
  <c r="AK65" i="2" s="1"/>
  <c r="AJ65" i="2" s="1"/>
  <c r="H39" i="28"/>
  <c r="Q107" i="22"/>
  <c r="Q104" i="21"/>
  <c r="D38" i="27"/>
  <c r="H38" i="27"/>
  <c r="Q105" i="21"/>
  <c r="G40" i="27"/>
  <c r="BL21" i="27"/>
  <c r="BL22" i="27"/>
  <c r="Q103" i="22"/>
  <c r="Q103" i="21"/>
  <c r="H39" i="27"/>
  <c r="D39" i="27"/>
  <c r="Q103" i="23"/>
  <c r="BC12" i="27"/>
  <c r="BC20" i="27"/>
  <c r="H40" i="27"/>
  <c r="D40" i="27"/>
  <c r="F43" i="28"/>
  <c r="BM12" i="26"/>
  <c r="CC87" i="26" s="1"/>
  <c r="O41" i="25"/>
  <c r="P41" i="25" s="1"/>
  <c r="O173" i="25" s="1"/>
  <c r="G42" i="27"/>
  <c r="Q106" i="22"/>
  <c r="H41" i="27"/>
  <c r="D41" i="27"/>
  <c r="F42" i="28"/>
  <c r="E38" i="28"/>
  <c r="G40" i="28"/>
  <c r="G43" i="28"/>
  <c r="CC108" i="25"/>
  <c r="CC67" i="25"/>
  <c r="CC88" i="25"/>
  <c r="CC4" i="25"/>
  <c r="CC17" i="25"/>
  <c r="CC52" i="25"/>
  <c r="CC76" i="25"/>
  <c r="CC100" i="25"/>
  <c r="CC108" i="26"/>
  <c r="CC76" i="26"/>
  <c r="CC88" i="26"/>
  <c r="CC4" i="26"/>
  <c r="CC100" i="26"/>
  <c r="CC52" i="26"/>
  <c r="CC67" i="26"/>
  <c r="CC17" i="26"/>
  <c r="Q107" i="23"/>
  <c r="Q107" i="21"/>
  <c r="Q106" i="23"/>
  <c r="Q106" i="21"/>
  <c r="R321" i="2"/>
  <c r="AL62" i="2" s="1"/>
  <c r="AK62" i="2" s="1"/>
  <c r="AJ62" i="2" s="1"/>
  <c r="E41" i="28"/>
  <c r="BE10" i="28"/>
  <c r="Q105" i="22"/>
  <c r="E39" i="27"/>
  <c r="G41" i="27"/>
  <c r="G38" i="27"/>
  <c r="E41" i="27"/>
  <c r="E38" i="27"/>
  <c r="Q104" i="23"/>
  <c r="G43" i="27"/>
  <c r="E42" i="27"/>
  <c r="BM21" i="26"/>
  <c r="CC25" i="26" s="1"/>
  <c r="BM9" i="25"/>
  <c r="CC74" i="25" s="1"/>
  <c r="Q105" i="23"/>
  <c r="G39" i="27"/>
  <c r="Q106" i="24"/>
  <c r="O43" i="25"/>
  <c r="P43" i="25" s="1"/>
  <c r="BJ17" i="28"/>
  <c r="BJ9" i="28"/>
  <c r="O39" i="26"/>
  <c r="P39" i="26" s="1"/>
  <c r="AI22" i="26" s="1"/>
  <c r="O39" i="25"/>
  <c r="P39" i="25" s="1"/>
  <c r="Q107" i="25"/>
  <c r="D42" i="28"/>
  <c r="Q23" i="23"/>
  <c r="AZ22" i="28"/>
  <c r="AZ10" i="28"/>
  <c r="Q107" i="26"/>
  <c r="BM12" i="29"/>
  <c r="CC75" i="29" s="1"/>
  <c r="D39" i="28"/>
  <c r="BM9" i="29"/>
  <c r="CC3" i="29" s="1"/>
  <c r="BI11" i="28"/>
  <c r="BM11" i="28" s="1"/>
  <c r="BI8" i="28"/>
  <c r="BM8" i="28" s="1"/>
  <c r="BM20" i="26"/>
  <c r="CC102" i="26" s="1"/>
  <c r="CC32" i="29"/>
  <c r="O42" i="25"/>
  <c r="P42" i="25" s="1"/>
  <c r="AI7" i="25" s="1"/>
  <c r="Q105" i="24"/>
  <c r="CC91" i="26"/>
  <c r="CC22" i="26"/>
  <c r="Q104" i="24"/>
  <c r="BM22" i="29"/>
  <c r="CC62" i="29" s="1"/>
  <c r="CC47" i="26"/>
  <c r="CC84" i="26"/>
  <c r="CC10" i="26"/>
  <c r="CC57" i="26"/>
  <c r="BC20" i="28"/>
  <c r="P72" i="28"/>
  <c r="H41" i="28"/>
  <c r="Q107" i="27"/>
  <c r="Q107" i="24"/>
  <c r="H38" i="28"/>
  <c r="O42" i="26"/>
  <c r="P42" i="26" s="1"/>
  <c r="F40" i="28"/>
  <c r="H43" i="28"/>
  <c r="D38" i="28"/>
  <c r="Q104" i="25"/>
  <c r="H40" i="28"/>
  <c r="F39" i="28"/>
  <c r="D43" i="28"/>
  <c r="D40" i="28"/>
  <c r="Q105" i="26"/>
  <c r="Q106" i="25"/>
  <c r="H42" i="28"/>
  <c r="D41" i="28"/>
  <c r="CC59" i="26"/>
  <c r="CC50" i="26"/>
  <c r="CC115" i="26"/>
  <c r="CC30" i="26"/>
  <c r="CC15" i="26"/>
  <c r="CC107" i="26"/>
  <c r="CC105" i="26"/>
  <c r="CC114" i="26"/>
  <c r="CC12" i="26"/>
  <c r="CC97" i="26"/>
  <c r="CC37" i="26"/>
  <c r="O41" i="26"/>
  <c r="P41" i="26" s="1"/>
  <c r="O173" i="26" s="1"/>
  <c r="AX20" i="28"/>
  <c r="AX12" i="28"/>
  <c r="CC32" i="26"/>
  <c r="CC118" i="26"/>
  <c r="CC68" i="26"/>
  <c r="CC40" i="26"/>
  <c r="CC19" i="26"/>
  <c r="Q105" i="25"/>
  <c r="AY21" i="28"/>
  <c r="AY10" i="28"/>
  <c r="Q103" i="28"/>
  <c r="Q103" i="25"/>
  <c r="O43" i="26"/>
  <c r="P43" i="26" s="1"/>
  <c r="CC68" i="29"/>
  <c r="Q103" i="27"/>
  <c r="Q103" i="26"/>
  <c r="Q106" i="26"/>
  <c r="Q104" i="27"/>
  <c r="Q104" i="26"/>
  <c r="Q104" i="28"/>
  <c r="CC115" i="29"/>
  <c r="CC15" i="29"/>
  <c r="CC59" i="29"/>
  <c r="CC107" i="29"/>
  <c r="CC30" i="29"/>
  <c r="CC50" i="29"/>
  <c r="CC105" i="29"/>
  <c r="CC37" i="29"/>
  <c r="CC12" i="29"/>
  <c r="CC114" i="29"/>
  <c r="CC97" i="29"/>
  <c r="Q105" i="27"/>
  <c r="CC118" i="29"/>
  <c r="CC19" i="29"/>
  <c r="Q106" i="27"/>
  <c r="BM20" i="29"/>
  <c r="CC111" i="29" s="1"/>
  <c r="Q106" i="28"/>
  <c r="Q107" i="28"/>
  <c r="Q105" i="28"/>
  <c r="O43" i="29"/>
  <c r="P43" i="29" s="1"/>
  <c r="O183" i="29" s="1"/>
  <c r="Q183" i="29" s="1"/>
  <c r="O39" i="29"/>
  <c r="P39" i="29" s="1"/>
  <c r="Q23" i="29" s="1"/>
  <c r="Q103" i="2"/>
  <c r="BM23" i="29"/>
  <c r="CC54" i="29" s="1"/>
  <c r="O42" i="29"/>
  <c r="P42" i="29" s="1"/>
  <c r="AI7" i="29" s="1"/>
  <c r="O41" i="29"/>
  <c r="P41" i="29" s="1"/>
  <c r="AI16" i="29" s="1"/>
  <c r="CC48" i="29"/>
  <c r="CC73" i="29"/>
  <c r="CC38" i="29"/>
  <c r="CC11" i="29"/>
  <c r="CC2" i="29"/>
  <c r="Q104" i="29"/>
  <c r="Q107" i="2"/>
  <c r="Q103" i="29"/>
  <c r="Q106" i="29"/>
  <c r="Q107" i="29"/>
  <c r="Q105" i="29"/>
  <c r="Q105" i="2"/>
  <c r="Q104" i="2"/>
  <c r="CC84" i="2"/>
  <c r="Q106" i="2"/>
  <c r="T322" i="30"/>
  <c r="AL87" i="30" s="1"/>
  <c r="AK87" i="30" s="1"/>
  <c r="AJ87" i="30" s="1"/>
  <c r="T324" i="30"/>
  <c r="AL89" i="30" s="1"/>
  <c r="AK89" i="30" s="1"/>
  <c r="AJ89" i="30" s="1"/>
  <c r="BI11" i="30"/>
  <c r="BM11" i="30" s="1"/>
  <c r="BI8" i="30"/>
  <c r="BM8" i="30" s="1"/>
  <c r="BK9" i="30"/>
  <c r="BK13" i="30"/>
  <c r="BM13" i="30" s="1"/>
  <c r="BC20" i="30"/>
  <c r="BC12" i="30"/>
  <c r="Q103" i="30"/>
  <c r="AX12" i="30"/>
  <c r="AX20" i="30"/>
  <c r="BD15" i="30"/>
  <c r="BM15" i="30" s="1"/>
  <c r="BD20" i="30"/>
  <c r="BJ17" i="30"/>
  <c r="BJ9" i="30"/>
  <c r="BG9" i="30"/>
  <c r="BG23" i="30"/>
  <c r="BH17" i="30"/>
  <c r="BH9" i="30"/>
  <c r="AY21" i="30"/>
  <c r="AY10" i="30"/>
  <c r="BE19" i="30"/>
  <c r="BE10" i="30"/>
  <c r="AZ10" i="30"/>
  <c r="AZ22" i="30"/>
  <c r="BL21" i="30"/>
  <c r="BL22" i="30"/>
  <c r="BF10" i="30"/>
  <c r="BF19" i="30"/>
  <c r="P72" i="30"/>
  <c r="BA6" i="30"/>
  <c r="BM6" i="30" s="1"/>
  <c r="BA18" i="30"/>
  <c r="BM18" i="30" s="1"/>
  <c r="Q104" i="30"/>
  <c r="Q107" i="30"/>
  <c r="Q105" i="30"/>
  <c r="P271" i="30"/>
  <c r="Q106" i="30"/>
  <c r="P267" i="30"/>
  <c r="P268" i="30"/>
  <c r="E40" i="30"/>
  <c r="E38" i="30"/>
  <c r="E43" i="30"/>
  <c r="E42" i="30"/>
  <c r="E41" i="30"/>
  <c r="E39" i="30"/>
  <c r="R321" i="30"/>
  <c r="AL62" i="30" s="1"/>
  <c r="AK62" i="30" s="1"/>
  <c r="AJ62" i="30" s="1"/>
  <c r="R324" i="30"/>
  <c r="AL65" i="30" s="1"/>
  <c r="AK65" i="30" s="1"/>
  <c r="AJ65" i="30" s="1"/>
  <c r="R322" i="30"/>
  <c r="AL63" i="30" s="1"/>
  <c r="AK63" i="30" s="1"/>
  <c r="AJ63" i="30" s="1"/>
  <c r="R323" i="30"/>
  <c r="AL64" i="30" s="1"/>
  <c r="AK64" i="30" s="1"/>
  <c r="AJ64" i="30" s="1"/>
  <c r="P269" i="30"/>
  <c r="D39" i="30"/>
  <c r="D41" i="30"/>
  <c r="D40" i="30"/>
  <c r="D38" i="30"/>
  <c r="D43" i="30"/>
  <c r="D42" i="30"/>
  <c r="BB7" i="30"/>
  <c r="BM7" i="30" s="1"/>
  <c r="BB23" i="30"/>
  <c r="F43" i="30"/>
  <c r="F42" i="30"/>
  <c r="F41" i="30"/>
  <c r="F39" i="30"/>
  <c r="F38" i="30"/>
  <c r="F40" i="30"/>
  <c r="P342" i="30"/>
  <c r="AL100" i="30" s="1"/>
  <c r="AK100" i="30" s="1"/>
  <c r="AJ100" i="30" s="1"/>
  <c r="P340" i="30"/>
  <c r="AL98" i="30" s="1"/>
  <c r="AK98" i="30" s="1"/>
  <c r="AJ98" i="30" s="1"/>
  <c r="P343" i="30"/>
  <c r="AL101" i="30" s="1"/>
  <c r="AK101" i="30" s="1"/>
  <c r="AJ101" i="30" s="1"/>
  <c r="P341" i="30"/>
  <c r="AL99" i="30" s="1"/>
  <c r="AK99" i="30" s="1"/>
  <c r="AJ99" i="30" s="1"/>
  <c r="P266" i="30"/>
  <c r="P270" i="30"/>
  <c r="H39" i="30"/>
  <c r="H41" i="30"/>
  <c r="H40" i="30"/>
  <c r="H38" i="30"/>
  <c r="H43" i="30"/>
  <c r="H42" i="30"/>
  <c r="G40" i="30"/>
  <c r="G39" i="30"/>
  <c r="G42" i="30"/>
  <c r="G38" i="30"/>
  <c r="G41" i="30"/>
  <c r="G43" i="30"/>
  <c r="D42" i="14"/>
  <c r="D38" i="14"/>
  <c r="D34" i="14"/>
  <c r="D30" i="14"/>
  <c r="D26" i="14"/>
  <c r="D22" i="14"/>
  <c r="D18" i="14"/>
  <c r="D14" i="14"/>
  <c r="D10" i="14"/>
  <c r="C13" i="14"/>
  <c r="B8" i="14"/>
  <c r="B16" i="14"/>
  <c r="B28" i="14"/>
  <c r="B20" i="14"/>
  <c r="B36" i="14"/>
  <c r="B12" i="14"/>
  <c r="B40" i="14"/>
  <c r="B32" i="14"/>
  <c r="B24" i="14"/>
  <c r="CC47" i="2" l="1"/>
  <c r="CC57" i="2"/>
  <c r="CC93" i="23"/>
  <c r="CC94" i="26"/>
  <c r="CC62" i="26"/>
  <c r="CC80" i="26"/>
  <c r="CC11" i="27"/>
  <c r="BM17" i="27"/>
  <c r="CC90" i="27" s="1"/>
  <c r="BM23" i="28"/>
  <c r="CC54" i="28" s="1"/>
  <c r="S98" i="30"/>
  <c r="S99" i="30" s="1"/>
  <c r="S100" i="29"/>
  <c r="CC73" i="27"/>
  <c r="CC38" i="27"/>
  <c r="CC48" i="27"/>
  <c r="S98" i="28"/>
  <c r="S99" i="28" s="1"/>
  <c r="S98" i="27"/>
  <c r="S99" i="27" s="1"/>
  <c r="S99" i="26"/>
  <c r="S100" i="26" s="1"/>
  <c r="S100" i="25"/>
  <c r="S98" i="24"/>
  <c r="S99" i="24" s="1"/>
  <c r="S100" i="23"/>
  <c r="S100" i="22"/>
  <c r="BM23" i="2"/>
  <c r="CC7" i="2" s="1"/>
  <c r="S100" i="21"/>
  <c r="CC73" i="2"/>
  <c r="CC38" i="2"/>
  <c r="CC2" i="2"/>
  <c r="CC48" i="2"/>
  <c r="CC38" i="28"/>
  <c r="CC48" i="28"/>
  <c r="CC2" i="28"/>
  <c r="CC73" i="28"/>
  <c r="CC42" i="23"/>
  <c r="CC53" i="23"/>
  <c r="CC79" i="23"/>
  <c r="CC6" i="23"/>
  <c r="CC90" i="23"/>
  <c r="CC33" i="23"/>
  <c r="CC92" i="23"/>
  <c r="CC23" i="23"/>
  <c r="CC101" i="23"/>
  <c r="BM19" i="27"/>
  <c r="CC69" i="27" s="1"/>
  <c r="BM22" i="24"/>
  <c r="CC80" i="24" s="1"/>
  <c r="BM12" i="24"/>
  <c r="CC99" i="24" s="1"/>
  <c r="BM19" i="24"/>
  <c r="CC101" i="24" s="1"/>
  <c r="Q23" i="22"/>
  <c r="CC34" i="23"/>
  <c r="O189" i="23"/>
  <c r="Q189" i="23" s="1"/>
  <c r="CC51" i="23"/>
  <c r="CC99" i="23"/>
  <c r="BM19" i="28"/>
  <c r="CC23" i="28" s="1"/>
  <c r="CC94" i="25"/>
  <c r="CC66" i="23"/>
  <c r="CC60" i="23"/>
  <c r="CC16" i="23"/>
  <c r="CC116" i="23"/>
  <c r="CB115" i="23" s="1"/>
  <c r="CC31" i="23"/>
  <c r="CC75" i="23"/>
  <c r="CC39" i="23"/>
  <c r="CC85" i="23"/>
  <c r="CC65" i="23"/>
  <c r="BM21" i="2"/>
  <c r="CC93" i="2" s="1"/>
  <c r="CC13" i="23"/>
  <c r="CC102" i="23"/>
  <c r="CC24" i="23"/>
  <c r="CC61" i="23"/>
  <c r="CC43" i="23"/>
  <c r="CC70" i="23"/>
  <c r="CC111" i="23"/>
  <c r="CC80" i="25"/>
  <c r="CC26" i="25"/>
  <c r="CC93" i="25"/>
  <c r="CC94" i="22"/>
  <c r="BM12" i="2"/>
  <c r="CC116" i="2" s="1"/>
  <c r="CC47" i="24"/>
  <c r="R189" i="23"/>
  <c r="S189" i="23" s="1"/>
  <c r="BM17" i="2"/>
  <c r="CC53" i="2" s="1"/>
  <c r="CC58" i="23"/>
  <c r="CC3" i="23"/>
  <c r="CC49" i="23"/>
  <c r="CC91" i="24"/>
  <c r="CC98" i="23"/>
  <c r="BM20" i="24"/>
  <c r="CC102" i="24" s="1"/>
  <c r="CC70" i="21"/>
  <c r="CC106" i="23"/>
  <c r="CB107" i="23" s="1"/>
  <c r="CC39" i="22"/>
  <c r="CC86" i="23"/>
  <c r="Q173" i="22"/>
  <c r="CC59" i="27"/>
  <c r="CC15" i="27"/>
  <c r="CC107" i="27"/>
  <c r="BM20" i="2"/>
  <c r="CC111" i="2" s="1"/>
  <c r="CC30" i="27"/>
  <c r="CC50" i="27"/>
  <c r="CC34" i="21"/>
  <c r="CC38" i="24"/>
  <c r="CC48" i="24"/>
  <c r="CC11" i="24"/>
  <c r="CC2" i="24"/>
  <c r="CC61" i="21"/>
  <c r="BM21" i="27"/>
  <c r="CC25" i="27" s="1"/>
  <c r="CC102" i="21"/>
  <c r="O189" i="22"/>
  <c r="CC66" i="22"/>
  <c r="CC60" i="22"/>
  <c r="CC31" i="22"/>
  <c r="CC16" i="22"/>
  <c r="CC51" i="22"/>
  <c r="CC116" i="22"/>
  <c r="CC87" i="22"/>
  <c r="CC99" i="22"/>
  <c r="CC23" i="22"/>
  <c r="CC101" i="22"/>
  <c r="CC69" i="22"/>
  <c r="CC33" i="22"/>
  <c r="BM23" i="24"/>
  <c r="CC54" i="24" s="1"/>
  <c r="CC32" i="24"/>
  <c r="CC118" i="24"/>
  <c r="CC57" i="24"/>
  <c r="CC84" i="24"/>
  <c r="BM19" i="2"/>
  <c r="CC92" i="2" s="1"/>
  <c r="R173" i="23"/>
  <c r="Q309" i="23" s="1"/>
  <c r="CC62" i="23"/>
  <c r="CC26" i="23"/>
  <c r="CC119" i="21"/>
  <c r="CC24" i="21"/>
  <c r="CC43" i="21"/>
  <c r="CC40" i="24"/>
  <c r="CC19" i="24"/>
  <c r="O183" i="22"/>
  <c r="Q183" i="22" s="1"/>
  <c r="CC94" i="23"/>
  <c r="CC22" i="2"/>
  <c r="CC25" i="22"/>
  <c r="BM17" i="24"/>
  <c r="CC21" i="24" s="1"/>
  <c r="CC80" i="22"/>
  <c r="BM23" i="27"/>
  <c r="CC54" i="27" s="1"/>
  <c r="Q173" i="26"/>
  <c r="CC30" i="24"/>
  <c r="CC99" i="21"/>
  <c r="CC37" i="24"/>
  <c r="CC12" i="24"/>
  <c r="CC114" i="24"/>
  <c r="BM21" i="24"/>
  <c r="CC93" i="24" s="1"/>
  <c r="O173" i="21"/>
  <c r="Q173" i="21" s="1"/>
  <c r="CC97" i="24"/>
  <c r="CC47" i="27"/>
  <c r="CC59" i="24"/>
  <c r="CC50" i="24"/>
  <c r="CC108" i="2"/>
  <c r="CC115" i="2"/>
  <c r="CC10" i="27"/>
  <c r="CC7" i="25"/>
  <c r="CC107" i="24"/>
  <c r="CC62" i="22"/>
  <c r="CC88" i="2"/>
  <c r="CC57" i="27"/>
  <c r="CC107" i="2"/>
  <c r="CC15" i="24"/>
  <c r="BM10" i="24"/>
  <c r="CC14" i="24" s="1"/>
  <c r="CC42" i="22"/>
  <c r="CC79" i="22"/>
  <c r="CC21" i="22"/>
  <c r="CC6" i="22"/>
  <c r="CC90" i="22"/>
  <c r="CC19" i="2"/>
  <c r="CC68" i="2"/>
  <c r="CC32" i="2"/>
  <c r="CC118" i="2"/>
  <c r="CC100" i="24"/>
  <c r="CC114" i="2"/>
  <c r="CC97" i="2"/>
  <c r="CC22" i="27"/>
  <c r="CC12" i="2"/>
  <c r="CC67" i="24"/>
  <c r="O183" i="25"/>
  <c r="Q183" i="25" s="1"/>
  <c r="R183" i="25" s="1"/>
  <c r="R173" i="21"/>
  <c r="Q309" i="21" s="1"/>
  <c r="O189" i="21"/>
  <c r="CC37" i="2"/>
  <c r="CC4" i="24"/>
  <c r="CC52" i="24"/>
  <c r="BM22" i="27"/>
  <c r="CC26" i="27" s="1"/>
  <c r="CC17" i="24"/>
  <c r="CC76" i="24"/>
  <c r="CC108" i="24"/>
  <c r="CC4" i="2"/>
  <c r="CC17" i="2"/>
  <c r="CC59" i="2"/>
  <c r="CC87" i="21"/>
  <c r="CC76" i="2"/>
  <c r="CC100" i="2"/>
  <c r="CC30" i="2"/>
  <c r="CC27" i="25"/>
  <c r="CC75" i="21"/>
  <c r="CC66" i="21"/>
  <c r="CC54" i="25"/>
  <c r="CC52" i="2"/>
  <c r="CC15" i="2"/>
  <c r="CC44" i="25"/>
  <c r="Q173" i="25"/>
  <c r="CC16" i="21"/>
  <c r="CC93" i="29"/>
  <c r="CC23" i="26"/>
  <c r="CC44" i="21"/>
  <c r="S99" i="2"/>
  <c r="S100" i="2" s="1"/>
  <c r="BM10" i="2"/>
  <c r="CC86" i="2" s="1"/>
  <c r="CC6" i="26"/>
  <c r="CC42" i="26"/>
  <c r="CC79" i="26"/>
  <c r="BM9" i="24"/>
  <c r="CC13" i="24" s="1"/>
  <c r="CC90" i="26"/>
  <c r="BM22" i="2"/>
  <c r="CC26" i="2" s="1"/>
  <c r="CC31" i="21"/>
  <c r="CC39" i="21"/>
  <c r="CC51" i="21"/>
  <c r="CC116" i="21"/>
  <c r="BM21" i="28"/>
  <c r="CC25" i="28" s="1"/>
  <c r="BM10" i="27"/>
  <c r="CC14" i="27" s="1"/>
  <c r="CC81" i="21"/>
  <c r="CC39" i="25"/>
  <c r="CC54" i="21"/>
  <c r="CC99" i="25"/>
  <c r="CC27" i="21"/>
  <c r="CC75" i="25"/>
  <c r="CC16" i="25"/>
  <c r="CC60" i="25"/>
  <c r="CC92" i="26"/>
  <c r="CC31" i="25"/>
  <c r="CC51" i="25"/>
  <c r="CC116" i="25"/>
  <c r="CC33" i="26"/>
  <c r="CC53" i="26"/>
  <c r="CC54" i="23"/>
  <c r="CC101" i="26"/>
  <c r="CC87" i="25"/>
  <c r="CC85" i="26"/>
  <c r="CC79" i="29"/>
  <c r="CC81" i="26"/>
  <c r="CC7" i="26"/>
  <c r="CC54" i="26"/>
  <c r="CC53" i="29"/>
  <c r="CC44" i="26"/>
  <c r="CC7" i="23"/>
  <c r="CC27" i="23"/>
  <c r="CC44" i="23"/>
  <c r="CC33" i="21"/>
  <c r="R187" i="22"/>
  <c r="S187" i="22" s="1"/>
  <c r="CC58" i="26"/>
  <c r="CC49" i="26"/>
  <c r="CC74" i="26"/>
  <c r="CC3" i="26"/>
  <c r="CC65" i="26"/>
  <c r="CC42" i="29"/>
  <c r="CC3" i="22"/>
  <c r="CC101" i="29"/>
  <c r="CC90" i="29"/>
  <c r="CC33" i="29"/>
  <c r="CC49" i="21"/>
  <c r="BM22" i="28"/>
  <c r="CC62" i="28" s="1"/>
  <c r="CC85" i="21"/>
  <c r="O187" i="21"/>
  <c r="Q187" i="21" s="1"/>
  <c r="CC69" i="29"/>
  <c r="CC21" i="29"/>
  <c r="CC74" i="22"/>
  <c r="CC92" i="29"/>
  <c r="CC3" i="21"/>
  <c r="CC23" i="21"/>
  <c r="CC92" i="21"/>
  <c r="CC74" i="21"/>
  <c r="CC13" i="21"/>
  <c r="CC101" i="21"/>
  <c r="CC44" i="22"/>
  <c r="CC58" i="21"/>
  <c r="CC43" i="22"/>
  <c r="CC58" i="22"/>
  <c r="CC86" i="22"/>
  <c r="CC65" i="22"/>
  <c r="CC14" i="22"/>
  <c r="AI23" i="23"/>
  <c r="CC42" i="21"/>
  <c r="CC49" i="22"/>
  <c r="CC85" i="22"/>
  <c r="CC106" i="22"/>
  <c r="AI10" i="22"/>
  <c r="Q189" i="21"/>
  <c r="CC100" i="28"/>
  <c r="CC108" i="28"/>
  <c r="AI16" i="25"/>
  <c r="CC91" i="28"/>
  <c r="CC22" i="28"/>
  <c r="CC47" i="28"/>
  <c r="CC84" i="28"/>
  <c r="CC57" i="28"/>
  <c r="CC10" i="28"/>
  <c r="AI19" i="25"/>
  <c r="Q23" i="21"/>
  <c r="O189" i="25"/>
  <c r="CC90" i="21"/>
  <c r="CC86" i="21"/>
  <c r="CC6" i="21"/>
  <c r="CC79" i="21"/>
  <c r="CC102" i="22"/>
  <c r="CC21" i="21"/>
  <c r="AI10" i="21"/>
  <c r="CC14" i="26"/>
  <c r="B6" i="23"/>
  <c r="BM9" i="2"/>
  <c r="CC58" i="2" s="1"/>
  <c r="AI11" i="21"/>
  <c r="CC53" i="25"/>
  <c r="CC54" i="22"/>
  <c r="Q187" i="23"/>
  <c r="CC94" i="21"/>
  <c r="CC27" i="22"/>
  <c r="CC7" i="22"/>
  <c r="CC67" i="28"/>
  <c r="CC52" i="28"/>
  <c r="CC17" i="28"/>
  <c r="CC76" i="28"/>
  <c r="CC88" i="28"/>
  <c r="AI17" i="22"/>
  <c r="CC98" i="21"/>
  <c r="CC24" i="22"/>
  <c r="CC70" i="22"/>
  <c r="CC14" i="21"/>
  <c r="CC111" i="22"/>
  <c r="CC34" i="22"/>
  <c r="CC97" i="27"/>
  <c r="CC119" i="22"/>
  <c r="CC111" i="25"/>
  <c r="AI8" i="25"/>
  <c r="CC119" i="25"/>
  <c r="P49" i="25"/>
  <c r="AI11" i="25"/>
  <c r="CC61" i="25"/>
  <c r="CC79" i="25"/>
  <c r="O42" i="24"/>
  <c r="P42" i="24" s="1"/>
  <c r="AI15" i="24" s="1"/>
  <c r="AI14" i="25"/>
  <c r="AI20" i="25"/>
  <c r="CC102" i="25"/>
  <c r="CC42" i="25"/>
  <c r="BM12" i="27"/>
  <c r="CC66" i="27" s="1"/>
  <c r="AI18" i="23"/>
  <c r="AI6" i="23"/>
  <c r="P50" i="23"/>
  <c r="AI15" i="23"/>
  <c r="CC106" i="26"/>
  <c r="P49" i="21"/>
  <c r="AI16" i="21"/>
  <c r="AI22" i="23"/>
  <c r="AI7" i="23"/>
  <c r="AI17" i="23"/>
  <c r="CC98" i="25"/>
  <c r="AI20" i="22"/>
  <c r="CC86" i="26"/>
  <c r="AI8" i="21"/>
  <c r="O41" i="24"/>
  <c r="P41" i="24" s="1"/>
  <c r="O173" i="24" s="1"/>
  <c r="P47" i="23"/>
  <c r="AI12" i="23"/>
  <c r="AI14" i="21"/>
  <c r="B6" i="25"/>
  <c r="Q23" i="25"/>
  <c r="CC16" i="26"/>
  <c r="CC37" i="27"/>
  <c r="CC114" i="27"/>
  <c r="AI6" i="21"/>
  <c r="CC33" i="25"/>
  <c r="CC105" i="27"/>
  <c r="O39" i="24"/>
  <c r="P39" i="24" s="1"/>
  <c r="AI21" i="24" s="1"/>
  <c r="O43" i="24"/>
  <c r="P43" i="24" s="1"/>
  <c r="O183" i="24" s="1"/>
  <c r="Q183" i="24" s="1"/>
  <c r="BM9" i="27"/>
  <c r="CC85" i="27" s="1"/>
  <c r="CB108" i="21"/>
  <c r="CC19" i="28"/>
  <c r="CC40" i="28"/>
  <c r="CC118" i="28"/>
  <c r="CC32" i="28"/>
  <c r="CC68" i="28"/>
  <c r="BM20" i="27"/>
  <c r="CC24" i="27" s="1"/>
  <c r="CC14" i="29"/>
  <c r="P51" i="22"/>
  <c r="AI12" i="21"/>
  <c r="AI19" i="22"/>
  <c r="AI13" i="22"/>
  <c r="AI13" i="21"/>
  <c r="CC106" i="29"/>
  <c r="CB106" i="29" s="1"/>
  <c r="AI18" i="22"/>
  <c r="AI17" i="21"/>
  <c r="CC98" i="29"/>
  <c r="AI14" i="23"/>
  <c r="AI16" i="23"/>
  <c r="AI19" i="21"/>
  <c r="AI7" i="21"/>
  <c r="AI22" i="22"/>
  <c r="AI23" i="21"/>
  <c r="P49" i="23"/>
  <c r="AI11" i="23"/>
  <c r="P51" i="21"/>
  <c r="AI18" i="21"/>
  <c r="BM12" i="28"/>
  <c r="CC99" i="28" s="1"/>
  <c r="AI8" i="23"/>
  <c r="AI20" i="23"/>
  <c r="AI7" i="22"/>
  <c r="AI21" i="22"/>
  <c r="CC69" i="25"/>
  <c r="CC34" i="25"/>
  <c r="CC43" i="25"/>
  <c r="CC90" i="25"/>
  <c r="BM9" i="28"/>
  <c r="CC3" i="28" s="1"/>
  <c r="AI12" i="22"/>
  <c r="AI15" i="22"/>
  <c r="P47" i="21"/>
  <c r="AI22" i="21"/>
  <c r="CC92" i="25"/>
  <c r="P50" i="22"/>
  <c r="B6" i="21"/>
  <c r="CC101" i="25"/>
  <c r="CC24" i="25"/>
  <c r="CC21" i="25"/>
  <c r="BM17" i="28"/>
  <c r="CC42" i="28" s="1"/>
  <c r="AI23" i="22"/>
  <c r="AI21" i="21"/>
  <c r="CC26" i="21"/>
  <c r="CC80" i="21"/>
  <c r="AI13" i="23"/>
  <c r="P49" i="22"/>
  <c r="AI14" i="22"/>
  <c r="P50" i="21"/>
  <c r="P51" i="23"/>
  <c r="AI19" i="23"/>
  <c r="AI11" i="22"/>
  <c r="AI16" i="22"/>
  <c r="AI10" i="23"/>
  <c r="AI8" i="22"/>
  <c r="B6" i="22"/>
  <c r="CC31" i="26"/>
  <c r="AI6" i="22"/>
  <c r="CC75" i="26"/>
  <c r="O39" i="2"/>
  <c r="P39" i="2" s="1"/>
  <c r="O43" i="2"/>
  <c r="P43" i="2" s="1"/>
  <c r="AI19" i="2" s="1"/>
  <c r="CC93" i="21"/>
  <c r="CC93" i="26"/>
  <c r="AI21" i="26"/>
  <c r="O189" i="26"/>
  <c r="O187" i="26"/>
  <c r="CC108" i="27"/>
  <c r="CC52" i="27"/>
  <c r="CC76" i="27"/>
  <c r="CC100" i="27"/>
  <c r="CC67" i="27"/>
  <c r="CC4" i="27"/>
  <c r="CC88" i="27"/>
  <c r="CC17" i="27"/>
  <c r="R183" i="23"/>
  <c r="S183" i="23" s="1"/>
  <c r="CB105" i="21"/>
  <c r="CB107" i="21"/>
  <c r="CB110" i="21"/>
  <c r="CB111" i="21"/>
  <c r="CB109" i="21"/>
  <c r="AI19" i="29"/>
  <c r="CB106" i="21"/>
  <c r="Q189" i="22"/>
  <c r="O41" i="2"/>
  <c r="P41" i="2" s="1"/>
  <c r="AI16" i="2" s="1"/>
  <c r="CC68" i="27"/>
  <c r="CC19" i="27"/>
  <c r="CC40" i="27"/>
  <c r="CC32" i="27"/>
  <c r="CC118" i="27"/>
  <c r="CC106" i="25"/>
  <c r="O42" i="2"/>
  <c r="P42" i="2" s="1"/>
  <c r="AI15" i="2" s="1"/>
  <c r="CC14" i="25"/>
  <c r="AI17" i="25"/>
  <c r="CC60" i="29"/>
  <c r="O39" i="27"/>
  <c r="P39" i="27" s="1"/>
  <c r="Q23" i="27" s="1"/>
  <c r="CC60" i="26"/>
  <c r="CC99" i="26"/>
  <c r="CC66" i="26"/>
  <c r="CC116" i="26"/>
  <c r="CC39" i="26"/>
  <c r="CC51" i="26"/>
  <c r="O43" i="27"/>
  <c r="P43" i="27" s="1"/>
  <c r="Q22" i="27" s="1"/>
  <c r="CC39" i="29"/>
  <c r="CC34" i="26"/>
  <c r="CC65" i="25"/>
  <c r="CC24" i="26"/>
  <c r="AI13" i="25"/>
  <c r="O42" i="27"/>
  <c r="P42" i="27" s="1"/>
  <c r="O189" i="27" s="1"/>
  <c r="R183" i="21"/>
  <c r="S183" i="21" s="1"/>
  <c r="CC13" i="29"/>
  <c r="AI21" i="25"/>
  <c r="CC65" i="29"/>
  <c r="O41" i="27"/>
  <c r="P41" i="27" s="1"/>
  <c r="O173" i="27" s="1"/>
  <c r="AI23" i="25"/>
  <c r="O187" i="25"/>
  <c r="AI10" i="25"/>
  <c r="AI18" i="25"/>
  <c r="BM10" i="28"/>
  <c r="CC106" i="28" s="1"/>
  <c r="P51" i="25"/>
  <c r="O39" i="28"/>
  <c r="P39" i="28" s="1"/>
  <c r="Q23" i="28" s="1"/>
  <c r="CC87" i="29"/>
  <c r="CC66" i="29"/>
  <c r="CC74" i="29"/>
  <c r="P47" i="25"/>
  <c r="AI22" i="25"/>
  <c r="O42" i="28"/>
  <c r="P42" i="28" s="1"/>
  <c r="AI12" i="28" s="1"/>
  <c r="CC85" i="25"/>
  <c r="CC58" i="25"/>
  <c r="CC16" i="29"/>
  <c r="AI6" i="25"/>
  <c r="AI15" i="25"/>
  <c r="CC13" i="25"/>
  <c r="CC49" i="25"/>
  <c r="CC31" i="29"/>
  <c r="CC116" i="29"/>
  <c r="CC51" i="29"/>
  <c r="B6" i="26"/>
  <c r="AI12" i="25"/>
  <c r="CC58" i="29"/>
  <c r="CC99" i="29"/>
  <c r="AI6" i="26"/>
  <c r="P50" i="25"/>
  <c r="CC3" i="25"/>
  <c r="CC49" i="29"/>
  <c r="P47" i="26"/>
  <c r="CC94" i="29"/>
  <c r="CC85" i="29"/>
  <c r="Q23" i="26"/>
  <c r="CC43" i="29"/>
  <c r="BM20" i="28"/>
  <c r="CC43" i="28" s="1"/>
  <c r="O41" i="28"/>
  <c r="P41" i="28" s="1"/>
  <c r="AI7" i="26"/>
  <c r="AI12" i="26"/>
  <c r="CC119" i="26"/>
  <c r="CC111" i="26"/>
  <c r="CC70" i="26"/>
  <c r="CC43" i="26"/>
  <c r="CC61" i="26"/>
  <c r="CC37" i="28"/>
  <c r="CC105" i="28"/>
  <c r="CC12" i="28"/>
  <c r="CC97" i="28"/>
  <c r="CC114" i="28"/>
  <c r="CC24" i="29"/>
  <c r="CC50" i="28"/>
  <c r="CC30" i="28"/>
  <c r="CC107" i="28"/>
  <c r="CC59" i="28"/>
  <c r="CC115" i="28"/>
  <c r="CC15" i="28"/>
  <c r="AI14" i="26"/>
  <c r="AI11" i="26"/>
  <c r="O43" i="28"/>
  <c r="P43" i="28" s="1"/>
  <c r="AI16" i="26"/>
  <c r="CC80" i="29"/>
  <c r="P50" i="26"/>
  <c r="AI17" i="26"/>
  <c r="AI20" i="26"/>
  <c r="CC26" i="29"/>
  <c r="AI15" i="26"/>
  <c r="AI23" i="26"/>
  <c r="O183" i="26"/>
  <c r="B6" i="29"/>
  <c r="P49" i="26"/>
  <c r="AI8" i="26"/>
  <c r="O173" i="29"/>
  <c r="Q173" i="29" s="1"/>
  <c r="CC34" i="29"/>
  <c r="CC70" i="29"/>
  <c r="CC119" i="29"/>
  <c r="CC102" i="29"/>
  <c r="AI13" i="26"/>
  <c r="AI10" i="26"/>
  <c r="AI18" i="26"/>
  <c r="P51" i="26"/>
  <c r="AI19" i="26"/>
  <c r="CC61" i="29"/>
  <c r="AI22" i="29"/>
  <c r="P51" i="29"/>
  <c r="AI18" i="29"/>
  <c r="AI15" i="29"/>
  <c r="AI6" i="29"/>
  <c r="AI13" i="29"/>
  <c r="P50" i="29"/>
  <c r="AI12" i="29"/>
  <c r="AI10" i="29"/>
  <c r="AI17" i="29"/>
  <c r="AI23" i="29"/>
  <c r="R183" i="29"/>
  <c r="S183" i="29" s="1"/>
  <c r="O187" i="29"/>
  <c r="Q187" i="29" s="1"/>
  <c r="O189" i="29"/>
  <c r="Q189" i="29" s="1"/>
  <c r="CC7" i="29"/>
  <c r="CB6" i="29" s="1"/>
  <c r="CC27" i="29"/>
  <c r="P47" i="29"/>
  <c r="AI21" i="29"/>
  <c r="CC81" i="29"/>
  <c r="P49" i="29"/>
  <c r="CC44" i="29"/>
  <c r="AI20" i="29"/>
  <c r="AI11" i="29"/>
  <c r="AI14" i="29"/>
  <c r="AI8" i="29"/>
  <c r="CC97" i="30"/>
  <c r="CC37" i="30"/>
  <c r="CC114" i="30"/>
  <c r="CC12" i="30"/>
  <c r="CC105" i="30"/>
  <c r="CC115" i="30"/>
  <c r="CC15" i="30"/>
  <c r="CC107" i="30"/>
  <c r="CC30" i="30"/>
  <c r="CC50" i="30"/>
  <c r="CC59" i="30"/>
  <c r="BM19" i="30"/>
  <c r="CC23" i="30" s="1"/>
  <c r="CC108" i="30"/>
  <c r="CC88" i="30"/>
  <c r="CC100" i="30"/>
  <c r="CC52" i="30"/>
  <c r="CC76" i="30"/>
  <c r="CC17" i="30"/>
  <c r="CC67" i="30"/>
  <c r="CC4" i="30"/>
  <c r="BM12" i="30"/>
  <c r="CC39" i="30" s="1"/>
  <c r="BM17" i="30"/>
  <c r="CC90" i="30" s="1"/>
  <c r="BM20" i="30"/>
  <c r="CC24" i="30" s="1"/>
  <c r="BM21" i="30"/>
  <c r="CC25" i="30" s="1"/>
  <c r="BM9" i="30"/>
  <c r="CC3" i="30" s="1"/>
  <c r="CC32" i="30"/>
  <c r="CC40" i="30"/>
  <c r="CC19" i="30"/>
  <c r="CC68" i="30"/>
  <c r="CC118" i="30"/>
  <c r="BM10" i="30"/>
  <c r="CC86" i="30" s="1"/>
  <c r="BM23" i="30"/>
  <c r="CC81" i="30" s="1"/>
  <c r="BM22" i="30"/>
  <c r="CC26" i="30" s="1"/>
  <c r="CC22" i="30"/>
  <c r="CC91" i="30"/>
  <c r="CC84" i="30"/>
  <c r="CC10" i="30"/>
  <c r="CC57" i="30"/>
  <c r="CC47" i="30"/>
  <c r="O39" i="30"/>
  <c r="P39" i="30" s="1"/>
  <c r="AI21" i="30" s="1"/>
  <c r="O43" i="30"/>
  <c r="P43" i="30" s="1"/>
  <c r="CC38" i="30"/>
  <c r="CC73" i="30"/>
  <c r="CC48" i="30"/>
  <c r="CC2" i="30"/>
  <c r="CC11" i="30"/>
  <c r="O42" i="30"/>
  <c r="P42" i="30" s="1"/>
  <c r="O189" i="30" s="1"/>
  <c r="S189" i="30" s="1"/>
  <c r="O41" i="30"/>
  <c r="P41" i="30" s="1"/>
  <c r="CC7" i="28" l="1"/>
  <c r="CC79" i="27"/>
  <c r="CC44" i="28"/>
  <c r="CC42" i="27"/>
  <c r="CC6" i="27"/>
  <c r="CC81" i="28"/>
  <c r="CC53" i="27"/>
  <c r="CC21" i="27"/>
  <c r="CC27" i="28"/>
  <c r="R187" i="21"/>
  <c r="S100" i="30"/>
  <c r="S100" i="28"/>
  <c r="CC27" i="2"/>
  <c r="CC44" i="2"/>
  <c r="CC81" i="2"/>
  <c r="S100" i="27"/>
  <c r="S100" i="24"/>
  <c r="CC54" i="2"/>
  <c r="R173" i="26"/>
  <c r="Q309" i="26" s="1"/>
  <c r="CC23" i="27"/>
  <c r="CC33" i="27"/>
  <c r="CC92" i="27"/>
  <c r="CC101" i="27"/>
  <c r="CB76" i="23"/>
  <c r="CC94" i="24"/>
  <c r="R189" i="21"/>
  <c r="CC39" i="24"/>
  <c r="CB116" i="23"/>
  <c r="CC51" i="24"/>
  <c r="CC66" i="24"/>
  <c r="CC87" i="24"/>
  <c r="CC116" i="24"/>
  <c r="CC16" i="24"/>
  <c r="CC26" i="24"/>
  <c r="CC62" i="24"/>
  <c r="CC60" i="24"/>
  <c r="CC31" i="24"/>
  <c r="CC75" i="24"/>
  <c r="R183" i="22"/>
  <c r="CC92" i="24"/>
  <c r="CC69" i="24"/>
  <c r="CC33" i="24"/>
  <c r="CC23" i="24"/>
  <c r="R173" i="22"/>
  <c r="Q309" i="22" s="1"/>
  <c r="Q187" i="26"/>
  <c r="CB33" i="23"/>
  <c r="CC33" i="28"/>
  <c r="CC69" i="28"/>
  <c r="CC92" i="28"/>
  <c r="CC101" i="28"/>
  <c r="CB117" i="23"/>
  <c r="CB34" i="23"/>
  <c r="CB30" i="23"/>
  <c r="CB32" i="23"/>
  <c r="CB65" i="23"/>
  <c r="CB31" i="23"/>
  <c r="CC31" i="2"/>
  <c r="CC25" i="2"/>
  <c r="CB80" i="23"/>
  <c r="CC16" i="2"/>
  <c r="CB119" i="23"/>
  <c r="CB118" i="23"/>
  <c r="CB114" i="23"/>
  <c r="CB102" i="23"/>
  <c r="CB81" i="23"/>
  <c r="CB74" i="23"/>
  <c r="CB79" i="23"/>
  <c r="CB77" i="23"/>
  <c r="CB75" i="23"/>
  <c r="CB73" i="23"/>
  <c r="CC87" i="2"/>
  <c r="CC39" i="2"/>
  <c r="CB78" i="23"/>
  <c r="CC70" i="24"/>
  <c r="CC43" i="24"/>
  <c r="CC111" i="24"/>
  <c r="CB42" i="23"/>
  <c r="CB68" i="23"/>
  <c r="CB67" i="23"/>
  <c r="CB69" i="23"/>
  <c r="CB70" i="23"/>
  <c r="CB66" i="23"/>
  <c r="CC61" i="24"/>
  <c r="CC119" i="24"/>
  <c r="CC24" i="24"/>
  <c r="CB2" i="23"/>
  <c r="CC66" i="2"/>
  <c r="CC75" i="2"/>
  <c r="CC34" i="24"/>
  <c r="CC51" i="2"/>
  <c r="CC99" i="2"/>
  <c r="CC60" i="2"/>
  <c r="CC90" i="2"/>
  <c r="CC21" i="2"/>
  <c r="CC42" i="2"/>
  <c r="CC79" i="2"/>
  <c r="CC6" i="2"/>
  <c r="CB97" i="23"/>
  <c r="CC81" i="24"/>
  <c r="CB48" i="23"/>
  <c r="CB99" i="23"/>
  <c r="CB100" i="23"/>
  <c r="CB101" i="23"/>
  <c r="CB98" i="23"/>
  <c r="CB59" i="23"/>
  <c r="CB70" i="21"/>
  <c r="CC102" i="2"/>
  <c r="CB106" i="23"/>
  <c r="CB105" i="23"/>
  <c r="CB108" i="23"/>
  <c r="CB111" i="23"/>
  <c r="CC93" i="27"/>
  <c r="CB110" i="23"/>
  <c r="CB109" i="23"/>
  <c r="CB94" i="23"/>
  <c r="CC119" i="2"/>
  <c r="CB114" i="2" s="1"/>
  <c r="CC43" i="2"/>
  <c r="CC7" i="24"/>
  <c r="CC34" i="2"/>
  <c r="CC70" i="2"/>
  <c r="CC61" i="2"/>
  <c r="CC24" i="2"/>
  <c r="O189" i="24"/>
  <c r="Q189" i="24" s="1"/>
  <c r="S173" i="23"/>
  <c r="R309" i="23" s="1"/>
  <c r="S189" i="21"/>
  <c r="CC27" i="24"/>
  <c r="CB60" i="21"/>
  <c r="CC44" i="24"/>
  <c r="CB116" i="21"/>
  <c r="CC69" i="2"/>
  <c r="CB116" i="22"/>
  <c r="CB97" i="22"/>
  <c r="CB32" i="22"/>
  <c r="CB86" i="23"/>
  <c r="S187" i="21"/>
  <c r="CC44" i="27"/>
  <c r="CC27" i="27"/>
  <c r="CB62" i="23"/>
  <c r="CC42" i="24"/>
  <c r="CB61" i="23"/>
  <c r="CC101" i="2"/>
  <c r="CB88" i="23"/>
  <c r="CB89" i="23"/>
  <c r="CC33" i="2"/>
  <c r="CC23" i="2"/>
  <c r="CB60" i="23"/>
  <c r="CB57" i="23"/>
  <c r="CB58" i="23"/>
  <c r="R321" i="23"/>
  <c r="AL62" i="23" s="1"/>
  <c r="AK62" i="23" s="1"/>
  <c r="AJ62" i="23" s="1"/>
  <c r="R323" i="23"/>
  <c r="AL64" i="23" s="1"/>
  <c r="AK64" i="23" s="1"/>
  <c r="AJ64" i="23" s="1"/>
  <c r="R324" i="23"/>
  <c r="AL65" i="23" s="1"/>
  <c r="AK65" i="23" s="1"/>
  <c r="AJ65" i="23" s="1"/>
  <c r="R322" i="23"/>
  <c r="AL63" i="23" s="1"/>
  <c r="AK63" i="23" s="1"/>
  <c r="AJ63" i="23" s="1"/>
  <c r="CB91" i="23"/>
  <c r="CB26" i="23"/>
  <c r="CC53" i="24"/>
  <c r="CC6" i="24"/>
  <c r="CB84" i="23"/>
  <c r="CB90" i="23"/>
  <c r="CB93" i="23"/>
  <c r="CB87" i="23"/>
  <c r="CB85" i="23"/>
  <c r="CB92" i="23"/>
  <c r="CC79" i="24"/>
  <c r="CC90" i="24"/>
  <c r="CC7" i="27"/>
  <c r="CC81" i="27"/>
  <c r="CB79" i="22"/>
  <c r="R173" i="25"/>
  <c r="Q309" i="25" s="1"/>
  <c r="CB58" i="22"/>
  <c r="CC25" i="24"/>
  <c r="Q173" i="24"/>
  <c r="S173" i="21"/>
  <c r="R309" i="21" s="1"/>
  <c r="CB4" i="25"/>
  <c r="CB66" i="21"/>
  <c r="CC98" i="24"/>
  <c r="CB101" i="24" s="1"/>
  <c r="CC106" i="24"/>
  <c r="CB107" i="24" s="1"/>
  <c r="CC86" i="24"/>
  <c r="R324" i="21"/>
  <c r="AL65" i="21" s="1"/>
  <c r="AK65" i="21" s="1"/>
  <c r="AJ65" i="21" s="1"/>
  <c r="R323" i="21"/>
  <c r="AL64" i="21" s="1"/>
  <c r="AK64" i="21" s="1"/>
  <c r="AJ64" i="21" s="1"/>
  <c r="R322" i="21"/>
  <c r="AL63" i="21" s="1"/>
  <c r="AK63" i="21" s="1"/>
  <c r="AJ63" i="21" s="1"/>
  <c r="R321" i="21"/>
  <c r="AL62" i="21" s="1"/>
  <c r="AK62" i="21" s="1"/>
  <c r="AJ62" i="21" s="1"/>
  <c r="R189" i="22"/>
  <c r="S189" i="22" s="1"/>
  <c r="CB69" i="21"/>
  <c r="CB4" i="21"/>
  <c r="CB68" i="21"/>
  <c r="CB65" i="21"/>
  <c r="CB67" i="21"/>
  <c r="CC94" i="27"/>
  <c r="CC80" i="27"/>
  <c r="CC62" i="27"/>
  <c r="CC62" i="2"/>
  <c r="CB117" i="21"/>
  <c r="CB115" i="21"/>
  <c r="CC94" i="2"/>
  <c r="CC80" i="2"/>
  <c r="CB114" i="21"/>
  <c r="CB39" i="21"/>
  <c r="CC93" i="28"/>
  <c r="CC49" i="24"/>
  <c r="CB53" i="23"/>
  <c r="CC98" i="2"/>
  <c r="CB75" i="22"/>
  <c r="CC58" i="24"/>
  <c r="O187" i="28"/>
  <c r="Q187" i="28" s="1"/>
  <c r="CC106" i="27"/>
  <c r="CC86" i="27"/>
  <c r="CC106" i="2"/>
  <c r="CB111" i="2" s="1"/>
  <c r="CB49" i="23"/>
  <c r="CB54" i="23"/>
  <c r="CB47" i="23"/>
  <c r="CC65" i="24"/>
  <c r="CC74" i="24"/>
  <c r="CC85" i="24"/>
  <c r="CC14" i="2"/>
  <c r="CC98" i="27"/>
  <c r="CB52" i="23"/>
  <c r="CB51" i="23"/>
  <c r="CB50" i="23"/>
  <c r="CB41" i="23"/>
  <c r="CC3" i="24"/>
  <c r="CB38" i="23"/>
  <c r="CB99" i="21"/>
  <c r="CB21" i="23"/>
  <c r="CB119" i="21"/>
  <c r="CB118" i="21"/>
  <c r="CB39" i="23"/>
  <c r="CB43" i="23"/>
  <c r="CB37" i="23"/>
  <c r="CB40" i="23"/>
  <c r="CB54" i="21"/>
  <c r="CB12" i="23"/>
  <c r="CB44" i="23"/>
  <c r="CB30" i="21"/>
  <c r="CB15" i="23"/>
  <c r="CB27" i="23"/>
  <c r="CB75" i="25"/>
  <c r="CB20" i="23"/>
  <c r="CB100" i="26"/>
  <c r="CB119" i="25"/>
  <c r="Q23" i="24"/>
  <c r="CB3" i="26"/>
  <c r="CB5" i="21"/>
  <c r="CB50" i="21"/>
  <c r="CB6" i="23"/>
  <c r="CB3" i="23"/>
  <c r="CB5" i="23"/>
  <c r="CB53" i="21"/>
  <c r="CB62" i="21"/>
  <c r="CB48" i="21"/>
  <c r="CB52" i="21"/>
  <c r="CB49" i="21"/>
  <c r="CB57" i="21"/>
  <c r="CB58" i="21"/>
  <c r="CB7" i="23"/>
  <c r="CB47" i="21"/>
  <c r="CB51" i="21"/>
  <c r="CB4" i="23"/>
  <c r="CB61" i="21"/>
  <c r="CB77" i="26"/>
  <c r="CB59" i="21"/>
  <c r="CB4" i="26"/>
  <c r="CB19" i="23"/>
  <c r="CB11" i="23"/>
  <c r="CB18" i="23"/>
  <c r="CB23" i="23"/>
  <c r="CB24" i="23"/>
  <c r="CC94" i="28"/>
  <c r="CB22" i="23"/>
  <c r="CB17" i="23"/>
  <c r="CB16" i="23"/>
  <c r="CB10" i="23"/>
  <c r="CB25" i="23"/>
  <c r="CB13" i="23"/>
  <c r="CB14" i="23"/>
  <c r="CB7" i="26"/>
  <c r="CB2" i="26"/>
  <c r="R187" i="29"/>
  <c r="S187" i="29" s="1"/>
  <c r="CB33" i="21"/>
  <c r="CB32" i="21"/>
  <c r="CB31" i="21"/>
  <c r="CB34" i="21"/>
  <c r="CB51" i="26"/>
  <c r="CB94" i="22"/>
  <c r="CB44" i="22"/>
  <c r="Q173" i="27"/>
  <c r="CC26" i="28"/>
  <c r="CB6" i="26"/>
  <c r="CC80" i="28"/>
  <c r="CB5" i="26"/>
  <c r="CB3" i="22"/>
  <c r="CB7" i="22"/>
  <c r="CB61" i="22"/>
  <c r="CB78" i="22"/>
  <c r="CB76" i="22"/>
  <c r="CB98" i="22"/>
  <c r="CB77" i="22"/>
  <c r="CB81" i="22"/>
  <c r="CB74" i="22"/>
  <c r="CB62" i="22"/>
  <c r="CB38" i="22"/>
  <c r="CB115" i="25"/>
  <c r="CB43" i="22"/>
  <c r="S183" i="22"/>
  <c r="CB40" i="22"/>
  <c r="CB37" i="22"/>
  <c r="CB39" i="22"/>
  <c r="CB43" i="21"/>
  <c r="CB6" i="22"/>
  <c r="CB37" i="21"/>
  <c r="CB114" i="25"/>
  <c r="CB78" i="25"/>
  <c r="CB79" i="25"/>
  <c r="CB42" i="22"/>
  <c r="CB44" i="21"/>
  <c r="CB73" i="22"/>
  <c r="CB42" i="21"/>
  <c r="CB80" i="22"/>
  <c r="CB60" i="22"/>
  <c r="CC16" i="27"/>
  <c r="CB41" i="22"/>
  <c r="CB57" i="22"/>
  <c r="CB59" i="22"/>
  <c r="CB38" i="21"/>
  <c r="Q189" i="25"/>
  <c r="CB80" i="25"/>
  <c r="CB100" i="22"/>
  <c r="CB41" i="21"/>
  <c r="CB40" i="21"/>
  <c r="CB109" i="29"/>
  <c r="CC51" i="27"/>
  <c r="CC3" i="2"/>
  <c r="CC60" i="27"/>
  <c r="CB2" i="22"/>
  <c r="CB97" i="21"/>
  <c r="CB102" i="22"/>
  <c r="CB99" i="22"/>
  <c r="CB69" i="22"/>
  <c r="CB52" i="22"/>
  <c r="CB85" i="22"/>
  <c r="AI6" i="24"/>
  <c r="CB87" i="22"/>
  <c r="CB89" i="22"/>
  <c r="CC74" i="2"/>
  <c r="CC49" i="28"/>
  <c r="CB93" i="22"/>
  <c r="CB88" i="22"/>
  <c r="CC65" i="2"/>
  <c r="CB91" i="22"/>
  <c r="CC34" i="27"/>
  <c r="B6" i="24"/>
  <c r="CB118" i="25"/>
  <c r="CC111" i="27"/>
  <c r="CB86" i="22"/>
  <c r="CB67" i="22"/>
  <c r="CB84" i="22"/>
  <c r="CB109" i="22"/>
  <c r="AI13" i="24"/>
  <c r="CB117" i="25"/>
  <c r="P49" i="24"/>
  <c r="CB116" i="25"/>
  <c r="CB92" i="22"/>
  <c r="CB90" i="22"/>
  <c r="R187" i="23"/>
  <c r="S187" i="23" s="1"/>
  <c r="CB5" i="22"/>
  <c r="CB102" i="21"/>
  <c r="Q189" i="27"/>
  <c r="O187" i="27"/>
  <c r="CB20" i="22"/>
  <c r="Q189" i="26"/>
  <c r="CC49" i="2"/>
  <c r="CB52" i="2" s="1"/>
  <c r="CC13" i="2"/>
  <c r="CB49" i="26"/>
  <c r="CB6" i="21"/>
  <c r="CB11" i="21"/>
  <c r="CC85" i="2"/>
  <c r="CC87" i="28"/>
  <c r="CB48" i="25"/>
  <c r="Q187" i="25"/>
  <c r="CB7" i="21"/>
  <c r="CB101" i="22"/>
  <c r="CB4" i="22"/>
  <c r="CB54" i="26"/>
  <c r="CB2" i="21"/>
  <c r="CB3" i="21"/>
  <c r="CB18" i="22"/>
  <c r="CB73" i="21"/>
  <c r="CB105" i="26"/>
  <c r="CB106" i="22"/>
  <c r="O189" i="28"/>
  <c r="Q189" i="28" s="1"/>
  <c r="CB17" i="22"/>
  <c r="P47" i="27"/>
  <c r="AI12" i="24"/>
  <c r="CB77" i="21"/>
  <c r="CB76" i="21"/>
  <c r="CB47" i="26"/>
  <c r="CC85" i="28"/>
  <c r="CC74" i="28"/>
  <c r="CC13" i="28"/>
  <c r="CC58" i="28"/>
  <c r="CB80" i="21"/>
  <c r="CB79" i="21"/>
  <c r="CB53" i="22"/>
  <c r="CB81" i="21"/>
  <c r="CB49" i="22"/>
  <c r="CB50" i="22"/>
  <c r="CB47" i="22"/>
  <c r="CB100" i="21"/>
  <c r="CC65" i="28"/>
  <c r="CB48" i="22"/>
  <c r="CB50" i="26"/>
  <c r="CB78" i="21"/>
  <c r="CB74" i="21"/>
  <c r="CB75" i="21"/>
  <c r="CB51" i="22"/>
  <c r="CB54" i="22"/>
  <c r="CB40" i="25"/>
  <c r="AI23" i="24"/>
  <c r="AI22" i="24"/>
  <c r="CB39" i="25"/>
  <c r="CB118" i="22"/>
  <c r="CB114" i="22"/>
  <c r="CB89" i="21"/>
  <c r="CB14" i="22"/>
  <c r="AI7" i="24"/>
  <c r="AI17" i="24"/>
  <c r="AI11" i="24"/>
  <c r="P47" i="24"/>
  <c r="CB42" i="25"/>
  <c r="CB38" i="25"/>
  <c r="CB37" i="25"/>
  <c r="CB41" i="25"/>
  <c r="CB44" i="25"/>
  <c r="P50" i="24"/>
  <c r="AI8" i="24"/>
  <c r="O187" i="24"/>
  <c r="Q187" i="24" s="1"/>
  <c r="CC66" i="28"/>
  <c r="CB43" i="25"/>
  <c r="CB16" i="21"/>
  <c r="CB33" i="22"/>
  <c r="CB117" i="24"/>
  <c r="CB27" i="22"/>
  <c r="CB111" i="22"/>
  <c r="CB11" i="22"/>
  <c r="CB26" i="22"/>
  <c r="CB15" i="22"/>
  <c r="CB110" i="22"/>
  <c r="CB19" i="21"/>
  <c r="CB81" i="25"/>
  <c r="CB77" i="25"/>
  <c r="CB76" i="25"/>
  <c r="CC39" i="27"/>
  <c r="CC99" i="27"/>
  <c r="CB19" i="22"/>
  <c r="CB13" i="22"/>
  <c r="CB16" i="22"/>
  <c r="CB12" i="22"/>
  <c r="CB24" i="22"/>
  <c r="CB105" i="22"/>
  <c r="CB21" i="22"/>
  <c r="CB107" i="22"/>
  <c r="R187" i="28"/>
  <c r="CB73" i="25"/>
  <c r="CB74" i="25"/>
  <c r="CC75" i="27"/>
  <c r="CC116" i="27"/>
  <c r="CC87" i="27"/>
  <c r="CC31" i="27"/>
  <c r="CC74" i="27"/>
  <c r="CB22" i="22"/>
  <c r="CB108" i="22"/>
  <c r="CB10" i="22"/>
  <c r="CB25" i="22"/>
  <c r="CB92" i="26"/>
  <c r="CB23" i="22"/>
  <c r="CB61" i="25"/>
  <c r="CC70" i="27"/>
  <c r="CC119" i="27"/>
  <c r="CB98" i="21"/>
  <c r="CC116" i="28"/>
  <c r="CC60" i="28"/>
  <c r="O183" i="2"/>
  <c r="Q183" i="2" s="1"/>
  <c r="CC39" i="28"/>
  <c r="CC16" i="28"/>
  <c r="CC51" i="28"/>
  <c r="CC43" i="27"/>
  <c r="CC102" i="27"/>
  <c r="CB101" i="21"/>
  <c r="CB30" i="25"/>
  <c r="CC31" i="28"/>
  <c r="CC75" i="28"/>
  <c r="P51" i="24"/>
  <c r="CC61" i="27"/>
  <c r="CB94" i="26"/>
  <c r="CB108" i="25"/>
  <c r="CB30" i="22"/>
  <c r="CB34" i="22"/>
  <c r="CB115" i="22"/>
  <c r="CB65" i="22"/>
  <c r="CB66" i="22"/>
  <c r="CB31" i="22"/>
  <c r="CB117" i="22"/>
  <c r="CB15" i="21"/>
  <c r="CC58" i="27"/>
  <c r="CB119" i="22"/>
  <c r="CB68" i="22"/>
  <c r="CB70" i="22"/>
  <c r="R189" i="29"/>
  <c r="S189" i="29" s="1"/>
  <c r="AI6" i="28"/>
  <c r="CB23" i="21"/>
  <c r="CB10" i="21"/>
  <c r="CB17" i="21"/>
  <c r="CC65" i="27"/>
  <c r="CC13" i="27"/>
  <c r="CB13" i="21"/>
  <c r="CB26" i="21"/>
  <c r="AI21" i="27"/>
  <c r="CB27" i="21"/>
  <c r="CB14" i="21"/>
  <c r="CB24" i="21"/>
  <c r="CC49" i="27"/>
  <c r="CC3" i="27"/>
  <c r="CB20" i="21"/>
  <c r="CB12" i="21"/>
  <c r="CB101" i="25"/>
  <c r="CB25" i="21"/>
  <c r="CB18" i="21"/>
  <c r="CB22" i="21"/>
  <c r="CB21" i="21"/>
  <c r="CB111" i="29"/>
  <c r="AI16" i="24"/>
  <c r="AI20" i="24"/>
  <c r="O183" i="27"/>
  <c r="Q183" i="27" s="1"/>
  <c r="CB108" i="29"/>
  <c r="AI14" i="24"/>
  <c r="CB18" i="26"/>
  <c r="CB105" i="29"/>
  <c r="CB110" i="29"/>
  <c r="CB107" i="29"/>
  <c r="AI22" i="2"/>
  <c r="Q23" i="2"/>
  <c r="CB48" i="26"/>
  <c r="CB53" i="26"/>
  <c r="AI23" i="27"/>
  <c r="CB52" i="26"/>
  <c r="R183" i="24"/>
  <c r="S183" i="24" s="1"/>
  <c r="B6" i="27"/>
  <c r="AI11" i="27"/>
  <c r="AI10" i="24"/>
  <c r="AI14" i="27"/>
  <c r="AI19" i="24"/>
  <c r="CB111" i="25"/>
  <c r="CB74" i="26"/>
  <c r="CB34" i="25"/>
  <c r="AI8" i="27"/>
  <c r="AI18" i="24"/>
  <c r="CB32" i="25"/>
  <c r="CB89" i="26"/>
  <c r="CB97" i="26"/>
  <c r="CB51" i="29"/>
  <c r="AI8" i="2"/>
  <c r="AI21" i="2"/>
  <c r="CB93" i="26"/>
  <c r="CB31" i="25"/>
  <c r="CC79" i="28"/>
  <c r="AI20" i="2"/>
  <c r="CC21" i="28"/>
  <c r="CB102" i="25"/>
  <c r="CB90" i="26"/>
  <c r="CB88" i="26"/>
  <c r="CB87" i="26"/>
  <c r="CB97" i="25"/>
  <c r="CC6" i="28"/>
  <c r="CB6" i="28" s="1"/>
  <c r="CC53" i="28"/>
  <c r="CB80" i="26"/>
  <c r="CB85" i="26"/>
  <c r="CB99" i="25"/>
  <c r="P51" i="2"/>
  <c r="AI18" i="2"/>
  <c r="AI14" i="2"/>
  <c r="AI6" i="2"/>
  <c r="CB86" i="26"/>
  <c r="CB33" i="25"/>
  <c r="CB98" i="25"/>
  <c r="CB100" i="25"/>
  <c r="CC90" i="28"/>
  <c r="CB91" i="25"/>
  <c r="AI11" i="2"/>
  <c r="O173" i="2"/>
  <c r="P49" i="2"/>
  <c r="CB91" i="26"/>
  <c r="CB84" i="26"/>
  <c r="AI13" i="27"/>
  <c r="CB65" i="26"/>
  <c r="CB68" i="25"/>
  <c r="AI7" i="2"/>
  <c r="CB54" i="29"/>
  <c r="CB21" i="25"/>
  <c r="CB33" i="26"/>
  <c r="CB76" i="26"/>
  <c r="CB78" i="26"/>
  <c r="CB73" i="26"/>
  <c r="CB79" i="26"/>
  <c r="AI13" i="2"/>
  <c r="CB34" i="26"/>
  <c r="AI10" i="2"/>
  <c r="P47" i="2"/>
  <c r="CB75" i="26"/>
  <c r="CB81" i="26"/>
  <c r="CB87" i="21"/>
  <c r="B6" i="2"/>
  <c r="CB32" i="26"/>
  <c r="CB90" i="21"/>
  <c r="CB44" i="29"/>
  <c r="CB62" i="29"/>
  <c r="CB86" i="21"/>
  <c r="CB88" i="21"/>
  <c r="CB98" i="26"/>
  <c r="CB91" i="21"/>
  <c r="CB92" i="21"/>
  <c r="AI23" i="2"/>
  <c r="CB24" i="26"/>
  <c r="CB101" i="26"/>
  <c r="P50" i="2"/>
  <c r="CB30" i="29"/>
  <c r="CB16" i="26"/>
  <c r="CB20" i="26"/>
  <c r="CB26" i="26"/>
  <c r="CB102" i="26"/>
  <c r="CB99" i="26"/>
  <c r="O187" i="2"/>
  <c r="O189" i="2"/>
  <c r="Q189" i="2" s="1"/>
  <c r="AI17" i="2"/>
  <c r="AI12" i="2"/>
  <c r="CB10" i="26"/>
  <c r="CB13" i="26"/>
  <c r="CB43" i="26"/>
  <c r="CB88" i="29"/>
  <c r="CB93" i="21"/>
  <c r="CB94" i="21"/>
  <c r="CB84" i="21"/>
  <c r="CB85" i="21"/>
  <c r="AI10" i="27"/>
  <c r="AI22" i="27"/>
  <c r="CB106" i="25"/>
  <c r="CB110" i="25"/>
  <c r="CB105" i="25"/>
  <c r="R189" i="24"/>
  <c r="AI19" i="27"/>
  <c r="AI6" i="27"/>
  <c r="CB107" i="25"/>
  <c r="CB109" i="25"/>
  <c r="CB91" i="29"/>
  <c r="P51" i="27"/>
  <c r="AI18" i="27"/>
  <c r="CC102" i="28"/>
  <c r="CC24" i="28"/>
  <c r="AU27" i="28"/>
  <c r="AI8" i="28"/>
  <c r="O173" i="28"/>
  <c r="Q173" i="28" s="1"/>
  <c r="AI18" i="28"/>
  <c r="O183" i="28"/>
  <c r="Q183" i="28" s="1"/>
  <c r="Q187" i="2"/>
  <c r="AN27" i="23"/>
  <c r="AN28" i="23"/>
  <c r="CB93" i="29"/>
  <c r="CB118" i="26"/>
  <c r="CB92" i="29"/>
  <c r="CB85" i="29"/>
  <c r="AI21" i="28"/>
  <c r="AI7" i="27"/>
  <c r="CB30" i="26"/>
  <c r="CB44" i="26"/>
  <c r="CC14" i="28"/>
  <c r="CB90" i="29"/>
  <c r="CB94" i="29"/>
  <c r="B6" i="28"/>
  <c r="CB31" i="26"/>
  <c r="P51" i="28"/>
  <c r="P47" i="28"/>
  <c r="AI22" i="28"/>
  <c r="CB116" i="26"/>
  <c r="CC34" i="28"/>
  <c r="CB59" i="29"/>
  <c r="AU28" i="24"/>
  <c r="CB53" i="29"/>
  <c r="CB47" i="29"/>
  <c r="CB50" i="29"/>
  <c r="AI15" i="27"/>
  <c r="CB22" i="26"/>
  <c r="CB19" i="26"/>
  <c r="CB17" i="26"/>
  <c r="CB21" i="26"/>
  <c r="CB93" i="25"/>
  <c r="CB84" i="25"/>
  <c r="CB65" i="25"/>
  <c r="CB67" i="25"/>
  <c r="CB47" i="25"/>
  <c r="CB94" i="25"/>
  <c r="CB50" i="25"/>
  <c r="CB70" i="25"/>
  <c r="CB51" i="25"/>
  <c r="CB48" i="29"/>
  <c r="CB49" i="29"/>
  <c r="P50" i="27"/>
  <c r="AI12" i="27"/>
  <c r="CB15" i="26"/>
  <c r="CB11" i="26"/>
  <c r="CB23" i="26"/>
  <c r="CB88" i="25"/>
  <c r="CB69" i="25"/>
  <c r="CB53" i="25"/>
  <c r="CB25" i="26"/>
  <c r="CB49" i="25"/>
  <c r="CB12" i="26"/>
  <c r="CB52" i="25"/>
  <c r="CB90" i="25"/>
  <c r="CB89" i="25"/>
  <c r="CB66" i="25"/>
  <c r="CB57" i="25"/>
  <c r="CB86" i="29"/>
  <c r="CB60" i="25"/>
  <c r="CB52" i="29"/>
  <c r="CB57" i="29"/>
  <c r="AI17" i="27"/>
  <c r="CB67" i="29"/>
  <c r="CB27" i="26"/>
  <c r="CB14" i="26"/>
  <c r="CB54" i="25"/>
  <c r="CB115" i="29"/>
  <c r="CB114" i="26"/>
  <c r="CB19" i="25"/>
  <c r="CB84" i="29"/>
  <c r="CB68" i="29"/>
  <c r="CB76" i="29"/>
  <c r="CB16" i="25"/>
  <c r="AI15" i="28"/>
  <c r="CB38" i="26"/>
  <c r="CB89" i="29"/>
  <c r="CB87" i="29"/>
  <c r="AI20" i="27"/>
  <c r="CC98" i="28"/>
  <c r="CB41" i="26"/>
  <c r="CC61" i="28"/>
  <c r="CB23" i="25"/>
  <c r="CB86" i="25"/>
  <c r="CB14" i="25"/>
  <c r="CB85" i="25"/>
  <c r="CC86" i="28"/>
  <c r="S183" i="25"/>
  <c r="CB70" i="29"/>
  <c r="CB118" i="29"/>
  <c r="CB114" i="29"/>
  <c r="AI10" i="28"/>
  <c r="P49" i="27"/>
  <c r="AI16" i="27"/>
  <c r="AI20" i="28"/>
  <c r="CC70" i="28"/>
  <c r="CC119" i="28"/>
  <c r="CB37" i="26"/>
  <c r="CB92" i="25"/>
  <c r="CC111" i="28"/>
  <c r="CB111" i="28" s="1"/>
  <c r="CB87" i="25"/>
  <c r="CB25" i="25"/>
  <c r="AU27" i="22"/>
  <c r="CB116" i="29"/>
  <c r="CB117" i="29"/>
  <c r="P49" i="28"/>
  <c r="AI16" i="28"/>
  <c r="CB107" i="26"/>
  <c r="CB26" i="25"/>
  <c r="CB13" i="25"/>
  <c r="CB12" i="25"/>
  <c r="CB24" i="25"/>
  <c r="CB20" i="25"/>
  <c r="CB22" i="25"/>
  <c r="CB18" i="25"/>
  <c r="CB58" i="25"/>
  <c r="CB59" i="25"/>
  <c r="CB119" i="29"/>
  <c r="AI11" i="28"/>
  <c r="CB27" i="25"/>
  <c r="CB17" i="25"/>
  <c r="CB15" i="25"/>
  <c r="AU27" i="21"/>
  <c r="AU28" i="21"/>
  <c r="AI14" i="28"/>
  <c r="CB11" i="25"/>
  <c r="CB10" i="25"/>
  <c r="CB62" i="25"/>
  <c r="CB101" i="29"/>
  <c r="CB66" i="29"/>
  <c r="P50" i="28"/>
  <c r="AI17" i="28"/>
  <c r="CB100" i="29"/>
  <c r="CB3" i="25"/>
  <c r="CB2" i="25"/>
  <c r="CB6" i="25"/>
  <c r="AN27" i="26"/>
  <c r="CB69" i="29"/>
  <c r="AI7" i="28"/>
  <c r="AI23" i="28"/>
  <c r="CB5" i="25"/>
  <c r="CB7" i="25"/>
  <c r="AN27" i="25"/>
  <c r="Q183" i="26"/>
  <c r="CB102" i="29"/>
  <c r="AL27" i="27"/>
  <c r="CB106" i="26"/>
  <c r="CB58" i="26"/>
  <c r="CB61" i="26"/>
  <c r="CB60" i="26"/>
  <c r="CB57" i="26"/>
  <c r="CB59" i="26"/>
  <c r="CB62" i="26"/>
  <c r="CB65" i="29"/>
  <c r="CB60" i="29"/>
  <c r="CB58" i="29"/>
  <c r="AI13" i="28"/>
  <c r="CB115" i="26"/>
  <c r="CB109" i="26"/>
  <c r="CB40" i="26"/>
  <c r="CB39" i="26"/>
  <c r="CB108" i="26"/>
  <c r="CB70" i="26"/>
  <c r="CB69" i="26"/>
  <c r="CB67" i="26"/>
  <c r="CB66" i="26"/>
  <c r="CB68" i="26"/>
  <c r="CB61" i="29"/>
  <c r="CB16" i="29"/>
  <c r="AI19" i="28"/>
  <c r="CB119" i="26"/>
  <c r="CB117" i="26"/>
  <c r="CB110" i="26"/>
  <c r="CB42" i="26"/>
  <c r="CB111" i="26"/>
  <c r="CB32" i="29"/>
  <c r="R173" i="29"/>
  <c r="Q309" i="29" s="1"/>
  <c r="CB99" i="29"/>
  <c r="CB97" i="29"/>
  <c r="CB31" i="29"/>
  <c r="CB34" i="29"/>
  <c r="CB98" i="29"/>
  <c r="CB33" i="29"/>
  <c r="AU28" i="26"/>
  <c r="AU27" i="26"/>
  <c r="AL28" i="28"/>
  <c r="AL27" i="28"/>
  <c r="AN27" i="27"/>
  <c r="AL28" i="25"/>
  <c r="CB4" i="29"/>
  <c r="CB7" i="29"/>
  <c r="CB75" i="29"/>
  <c r="CB11" i="29"/>
  <c r="CB21" i="29"/>
  <c r="CB17" i="29"/>
  <c r="CB10" i="29"/>
  <c r="CB12" i="29"/>
  <c r="AL27" i="26"/>
  <c r="CB23" i="29"/>
  <c r="CB18" i="29"/>
  <c r="CB41" i="29"/>
  <c r="CB14" i="29"/>
  <c r="CB22" i="29"/>
  <c r="CB20" i="29"/>
  <c r="AU27" i="27"/>
  <c r="CB73" i="29"/>
  <c r="AM27" i="2"/>
  <c r="CB27" i="29"/>
  <c r="CB38" i="29"/>
  <c r="CB24" i="29"/>
  <c r="CB19" i="29"/>
  <c r="CB25" i="29"/>
  <c r="CB26" i="29"/>
  <c r="CB13" i="29"/>
  <c r="CB15" i="29"/>
  <c r="CB77" i="29"/>
  <c r="CB5" i="29"/>
  <c r="CB3" i="29"/>
  <c r="CB2" i="29"/>
  <c r="CB78" i="29"/>
  <c r="CB81" i="29"/>
  <c r="CB80" i="29"/>
  <c r="CB74" i="29"/>
  <c r="CB79" i="29"/>
  <c r="CB37" i="29"/>
  <c r="CB40" i="29"/>
  <c r="CB39" i="29"/>
  <c r="CB43" i="29"/>
  <c r="CB42" i="29"/>
  <c r="AU27" i="29"/>
  <c r="AU28" i="29"/>
  <c r="AU28" i="2"/>
  <c r="AU27" i="2"/>
  <c r="AM28" i="29"/>
  <c r="AM27" i="29"/>
  <c r="AR27" i="29"/>
  <c r="AN27" i="2"/>
  <c r="CC51" i="30"/>
  <c r="AI18" i="30"/>
  <c r="O183" i="30"/>
  <c r="S183" i="30" s="1"/>
  <c r="CC31" i="30"/>
  <c r="CC33" i="30"/>
  <c r="CC69" i="30"/>
  <c r="CC101" i="30"/>
  <c r="CC60" i="30"/>
  <c r="CC116" i="30"/>
  <c r="CC16" i="30"/>
  <c r="CC92" i="30"/>
  <c r="CC87" i="30"/>
  <c r="CC75" i="30"/>
  <c r="CC99" i="30"/>
  <c r="CC66" i="30"/>
  <c r="CC102" i="30"/>
  <c r="CC6" i="30"/>
  <c r="CC119" i="30"/>
  <c r="CC79" i="30"/>
  <c r="CC70" i="30"/>
  <c r="CC111" i="30"/>
  <c r="CC34" i="30"/>
  <c r="CC43" i="30"/>
  <c r="CC21" i="30"/>
  <c r="CC42" i="30"/>
  <c r="CC61" i="30"/>
  <c r="CC53" i="30"/>
  <c r="CC93" i="30"/>
  <c r="CC14" i="30"/>
  <c r="CC74" i="30"/>
  <c r="CC106" i="30"/>
  <c r="CC58" i="30"/>
  <c r="CC13" i="30"/>
  <c r="CC85" i="30"/>
  <c r="CC65" i="30"/>
  <c r="CC49" i="30"/>
  <c r="CC44" i="30"/>
  <c r="CC98" i="30"/>
  <c r="CC7" i="30"/>
  <c r="CC54" i="30"/>
  <c r="CC27" i="30"/>
  <c r="CC80" i="30"/>
  <c r="CC62" i="30"/>
  <c r="CC94" i="30"/>
  <c r="B6" i="30"/>
  <c r="Q23" i="30"/>
  <c r="AI22" i="30"/>
  <c r="P47" i="30"/>
  <c r="AI6" i="30"/>
  <c r="AI13" i="30"/>
  <c r="AI10" i="30"/>
  <c r="AI19" i="30"/>
  <c r="P51" i="30"/>
  <c r="AI20" i="30"/>
  <c r="AI16" i="30"/>
  <c r="AI8" i="30"/>
  <c r="AI14" i="30"/>
  <c r="AI11" i="30"/>
  <c r="O173" i="30"/>
  <c r="P49" i="30"/>
  <c r="AI23" i="30"/>
  <c r="AI15" i="30"/>
  <c r="AI7" i="30"/>
  <c r="AI17" i="30"/>
  <c r="AI12" i="30"/>
  <c r="P50" i="30"/>
  <c r="Q173" i="30" l="1"/>
  <c r="S173" i="30" s="1"/>
  <c r="R309" i="30" s="1"/>
  <c r="R187" i="26"/>
  <c r="S187" i="26" s="1"/>
  <c r="CB42" i="28"/>
  <c r="R173" i="24"/>
  <c r="Q309" i="24" s="1"/>
  <c r="S173" i="26"/>
  <c r="R309" i="26" s="1"/>
  <c r="R323" i="26"/>
  <c r="AL64" i="26" s="1"/>
  <c r="AK64" i="26" s="1"/>
  <c r="AJ64" i="26" s="1"/>
  <c r="R324" i="26"/>
  <c r="AL65" i="26" s="1"/>
  <c r="AK65" i="26" s="1"/>
  <c r="AJ65" i="26" s="1"/>
  <c r="R321" i="26"/>
  <c r="AL62" i="26" s="1"/>
  <c r="AK62" i="26" s="1"/>
  <c r="AJ62" i="26" s="1"/>
  <c r="R322" i="26"/>
  <c r="AL63" i="26" s="1"/>
  <c r="AK63" i="26" s="1"/>
  <c r="AJ63" i="26" s="1"/>
  <c r="R187" i="2"/>
  <c r="CB115" i="24"/>
  <c r="CB57" i="24"/>
  <c r="CB32" i="24"/>
  <c r="S173" i="22"/>
  <c r="R309" i="22" s="1"/>
  <c r="R189" i="26"/>
  <c r="S189" i="26" s="1"/>
  <c r="R323" i="22"/>
  <c r="AL64" i="22" s="1"/>
  <c r="AK64" i="22" s="1"/>
  <c r="AJ64" i="22" s="1"/>
  <c r="R324" i="22"/>
  <c r="AL65" i="22" s="1"/>
  <c r="AK65" i="22" s="1"/>
  <c r="AJ65" i="22" s="1"/>
  <c r="R321" i="22"/>
  <c r="AL62" i="22" s="1"/>
  <c r="AK62" i="22" s="1"/>
  <c r="AJ62" i="22" s="1"/>
  <c r="R322" i="22"/>
  <c r="AL63" i="22" s="1"/>
  <c r="AK63" i="22" s="1"/>
  <c r="AJ63" i="22" s="1"/>
  <c r="S189" i="24"/>
  <c r="R187" i="24"/>
  <c r="S187" i="24" s="1"/>
  <c r="CB114" i="24"/>
  <c r="CB116" i="24"/>
  <c r="R173" i="28"/>
  <c r="Q309" i="28" s="1"/>
  <c r="CB119" i="2"/>
  <c r="CB119" i="24"/>
  <c r="CB118" i="24"/>
  <c r="CB67" i="24"/>
  <c r="Q173" i="2"/>
  <c r="S173" i="2" s="1"/>
  <c r="R309" i="2" s="1"/>
  <c r="CB31" i="24"/>
  <c r="CB30" i="24"/>
  <c r="CB34" i="24"/>
  <c r="CB33" i="24"/>
  <c r="CB40" i="2"/>
  <c r="CB6" i="2"/>
  <c r="R189" i="2"/>
  <c r="S189" i="2" s="1"/>
  <c r="CB38" i="2"/>
  <c r="CB39" i="2"/>
  <c r="CB44" i="2"/>
  <c r="CB43" i="24"/>
  <c r="CB116" i="2"/>
  <c r="CB118" i="2"/>
  <c r="CB117" i="2"/>
  <c r="CB37" i="24"/>
  <c r="CB115" i="2"/>
  <c r="CB42" i="2"/>
  <c r="CB37" i="2"/>
  <c r="CB57" i="2"/>
  <c r="CB43" i="2"/>
  <c r="CB41" i="2"/>
  <c r="CB11" i="24"/>
  <c r="CB30" i="2"/>
  <c r="CB66" i="2"/>
  <c r="R189" i="27"/>
  <c r="S189" i="27" s="1"/>
  <c r="S187" i="28"/>
  <c r="CB42" i="24"/>
  <c r="CB32" i="2"/>
  <c r="CB33" i="2"/>
  <c r="CB34" i="2"/>
  <c r="S173" i="25"/>
  <c r="R309" i="25" s="1"/>
  <c r="CB101" i="2"/>
  <c r="CB39" i="24"/>
  <c r="CB44" i="24"/>
  <c r="CB40" i="24"/>
  <c r="CB38" i="24"/>
  <c r="CB41" i="24"/>
  <c r="CB31" i="2"/>
  <c r="CB4" i="24"/>
  <c r="CB99" i="24"/>
  <c r="CB47" i="24"/>
  <c r="CB77" i="24"/>
  <c r="CB13" i="24"/>
  <c r="CB4" i="27"/>
  <c r="CB14" i="24"/>
  <c r="CB18" i="24"/>
  <c r="CB23" i="24"/>
  <c r="CB105" i="24"/>
  <c r="CB111" i="24"/>
  <c r="CB109" i="24"/>
  <c r="CB24" i="24"/>
  <c r="CB22" i="24"/>
  <c r="CB20" i="24"/>
  <c r="CB27" i="24"/>
  <c r="CB16" i="24"/>
  <c r="CB15" i="24"/>
  <c r="CB26" i="24"/>
  <c r="CB25" i="24"/>
  <c r="CB17" i="24"/>
  <c r="CB10" i="24"/>
  <c r="CB7" i="24"/>
  <c r="R322" i="25"/>
  <c r="AL63" i="25" s="1"/>
  <c r="AK63" i="25" s="1"/>
  <c r="AJ63" i="25" s="1"/>
  <c r="R323" i="25"/>
  <c r="AL64" i="25" s="1"/>
  <c r="AK64" i="25" s="1"/>
  <c r="AJ64" i="25" s="1"/>
  <c r="R324" i="25"/>
  <c r="AL65" i="25" s="1"/>
  <c r="AK65" i="25" s="1"/>
  <c r="AJ65" i="25" s="1"/>
  <c r="R321" i="25"/>
  <c r="AL62" i="25" s="1"/>
  <c r="AK62" i="25" s="1"/>
  <c r="AJ62" i="25" s="1"/>
  <c r="CB21" i="24"/>
  <c r="CB19" i="24"/>
  <c r="CB12" i="24"/>
  <c r="CB97" i="24"/>
  <c r="CB100" i="24"/>
  <c r="CB102" i="24"/>
  <c r="CB98" i="24"/>
  <c r="R189" i="28"/>
  <c r="S189" i="28" s="1"/>
  <c r="CB106" i="24"/>
  <c r="CB108" i="24"/>
  <c r="CB110" i="24"/>
  <c r="R187" i="25"/>
  <c r="S187" i="25" s="1"/>
  <c r="CB89" i="24"/>
  <c r="CB51" i="2"/>
  <c r="CB81" i="27"/>
  <c r="CB50" i="24"/>
  <c r="CB74" i="2"/>
  <c r="CB61" i="24"/>
  <c r="CB60" i="2"/>
  <c r="R173" i="27"/>
  <c r="Q309" i="27" s="1"/>
  <c r="CB109" i="2"/>
  <c r="CB70" i="24"/>
  <c r="CB49" i="2"/>
  <c r="CB59" i="24"/>
  <c r="CB60" i="24"/>
  <c r="CB54" i="24"/>
  <c r="CB52" i="24"/>
  <c r="CB58" i="2"/>
  <c r="CB61" i="2"/>
  <c r="CB50" i="2"/>
  <c r="CB53" i="2"/>
  <c r="CB54" i="2"/>
  <c r="CB47" i="2"/>
  <c r="CB62" i="2"/>
  <c r="CB53" i="24"/>
  <c r="CB49" i="24"/>
  <c r="CB86" i="27"/>
  <c r="CB58" i="24"/>
  <c r="CB59" i="2"/>
  <c r="CB48" i="2"/>
  <c r="CB62" i="24"/>
  <c r="CB51" i="24"/>
  <c r="CB48" i="24"/>
  <c r="CB16" i="2"/>
  <c r="CB69" i="24"/>
  <c r="CB65" i="24"/>
  <c r="CB107" i="2"/>
  <c r="CB108" i="2"/>
  <c r="CB106" i="2"/>
  <c r="CB68" i="24"/>
  <c r="CB105" i="2"/>
  <c r="CB110" i="2"/>
  <c r="CB66" i="24"/>
  <c r="CB89" i="2"/>
  <c r="CB98" i="2"/>
  <c r="CB78" i="24"/>
  <c r="CB5" i="24"/>
  <c r="CB99" i="2"/>
  <c r="CB102" i="2"/>
  <c r="CB100" i="2"/>
  <c r="CB75" i="24"/>
  <c r="CB97" i="2"/>
  <c r="CB73" i="24"/>
  <c r="CB79" i="24"/>
  <c r="CB6" i="24"/>
  <c r="CB108" i="27"/>
  <c r="CB106" i="27"/>
  <c r="CB88" i="24"/>
  <c r="CB81" i="24"/>
  <c r="CB76" i="24"/>
  <c r="CB111" i="27"/>
  <c r="CB105" i="27"/>
  <c r="CB107" i="27"/>
  <c r="CB109" i="27"/>
  <c r="CB110" i="27"/>
  <c r="CB91" i="24"/>
  <c r="CB80" i="24"/>
  <c r="CB2" i="24"/>
  <c r="CB90" i="24"/>
  <c r="CB94" i="24"/>
  <c r="CB84" i="24"/>
  <c r="CB92" i="24"/>
  <c r="CB86" i="24"/>
  <c r="CB74" i="24"/>
  <c r="CB3" i="24"/>
  <c r="CB87" i="24"/>
  <c r="CB85" i="24"/>
  <c r="CB93" i="24"/>
  <c r="Q187" i="27"/>
  <c r="CB5" i="2"/>
  <c r="S173" i="29"/>
  <c r="R309" i="29" s="1"/>
  <c r="S187" i="2"/>
  <c r="CB32" i="27"/>
  <c r="CB7" i="2"/>
  <c r="CB70" i="2"/>
  <c r="CB2" i="2"/>
  <c r="CB34" i="27"/>
  <c r="CB21" i="2"/>
  <c r="R189" i="25"/>
  <c r="S189" i="25" s="1"/>
  <c r="CB67" i="28"/>
  <c r="CB11" i="27"/>
  <c r="CB77" i="2"/>
  <c r="CB79" i="2"/>
  <c r="CB4" i="2"/>
  <c r="CB3" i="2"/>
  <c r="AL27" i="23"/>
  <c r="CB24" i="27"/>
  <c r="CB17" i="27"/>
  <c r="CB13" i="27"/>
  <c r="CB81" i="2"/>
  <c r="CB68" i="2"/>
  <c r="CB23" i="27"/>
  <c r="CB25" i="27"/>
  <c r="CB48" i="27"/>
  <c r="AN28" i="21"/>
  <c r="CB61" i="27"/>
  <c r="CB17" i="2"/>
  <c r="CB78" i="2"/>
  <c r="CB23" i="2"/>
  <c r="CB94" i="2"/>
  <c r="CB18" i="2"/>
  <c r="CB25" i="2"/>
  <c r="CB20" i="2"/>
  <c r="CB76" i="2"/>
  <c r="AN27" i="29"/>
  <c r="CB67" i="2"/>
  <c r="CB75" i="2"/>
  <c r="CB73" i="2"/>
  <c r="CB31" i="27"/>
  <c r="CB80" i="2"/>
  <c r="CB65" i="2"/>
  <c r="CB69" i="2"/>
  <c r="CB22" i="2"/>
  <c r="CB19" i="2"/>
  <c r="CB93" i="2"/>
  <c r="AU28" i="22"/>
  <c r="AU12" i="22" s="1"/>
  <c r="R183" i="27"/>
  <c r="S183" i="27" s="1"/>
  <c r="AN28" i="2"/>
  <c r="AN19" i="2" s="1"/>
  <c r="AU28" i="27"/>
  <c r="AU8" i="27" s="1"/>
  <c r="CB84" i="2"/>
  <c r="CB85" i="2"/>
  <c r="CB86" i="2"/>
  <c r="CB24" i="2"/>
  <c r="CB26" i="2"/>
  <c r="CB15" i="2"/>
  <c r="CB91" i="2"/>
  <c r="CB87" i="2"/>
  <c r="CB27" i="2"/>
  <c r="CB88" i="2"/>
  <c r="CB92" i="2"/>
  <c r="CB13" i="2"/>
  <c r="CB10" i="2"/>
  <c r="CB14" i="2"/>
  <c r="CB12" i="2"/>
  <c r="CB11" i="2"/>
  <c r="CB90" i="2"/>
  <c r="CB93" i="27"/>
  <c r="CB10" i="27"/>
  <c r="CB18" i="27"/>
  <c r="CB6" i="27"/>
  <c r="CB3" i="27"/>
  <c r="CB14" i="27"/>
  <c r="CB15" i="27"/>
  <c r="CB22" i="27"/>
  <c r="CB16" i="27"/>
  <c r="CB12" i="27"/>
  <c r="CB21" i="27"/>
  <c r="CB5" i="27"/>
  <c r="CB2" i="27"/>
  <c r="CB26" i="27"/>
  <c r="CB27" i="27"/>
  <c r="CB20" i="27"/>
  <c r="CB19" i="27"/>
  <c r="CB7" i="27"/>
  <c r="CB100" i="27"/>
  <c r="CB78" i="27"/>
  <c r="CB101" i="27"/>
  <c r="AN28" i="28"/>
  <c r="AN27" i="24"/>
  <c r="R183" i="26"/>
  <c r="S183" i="26" s="1"/>
  <c r="AN27" i="28"/>
  <c r="AN28" i="24"/>
  <c r="AQ30" i="2"/>
  <c r="CB67" i="27"/>
  <c r="CB30" i="27"/>
  <c r="AQ28" i="2"/>
  <c r="CB116" i="28"/>
  <c r="CB33" i="27"/>
  <c r="CB31" i="28"/>
  <c r="CB66" i="27"/>
  <c r="AM28" i="2"/>
  <c r="AM22" i="2" s="1"/>
  <c r="AL28" i="27"/>
  <c r="AL17" i="27" s="1"/>
  <c r="CB47" i="27"/>
  <c r="AL27" i="25"/>
  <c r="AL14" i="25" s="1"/>
  <c r="AR28" i="2"/>
  <c r="CB43" i="28"/>
  <c r="CB38" i="28"/>
  <c r="CB37" i="28"/>
  <c r="CB98" i="27"/>
  <c r="AQ27" i="2"/>
  <c r="CB40" i="28"/>
  <c r="CB75" i="28"/>
  <c r="CB116" i="27"/>
  <c r="CB75" i="27"/>
  <c r="CB58" i="28"/>
  <c r="CB73" i="27"/>
  <c r="CB76" i="27"/>
  <c r="CB77" i="27"/>
  <c r="CB79" i="27"/>
  <c r="CB73" i="28"/>
  <c r="AL28" i="29"/>
  <c r="CB117" i="27"/>
  <c r="CB80" i="27"/>
  <c r="CB119" i="27"/>
  <c r="CB74" i="27"/>
  <c r="CB49" i="28"/>
  <c r="CB114" i="27"/>
  <c r="CB118" i="27"/>
  <c r="CB115" i="27"/>
  <c r="CB99" i="27"/>
  <c r="CB92" i="27"/>
  <c r="CB84" i="27"/>
  <c r="CB102" i="27"/>
  <c r="CB97" i="27"/>
  <c r="CB39" i="27"/>
  <c r="R183" i="2"/>
  <c r="S183" i="2" s="1"/>
  <c r="CB39" i="28"/>
  <c r="CB44" i="28"/>
  <c r="CB88" i="27"/>
  <c r="CB91" i="27"/>
  <c r="CB94" i="27"/>
  <c r="CB85" i="27"/>
  <c r="CB89" i="27"/>
  <c r="CB41" i="28"/>
  <c r="CB90" i="27"/>
  <c r="CB87" i="27"/>
  <c r="AN28" i="29"/>
  <c r="AN6" i="29" s="1"/>
  <c r="AN28" i="27"/>
  <c r="AN18" i="27" s="1"/>
  <c r="CB41" i="27"/>
  <c r="CB42" i="27"/>
  <c r="CB4" i="28"/>
  <c r="CB38" i="27"/>
  <c r="CB37" i="27"/>
  <c r="CB40" i="27"/>
  <c r="CB44" i="27"/>
  <c r="CB43" i="27"/>
  <c r="CB5" i="28"/>
  <c r="CB7" i="28"/>
  <c r="CB58" i="27"/>
  <c r="CB60" i="27"/>
  <c r="CB62" i="27"/>
  <c r="CB68" i="27"/>
  <c r="CB57" i="27"/>
  <c r="CB70" i="27"/>
  <c r="CB69" i="27"/>
  <c r="AN27" i="21"/>
  <c r="CB59" i="27"/>
  <c r="CB16" i="28"/>
  <c r="CB20" i="28"/>
  <c r="CB52" i="28"/>
  <c r="CB65" i="27"/>
  <c r="CB49" i="27"/>
  <c r="CB53" i="27"/>
  <c r="CB50" i="27"/>
  <c r="CB51" i="27"/>
  <c r="AN27" i="22"/>
  <c r="CB53" i="28"/>
  <c r="CB48" i="28"/>
  <c r="CB47" i="28"/>
  <c r="AN28" i="22"/>
  <c r="CB54" i="27"/>
  <c r="CB52" i="27"/>
  <c r="CB76" i="28"/>
  <c r="CB78" i="28"/>
  <c r="CB79" i="28"/>
  <c r="CB14" i="28"/>
  <c r="CB80" i="28"/>
  <c r="CB81" i="28"/>
  <c r="CB77" i="28"/>
  <c r="AJ28" i="28"/>
  <c r="AJ27" i="28"/>
  <c r="CB74" i="28"/>
  <c r="CB18" i="28"/>
  <c r="CB11" i="28"/>
  <c r="AN28" i="25"/>
  <c r="AN21" i="25" s="1"/>
  <c r="CB51" i="28"/>
  <c r="AO28" i="21"/>
  <c r="AO27" i="21"/>
  <c r="CB24" i="28"/>
  <c r="CB54" i="28"/>
  <c r="CB50" i="28"/>
  <c r="AQ30" i="24"/>
  <c r="AQ28" i="24"/>
  <c r="CB17" i="28"/>
  <c r="AO27" i="23"/>
  <c r="AO28" i="23"/>
  <c r="AO27" i="27"/>
  <c r="AO28" i="27"/>
  <c r="AS27" i="23"/>
  <c r="AS28" i="23"/>
  <c r="AJ27" i="21"/>
  <c r="AJ28" i="21"/>
  <c r="AT27" i="26"/>
  <c r="AT28" i="26"/>
  <c r="CB108" i="28"/>
  <c r="CB93" i="28"/>
  <c r="CB3" i="28"/>
  <c r="CB2" i="28"/>
  <c r="CB98" i="28"/>
  <c r="AU27" i="23"/>
  <c r="CB89" i="28"/>
  <c r="CB92" i="28"/>
  <c r="AN28" i="26"/>
  <c r="AN20" i="26" s="1"/>
  <c r="CB69" i="28"/>
  <c r="CB106" i="28"/>
  <c r="AK27" i="22"/>
  <c r="AK28" i="22"/>
  <c r="AK30" i="22"/>
  <c r="AL28" i="26"/>
  <c r="AL22" i="26" s="1"/>
  <c r="AL27" i="29"/>
  <c r="CB86" i="28"/>
  <c r="CB84" i="28"/>
  <c r="CB90" i="28"/>
  <c r="AL28" i="23"/>
  <c r="CB65" i="28"/>
  <c r="CB94" i="28"/>
  <c r="CB91" i="28"/>
  <c r="CB85" i="28"/>
  <c r="CB115" i="28"/>
  <c r="AQ28" i="21"/>
  <c r="AQ30" i="21"/>
  <c r="AQ27" i="21"/>
  <c r="AM27" i="22"/>
  <c r="AM28" i="22"/>
  <c r="R183" i="28"/>
  <c r="S183" i="28" s="1"/>
  <c r="AR28" i="22"/>
  <c r="AR31" i="22"/>
  <c r="AR30" i="22"/>
  <c r="CB99" i="28"/>
  <c r="AR30" i="21"/>
  <c r="AR28" i="21"/>
  <c r="AR31" i="21"/>
  <c r="CB102" i="28"/>
  <c r="AL28" i="2"/>
  <c r="AL27" i="2"/>
  <c r="AS28" i="21"/>
  <c r="AS27" i="21"/>
  <c r="CB100" i="28"/>
  <c r="CB10" i="28"/>
  <c r="CB12" i="28"/>
  <c r="CB13" i="28"/>
  <c r="CB22" i="28"/>
  <c r="CB25" i="28"/>
  <c r="AO28" i="26"/>
  <c r="AO27" i="26"/>
  <c r="CB101" i="28"/>
  <c r="CB19" i="28"/>
  <c r="CB15" i="28"/>
  <c r="CB26" i="28"/>
  <c r="CB117" i="28"/>
  <c r="CB118" i="28"/>
  <c r="CB114" i="28"/>
  <c r="CB88" i="28"/>
  <c r="CB97" i="28"/>
  <c r="CB21" i="28"/>
  <c r="CB23" i="28"/>
  <c r="CB27" i="28"/>
  <c r="CB119" i="28"/>
  <c r="AM28" i="26"/>
  <c r="AM27" i="26"/>
  <c r="AL28" i="24"/>
  <c r="AL27" i="24"/>
  <c r="AS27" i="22"/>
  <c r="AS28" i="22"/>
  <c r="AT28" i="2"/>
  <c r="AT27" i="2"/>
  <c r="AU27" i="24"/>
  <c r="AM27" i="21"/>
  <c r="AM28" i="21"/>
  <c r="AK28" i="27"/>
  <c r="AK30" i="27"/>
  <c r="AK27" i="27"/>
  <c r="CB87" i="28"/>
  <c r="AU28" i="28"/>
  <c r="AU19" i="28" s="1"/>
  <c r="AU28" i="25"/>
  <c r="AP27" i="28"/>
  <c r="AP28" i="28"/>
  <c r="AU27" i="25"/>
  <c r="AK28" i="29"/>
  <c r="AK30" i="24"/>
  <c r="AK28" i="24"/>
  <c r="AK27" i="24"/>
  <c r="AN21" i="23"/>
  <c r="AN17" i="23"/>
  <c r="AN9" i="23"/>
  <c r="AN15" i="23"/>
  <c r="AN10" i="23"/>
  <c r="AN19" i="23"/>
  <c r="AN23" i="23"/>
  <c r="AN8" i="23"/>
  <c r="AN7" i="23"/>
  <c r="AN11" i="23"/>
  <c r="AN20" i="23"/>
  <c r="AN6" i="23"/>
  <c r="AN22" i="23"/>
  <c r="AN18" i="23"/>
  <c r="AN13" i="23"/>
  <c r="AN16" i="23"/>
  <c r="AN12" i="23"/>
  <c r="AN14" i="23"/>
  <c r="AS28" i="29"/>
  <c r="AS27" i="29"/>
  <c r="CB109" i="28"/>
  <c r="CB68" i="28"/>
  <c r="CB32" i="28"/>
  <c r="CB70" i="28"/>
  <c r="CB66" i="28"/>
  <c r="CB110" i="28"/>
  <c r="CB30" i="28"/>
  <c r="CB59" i="28"/>
  <c r="AU28" i="23"/>
  <c r="AQ27" i="25"/>
  <c r="AQ30" i="25"/>
  <c r="AQ28" i="25"/>
  <c r="CB107" i="28"/>
  <c r="CB34" i="28"/>
  <c r="CB105" i="28"/>
  <c r="CB57" i="28"/>
  <c r="CB33" i="28"/>
  <c r="AT27" i="29"/>
  <c r="AT27" i="23"/>
  <c r="AT28" i="23"/>
  <c r="AP27" i="22"/>
  <c r="AP28" i="24"/>
  <c r="AP28" i="22"/>
  <c r="AP27" i="24"/>
  <c r="AR30" i="2"/>
  <c r="AK30" i="21"/>
  <c r="AK28" i="21"/>
  <c r="AK27" i="21"/>
  <c r="AS28" i="28"/>
  <c r="AS27" i="28"/>
  <c r="CB60" i="28"/>
  <c r="AL28" i="21"/>
  <c r="AL27" i="21"/>
  <c r="CB61" i="28"/>
  <c r="AT27" i="27"/>
  <c r="AT28" i="27"/>
  <c r="AM28" i="23"/>
  <c r="AM27" i="23"/>
  <c r="CB62" i="28"/>
  <c r="AL27" i="22"/>
  <c r="AL28" i="22"/>
  <c r="AT27" i="24"/>
  <c r="AT28" i="24"/>
  <c r="AP27" i="27"/>
  <c r="AP28" i="27"/>
  <c r="AO28" i="22"/>
  <c r="AO27" i="22"/>
  <c r="AJ27" i="23"/>
  <c r="AJ28" i="23"/>
  <c r="AP27" i="21"/>
  <c r="AP28" i="21"/>
  <c r="AR28" i="24"/>
  <c r="AR31" i="24"/>
  <c r="AR30" i="24"/>
  <c r="AR27" i="24"/>
  <c r="AR27" i="21"/>
  <c r="AQ30" i="23"/>
  <c r="AQ28" i="23"/>
  <c r="AQ27" i="23"/>
  <c r="AT27" i="22"/>
  <c r="AT28" i="22"/>
  <c r="AJ28" i="2"/>
  <c r="AT27" i="21"/>
  <c r="AT28" i="21"/>
  <c r="AT28" i="29"/>
  <c r="AM28" i="25"/>
  <c r="AM27" i="25"/>
  <c r="AR31" i="23"/>
  <c r="AR28" i="23"/>
  <c r="AR30" i="23"/>
  <c r="AR27" i="22"/>
  <c r="AU19" i="22"/>
  <c r="AR28" i="29"/>
  <c r="AR28" i="26"/>
  <c r="AR30" i="26"/>
  <c r="AR31" i="26"/>
  <c r="AR27" i="26"/>
  <c r="AQ30" i="22"/>
  <c r="AQ28" i="22"/>
  <c r="AQ27" i="22"/>
  <c r="AK30" i="25"/>
  <c r="AK28" i="25"/>
  <c r="AK27" i="25"/>
  <c r="AU22" i="21"/>
  <c r="AU20" i="21"/>
  <c r="AU17" i="21"/>
  <c r="AU23" i="21"/>
  <c r="AU18" i="21"/>
  <c r="AU21" i="21"/>
  <c r="AU12" i="21"/>
  <c r="AU9" i="21"/>
  <c r="AU8" i="21"/>
  <c r="AU13" i="21"/>
  <c r="AU11" i="21"/>
  <c r="AU6" i="21"/>
  <c r="AU15" i="21"/>
  <c r="AU7" i="21"/>
  <c r="AU19" i="21"/>
  <c r="AU16" i="21"/>
  <c r="AU14" i="21"/>
  <c r="AU10" i="21"/>
  <c r="AR30" i="29"/>
  <c r="AJ28" i="22"/>
  <c r="AJ27" i="22"/>
  <c r="AR27" i="23"/>
  <c r="AP27" i="23"/>
  <c r="AP28" i="23"/>
  <c r="AS28" i="24"/>
  <c r="AS27" i="24"/>
  <c r="AK30" i="26"/>
  <c r="AK28" i="26"/>
  <c r="AK27" i="26"/>
  <c r="AK28" i="23"/>
  <c r="AK30" i="23"/>
  <c r="AK27" i="23"/>
  <c r="AO27" i="24"/>
  <c r="AO28" i="24"/>
  <c r="AJ27" i="27"/>
  <c r="AJ28" i="27"/>
  <c r="AS28" i="26"/>
  <c r="AS27" i="26"/>
  <c r="AR30" i="25"/>
  <c r="AR28" i="25"/>
  <c r="AR31" i="25"/>
  <c r="AR27" i="25"/>
  <c r="AJ28" i="24"/>
  <c r="AJ28" i="25"/>
  <c r="AJ27" i="25"/>
  <c r="AJ27" i="24"/>
  <c r="R322" i="29"/>
  <c r="AL63" i="29" s="1"/>
  <c r="AK63" i="29" s="1"/>
  <c r="AJ63" i="29" s="1"/>
  <c r="R324" i="29"/>
  <c r="AL65" i="29" s="1"/>
  <c r="AK65" i="29" s="1"/>
  <c r="AJ65" i="29" s="1"/>
  <c r="R321" i="29"/>
  <c r="AL62" i="29" s="1"/>
  <c r="AK62" i="29" s="1"/>
  <c r="AJ62" i="29" s="1"/>
  <c r="R323" i="29"/>
  <c r="AL64" i="29" s="1"/>
  <c r="AK64" i="29" s="1"/>
  <c r="AJ64" i="29" s="1"/>
  <c r="AR31" i="29"/>
  <c r="AK28" i="2"/>
  <c r="AQ30" i="26"/>
  <c r="AQ28" i="26"/>
  <c r="AQ27" i="24"/>
  <c r="AQ27" i="26"/>
  <c r="AO28" i="25"/>
  <c r="AO28" i="29"/>
  <c r="AO27" i="25"/>
  <c r="AO27" i="29"/>
  <c r="AM27" i="24"/>
  <c r="AM28" i="24"/>
  <c r="AJ27" i="26"/>
  <c r="AJ28" i="26"/>
  <c r="AT27" i="25"/>
  <c r="AT28" i="25"/>
  <c r="AQ30" i="27"/>
  <c r="AQ28" i="27"/>
  <c r="AQ27" i="27"/>
  <c r="AU18" i="26"/>
  <c r="AU11" i="26"/>
  <c r="AU12" i="26"/>
  <c r="AU16" i="26"/>
  <c r="AU10" i="26"/>
  <c r="AU21" i="26"/>
  <c r="AU6" i="26"/>
  <c r="AU9" i="26"/>
  <c r="AU14" i="26"/>
  <c r="AU19" i="26"/>
  <c r="AU22" i="26"/>
  <c r="AU8" i="26"/>
  <c r="AU17" i="26"/>
  <c r="AU23" i="26"/>
  <c r="AU13" i="26"/>
  <c r="AU20" i="26"/>
  <c r="AU7" i="26"/>
  <c r="AU15" i="26"/>
  <c r="AS27" i="25"/>
  <c r="AS28" i="25"/>
  <c r="AP27" i="25"/>
  <c r="AP28" i="25"/>
  <c r="AL23" i="28"/>
  <c r="AL21" i="28"/>
  <c r="AL17" i="28"/>
  <c r="AL15" i="28"/>
  <c r="AL7" i="28"/>
  <c r="AL18" i="28"/>
  <c r="AL13" i="28"/>
  <c r="AL10" i="28"/>
  <c r="AL16" i="28"/>
  <c r="AL11" i="28"/>
  <c r="AL14" i="28"/>
  <c r="AL20" i="28"/>
  <c r="AL6" i="28"/>
  <c r="AL8" i="28"/>
  <c r="AL19" i="28"/>
  <c r="AL12" i="28"/>
  <c r="AL22" i="28"/>
  <c r="AL9" i="28"/>
  <c r="AP27" i="29"/>
  <c r="AP28" i="26"/>
  <c r="AP27" i="26"/>
  <c r="AS28" i="27"/>
  <c r="AS27" i="27"/>
  <c r="AM27" i="27"/>
  <c r="AM28" i="27"/>
  <c r="AO28" i="28"/>
  <c r="AO27" i="28"/>
  <c r="AK30" i="28"/>
  <c r="AK28" i="28"/>
  <c r="AK27" i="28"/>
  <c r="AT28" i="28"/>
  <c r="AT27" i="28"/>
  <c r="AM27" i="28"/>
  <c r="AM28" i="28"/>
  <c r="AR28" i="27"/>
  <c r="AR31" i="27"/>
  <c r="AR30" i="27"/>
  <c r="AR27" i="27"/>
  <c r="AR27" i="2"/>
  <c r="AR30" i="28"/>
  <c r="AR31" i="28"/>
  <c r="AR28" i="28"/>
  <c r="AR27" i="28"/>
  <c r="AP28" i="2"/>
  <c r="AP27" i="2"/>
  <c r="AR31" i="2"/>
  <c r="AQ28" i="28"/>
  <c r="AQ30" i="28"/>
  <c r="AQ27" i="28"/>
  <c r="AK27" i="2"/>
  <c r="AK30" i="2"/>
  <c r="AP28" i="29"/>
  <c r="AS28" i="2"/>
  <c r="AS27" i="2"/>
  <c r="AQ28" i="29"/>
  <c r="AQ30" i="29"/>
  <c r="AQ27" i="29"/>
  <c r="CB7" i="30"/>
  <c r="AJ27" i="2"/>
  <c r="AJ28" i="29"/>
  <c r="AJ27" i="29"/>
  <c r="AK30" i="29"/>
  <c r="AK27" i="29"/>
  <c r="AO28" i="2"/>
  <c r="AO27" i="2"/>
  <c r="AU18" i="29"/>
  <c r="AU23" i="29"/>
  <c r="AU19" i="29"/>
  <c r="AU22" i="29"/>
  <c r="AU13" i="29"/>
  <c r="AU17" i="29"/>
  <c r="AU12" i="29"/>
  <c r="AU15" i="29"/>
  <c r="AU16" i="29"/>
  <c r="AU20" i="29"/>
  <c r="AU6" i="29"/>
  <c r="AU14" i="29"/>
  <c r="AU9" i="29"/>
  <c r="AU7" i="29"/>
  <c r="AU8" i="29"/>
  <c r="AU21" i="29"/>
  <c r="AU10" i="29"/>
  <c r="AU11" i="29"/>
  <c r="AU12" i="2"/>
  <c r="AU22" i="2"/>
  <c r="AU14" i="2"/>
  <c r="AU6" i="2"/>
  <c r="AU21" i="2"/>
  <c r="AU9" i="2"/>
  <c r="AU20" i="2"/>
  <c r="AU10" i="2"/>
  <c r="AU13" i="2"/>
  <c r="AU19" i="2"/>
  <c r="AU8" i="2"/>
  <c r="AU15" i="2"/>
  <c r="AU17" i="2"/>
  <c r="AU7" i="2"/>
  <c r="AU18" i="2"/>
  <c r="AU23" i="2"/>
  <c r="AU16" i="2"/>
  <c r="AU11" i="2"/>
  <c r="AM23" i="29"/>
  <c r="AM8" i="29"/>
  <c r="AM19" i="29"/>
  <c r="AM22" i="29"/>
  <c r="AM13" i="29"/>
  <c r="AM18" i="29"/>
  <c r="AM15" i="29"/>
  <c r="AM16" i="29"/>
  <c r="AM20" i="29"/>
  <c r="AM6" i="29"/>
  <c r="AM12" i="29"/>
  <c r="AM7" i="29"/>
  <c r="AM14" i="29"/>
  <c r="AM17" i="29"/>
  <c r="AM9" i="29"/>
  <c r="AM21" i="29"/>
  <c r="AM10" i="29"/>
  <c r="AM11" i="29"/>
  <c r="AN6" i="2"/>
  <c r="CB33" i="30"/>
  <c r="CB98" i="30"/>
  <c r="CB116" i="30"/>
  <c r="CB114" i="30"/>
  <c r="CB32" i="30"/>
  <c r="CB31" i="30"/>
  <c r="CB117" i="30"/>
  <c r="CB119" i="30"/>
  <c r="CB34" i="30"/>
  <c r="CB115" i="30"/>
  <c r="CB118" i="30"/>
  <c r="CB40" i="30"/>
  <c r="CB86" i="30"/>
  <c r="CB66" i="30"/>
  <c r="CB105" i="30"/>
  <c r="CB87" i="30"/>
  <c r="CB93" i="30"/>
  <c r="CB94" i="30"/>
  <c r="CB91" i="30"/>
  <c r="CB88" i="30"/>
  <c r="CB85" i="30"/>
  <c r="CB30" i="30"/>
  <c r="CB59" i="30"/>
  <c r="CB43" i="30"/>
  <c r="CB41" i="30"/>
  <c r="CB38" i="30"/>
  <c r="CB44" i="30"/>
  <c r="CB42" i="30"/>
  <c r="CB101" i="30"/>
  <c r="CB106" i="30"/>
  <c r="CB109" i="30"/>
  <c r="CB67" i="30"/>
  <c r="CB108" i="30"/>
  <c r="CB110" i="30"/>
  <c r="CB111" i="30"/>
  <c r="CB25" i="30"/>
  <c r="CB23" i="30"/>
  <c r="CB20" i="30"/>
  <c r="CB27" i="30"/>
  <c r="CB10" i="30"/>
  <c r="CB89" i="30"/>
  <c r="CB37" i="30"/>
  <c r="CB14" i="30"/>
  <c r="CB13" i="30"/>
  <c r="CB17" i="30"/>
  <c r="CB90" i="30"/>
  <c r="CB107" i="30"/>
  <c r="CB74" i="30"/>
  <c r="CB16" i="30"/>
  <c r="CB21" i="30"/>
  <c r="CB19" i="30"/>
  <c r="CB22" i="30"/>
  <c r="CB18" i="30"/>
  <c r="CB11" i="30"/>
  <c r="CB97" i="30"/>
  <c r="CB70" i="30"/>
  <c r="CB102" i="30"/>
  <c r="CB68" i="30"/>
  <c r="CB99" i="30"/>
  <c r="CB100" i="30"/>
  <c r="CB69" i="30"/>
  <c r="CB65" i="30"/>
  <c r="CB3" i="30"/>
  <c r="CB77" i="30"/>
  <c r="CB81" i="30"/>
  <c r="CB47" i="30"/>
  <c r="CB39" i="30"/>
  <c r="CB2" i="30"/>
  <c r="CB80" i="30"/>
  <c r="CB78" i="30"/>
  <c r="CB24" i="30"/>
  <c r="CB26" i="30"/>
  <c r="CB12" i="30"/>
  <c r="CB15" i="30"/>
  <c r="CB84" i="30"/>
  <c r="CB92" i="30"/>
  <c r="CB79" i="30"/>
  <c r="CB73" i="30"/>
  <c r="CB4" i="30"/>
  <c r="CB76" i="30"/>
  <c r="CB50" i="30"/>
  <c r="CB62" i="30"/>
  <c r="CB52" i="30"/>
  <c r="CB6" i="30"/>
  <c r="CB5" i="30"/>
  <c r="CB75" i="30"/>
  <c r="CB60" i="30"/>
  <c r="CB53" i="30"/>
  <c r="CB48" i="30"/>
  <c r="CB61" i="30"/>
  <c r="CB49" i="30"/>
  <c r="CB57" i="30"/>
  <c r="CB54" i="30"/>
  <c r="CB51" i="30"/>
  <c r="CB58" i="30"/>
  <c r="AO27" i="30" l="1"/>
  <c r="AO28" i="30"/>
  <c r="S173" i="24"/>
  <c r="R309" i="24" s="1"/>
  <c r="R321" i="24"/>
  <c r="AL62" i="24" s="1"/>
  <c r="AK62" i="24" s="1"/>
  <c r="AJ62" i="24" s="1"/>
  <c r="R324" i="24"/>
  <c r="AL65" i="24" s="1"/>
  <c r="AK65" i="24" s="1"/>
  <c r="AJ65" i="24" s="1"/>
  <c r="R323" i="24"/>
  <c r="AL64" i="24" s="1"/>
  <c r="AK64" i="24" s="1"/>
  <c r="AJ64" i="24" s="1"/>
  <c r="R322" i="24"/>
  <c r="AL63" i="24" s="1"/>
  <c r="AK63" i="24" s="1"/>
  <c r="AJ63" i="24" s="1"/>
  <c r="AR28" i="30"/>
  <c r="AR30" i="30"/>
  <c r="AR31" i="30"/>
  <c r="AR27" i="30"/>
  <c r="S173" i="28"/>
  <c r="R309" i="28" s="1"/>
  <c r="R324" i="28"/>
  <c r="AL65" i="28" s="1"/>
  <c r="AK65" i="28" s="1"/>
  <c r="AJ65" i="28" s="1"/>
  <c r="R321" i="28"/>
  <c r="AL62" i="28" s="1"/>
  <c r="AK62" i="28" s="1"/>
  <c r="AJ62" i="28" s="1"/>
  <c r="R322" i="28"/>
  <c r="AL63" i="28" s="1"/>
  <c r="AK63" i="28" s="1"/>
  <c r="AJ63" i="28" s="1"/>
  <c r="R323" i="28"/>
  <c r="AL64" i="28" s="1"/>
  <c r="AK64" i="28" s="1"/>
  <c r="AJ64" i="28" s="1"/>
  <c r="S173" i="27"/>
  <c r="R309" i="27" s="1"/>
  <c r="R324" i="27"/>
  <c r="AL65" i="27" s="1"/>
  <c r="AK65" i="27" s="1"/>
  <c r="AJ65" i="27" s="1"/>
  <c r="R322" i="27"/>
  <c r="AL63" i="27" s="1"/>
  <c r="AK63" i="27" s="1"/>
  <c r="AJ63" i="27" s="1"/>
  <c r="R323" i="27"/>
  <c r="AL64" i="27" s="1"/>
  <c r="AK64" i="27" s="1"/>
  <c r="AJ64" i="27" s="1"/>
  <c r="R321" i="27"/>
  <c r="AL62" i="27" s="1"/>
  <c r="AK62" i="27" s="1"/>
  <c r="AJ62" i="27" s="1"/>
  <c r="R187" i="27"/>
  <c r="S187" i="27" s="1"/>
  <c r="AL6" i="25"/>
  <c r="AN8" i="2"/>
  <c r="AL23" i="25"/>
  <c r="AN11" i="2"/>
  <c r="AN17" i="2"/>
  <c r="AN20" i="2"/>
  <c r="AL17" i="25"/>
  <c r="AL16" i="25"/>
  <c r="AN14" i="2"/>
  <c r="AN13" i="2"/>
  <c r="AN7" i="2"/>
  <c r="AN21" i="2"/>
  <c r="AN16" i="2"/>
  <c r="AN15" i="2"/>
  <c r="AN23" i="2"/>
  <c r="AL7" i="25"/>
  <c r="AL20" i="25"/>
  <c r="AL19" i="25"/>
  <c r="AN22" i="2"/>
  <c r="AN18" i="2"/>
  <c r="AN10" i="2"/>
  <c r="AN12" i="2"/>
  <c r="AN9" i="2"/>
  <c r="AL12" i="25"/>
  <c r="AL18" i="25"/>
  <c r="AL23" i="27"/>
  <c r="AL18" i="27"/>
  <c r="AU8" i="22"/>
  <c r="AN7" i="29"/>
  <c r="AL10" i="27"/>
  <c r="AL16" i="27"/>
  <c r="AU13" i="22"/>
  <c r="AL7" i="27"/>
  <c r="AL14" i="27"/>
  <c r="AL13" i="27"/>
  <c r="AL8" i="27"/>
  <c r="AU11" i="22"/>
  <c r="AU16" i="22"/>
  <c r="AQ14" i="2"/>
  <c r="AL21" i="27"/>
  <c r="AL12" i="27"/>
  <c r="AL19" i="27"/>
  <c r="AL6" i="27"/>
  <c r="AL22" i="27"/>
  <c r="AU15" i="22"/>
  <c r="AU10" i="22"/>
  <c r="AL9" i="27"/>
  <c r="AL11" i="27"/>
  <c r="AL15" i="27"/>
  <c r="AL20" i="27"/>
  <c r="AU21" i="22"/>
  <c r="AU9" i="22"/>
  <c r="AN22" i="28"/>
  <c r="AM21" i="2"/>
  <c r="AM16" i="2"/>
  <c r="AU10" i="27"/>
  <c r="AM12" i="2"/>
  <c r="AU18" i="27"/>
  <c r="AM14" i="2"/>
  <c r="AM18" i="2"/>
  <c r="AU12" i="27"/>
  <c r="AU21" i="27"/>
  <c r="AM15" i="2"/>
  <c r="AM7" i="2"/>
  <c r="AU19" i="27"/>
  <c r="AU16" i="27"/>
  <c r="AM8" i="2"/>
  <c r="AM13" i="2"/>
  <c r="AM19" i="2"/>
  <c r="AU9" i="27"/>
  <c r="AU14" i="27"/>
  <c r="AU22" i="27"/>
  <c r="AN9" i="21"/>
  <c r="AN21" i="28"/>
  <c r="AN18" i="29"/>
  <c r="AN9" i="29"/>
  <c r="AN13" i="28"/>
  <c r="AN17" i="28"/>
  <c r="AN19" i="28"/>
  <c r="AN18" i="28"/>
  <c r="AL16" i="23"/>
  <c r="AN13" i="29"/>
  <c r="AN8" i="29"/>
  <c r="AN12" i="29"/>
  <c r="AN6" i="28"/>
  <c r="AN10" i="28"/>
  <c r="AN20" i="29"/>
  <c r="AN11" i="29"/>
  <c r="AN14" i="28"/>
  <c r="AN14" i="29"/>
  <c r="AN20" i="24"/>
  <c r="AU20" i="27"/>
  <c r="AU23" i="27"/>
  <c r="AU15" i="27"/>
  <c r="AU6" i="27"/>
  <c r="AN13" i="27"/>
  <c r="AU6" i="22"/>
  <c r="AU7" i="22"/>
  <c r="AU17" i="22"/>
  <c r="AU22" i="22"/>
  <c r="AN19" i="24"/>
  <c r="AN23" i="28"/>
  <c r="AU17" i="27"/>
  <c r="AU7" i="27"/>
  <c r="AU13" i="27"/>
  <c r="AU11" i="27"/>
  <c r="AU18" i="22"/>
  <c r="AU14" i="22"/>
  <c r="AU20" i="22"/>
  <c r="AU23" i="22"/>
  <c r="AN13" i="21"/>
  <c r="AN8" i="28"/>
  <c r="AN12" i="28"/>
  <c r="AN16" i="28"/>
  <c r="AN9" i="28"/>
  <c r="AN12" i="24"/>
  <c r="AN22" i="24"/>
  <c r="AN17" i="24"/>
  <c r="AN15" i="28"/>
  <c r="AN20" i="28"/>
  <c r="AN11" i="28"/>
  <c r="AN7" i="28"/>
  <c r="AN16" i="24"/>
  <c r="AN19" i="25"/>
  <c r="AQ6" i="2"/>
  <c r="AN13" i="24"/>
  <c r="AN8" i="24"/>
  <c r="AQ21" i="2"/>
  <c r="AN6" i="24"/>
  <c r="AN23" i="24"/>
  <c r="AQ17" i="2"/>
  <c r="AN15" i="27"/>
  <c r="AN7" i="24"/>
  <c r="AN14" i="24"/>
  <c r="AN15" i="24"/>
  <c r="AN10" i="24"/>
  <c r="AQ22" i="2"/>
  <c r="AN12" i="27"/>
  <c r="AN18" i="24"/>
  <c r="AL14" i="26"/>
  <c r="AN8" i="27"/>
  <c r="AN9" i="24"/>
  <c r="AN21" i="24"/>
  <c r="AN11" i="24"/>
  <c r="AL20" i="29"/>
  <c r="AM23" i="2"/>
  <c r="AM10" i="2"/>
  <c r="AM9" i="2"/>
  <c r="AM6" i="2"/>
  <c r="AL21" i="29"/>
  <c r="AL15" i="25"/>
  <c r="AL11" i="25"/>
  <c r="AL22" i="25"/>
  <c r="AL10" i="25"/>
  <c r="AL21" i="25"/>
  <c r="AM20" i="2"/>
  <c r="AM11" i="2"/>
  <c r="AM17" i="2"/>
  <c r="AL9" i="25"/>
  <c r="AL13" i="25"/>
  <c r="AL8" i="25"/>
  <c r="AN10" i="22"/>
  <c r="AL19" i="29"/>
  <c r="AN6" i="27"/>
  <c r="AN23" i="27"/>
  <c r="AN9" i="27"/>
  <c r="AN10" i="27"/>
  <c r="AN14" i="27"/>
  <c r="AL15" i="23"/>
  <c r="AL9" i="29"/>
  <c r="AN19" i="27"/>
  <c r="AN17" i="27"/>
  <c r="AN20" i="27"/>
  <c r="AN21" i="27"/>
  <c r="AN7" i="27"/>
  <c r="AL14" i="29"/>
  <c r="AN11" i="27"/>
  <c r="AN16" i="27"/>
  <c r="AN22" i="27"/>
  <c r="AQ16" i="2"/>
  <c r="AN20" i="21"/>
  <c r="AQ19" i="2"/>
  <c r="AQ23" i="2"/>
  <c r="AQ18" i="2"/>
  <c r="AQ20" i="2"/>
  <c r="AQ9" i="2"/>
  <c r="AN23" i="21"/>
  <c r="AQ12" i="2"/>
  <c r="AQ15" i="2"/>
  <c r="AQ10" i="2"/>
  <c r="AQ11" i="2"/>
  <c r="AQ7" i="2"/>
  <c r="AQ13" i="2"/>
  <c r="AQ8" i="2"/>
  <c r="AN10" i="21"/>
  <c r="AN19" i="21"/>
  <c r="AN16" i="29"/>
  <c r="AN22" i="29"/>
  <c r="AN10" i="29"/>
  <c r="AN17" i="29"/>
  <c r="AL12" i="26"/>
  <c r="AL23" i="26"/>
  <c r="AN23" i="29"/>
  <c r="AN15" i="29"/>
  <c r="AN19" i="29"/>
  <c r="AN21" i="29"/>
  <c r="AL13" i="26"/>
  <c r="AN6" i="22"/>
  <c r="AN23" i="22"/>
  <c r="AN12" i="22"/>
  <c r="AN22" i="25"/>
  <c r="AN23" i="26"/>
  <c r="AL8" i="26"/>
  <c r="AL7" i="26"/>
  <c r="AL16" i="26"/>
  <c r="AL17" i="26"/>
  <c r="AN7" i="21"/>
  <c r="AN14" i="21"/>
  <c r="AN22" i="21"/>
  <c r="AN6" i="21"/>
  <c r="AN9" i="22"/>
  <c r="AL15" i="26"/>
  <c r="AL6" i="26"/>
  <c r="AL21" i="26"/>
  <c r="AL19" i="26"/>
  <c r="AL20" i="26"/>
  <c r="AN21" i="21"/>
  <c r="AN15" i="21"/>
  <c r="AN8" i="21"/>
  <c r="AN17" i="21"/>
  <c r="AL9" i="26"/>
  <c r="AL11" i="26"/>
  <c r="AL10" i="26"/>
  <c r="AL18" i="26"/>
  <c r="AN11" i="21"/>
  <c r="AN12" i="21"/>
  <c r="AN18" i="21"/>
  <c r="AN16" i="21"/>
  <c r="AN23" i="25"/>
  <c r="AN8" i="22"/>
  <c r="AN21" i="22"/>
  <c r="AN15" i="22"/>
  <c r="AN11" i="22"/>
  <c r="AN20" i="22"/>
  <c r="AN9" i="25"/>
  <c r="AN7" i="22"/>
  <c r="AN18" i="22"/>
  <c r="AN17" i="22"/>
  <c r="AN22" i="22"/>
  <c r="AN16" i="22"/>
  <c r="AN12" i="25"/>
  <c r="AN13" i="22"/>
  <c r="AN19" i="22"/>
  <c r="AN14" i="22"/>
  <c r="AN16" i="26"/>
  <c r="AN11" i="26"/>
  <c r="AN14" i="26"/>
  <c r="AL23" i="29"/>
  <c r="AL8" i="29"/>
  <c r="AL10" i="29"/>
  <c r="AL11" i="29"/>
  <c r="AL12" i="29"/>
  <c r="AL14" i="23"/>
  <c r="AL17" i="29"/>
  <c r="AL7" i="29"/>
  <c r="AL15" i="29"/>
  <c r="AL13" i="29"/>
  <c r="AL22" i="29"/>
  <c r="AL7" i="23"/>
  <c r="AL6" i="29"/>
  <c r="AL18" i="29"/>
  <c r="AL16" i="29"/>
  <c r="AL22" i="23"/>
  <c r="AL18" i="23"/>
  <c r="AJ17" i="28"/>
  <c r="AJ15" i="28"/>
  <c r="AJ22" i="28"/>
  <c r="AJ13" i="28"/>
  <c r="AJ18" i="28"/>
  <c r="AJ7" i="28"/>
  <c r="AJ10" i="28"/>
  <c r="AJ11" i="28"/>
  <c r="AJ19" i="28"/>
  <c r="AJ8" i="28"/>
  <c r="AJ20" i="28"/>
  <c r="AJ21" i="28"/>
  <c r="AJ16" i="28"/>
  <c r="AJ12" i="28"/>
  <c r="AJ23" i="28"/>
  <c r="AJ6" i="28"/>
  <c r="AJ14" i="28"/>
  <c r="AJ9" i="28"/>
  <c r="AN20" i="25"/>
  <c r="AN6" i="25"/>
  <c r="AN17" i="25"/>
  <c r="AN11" i="25"/>
  <c r="AN18" i="25"/>
  <c r="AU22" i="23"/>
  <c r="AO19" i="21"/>
  <c r="AO17" i="21"/>
  <c r="AO13" i="21"/>
  <c r="AO9" i="21"/>
  <c r="AO7" i="21"/>
  <c r="AO23" i="21"/>
  <c r="AO16" i="21"/>
  <c r="AO14" i="21"/>
  <c r="AO11" i="21"/>
  <c r="AO8" i="21"/>
  <c r="AO21" i="21"/>
  <c r="AO12" i="21"/>
  <c r="AO22" i="21"/>
  <c r="AO10" i="21"/>
  <c r="AO6" i="21"/>
  <c r="AO18" i="21"/>
  <c r="AO20" i="21"/>
  <c r="AO15" i="21"/>
  <c r="AN7" i="25"/>
  <c r="AN10" i="25"/>
  <c r="AN14" i="25"/>
  <c r="AN13" i="25"/>
  <c r="AN8" i="25"/>
  <c r="AN15" i="25"/>
  <c r="AN16" i="25"/>
  <c r="AO7" i="23"/>
  <c r="AO8" i="23"/>
  <c r="AO10" i="23"/>
  <c r="AO23" i="23"/>
  <c r="AO6" i="23"/>
  <c r="AO14" i="23"/>
  <c r="AO15" i="23"/>
  <c r="AO13" i="23"/>
  <c r="AO19" i="23"/>
  <c r="AO21" i="23"/>
  <c r="AO11" i="23"/>
  <c r="AO17" i="23"/>
  <c r="AO16" i="23"/>
  <c r="AO20" i="23"/>
  <c r="AO9" i="23"/>
  <c r="AO18" i="23"/>
  <c r="AO22" i="23"/>
  <c r="AO12" i="23"/>
  <c r="AO19" i="27"/>
  <c r="AO20" i="27"/>
  <c r="AO6" i="27"/>
  <c r="AO8" i="27"/>
  <c r="AO22" i="27"/>
  <c r="AO16" i="27"/>
  <c r="AO17" i="27"/>
  <c r="AO18" i="27"/>
  <c r="AO7" i="27"/>
  <c r="AO23" i="27"/>
  <c r="AO14" i="27"/>
  <c r="AO13" i="27"/>
  <c r="AO12" i="27"/>
  <c r="AO15" i="27"/>
  <c r="AO21" i="27"/>
  <c r="AO10" i="27"/>
  <c r="AO11" i="27"/>
  <c r="AO9" i="27"/>
  <c r="AS22" i="23"/>
  <c r="AS18" i="23"/>
  <c r="AS23" i="23"/>
  <c r="AS6" i="23"/>
  <c r="AS12" i="23"/>
  <c r="AS20" i="23"/>
  <c r="AS16" i="23"/>
  <c r="AS9" i="23"/>
  <c r="AS8" i="23"/>
  <c r="AS14" i="23"/>
  <c r="AS19" i="23"/>
  <c r="AS17" i="23"/>
  <c r="AS15" i="23"/>
  <c r="AS10" i="23"/>
  <c r="AS21" i="23"/>
  <c r="AS11" i="23"/>
  <c r="AS13" i="23"/>
  <c r="AS7" i="23"/>
  <c r="AJ19" i="21"/>
  <c r="AJ15" i="21"/>
  <c r="AJ10" i="21"/>
  <c r="AJ11" i="21"/>
  <c r="AJ23" i="21"/>
  <c r="AJ16" i="21"/>
  <c r="AJ7" i="21"/>
  <c r="AJ12" i="21"/>
  <c r="AJ6" i="21"/>
  <c r="AJ18" i="21"/>
  <c r="AJ20" i="21"/>
  <c r="AJ22" i="21"/>
  <c r="AJ8" i="21"/>
  <c r="AJ9" i="21"/>
  <c r="AJ21" i="21"/>
  <c r="AJ17" i="21"/>
  <c r="AJ14" i="21"/>
  <c r="AJ13" i="21"/>
  <c r="AN6" i="26"/>
  <c r="AN22" i="26"/>
  <c r="AN12" i="26"/>
  <c r="AN15" i="26"/>
  <c r="AN17" i="26"/>
  <c r="AN9" i="26"/>
  <c r="AN10" i="26"/>
  <c r="AN21" i="26"/>
  <c r="AN13" i="26"/>
  <c r="AN18" i="26"/>
  <c r="AN19" i="26"/>
  <c r="AN7" i="26"/>
  <c r="AN8" i="26"/>
  <c r="AU20" i="28"/>
  <c r="AU8" i="28"/>
  <c r="AU14" i="28"/>
  <c r="AL11" i="23"/>
  <c r="AL23" i="23"/>
  <c r="AL21" i="23"/>
  <c r="AL12" i="23"/>
  <c r="AL10" i="23"/>
  <c r="AL8" i="23"/>
  <c r="AL6" i="23"/>
  <c r="AL17" i="23"/>
  <c r="AL9" i="23"/>
  <c r="AL19" i="23"/>
  <c r="AL13" i="23"/>
  <c r="AL20" i="23"/>
  <c r="AU21" i="28"/>
  <c r="AU23" i="28"/>
  <c r="AU9" i="28"/>
  <c r="AQ7" i="21"/>
  <c r="AQ23" i="21"/>
  <c r="AQ17" i="21"/>
  <c r="AQ9" i="21"/>
  <c r="AQ6" i="21"/>
  <c r="AQ8" i="21"/>
  <c r="AQ12" i="21"/>
  <c r="AQ10" i="21"/>
  <c r="AQ15" i="21"/>
  <c r="AQ21" i="21"/>
  <c r="AQ11" i="21"/>
  <c r="AQ18" i="21"/>
  <c r="AQ14" i="21"/>
  <c r="AQ20" i="21"/>
  <c r="AQ19" i="21"/>
  <c r="AQ22" i="21"/>
  <c r="AQ13" i="21"/>
  <c r="AQ16" i="21"/>
  <c r="AU13" i="28"/>
  <c r="AU11" i="28"/>
  <c r="AU18" i="28"/>
  <c r="AU15" i="28"/>
  <c r="AU16" i="28"/>
  <c r="AU7" i="28"/>
  <c r="AU22" i="28"/>
  <c r="AU10" i="28"/>
  <c r="AQ11" i="25"/>
  <c r="AM16" i="22"/>
  <c r="AM6" i="22"/>
  <c r="AM18" i="22"/>
  <c r="AM20" i="22"/>
  <c r="AM15" i="22"/>
  <c r="AM14" i="22"/>
  <c r="AM17" i="22"/>
  <c r="AM9" i="22"/>
  <c r="AM13" i="22"/>
  <c r="AM21" i="22"/>
  <c r="AM10" i="22"/>
  <c r="AM11" i="22"/>
  <c r="AM23" i="22"/>
  <c r="AM8" i="22"/>
  <c r="AM19" i="22"/>
  <c r="AM12" i="22"/>
  <c r="AM7" i="22"/>
  <c r="AM22" i="22"/>
  <c r="AQ10" i="25"/>
  <c r="AL23" i="2"/>
  <c r="AL13" i="2"/>
  <c r="AL15" i="2"/>
  <c r="AL8" i="2"/>
  <c r="AL6" i="2"/>
  <c r="AL22" i="2"/>
  <c r="AL11" i="2"/>
  <c r="AL9" i="2"/>
  <c r="AL21" i="2"/>
  <c r="AL10" i="2"/>
  <c r="AL17" i="2"/>
  <c r="AL19" i="2"/>
  <c r="AL20" i="2"/>
  <c r="AL18" i="2"/>
  <c r="AL7" i="2"/>
  <c r="AL16" i="2"/>
  <c r="AL12" i="2"/>
  <c r="AL14" i="2"/>
  <c r="AO22" i="26"/>
  <c r="AO18" i="26"/>
  <c r="AO16" i="26"/>
  <c r="AO13" i="26"/>
  <c r="AO19" i="26"/>
  <c r="AO8" i="26"/>
  <c r="AO9" i="26"/>
  <c r="AO20" i="26"/>
  <c r="AO15" i="26"/>
  <c r="AO14" i="26"/>
  <c r="AO11" i="26"/>
  <c r="AO21" i="26"/>
  <c r="AO17" i="26"/>
  <c r="AO7" i="26"/>
  <c r="AO10" i="26"/>
  <c r="AO12" i="26"/>
  <c r="AO23" i="26"/>
  <c r="AO6" i="26"/>
  <c r="AS22" i="21"/>
  <c r="AS14" i="21"/>
  <c r="AS13" i="21"/>
  <c r="AS12" i="21"/>
  <c r="AS7" i="21"/>
  <c r="AS21" i="21"/>
  <c r="AS20" i="21"/>
  <c r="AS10" i="21"/>
  <c r="AS11" i="21"/>
  <c r="AS9" i="21"/>
  <c r="AS16" i="21"/>
  <c r="AS23" i="21"/>
  <c r="AS18" i="21"/>
  <c r="AS19" i="21"/>
  <c r="AS17" i="21"/>
  <c r="AS15" i="21"/>
  <c r="AS6" i="21"/>
  <c r="AS8" i="21"/>
  <c r="AL19" i="24"/>
  <c r="AL22" i="24"/>
  <c r="AL11" i="24"/>
  <c r="AL15" i="24"/>
  <c r="AL9" i="24"/>
  <c r="AL16" i="24"/>
  <c r="AL20" i="24"/>
  <c r="AL6" i="24"/>
  <c r="AL12" i="24"/>
  <c r="AL14" i="24"/>
  <c r="AL17" i="24"/>
  <c r="AL23" i="24"/>
  <c r="AL7" i="24"/>
  <c r="AL21" i="24"/>
  <c r="AL10" i="24"/>
  <c r="AL13" i="24"/>
  <c r="AL8" i="24"/>
  <c r="AL18" i="24"/>
  <c r="AM21" i="26"/>
  <c r="AM6" i="26"/>
  <c r="AM9" i="26"/>
  <c r="AM14" i="26"/>
  <c r="AM19" i="26"/>
  <c r="AM16" i="26"/>
  <c r="AM8" i="26"/>
  <c r="AM17" i="26"/>
  <c r="AM23" i="26"/>
  <c r="AM13" i="26"/>
  <c r="AM10" i="26"/>
  <c r="AM22" i="26"/>
  <c r="AM15" i="26"/>
  <c r="AM18" i="26"/>
  <c r="AM11" i="26"/>
  <c r="AM12" i="26"/>
  <c r="AM20" i="26"/>
  <c r="AM7" i="26"/>
  <c r="AU19" i="24"/>
  <c r="AU6" i="24"/>
  <c r="AU8" i="24"/>
  <c r="AU21" i="24"/>
  <c r="AU10" i="24"/>
  <c r="AU23" i="24"/>
  <c r="AU9" i="24"/>
  <c r="AU18" i="24"/>
  <c r="AU16" i="24"/>
  <c r="AU15" i="24"/>
  <c r="AU20" i="24"/>
  <c r="AU11" i="24"/>
  <c r="AU13" i="24"/>
  <c r="AU7" i="24"/>
  <c r="AU14" i="24"/>
  <c r="AU12" i="24"/>
  <c r="AU22" i="24"/>
  <c r="AU17" i="24"/>
  <c r="AS13" i="22"/>
  <c r="AS15" i="22"/>
  <c r="AS14" i="22"/>
  <c r="AS10" i="22"/>
  <c r="AS18" i="22"/>
  <c r="AS11" i="22"/>
  <c r="AS8" i="22"/>
  <c r="AS22" i="22"/>
  <c r="AS12" i="22"/>
  <c r="AS7" i="22"/>
  <c r="AS9" i="22"/>
  <c r="AS17" i="22"/>
  <c r="AS23" i="22"/>
  <c r="AS6" i="22"/>
  <c r="AS20" i="22"/>
  <c r="AS21" i="22"/>
  <c r="AS19" i="22"/>
  <c r="AS16" i="22"/>
  <c r="AM17" i="21"/>
  <c r="AM12" i="21"/>
  <c r="AM15" i="21"/>
  <c r="AM14" i="21"/>
  <c r="AM23" i="21"/>
  <c r="AM9" i="21"/>
  <c r="AM7" i="21"/>
  <c r="AM10" i="21"/>
  <c r="AM22" i="21"/>
  <c r="AM18" i="21"/>
  <c r="AM8" i="21"/>
  <c r="AM11" i="21"/>
  <c r="AM13" i="21"/>
  <c r="AM20" i="21"/>
  <c r="AM19" i="21"/>
  <c r="AM16" i="21"/>
  <c r="AM21" i="21"/>
  <c r="AM6" i="21"/>
  <c r="AQ18" i="25"/>
  <c r="AQ16" i="25"/>
  <c r="AQ20" i="25"/>
  <c r="AU6" i="28"/>
  <c r="AU12" i="28"/>
  <c r="AU17" i="28"/>
  <c r="AP17" i="28"/>
  <c r="AP19" i="28"/>
  <c r="AP6" i="28"/>
  <c r="AP9" i="28"/>
  <c r="AP16" i="28"/>
  <c r="AP22" i="28"/>
  <c r="AP20" i="28"/>
  <c r="AP8" i="28"/>
  <c r="AP23" i="28"/>
  <c r="AP14" i="28"/>
  <c r="AP13" i="28"/>
  <c r="AP15" i="28"/>
  <c r="AP10" i="28"/>
  <c r="AP18" i="28"/>
  <c r="AP21" i="28"/>
  <c r="AP11" i="28"/>
  <c r="AP12" i="28"/>
  <c r="AP7" i="28"/>
  <c r="AU22" i="25"/>
  <c r="AU11" i="25"/>
  <c r="AU18" i="25"/>
  <c r="AU21" i="25"/>
  <c r="AU19" i="25"/>
  <c r="AU20" i="25"/>
  <c r="AU6" i="25"/>
  <c r="AU12" i="25"/>
  <c r="AU14" i="25"/>
  <c r="AU17" i="25"/>
  <c r="AU15" i="25"/>
  <c r="AU9" i="25"/>
  <c r="AU10" i="25"/>
  <c r="AU23" i="25"/>
  <c r="AU13" i="25"/>
  <c r="AU7" i="25"/>
  <c r="AU8" i="25"/>
  <c r="AU16" i="25"/>
  <c r="AQ15" i="25"/>
  <c r="AU15" i="23"/>
  <c r="AU12" i="23"/>
  <c r="AU7" i="23"/>
  <c r="AR6" i="29"/>
  <c r="AU8" i="23"/>
  <c r="AQ8" i="25"/>
  <c r="AQ19" i="25"/>
  <c r="AQ21" i="25"/>
  <c r="AQ22" i="25"/>
  <c r="AQ13" i="25"/>
  <c r="AU17" i="23"/>
  <c r="AU6" i="23"/>
  <c r="AU18" i="23"/>
  <c r="AU10" i="23"/>
  <c r="AS16" i="29"/>
  <c r="AS20" i="29"/>
  <c r="AS6" i="29"/>
  <c r="AS9" i="29"/>
  <c r="AS13" i="29"/>
  <c r="AS14" i="29"/>
  <c r="AS17" i="29"/>
  <c r="AS23" i="29"/>
  <c r="AS8" i="29"/>
  <c r="AS21" i="29"/>
  <c r="AS10" i="29"/>
  <c r="AS18" i="29"/>
  <c r="AS19" i="29"/>
  <c r="AS22" i="29"/>
  <c r="AS11" i="29"/>
  <c r="AS12" i="29"/>
  <c r="AS7" i="29"/>
  <c r="AS15" i="29"/>
  <c r="AQ23" i="25"/>
  <c r="AQ9" i="25"/>
  <c r="AQ7" i="25"/>
  <c r="AQ14" i="25"/>
  <c r="AU14" i="23"/>
  <c r="AU19" i="23"/>
  <c r="AU23" i="23"/>
  <c r="AU11" i="23"/>
  <c r="AU13" i="23"/>
  <c r="AQ17" i="25"/>
  <c r="AQ6" i="25"/>
  <c r="AQ12" i="25"/>
  <c r="AU9" i="23"/>
  <c r="AU16" i="23"/>
  <c r="AU21" i="23"/>
  <c r="AU20" i="23"/>
  <c r="AP19" i="24"/>
  <c r="AP22" i="24"/>
  <c r="AP11" i="24"/>
  <c r="AP7" i="24"/>
  <c r="AP8" i="24"/>
  <c r="AP16" i="24"/>
  <c r="AP20" i="24"/>
  <c r="AP6" i="24"/>
  <c r="AP15" i="24"/>
  <c r="AP14" i="24"/>
  <c r="AP17" i="24"/>
  <c r="AP23" i="24"/>
  <c r="AP12" i="24"/>
  <c r="AP21" i="24"/>
  <c r="AP10" i="24"/>
  <c r="AP13" i="24"/>
  <c r="AP9" i="24"/>
  <c r="AP18" i="24"/>
  <c r="AP11" i="22"/>
  <c r="AP23" i="22"/>
  <c r="AP12" i="22"/>
  <c r="AP21" i="22"/>
  <c r="AP18" i="22"/>
  <c r="AP10" i="22"/>
  <c r="AP6" i="22"/>
  <c r="AP22" i="22"/>
  <c r="AP8" i="22"/>
  <c r="AP19" i="22"/>
  <c r="AP9" i="22"/>
  <c r="AP7" i="22"/>
  <c r="AP14" i="22"/>
  <c r="AP20" i="22"/>
  <c r="AP13" i="22"/>
  <c r="AP17" i="22"/>
  <c r="AP15" i="22"/>
  <c r="AP13" i="29"/>
  <c r="AR12" i="2"/>
  <c r="AP16" i="22"/>
  <c r="AR11" i="29"/>
  <c r="AR13" i="29"/>
  <c r="AS17" i="28"/>
  <c r="AS15" i="28"/>
  <c r="AS7" i="28"/>
  <c r="AS14" i="28"/>
  <c r="AS23" i="28"/>
  <c r="AS18" i="28"/>
  <c r="AS13" i="28"/>
  <c r="AS12" i="28"/>
  <c r="AS22" i="28"/>
  <c r="AS21" i="28"/>
  <c r="AS16" i="28"/>
  <c r="AS11" i="28"/>
  <c r="AS9" i="28"/>
  <c r="AS20" i="28"/>
  <c r="AS19" i="28"/>
  <c r="AS10" i="28"/>
  <c r="AS6" i="28"/>
  <c r="AS8" i="28"/>
  <c r="AR9" i="29"/>
  <c r="AR7" i="29"/>
  <c r="AP19" i="29"/>
  <c r="AR21" i="29"/>
  <c r="AJ18" i="2"/>
  <c r="AM19" i="23"/>
  <c r="AM13" i="23"/>
  <c r="AM7" i="23"/>
  <c r="AM9" i="23"/>
  <c r="AM14" i="23"/>
  <c r="AM22" i="23"/>
  <c r="AM11" i="23"/>
  <c r="AM10" i="23"/>
  <c r="AM8" i="23"/>
  <c r="AM20" i="23"/>
  <c r="AM6" i="23"/>
  <c r="AM18" i="23"/>
  <c r="AM15" i="23"/>
  <c r="AM21" i="23"/>
  <c r="AM17" i="23"/>
  <c r="AM23" i="23"/>
  <c r="AM12" i="23"/>
  <c r="AM16" i="23"/>
  <c r="AL19" i="21"/>
  <c r="AL23" i="21"/>
  <c r="AL6" i="21"/>
  <c r="AL8" i="21"/>
  <c r="AL10" i="21"/>
  <c r="AL22" i="21"/>
  <c r="AL18" i="21"/>
  <c r="AL14" i="21"/>
  <c r="AL16" i="21"/>
  <c r="AL20" i="21"/>
  <c r="AL13" i="21"/>
  <c r="AL12" i="21"/>
  <c r="AL15" i="21"/>
  <c r="AL21" i="21"/>
  <c r="AL17" i="21"/>
  <c r="AL11" i="21"/>
  <c r="AL9" i="21"/>
  <c r="AL7" i="21"/>
  <c r="AP13" i="27"/>
  <c r="AP12" i="27"/>
  <c r="AP7" i="27"/>
  <c r="AP19" i="27"/>
  <c r="AP23" i="27"/>
  <c r="AP11" i="27"/>
  <c r="AP9" i="27"/>
  <c r="AP22" i="27"/>
  <c r="AP16" i="27"/>
  <c r="AP20" i="27"/>
  <c r="AP6" i="27"/>
  <c r="AP8" i="27"/>
  <c r="AP21" i="27"/>
  <c r="AP14" i="27"/>
  <c r="AP17" i="27"/>
  <c r="AP18" i="27"/>
  <c r="AP15" i="27"/>
  <c r="AP10" i="27"/>
  <c r="AL23" i="22"/>
  <c r="AL15" i="22"/>
  <c r="AL13" i="22"/>
  <c r="AL6" i="22"/>
  <c r="AL19" i="22"/>
  <c r="AL18" i="22"/>
  <c r="AL7" i="22"/>
  <c r="AL8" i="22"/>
  <c r="AL17" i="22"/>
  <c r="AL14" i="22"/>
  <c r="AL12" i="22"/>
  <c r="AL22" i="22"/>
  <c r="AL16" i="22"/>
  <c r="AL11" i="22"/>
  <c r="AL9" i="22"/>
  <c r="AL20" i="22"/>
  <c r="AL10" i="22"/>
  <c r="AL21" i="22"/>
  <c r="AJ20" i="23"/>
  <c r="AJ9" i="23"/>
  <c r="AJ14" i="23"/>
  <c r="AJ7" i="23"/>
  <c r="AJ21" i="23"/>
  <c r="AJ17" i="23"/>
  <c r="AJ8" i="23"/>
  <c r="AJ10" i="23"/>
  <c r="AJ13" i="23"/>
  <c r="AJ19" i="23"/>
  <c r="AJ23" i="23"/>
  <c r="AJ18" i="23"/>
  <c r="AJ11" i="23"/>
  <c r="AJ6" i="23"/>
  <c r="AJ22" i="23"/>
  <c r="AJ12" i="23"/>
  <c r="AJ16" i="23"/>
  <c r="AJ15" i="23"/>
  <c r="AO20" i="22"/>
  <c r="AO23" i="22"/>
  <c r="AO8" i="22"/>
  <c r="AO19" i="22"/>
  <c r="AO6" i="22"/>
  <c r="AO17" i="22"/>
  <c r="AO18" i="22"/>
  <c r="AO16" i="22"/>
  <c r="AO14" i="22"/>
  <c r="AO13" i="22"/>
  <c r="AO12" i="22"/>
  <c r="AO10" i="22"/>
  <c r="AO15" i="22"/>
  <c r="AO22" i="22"/>
  <c r="AO11" i="22"/>
  <c r="AO9" i="22"/>
  <c r="AO21" i="22"/>
  <c r="AO7" i="22"/>
  <c r="AQ22" i="23"/>
  <c r="AQ7" i="23"/>
  <c r="AQ9" i="23"/>
  <c r="AQ13" i="23"/>
  <c r="AQ11" i="23"/>
  <c r="AQ6" i="23"/>
  <c r="AQ20" i="23"/>
  <c r="AQ19" i="23"/>
  <c r="AQ15" i="23"/>
  <c r="AQ10" i="23"/>
  <c r="AQ18" i="23"/>
  <c r="AQ17" i="23"/>
  <c r="AQ23" i="23"/>
  <c r="AQ14" i="23"/>
  <c r="AQ12" i="23"/>
  <c r="AQ16" i="23"/>
  <c r="AQ21" i="23"/>
  <c r="AQ8" i="23"/>
  <c r="AR18" i="24"/>
  <c r="AR8" i="24"/>
  <c r="AR7" i="24"/>
  <c r="AR23" i="24"/>
  <c r="AR19" i="24"/>
  <c r="AR21" i="24"/>
  <c r="AR14" i="24"/>
  <c r="AR13" i="24"/>
  <c r="AR15" i="24"/>
  <c r="AR17" i="24"/>
  <c r="AR9" i="24"/>
  <c r="AR11" i="24"/>
  <c r="AR20" i="24"/>
  <c r="AR22" i="24"/>
  <c r="AR10" i="24"/>
  <c r="AR16" i="24"/>
  <c r="AR12" i="24"/>
  <c r="AR6" i="24"/>
  <c r="AR18" i="21"/>
  <c r="AR15" i="21"/>
  <c r="AR14" i="21"/>
  <c r="AR17" i="21"/>
  <c r="AR8" i="21"/>
  <c r="AR21" i="21"/>
  <c r="AR7" i="21"/>
  <c r="AR10" i="21"/>
  <c r="AR13" i="21"/>
  <c r="AR19" i="21"/>
  <c r="AR12" i="21"/>
  <c r="AR9" i="21"/>
  <c r="AR11" i="21"/>
  <c r="AR23" i="21"/>
  <c r="AR16" i="21"/>
  <c r="AR22" i="21"/>
  <c r="AR20" i="21"/>
  <c r="AR6" i="21"/>
  <c r="AP22" i="21"/>
  <c r="AP18" i="21"/>
  <c r="AP6" i="21"/>
  <c r="AP8" i="21"/>
  <c r="AP20" i="21"/>
  <c r="AP16" i="21"/>
  <c r="AP10" i="21"/>
  <c r="AP14" i="21"/>
  <c r="AP21" i="21"/>
  <c r="AP17" i="21"/>
  <c r="AP13" i="21"/>
  <c r="AP12" i="21"/>
  <c r="AP15" i="21"/>
  <c r="AP19" i="21"/>
  <c r="AP23" i="21"/>
  <c r="AP11" i="21"/>
  <c r="AP9" i="21"/>
  <c r="AP7" i="21"/>
  <c r="AR16" i="22"/>
  <c r="AR20" i="22"/>
  <c r="AR6" i="22"/>
  <c r="AR15" i="22"/>
  <c r="AR11" i="22"/>
  <c r="AR14" i="22"/>
  <c r="AR17" i="22"/>
  <c r="AR23" i="22"/>
  <c r="AR18" i="22"/>
  <c r="AR19" i="22"/>
  <c r="AR7" i="22"/>
  <c r="AR21" i="22"/>
  <c r="AR10" i="22"/>
  <c r="AR13" i="22"/>
  <c r="AR12" i="22"/>
  <c r="AR9" i="22"/>
  <c r="AR22" i="22"/>
  <c r="AR8" i="22"/>
  <c r="AM20" i="25"/>
  <c r="AM6" i="25"/>
  <c r="AM18" i="25"/>
  <c r="AM14" i="25"/>
  <c r="AM10" i="25"/>
  <c r="AM11" i="25"/>
  <c r="AM8" i="25"/>
  <c r="AM17" i="25"/>
  <c r="AM15" i="25"/>
  <c r="AM12" i="25"/>
  <c r="AM21" i="25"/>
  <c r="AM22" i="25"/>
  <c r="AM19" i="25"/>
  <c r="AM13" i="25"/>
  <c r="AM7" i="25"/>
  <c r="AM9" i="25"/>
  <c r="AM16" i="25"/>
  <c r="AM23" i="25"/>
  <c r="AQ15" i="22"/>
  <c r="AQ14" i="22"/>
  <c r="AQ8" i="22"/>
  <c r="AQ13" i="22"/>
  <c r="AQ17" i="22"/>
  <c r="AQ9" i="22"/>
  <c r="AQ21" i="22"/>
  <c r="AQ10" i="22"/>
  <c r="AQ23" i="22"/>
  <c r="AQ6" i="22"/>
  <c r="AQ11" i="22"/>
  <c r="AQ20" i="22"/>
  <c r="AQ19" i="22"/>
  <c r="AQ18" i="22"/>
  <c r="AQ22" i="22"/>
  <c r="AQ12" i="22"/>
  <c r="AQ16" i="22"/>
  <c r="AQ7" i="22"/>
  <c r="AJ17" i="2"/>
  <c r="AR21" i="26"/>
  <c r="AR12" i="26"/>
  <c r="AR15" i="26"/>
  <c r="AR11" i="26"/>
  <c r="AR14" i="26"/>
  <c r="AR16" i="26"/>
  <c r="AR19" i="26"/>
  <c r="AR9" i="26"/>
  <c r="AR7" i="26"/>
  <c r="AR6" i="26"/>
  <c r="AR17" i="26"/>
  <c r="AR20" i="26"/>
  <c r="AR13" i="26"/>
  <c r="AR22" i="26"/>
  <c r="AR8" i="26"/>
  <c r="AR10" i="26"/>
  <c r="AR18" i="26"/>
  <c r="AR23" i="26"/>
  <c r="AJ21" i="22"/>
  <c r="AJ19" i="22"/>
  <c r="AJ16" i="22"/>
  <c r="AJ14" i="22"/>
  <c r="AJ10" i="22"/>
  <c r="AJ22" i="22"/>
  <c r="AJ20" i="22"/>
  <c r="AJ17" i="22"/>
  <c r="AJ13" i="22"/>
  <c r="AJ11" i="22"/>
  <c r="AJ6" i="22"/>
  <c r="AJ23" i="22"/>
  <c r="AJ12" i="22"/>
  <c r="AJ8" i="22"/>
  <c r="AJ15" i="22"/>
  <c r="AJ18" i="22"/>
  <c r="AJ9" i="22"/>
  <c r="AJ7" i="22"/>
  <c r="AP18" i="23"/>
  <c r="AP14" i="23"/>
  <c r="AP20" i="23"/>
  <c r="AP11" i="23"/>
  <c r="AP17" i="23"/>
  <c r="AP21" i="23"/>
  <c r="AP10" i="23"/>
  <c r="AP15" i="23"/>
  <c r="AP6" i="23"/>
  <c r="AP19" i="23"/>
  <c r="AP12" i="23"/>
  <c r="AP7" i="23"/>
  <c r="AP22" i="23"/>
  <c r="AP23" i="23"/>
  <c r="AP16" i="23"/>
  <c r="AP8" i="23"/>
  <c r="AP13" i="23"/>
  <c r="AP9" i="23"/>
  <c r="AR17" i="2"/>
  <c r="AP23" i="29"/>
  <c r="AR10" i="23"/>
  <c r="AR19" i="23"/>
  <c r="AR6" i="23"/>
  <c r="AR12" i="23"/>
  <c r="AR21" i="23"/>
  <c r="AR13" i="23"/>
  <c r="AR23" i="23"/>
  <c r="AR9" i="23"/>
  <c r="AR16" i="23"/>
  <c r="AR17" i="23"/>
  <c r="AR20" i="23"/>
  <c r="AR18" i="23"/>
  <c r="AR7" i="23"/>
  <c r="AR15" i="23"/>
  <c r="AR8" i="23"/>
  <c r="AR14" i="23"/>
  <c r="AR11" i="23"/>
  <c r="AR22" i="23"/>
  <c r="AP21" i="29"/>
  <c r="AS19" i="24"/>
  <c r="AS23" i="24"/>
  <c r="AS8" i="24"/>
  <c r="AS6" i="24"/>
  <c r="AS16" i="24"/>
  <c r="AS20" i="24"/>
  <c r="AS22" i="24"/>
  <c r="AS13" i="24"/>
  <c r="AS15" i="24"/>
  <c r="AS14" i="24"/>
  <c r="AS17" i="24"/>
  <c r="AS18" i="24"/>
  <c r="AS9" i="24"/>
  <c r="AS21" i="24"/>
  <c r="AS10" i="24"/>
  <c r="AS12" i="24"/>
  <c r="AS11" i="24"/>
  <c r="AS7" i="24"/>
  <c r="AP9" i="29"/>
  <c r="AJ23" i="27"/>
  <c r="AJ19" i="27"/>
  <c r="AJ20" i="27"/>
  <c r="AJ6" i="27"/>
  <c r="AJ12" i="27"/>
  <c r="AJ7" i="27"/>
  <c r="AJ15" i="27"/>
  <c r="AJ16" i="27"/>
  <c r="AJ17" i="27"/>
  <c r="AJ9" i="27"/>
  <c r="AJ18" i="27"/>
  <c r="AJ14" i="27"/>
  <c r="AJ13" i="27"/>
  <c r="AJ22" i="27"/>
  <c r="AJ8" i="27"/>
  <c r="AJ10" i="27"/>
  <c r="AJ11" i="27"/>
  <c r="AJ21" i="27"/>
  <c r="AO19" i="24"/>
  <c r="AO22" i="24"/>
  <c r="AO6" i="24"/>
  <c r="AO7" i="24"/>
  <c r="AO16" i="24"/>
  <c r="AO23" i="24"/>
  <c r="AO11" i="24"/>
  <c r="AO17" i="24"/>
  <c r="AO15" i="24"/>
  <c r="AO14" i="24"/>
  <c r="AO20" i="24"/>
  <c r="AO13" i="24"/>
  <c r="AO12" i="24"/>
  <c r="AO10" i="24"/>
  <c r="AO21" i="24"/>
  <c r="AO18" i="24"/>
  <c r="AO9" i="24"/>
  <c r="AO8" i="24"/>
  <c r="AR22" i="29"/>
  <c r="AR23" i="29"/>
  <c r="AR19" i="29"/>
  <c r="AR14" i="29"/>
  <c r="AJ15" i="2"/>
  <c r="AR16" i="29"/>
  <c r="AR18" i="29"/>
  <c r="AR20" i="29"/>
  <c r="AR12" i="29"/>
  <c r="AJ20" i="2"/>
  <c r="AP12" i="2"/>
  <c r="AR18" i="25"/>
  <c r="AR21" i="25"/>
  <c r="AR7" i="25"/>
  <c r="AR6" i="25"/>
  <c r="AR11" i="25"/>
  <c r="AR8" i="25"/>
  <c r="AR15" i="25"/>
  <c r="AR12" i="25"/>
  <c r="AR14" i="25"/>
  <c r="AR19" i="25"/>
  <c r="AR20" i="25"/>
  <c r="AR13" i="25"/>
  <c r="AR9" i="25"/>
  <c r="AR10" i="25"/>
  <c r="AR16" i="25"/>
  <c r="AR22" i="25"/>
  <c r="AR23" i="25"/>
  <c r="AR17" i="25"/>
  <c r="AS21" i="26"/>
  <c r="AS17" i="26"/>
  <c r="AS7" i="26"/>
  <c r="AS10" i="26"/>
  <c r="AS6" i="26"/>
  <c r="AS11" i="26"/>
  <c r="AS19" i="26"/>
  <c r="AS23" i="26"/>
  <c r="AS12" i="26"/>
  <c r="AS9" i="26"/>
  <c r="AS8" i="26"/>
  <c r="AS20" i="26"/>
  <c r="AS14" i="26"/>
  <c r="AS22" i="26"/>
  <c r="AS18" i="26"/>
  <c r="AS16" i="26"/>
  <c r="AS13" i="26"/>
  <c r="AS15" i="26"/>
  <c r="AR15" i="29"/>
  <c r="AR10" i="29"/>
  <c r="AR8" i="29"/>
  <c r="AR17" i="29"/>
  <c r="AJ10" i="2"/>
  <c r="AJ7" i="24"/>
  <c r="AJ15" i="24"/>
  <c r="AJ8" i="24"/>
  <c r="AJ22" i="24"/>
  <c r="AJ14" i="24"/>
  <c r="AJ23" i="24"/>
  <c r="AJ9" i="24"/>
  <c r="AJ13" i="24"/>
  <c r="AJ6" i="24"/>
  <c r="AJ21" i="24"/>
  <c r="AJ11" i="24"/>
  <c r="AJ19" i="24"/>
  <c r="AJ20" i="24"/>
  <c r="AJ12" i="24"/>
  <c r="AJ18" i="24"/>
  <c r="AJ17" i="24"/>
  <c r="AJ10" i="24"/>
  <c r="AJ16" i="24"/>
  <c r="AJ15" i="25"/>
  <c r="AJ12" i="25"/>
  <c r="AJ8" i="25"/>
  <c r="AJ14" i="25"/>
  <c r="AJ17" i="25"/>
  <c r="AJ13" i="25"/>
  <c r="AJ10" i="25"/>
  <c r="AJ6" i="25"/>
  <c r="AJ7" i="25"/>
  <c r="AJ21" i="25"/>
  <c r="AJ19" i="25"/>
  <c r="AJ20" i="25"/>
  <c r="AJ23" i="25"/>
  <c r="AJ9" i="25"/>
  <c r="AJ16" i="25"/>
  <c r="AJ11" i="25"/>
  <c r="AJ22" i="25"/>
  <c r="AJ18" i="25"/>
  <c r="AP18" i="2"/>
  <c r="AP7" i="2"/>
  <c r="AM22" i="24"/>
  <c r="AP15" i="2"/>
  <c r="AP14" i="2"/>
  <c r="AO19" i="29"/>
  <c r="AO22" i="29"/>
  <c r="AO11" i="29"/>
  <c r="AO12" i="29"/>
  <c r="AO7" i="29"/>
  <c r="AO14" i="29"/>
  <c r="AO17" i="29"/>
  <c r="AO23" i="29"/>
  <c r="AO8" i="29"/>
  <c r="AO16" i="29"/>
  <c r="AO6" i="29"/>
  <c r="AO20" i="29"/>
  <c r="AO9" i="29"/>
  <c r="AO21" i="29"/>
  <c r="AO15" i="29"/>
  <c r="AO10" i="29"/>
  <c r="AO18" i="29"/>
  <c r="AO13" i="29"/>
  <c r="AQ19" i="26"/>
  <c r="AQ6" i="26"/>
  <c r="AQ9" i="26"/>
  <c r="AQ20" i="26"/>
  <c r="AQ22" i="26"/>
  <c r="AQ23" i="26"/>
  <c r="AQ17" i="26"/>
  <c r="AQ7" i="26"/>
  <c r="AQ8" i="26"/>
  <c r="AQ15" i="26"/>
  <c r="AQ12" i="26"/>
  <c r="AQ18" i="26"/>
  <c r="AQ13" i="26"/>
  <c r="AQ14" i="26"/>
  <c r="AQ10" i="26"/>
  <c r="AQ16" i="26"/>
  <c r="AQ21" i="26"/>
  <c r="AQ11" i="26"/>
  <c r="AO17" i="25"/>
  <c r="AO16" i="25"/>
  <c r="AO11" i="25"/>
  <c r="AO23" i="25"/>
  <c r="AO7" i="25"/>
  <c r="AO21" i="25"/>
  <c r="AO10" i="25"/>
  <c r="AO12" i="25"/>
  <c r="AO8" i="25"/>
  <c r="AO13" i="25"/>
  <c r="AO6" i="25"/>
  <c r="AO14" i="25"/>
  <c r="AO18" i="25"/>
  <c r="AO20" i="25"/>
  <c r="AO19" i="25"/>
  <c r="AO9" i="25"/>
  <c r="AO15" i="25"/>
  <c r="AO22" i="25"/>
  <c r="AQ20" i="24"/>
  <c r="AQ23" i="24"/>
  <c r="AQ8" i="24"/>
  <c r="AQ14" i="24"/>
  <c r="AQ10" i="24"/>
  <c r="AQ13" i="24"/>
  <c r="AQ12" i="24"/>
  <c r="AQ19" i="24"/>
  <c r="AQ7" i="24"/>
  <c r="AQ22" i="24"/>
  <c r="AQ9" i="24"/>
  <c r="AQ16" i="24"/>
  <c r="AQ11" i="24"/>
  <c r="AQ6" i="24"/>
  <c r="AQ17" i="24"/>
  <c r="AQ21" i="24"/>
  <c r="AQ15" i="24"/>
  <c r="AQ18" i="24"/>
  <c r="AM20" i="24"/>
  <c r="AM23" i="24"/>
  <c r="AM8" i="24"/>
  <c r="AM11" i="24"/>
  <c r="AM21" i="24"/>
  <c r="AM15" i="24"/>
  <c r="AM13" i="24"/>
  <c r="AM10" i="24"/>
  <c r="AM7" i="24"/>
  <c r="AM17" i="24"/>
  <c r="AM6" i="24"/>
  <c r="AM12" i="24"/>
  <c r="AM16" i="24"/>
  <c r="AM18" i="24"/>
  <c r="AM19" i="24"/>
  <c r="AM9" i="24"/>
  <c r="AM14" i="24"/>
  <c r="AP6" i="2"/>
  <c r="AP23" i="2"/>
  <c r="AP17" i="2"/>
  <c r="AP19" i="2"/>
  <c r="AP11" i="2"/>
  <c r="AP16" i="2"/>
  <c r="AP9" i="2"/>
  <c r="AP10" i="2"/>
  <c r="AP8" i="2"/>
  <c r="AP21" i="2"/>
  <c r="AQ18" i="27"/>
  <c r="AQ21" i="27"/>
  <c r="AQ8" i="27"/>
  <c r="AQ14" i="27"/>
  <c r="AQ16" i="27"/>
  <c r="AQ13" i="27"/>
  <c r="AQ23" i="27"/>
  <c r="AQ17" i="27"/>
  <c r="AQ22" i="27"/>
  <c r="AQ7" i="27"/>
  <c r="AQ20" i="27"/>
  <c r="AQ10" i="27"/>
  <c r="AQ6" i="27"/>
  <c r="AQ9" i="27"/>
  <c r="AQ12" i="27"/>
  <c r="AQ19" i="27"/>
  <c r="AQ11" i="27"/>
  <c r="AQ15" i="27"/>
  <c r="AJ21" i="26"/>
  <c r="AJ18" i="26"/>
  <c r="AJ17" i="26"/>
  <c r="AJ14" i="26"/>
  <c r="AJ11" i="26"/>
  <c r="AJ16" i="26"/>
  <c r="AJ19" i="26"/>
  <c r="AJ12" i="26"/>
  <c r="AJ15" i="26"/>
  <c r="AJ10" i="26"/>
  <c r="AJ6" i="26"/>
  <c r="AJ20" i="26"/>
  <c r="AJ13" i="26"/>
  <c r="AJ22" i="26"/>
  <c r="AJ9" i="26"/>
  <c r="AJ7" i="26"/>
  <c r="AJ23" i="26"/>
  <c r="AJ8" i="26"/>
  <c r="AP13" i="2"/>
  <c r="AP20" i="2"/>
  <c r="AP22" i="2"/>
  <c r="AS11" i="25"/>
  <c r="AS16" i="25"/>
  <c r="AS20" i="25"/>
  <c r="AS18" i="25"/>
  <c r="AS6" i="25"/>
  <c r="AS14" i="25"/>
  <c r="AS17" i="25"/>
  <c r="AS12" i="25"/>
  <c r="AS15" i="25"/>
  <c r="AS21" i="25"/>
  <c r="AS10" i="25"/>
  <c r="AS13" i="25"/>
  <c r="AS8" i="25"/>
  <c r="AS7" i="25"/>
  <c r="AS19" i="25"/>
  <c r="AS22" i="25"/>
  <c r="AS23" i="25"/>
  <c r="AS9" i="25"/>
  <c r="AP20" i="26"/>
  <c r="AR10" i="2"/>
  <c r="AP16" i="25"/>
  <c r="AP12" i="25"/>
  <c r="AP17" i="25"/>
  <c r="AP18" i="25"/>
  <c r="AP14" i="25"/>
  <c r="AP13" i="25"/>
  <c r="AP10" i="25"/>
  <c r="AP11" i="25"/>
  <c r="AP19" i="25"/>
  <c r="AP23" i="25"/>
  <c r="AP20" i="25"/>
  <c r="AP6" i="25"/>
  <c r="AP15" i="25"/>
  <c r="AP9" i="25"/>
  <c r="AP8" i="25"/>
  <c r="AP21" i="25"/>
  <c r="AP22" i="25"/>
  <c r="AP7" i="25"/>
  <c r="AR20" i="2"/>
  <c r="AP17" i="29"/>
  <c r="AP6" i="29"/>
  <c r="AP12" i="29"/>
  <c r="AP15" i="29"/>
  <c r="AR6" i="2"/>
  <c r="AP14" i="29"/>
  <c r="AP7" i="29"/>
  <c r="AP20" i="29"/>
  <c r="AP11" i="29"/>
  <c r="AP18" i="29"/>
  <c r="AP8" i="29"/>
  <c r="AP16" i="29"/>
  <c r="AP10" i="29"/>
  <c r="AP22" i="29"/>
  <c r="AP16" i="26"/>
  <c r="AP9" i="26"/>
  <c r="AP7" i="26"/>
  <c r="AP11" i="26"/>
  <c r="AP14" i="26"/>
  <c r="AP23" i="26"/>
  <c r="AP10" i="26"/>
  <c r="AP13" i="26"/>
  <c r="AP12" i="26"/>
  <c r="AP18" i="26"/>
  <c r="AP8" i="26"/>
  <c r="AP21" i="26"/>
  <c r="AP6" i="26"/>
  <c r="AP19" i="26"/>
  <c r="AP22" i="26"/>
  <c r="AP17" i="26"/>
  <c r="AP15" i="26"/>
  <c r="AS16" i="27"/>
  <c r="AS20" i="27"/>
  <c r="AS6" i="27"/>
  <c r="AS8" i="27"/>
  <c r="AS22" i="27"/>
  <c r="AS14" i="27"/>
  <c r="AS17" i="27"/>
  <c r="AS18" i="27"/>
  <c r="AS15" i="27"/>
  <c r="AS23" i="27"/>
  <c r="AS10" i="27"/>
  <c r="AS13" i="27"/>
  <c r="AS12" i="27"/>
  <c r="AS7" i="27"/>
  <c r="AS19" i="27"/>
  <c r="AS21" i="27"/>
  <c r="AS11" i="27"/>
  <c r="AS9" i="27"/>
  <c r="AM12" i="27"/>
  <c r="AM7" i="27"/>
  <c r="AM14" i="27"/>
  <c r="AM20" i="27"/>
  <c r="AM23" i="27"/>
  <c r="AM9" i="27"/>
  <c r="AM21" i="27"/>
  <c r="AM10" i="27"/>
  <c r="AM17" i="27"/>
  <c r="AM18" i="27"/>
  <c r="AM15" i="27"/>
  <c r="AM6" i="27"/>
  <c r="AM22" i="27"/>
  <c r="AM8" i="27"/>
  <c r="AM19" i="27"/>
  <c r="AM13" i="27"/>
  <c r="AM11" i="27"/>
  <c r="AM16" i="27"/>
  <c r="AO20" i="28"/>
  <c r="AO19" i="28"/>
  <c r="AO13" i="28"/>
  <c r="AO16" i="28"/>
  <c r="AO7" i="28"/>
  <c r="AO10" i="28"/>
  <c r="AO22" i="28"/>
  <c r="AO23" i="28"/>
  <c r="AO8" i="28"/>
  <c r="AO17" i="28"/>
  <c r="AO14" i="28"/>
  <c r="AO11" i="28"/>
  <c r="AO12" i="28"/>
  <c r="AO15" i="28"/>
  <c r="AO9" i="28"/>
  <c r="AO18" i="28"/>
  <c r="AO21" i="28"/>
  <c r="AO6" i="28"/>
  <c r="AR21" i="27"/>
  <c r="AR22" i="27"/>
  <c r="AR15" i="27"/>
  <c r="AR7" i="27"/>
  <c r="AR19" i="27"/>
  <c r="AR16" i="27"/>
  <c r="AR14" i="27"/>
  <c r="AR10" i="27"/>
  <c r="AR23" i="27"/>
  <c r="AR20" i="27"/>
  <c r="AR17" i="27"/>
  <c r="AR13" i="27"/>
  <c r="AR11" i="27"/>
  <c r="AR6" i="27"/>
  <c r="AR18" i="27"/>
  <c r="AR8" i="27"/>
  <c r="AR12" i="27"/>
  <c r="AR9" i="27"/>
  <c r="AM23" i="28"/>
  <c r="AM15" i="28"/>
  <c r="AM11" i="28"/>
  <c r="AM6" i="28"/>
  <c r="AM17" i="28"/>
  <c r="AM16" i="28"/>
  <c r="AM22" i="28"/>
  <c r="AM12" i="28"/>
  <c r="AM14" i="28"/>
  <c r="AM18" i="28"/>
  <c r="AM19" i="28"/>
  <c r="AM13" i="28"/>
  <c r="AM21" i="28"/>
  <c r="AM20" i="28"/>
  <c r="AM9" i="28"/>
  <c r="AM7" i="28"/>
  <c r="AM10" i="28"/>
  <c r="AM8" i="28"/>
  <c r="AR23" i="28"/>
  <c r="AR16" i="28"/>
  <c r="AR18" i="28"/>
  <c r="AR13" i="28"/>
  <c r="AR22" i="28"/>
  <c r="AR14" i="28"/>
  <c r="AR10" i="28"/>
  <c r="AR11" i="28"/>
  <c r="AR21" i="28"/>
  <c r="AR20" i="28"/>
  <c r="AR15" i="28"/>
  <c r="AR12" i="28"/>
  <c r="AR6" i="28"/>
  <c r="AR19" i="28"/>
  <c r="AR17" i="28"/>
  <c r="AR7" i="28"/>
  <c r="AR9" i="28"/>
  <c r="AR8" i="28"/>
  <c r="AR7" i="2"/>
  <c r="AR19" i="2"/>
  <c r="AR14" i="2"/>
  <c r="AR11" i="2"/>
  <c r="AR13" i="2"/>
  <c r="AR23" i="2"/>
  <c r="AR8" i="2"/>
  <c r="AR21" i="2"/>
  <c r="AR16" i="2"/>
  <c r="AR15" i="2"/>
  <c r="AR18" i="2"/>
  <c r="AR22" i="2"/>
  <c r="AR9" i="2"/>
  <c r="AQ18" i="28"/>
  <c r="AQ21" i="28"/>
  <c r="AQ19" i="28"/>
  <c r="AQ23" i="28"/>
  <c r="AQ22" i="28"/>
  <c r="AQ20" i="28"/>
  <c r="AQ15" i="28"/>
  <c r="AQ12" i="28"/>
  <c r="AQ9" i="28"/>
  <c r="AQ8" i="28"/>
  <c r="AQ13" i="28"/>
  <c r="AQ16" i="28"/>
  <c r="AQ7" i="28"/>
  <c r="AQ11" i="28"/>
  <c r="AQ10" i="28"/>
  <c r="AQ17" i="28"/>
  <c r="AQ14" i="28"/>
  <c r="AQ6" i="28"/>
  <c r="AS20" i="2"/>
  <c r="AS17" i="2"/>
  <c r="AS19" i="2"/>
  <c r="AS15" i="2"/>
  <c r="AS6" i="2"/>
  <c r="AS16" i="2"/>
  <c r="AS13" i="2"/>
  <c r="AS18" i="2"/>
  <c r="AS11" i="2"/>
  <c r="AS14" i="2"/>
  <c r="AS23" i="2"/>
  <c r="AS12" i="2"/>
  <c r="AS8" i="2"/>
  <c r="AS22" i="2"/>
  <c r="AS10" i="2"/>
  <c r="AS21" i="2"/>
  <c r="AS9" i="2"/>
  <c r="AS7" i="2"/>
  <c r="AJ8" i="2"/>
  <c r="AJ12" i="2"/>
  <c r="AJ19" i="2"/>
  <c r="AJ22" i="2"/>
  <c r="AJ14" i="2"/>
  <c r="AJ11" i="2"/>
  <c r="AJ9" i="2"/>
  <c r="AJ7" i="2"/>
  <c r="AJ21" i="2"/>
  <c r="AJ23" i="2"/>
  <c r="AJ16" i="2"/>
  <c r="AJ13" i="2"/>
  <c r="AJ6" i="2"/>
  <c r="AQ17" i="29"/>
  <c r="AQ23" i="29"/>
  <c r="AQ11" i="29"/>
  <c r="AQ22" i="29"/>
  <c r="AQ20" i="29"/>
  <c r="AQ9" i="29"/>
  <c r="AQ12" i="29"/>
  <c r="AQ8" i="29"/>
  <c r="AQ18" i="29"/>
  <c r="AQ6" i="29"/>
  <c r="AQ21" i="29"/>
  <c r="AQ7" i="29"/>
  <c r="AQ19" i="29"/>
  <c r="AQ15" i="29"/>
  <c r="AQ14" i="29"/>
  <c r="AQ10" i="29"/>
  <c r="AQ13" i="29"/>
  <c r="AQ16" i="29"/>
  <c r="AJ19" i="29"/>
  <c r="AJ22" i="29"/>
  <c r="AJ11" i="29"/>
  <c r="AJ18" i="29"/>
  <c r="AJ14" i="29"/>
  <c r="AJ6" i="29"/>
  <c r="AJ10" i="29"/>
  <c r="AJ23" i="29"/>
  <c r="AJ15" i="29"/>
  <c r="AJ16" i="29"/>
  <c r="AJ20" i="29"/>
  <c r="AJ12" i="29"/>
  <c r="AJ8" i="29"/>
  <c r="AJ7" i="29"/>
  <c r="AJ17" i="29"/>
  <c r="AJ9" i="29"/>
  <c r="AJ21" i="29"/>
  <c r="AJ13" i="29"/>
  <c r="AO16" i="2"/>
  <c r="AO21" i="2"/>
  <c r="AO18" i="2"/>
  <c r="AO15" i="2"/>
  <c r="AO13" i="2"/>
  <c r="AO14" i="2"/>
  <c r="AO19" i="2"/>
  <c r="AO12" i="2"/>
  <c r="AO7" i="2"/>
  <c r="AO23" i="2"/>
  <c r="AO6" i="2"/>
  <c r="AO22" i="2"/>
  <c r="AO10" i="2"/>
  <c r="AO17" i="2"/>
  <c r="AO9" i="2"/>
  <c r="AO11" i="2"/>
  <c r="AO20" i="2"/>
  <c r="AO8" i="2"/>
  <c r="AJ27" i="30"/>
  <c r="AJ28" i="30"/>
  <c r="AK30" i="30"/>
  <c r="AK28" i="30"/>
  <c r="AK27" i="30"/>
  <c r="AL28" i="30"/>
  <c r="AL27" i="30"/>
  <c r="AQ28" i="30"/>
  <c r="AQ30" i="30"/>
  <c r="AQ27" i="30"/>
  <c r="AP27" i="30"/>
  <c r="AP28" i="30"/>
  <c r="AT28" i="30"/>
  <c r="AT27" i="30"/>
  <c r="P309" i="30"/>
  <c r="AO18" i="30" l="1"/>
  <c r="AO17" i="30"/>
  <c r="AO11" i="30"/>
  <c r="AO15" i="30"/>
  <c r="AO6" i="30"/>
  <c r="AO12" i="30"/>
  <c r="AO20" i="30"/>
  <c r="AO10" i="30"/>
  <c r="AO14" i="30"/>
  <c r="AO21" i="30"/>
  <c r="AO16" i="30"/>
  <c r="AO8" i="30"/>
  <c r="AO13" i="30"/>
  <c r="AO22" i="30"/>
  <c r="AO19" i="30"/>
  <c r="AO23" i="30"/>
  <c r="AO7" i="30"/>
  <c r="AO9" i="30"/>
  <c r="AR22" i="30"/>
  <c r="AR17" i="30"/>
  <c r="AR6" i="30"/>
  <c r="AR20" i="30"/>
  <c r="AR14" i="30"/>
  <c r="AR18" i="30"/>
  <c r="AR12" i="30"/>
  <c r="AR23" i="30"/>
  <c r="AR21" i="30"/>
  <c r="AR13" i="30"/>
  <c r="AR10" i="30"/>
  <c r="AR7" i="30"/>
  <c r="AR15" i="30"/>
  <c r="AR19" i="30"/>
  <c r="AR16" i="30"/>
  <c r="AR8" i="30"/>
  <c r="AR9" i="30"/>
  <c r="AR11" i="30"/>
  <c r="AJ22" i="30"/>
  <c r="AJ17" i="30"/>
  <c r="AJ11" i="30"/>
  <c r="AJ13" i="30"/>
  <c r="AJ15" i="30"/>
  <c r="AJ6" i="30"/>
  <c r="AJ7" i="30"/>
  <c r="AJ18" i="30"/>
  <c r="AJ14" i="30"/>
  <c r="AJ10" i="30"/>
  <c r="AJ12" i="30"/>
  <c r="AJ23" i="30"/>
  <c r="AJ21" i="30"/>
  <c r="AJ20" i="30"/>
  <c r="AJ8" i="30"/>
  <c r="AJ9" i="30"/>
  <c r="AJ19" i="30"/>
  <c r="AJ16" i="30"/>
  <c r="AL17" i="30"/>
  <c r="AL16" i="30"/>
  <c r="AL12" i="30"/>
  <c r="AL6" i="30"/>
  <c r="AL20" i="30"/>
  <c r="AL18" i="30"/>
  <c r="AL14" i="30"/>
  <c r="AL23" i="30"/>
  <c r="AL9" i="30"/>
  <c r="AL8" i="30"/>
  <c r="AL19" i="30"/>
  <c r="AL22" i="30"/>
  <c r="AL21" i="30"/>
  <c r="AL13" i="30"/>
  <c r="AL15" i="30"/>
  <c r="AL7" i="30"/>
  <c r="AL11" i="30"/>
  <c r="AL10" i="30"/>
  <c r="AQ10" i="30"/>
  <c r="AQ22" i="30"/>
  <c r="AQ20" i="30"/>
  <c r="AQ11" i="30"/>
  <c r="AQ9" i="30"/>
  <c r="AQ8" i="30"/>
  <c r="AQ14" i="30"/>
  <c r="AQ13" i="30"/>
  <c r="AQ12" i="30"/>
  <c r="AQ21" i="30"/>
  <c r="AQ15" i="30"/>
  <c r="AQ18" i="30"/>
  <c r="AQ17" i="30"/>
  <c r="AQ6" i="30"/>
  <c r="AQ7" i="30"/>
  <c r="AQ19" i="30"/>
  <c r="AQ16" i="30"/>
  <c r="AQ23" i="30"/>
  <c r="AP17" i="30"/>
  <c r="AP16" i="30"/>
  <c r="AP12" i="30"/>
  <c r="AP11" i="30"/>
  <c r="AP20" i="30"/>
  <c r="AP6" i="30"/>
  <c r="AP14" i="30"/>
  <c r="AP23" i="30"/>
  <c r="AP9" i="30"/>
  <c r="AP18" i="30"/>
  <c r="AP8" i="30"/>
  <c r="AP21" i="30"/>
  <c r="AP13" i="30"/>
  <c r="AP15" i="30"/>
  <c r="AP7" i="30"/>
  <c r="AP10" i="30"/>
  <c r="AP19" i="30"/>
  <c r="AP22" i="30"/>
  <c r="E213" i="5" l="1"/>
  <c r="E214" i="5"/>
  <c r="E215" i="5"/>
  <c r="E216" i="5"/>
  <c r="E217" i="5"/>
  <c r="E218" i="5"/>
  <c r="E219" i="5"/>
  <c r="E212" i="5"/>
  <c r="K157" i="5"/>
  <c r="K158" i="5"/>
  <c r="K159" i="5"/>
  <c r="K160" i="5"/>
  <c r="K156" i="5"/>
  <c r="K150" i="5"/>
  <c r="K151" i="5"/>
  <c r="K152" i="5"/>
  <c r="K153" i="5"/>
  <c r="K154" i="5"/>
  <c r="K155" i="5"/>
  <c r="K149" i="5"/>
  <c r="K142" i="5"/>
  <c r="K143" i="5"/>
  <c r="K144" i="5"/>
  <c r="K145" i="5"/>
  <c r="K146" i="5"/>
  <c r="K147" i="5"/>
  <c r="K148" i="5"/>
  <c r="K141" i="5"/>
  <c r="AU28" i="30" l="1"/>
  <c r="AU27" i="30"/>
  <c r="C4" i="14"/>
  <c r="D218" i="5"/>
  <c r="D214" i="5"/>
  <c r="D217" i="5"/>
  <c r="D213" i="5"/>
  <c r="D216" i="5"/>
  <c r="D212" i="5"/>
  <c r="D219" i="5"/>
  <c r="D215" i="5"/>
  <c r="AI230" i="7"/>
  <c r="AI231" i="7"/>
  <c r="AE230" i="7"/>
  <c r="AE231" i="7"/>
  <c r="AA237" i="7"/>
  <c r="AA238" i="7"/>
  <c r="W238" i="7"/>
  <c r="W239" i="7"/>
  <c r="S237" i="7"/>
  <c r="S238" i="7"/>
  <c r="S221" i="7"/>
  <c r="S222" i="7"/>
  <c r="W222" i="7"/>
  <c r="W223" i="7"/>
  <c r="AA221" i="7"/>
  <c r="AA222" i="7"/>
  <c r="AE214" i="7"/>
  <c r="AE215" i="7"/>
  <c r="AI214" i="7"/>
  <c r="AI215" i="7"/>
  <c r="AI198" i="7"/>
  <c r="AI199" i="7"/>
  <c r="AE198" i="7"/>
  <c r="AE199" i="7"/>
  <c r="AA205" i="7"/>
  <c r="AA206" i="7"/>
  <c r="W206" i="7"/>
  <c r="W207" i="7"/>
  <c r="S205" i="7"/>
  <c r="S206" i="7"/>
  <c r="W237" i="7"/>
  <c r="AA236" i="7"/>
  <c r="W236" i="7"/>
  <c r="S236" i="7"/>
  <c r="AA235" i="7"/>
  <c r="W235" i="7"/>
  <c r="S235" i="7"/>
  <c r="AA234" i="7"/>
  <c r="W234" i="7"/>
  <c r="S234" i="7"/>
  <c r="AA233" i="7"/>
  <c r="W233" i="7"/>
  <c r="S233" i="7"/>
  <c r="AA232" i="7"/>
  <c r="W232" i="7"/>
  <c r="S232" i="7"/>
  <c r="AA231" i="7"/>
  <c r="W231" i="7"/>
  <c r="S231" i="7"/>
  <c r="AA230" i="7"/>
  <c r="W230" i="7"/>
  <c r="S230" i="7"/>
  <c r="AI229" i="7"/>
  <c r="AE229" i="7"/>
  <c r="AA229" i="7"/>
  <c r="W229" i="7"/>
  <c r="S229" i="7"/>
  <c r="AI228" i="7"/>
  <c r="AE228" i="7"/>
  <c r="AA228" i="7"/>
  <c r="W228" i="7"/>
  <c r="S228" i="7"/>
  <c r="AI227" i="7"/>
  <c r="AE227" i="7"/>
  <c r="AA227" i="7"/>
  <c r="W227" i="7"/>
  <c r="S227" i="7"/>
  <c r="AI226" i="7"/>
  <c r="AE226" i="7"/>
  <c r="AA226" i="7"/>
  <c r="W226" i="7"/>
  <c r="S226" i="7"/>
  <c r="S210" i="7"/>
  <c r="W210" i="7"/>
  <c r="AA210" i="7"/>
  <c r="AE210" i="7"/>
  <c r="AI210" i="7"/>
  <c r="S211" i="7"/>
  <c r="W211" i="7"/>
  <c r="AA211" i="7"/>
  <c r="AE211" i="7"/>
  <c r="AI211" i="7"/>
  <c r="S212" i="7"/>
  <c r="W212" i="7"/>
  <c r="AA212" i="7"/>
  <c r="AE212" i="7"/>
  <c r="AI212" i="7"/>
  <c r="S213" i="7"/>
  <c r="W213" i="7"/>
  <c r="AA213" i="7"/>
  <c r="AE213" i="7"/>
  <c r="AI213" i="7"/>
  <c r="S214" i="7"/>
  <c r="W214" i="7"/>
  <c r="AA214" i="7"/>
  <c r="S215" i="7"/>
  <c r="W215" i="7"/>
  <c r="AA215" i="7"/>
  <c r="S216" i="7"/>
  <c r="W216" i="7"/>
  <c r="AA216" i="7"/>
  <c r="S217" i="7"/>
  <c r="W217" i="7"/>
  <c r="AA217" i="7"/>
  <c r="S218" i="7"/>
  <c r="W218" i="7"/>
  <c r="AA218" i="7"/>
  <c r="S219" i="7"/>
  <c r="W219" i="7"/>
  <c r="AA219" i="7"/>
  <c r="S220" i="7"/>
  <c r="W220" i="7"/>
  <c r="AA220" i="7"/>
  <c r="W221" i="7"/>
  <c r="Q27" i="25" l="1"/>
  <c r="Q26" i="25"/>
  <c r="Q26" i="24"/>
  <c r="Q27" i="24"/>
  <c r="Q17" i="30"/>
  <c r="Q27" i="26"/>
  <c r="Q26" i="26"/>
  <c r="Q26" i="21"/>
  <c r="Q27" i="21"/>
  <c r="Q27" i="27"/>
  <c r="Q26" i="27"/>
  <c r="Q26" i="23"/>
  <c r="Q27" i="23"/>
  <c r="Q17" i="28"/>
  <c r="Q26" i="22"/>
  <c r="Q27" i="22"/>
  <c r="O27" i="22"/>
  <c r="Q17" i="23"/>
  <c r="Q17" i="21"/>
  <c r="O26" i="24"/>
  <c r="O27" i="24"/>
  <c r="O17" i="24"/>
  <c r="Q17" i="29"/>
  <c r="O27" i="21"/>
  <c r="Q17" i="22"/>
  <c r="Q17" i="27"/>
  <c r="O17" i="21"/>
  <c r="O26" i="21"/>
  <c r="O27" i="23"/>
  <c r="Q17" i="26"/>
  <c r="Q17" i="25"/>
  <c r="O27" i="25"/>
  <c r="O26" i="25"/>
  <c r="O17" i="25"/>
  <c r="O17" i="23"/>
  <c r="O26" i="23"/>
  <c r="Q17" i="2"/>
  <c r="O26" i="22"/>
  <c r="O17" i="22"/>
  <c r="Q17" i="24"/>
  <c r="O26" i="26"/>
  <c r="O17" i="26"/>
  <c r="O27" i="26"/>
  <c r="O27" i="27"/>
  <c r="O17" i="27"/>
  <c r="O26" i="27"/>
  <c r="O17" i="28"/>
  <c r="O26" i="28"/>
  <c r="O27" i="28"/>
  <c r="O27" i="29"/>
  <c r="O26" i="29"/>
  <c r="O17" i="29"/>
  <c r="O27" i="2"/>
  <c r="O26" i="2"/>
  <c r="O17" i="2"/>
  <c r="O17" i="30"/>
  <c r="O27" i="30"/>
  <c r="O26" i="30"/>
  <c r="AU20" i="30"/>
  <c r="AU16" i="30"/>
  <c r="AU23" i="30"/>
  <c r="AU15" i="30"/>
  <c r="AU22" i="30"/>
  <c r="AU18" i="30"/>
  <c r="AU21" i="30"/>
  <c r="AU14" i="30"/>
  <c r="AU9" i="30"/>
  <c r="AU7" i="30"/>
  <c r="AU12" i="30"/>
  <c r="AU6" i="30"/>
  <c r="AU19" i="30"/>
  <c r="AU17" i="30"/>
  <c r="AU11" i="30"/>
  <c r="AU10" i="30"/>
  <c r="AU8" i="30"/>
  <c r="AU13" i="30"/>
  <c r="AH227" i="7"/>
  <c r="AH228" i="7"/>
  <c r="AH231" i="7"/>
  <c r="AH229" i="7"/>
  <c r="AH230" i="7"/>
  <c r="AD226" i="7"/>
  <c r="AH226" i="7"/>
  <c r="AD227" i="7"/>
  <c r="AD230" i="7"/>
  <c r="AD229" i="7"/>
  <c r="AD231" i="7"/>
  <c r="AD228" i="7"/>
  <c r="Z228" i="7"/>
  <c r="V229" i="7"/>
  <c r="V231" i="7"/>
  <c r="Z236" i="7"/>
  <c r="Z229" i="7"/>
  <c r="Z231" i="7"/>
  <c r="Z235" i="7"/>
  <c r="Z227" i="7"/>
  <c r="Z233" i="7"/>
  <c r="Z237" i="7"/>
  <c r="Z232" i="7"/>
  <c r="Z238" i="7"/>
  <c r="Z234" i="7"/>
  <c r="Z230" i="7"/>
  <c r="Z226" i="7"/>
  <c r="V237" i="7"/>
  <c r="V235" i="7"/>
  <c r="V239" i="7"/>
  <c r="V233" i="7"/>
  <c r="V234" i="7"/>
  <c r="V232" i="7"/>
  <c r="V236" i="7"/>
  <c r="V230" i="7"/>
  <c r="R226" i="7"/>
  <c r="V238" i="7"/>
  <c r="V228" i="7"/>
  <c r="V226" i="7"/>
  <c r="V227" i="7"/>
  <c r="R238" i="7"/>
  <c r="R229" i="7"/>
  <c r="R237" i="7"/>
  <c r="R230" i="7"/>
  <c r="R234" i="7"/>
  <c r="R227" i="7"/>
  <c r="R233" i="7"/>
  <c r="R231" i="7"/>
  <c r="R236" i="7"/>
  <c r="R232" i="7"/>
  <c r="R228" i="7"/>
  <c r="R235" i="7"/>
  <c r="V220" i="7"/>
  <c r="R219" i="7"/>
  <c r="R215" i="7"/>
  <c r="R213" i="7"/>
  <c r="R220" i="7"/>
  <c r="R216" i="7"/>
  <c r="R212" i="7"/>
  <c r="R221" i="7"/>
  <c r="R222" i="7"/>
  <c r="R217" i="7"/>
  <c r="R214" i="7"/>
  <c r="R211" i="7"/>
  <c r="R218" i="7"/>
  <c r="V219" i="7"/>
  <c r="R210" i="7"/>
  <c r="V217" i="7"/>
  <c r="V211" i="7"/>
  <c r="V216" i="7"/>
  <c r="V221" i="7"/>
  <c r="V223" i="7"/>
  <c r="V215" i="7"/>
  <c r="V213" i="7"/>
  <c r="V212" i="7"/>
  <c r="V218" i="7"/>
  <c r="V222" i="7"/>
  <c r="Z216" i="7"/>
  <c r="V214" i="7"/>
  <c r="Z220" i="7"/>
  <c r="V210" i="7"/>
  <c r="Z221" i="7"/>
  <c r="Z212" i="7"/>
  <c r="Z217" i="7"/>
  <c r="Z219" i="7"/>
  <c r="Z215" i="7"/>
  <c r="Z213" i="7"/>
  <c r="Z222" i="7"/>
  <c r="Z210" i="7"/>
  <c r="Z214" i="7"/>
  <c r="Z218" i="7"/>
  <c r="AD211" i="7"/>
  <c r="Z211" i="7"/>
  <c r="AD213" i="7"/>
  <c r="AD212" i="7"/>
  <c r="AD215" i="7"/>
  <c r="AD214" i="7"/>
  <c r="AH210" i="7"/>
  <c r="AD210" i="7"/>
  <c r="AH212" i="7"/>
  <c r="AH214" i="7"/>
  <c r="AH213" i="7"/>
  <c r="AH211" i="7"/>
  <c r="AH215" i="7"/>
  <c r="BC46" i="7"/>
  <c r="BC45" i="7"/>
  <c r="BC44" i="7"/>
  <c r="BC43" i="7"/>
  <c r="BC42" i="7"/>
  <c r="BC41" i="7"/>
  <c r="BC40" i="7"/>
  <c r="BC37" i="7"/>
  <c r="BC36" i="7"/>
  <c r="BC35" i="7"/>
  <c r="BC34" i="7"/>
  <c r="BC33" i="7"/>
  <c r="BC32" i="7"/>
  <c r="BC31" i="7"/>
  <c r="BC30" i="7"/>
  <c r="BC29" i="7"/>
  <c r="BC28" i="7"/>
  <c r="BC27" i="7"/>
  <c r="BC26" i="7"/>
  <c r="BC25" i="7"/>
  <c r="BC24" i="7"/>
  <c r="BC23" i="7"/>
  <c r="BC22" i="7"/>
  <c r="BC21" i="7"/>
  <c r="BC20" i="7"/>
  <c r="BC19" i="7"/>
  <c r="E187" i="5"/>
  <c r="E186" i="5"/>
  <c r="E185" i="5"/>
  <c r="E184" i="5"/>
  <c r="E183" i="5"/>
  <c r="E182" i="5"/>
  <c r="E181" i="5"/>
  <c r="E180" i="5"/>
  <c r="E179" i="5"/>
  <c r="E178" i="5"/>
  <c r="E177" i="5"/>
  <c r="E176" i="5"/>
  <c r="E175" i="5"/>
  <c r="E174" i="5"/>
  <c r="E173" i="5"/>
  <c r="E172" i="5"/>
  <c r="E171" i="5"/>
  <c r="E170" i="5"/>
  <c r="E169" i="5"/>
  <c r="E168" i="5"/>
  <c r="E167" i="5"/>
  <c r="E166" i="5"/>
  <c r="E165" i="5"/>
  <c r="E164" i="5"/>
  <c r="E161" i="5"/>
  <c r="E160" i="5"/>
  <c r="E159" i="5"/>
  <c r="E158" i="5"/>
  <c r="E157" i="5"/>
  <c r="E156" i="5"/>
  <c r="E155" i="5"/>
  <c r="E154" i="5"/>
  <c r="E153" i="5"/>
  <c r="E152" i="5"/>
  <c r="E151" i="5"/>
  <c r="E150" i="5"/>
  <c r="E149" i="5"/>
  <c r="E148" i="5"/>
  <c r="E147" i="5"/>
  <c r="E146" i="5"/>
  <c r="E145" i="5"/>
  <c r="E144" i="5"/>
  <c r="E143" i="5"/>
  <c r="E142" i="5"/>
  <c r="E141" i="5"/>
  <c r="E138" i="5"/>
  <c r="E137" i="5"/>
  <c r="E136" i="5"/>
  <c r="E135" i="5"/>
  <c r="E134" i="5"/>
  <c r="E133" i="5"/>
  <c r="E132" i="5"/>
  <c r="E131" i="5"/>
  <c r="E130" i="5"/>
  <c r="E129" i="5"/>
  <c r="E128" i="5"/>
  <c r="E127" i="5"/>
  <c r="E126" i="5"/>
  <c r="E125" i="5"/>
  <c r="E124" i="5"/>
  <c r="E123" i="5"/>
  <c r="E122" i="5"/>
  <c r="E119" i="5"/>
  <c r="E118" i="5"/>
  <c r="E117" i="5"/>
  <c r="E116" i="5"/>
  <c r="E115" i="5"/>
  <c r="E114" i="5"/>
  <c r="E113" i="5"/>
  <c r="E112" i="5"/>
  <c r="E111" i="5"/>
  <c r="E110" i="5"/>
  <c r="E109" i="5"/>
  <c r="E108" i="5"/>
  <c r="E107" i="5"/>
  <c r="E106" i="5"/>
  <c r="E103" i="5"/>
  <c r="E102" i="5"/>
  <c r="E101" i="5"/>
  <c r="E100" i="5"/>
  <c r="E99" i="5"/>
  <c r="E98" i="5"/>
  <c r="E97" i="5"/>
  <c r="E96" i="5"/>
  <c r="E95" i="5"/>
  <c r="E94" i="5"/>
  <c r="E93" i="5"/>
  <c r="E79" i="5"/>
  <c r="E80" i="5"/>
  <c r="E81" i="5"/>
  <c r="E82" i="5"/>
  <c r="E83" i="5"/>
  <c r="E84" i="5"/>
  <c r="E85" i="5"/>
  <c r="E78" i="5"/>
  <c r="R178" i="5"/>
  <c r="R179" i="5"/>
  <c r="R180" i="5"/>
  <c r="R181" i="5"/>
  <c r="R182" i="5"/>
  <c r="R183" i="5"/>
  <c r="R184" i="5"/>
  <c r="R185" i="5"/>
  <c r="R186" i="5"/>
  <c r="R187" i="5"/>
  <c r="R188" i="5"/>
  <c r="R189" i="5"/>
  <c r="R190" i="5"/>
  <c r="R191" i="5"/>
  <c r="R192" i="5"/>
  <c r="R193" i="5"/>
  <c r="R194" i="5"/>
  <c r="R195" i="5"/>
  <c r="R196" i="5"/>
  <c r="R197" i="5"/>
  <c r="R198" i="5"/>
  <c r="R199" i="5"/>
  <c r="R200" i="5"/>
  <c r="R201" i="5"/>
  <c r="R202" i="5"/>
  <c r="R203" i="5"/>
  <c r="R204" i="5"/>
  <c r="R205" i="5"/>
  <c r="R206" i="5"/>
  <c r="R207" i="5"/>
  <c r="R208" i="5"/>
  <c r="R209" i="5"/>
  <c r="R210" i="5"/>
  <c r="R211" i="5"/>
  <c r="R212" i="5"/>
  <c r="R213" i="5"/>
  <c r="R214" i="5"/>
  <c r="R215" i="5"/>
  <c r="R216" i="5"/>
  <c r="R217" i="5"/>
  <c r="R218" i="5"/>
  <c r="R219" i="5"/>
  <c r="R220" i="5"/>
  <c r="R177" i="5"/>
  <c r="J138" i="5"/>
  <c r="J137" i="5"/>
  <c r="J136" i="5"/>
  <c r="J134" i="5"/>
  <c r="J133" i="5"/>
  <c r="J132" i="5"/>
  <c r="J131" i="5"/>
  <c r="J120" i="5"/>
  <c r="J121" i="5"/>
  <c r="J122" i="5"/>
  <c r="J129" i="5"/>
  <c r="J123" i="5"/>
  <c r="J124" i="5"/>
  <c r="J125" i="5"/>
  <c r="J126" i="5"/>
  <c r="J128" i="5"/>
  <c r="J41" i="5"/>
  <c r="J42" i="5"/>
  <c r="J43" i="5"/>
  <c r="J44" i="5"/>
  <c r="J45" i="5"/>
  <c r="J46" i="5"/>
  <c r="J47" i="5"/>
  <c r="J48" i="5"/>
  <c r="J49" i="5"/>
  <c r="J50" i="5"/>
  <c r="J51" i="5"/>
  <c r="J52" i="5"/>
  <c r="J53" i="5"/>
  <c r="J54" i="5"/>
  <c r="J55" i="5"/>
  <c r="J40" i="5"/>
  <c r="E49" i="5"/>
  <c r="E50" i="5"/>
  <c r="E51" i="5"/>
  <c r="E52" i="5"/>
  <c r="E53" i="5"/>
  <c r="E48" i="5"/>
  <c r="C38" i="24" l="1"/>
  <c r="O38" i="24" s="1"/>
  <c r="P38" i="24" s="1"/>
  <c r="O100" i="24" s="1"/>
  <c r="C40" i="24"/>
  <c r="O40" i="24" s="1"/>
  <c r="P40" i="24" s="1"/>
  <c r="C40" i="21"/>
  <c r="O40" i="21" s="1"/>
  <c r="P40" i="21" s="1"/>
  <c r="C38" i="21"/>
  <c r="O38" i="21" s="1"/>
  <c r="P38" i="21" s="1"/>
  <c r="O100" i="21" s="1"/>
  <c r="C40" i="25"/>
  <c r="O40" i="25" s="1"/>
  <c r="P40" i="25" s="1"/>
  <c r="C38" i="25"/>
  <c r="O38" i="25" s="1"/>
  <c r="P38" i="25" s="1"/>
  <c r="O100" i="25" s="1"/>
  <c r="C38" i="23"/>
  <c r="O38" i="23" s="1"/>
  <c r="P38" i="23" s="1"/>
  <c r="O100" i="23" s="1"/>
  <c r="C40" i="23"/>
  <c r="O40" i="23" s="1"/>
  <c r="P40" i="23" s="1"/>
  <c r="C38" i="22"/>
  <c r="O38" i="22" s="1"/>
  <c r="P38" i="22" s="1"/>
  <c r="O100" i="22" s="1"/>
  <c r="C40" i="22"/>
  <c r="O40" i="22" s="1"/>
  <c r="P40" i="22" s="1"/>
  <c r="C38" i="26"/>
  <c r="O38" i="26" s="1"/>
  <c r="P38" i="26" s="1"/>
  <c r="O100" i="26" s="1"/>
  <c r="C40" i="26"/>
  <c r="O40" i="26" s="1"/>
  <c r="P40" i="26" s="1"/>
  <c r="C38" i="27"/>
  <c r="O38" i="27" s="1"/>
  <c r="P38" i="27" s="1"/>
  <c r="O100" i="27" s="1"/>
  <c r="C40" i="27"/>
  <c r="O40" i="27" s="1"/>
  <c r="P40" i="27" s="1"/>
  <c r="C38" i="28"/>
  <c r="O38" i="28" s="1"/>
  <c r="P38" i="28" s="1"/>
  <c r="O100" i="28" s="1"/>
  <c r="C40" i="28"/>
  <c r="O40" i="28" s="1"/>
  <c r="P40" i="28" s="1"/>
  <c r="C38" i="29"/>
  <c r="O38" i="29" s="1"/>
  <c r="P38" i="29" s="1"/>
  <c r="O100" i="29" s="1"/>
  <c r="C40" i="29"/>
  <c r="O40" i="29" s="1"/>
  <c r="P40" i="29" s="1"/>
  <c r="C38" i="2"/>
  <c r="O38" i="2" s="1"/>
  <c r="P38" i="2" s="1"/>
  <c r="O100" i="2" s="1"/>
  <c r="C40" i="2"/>
  <c r="O40" i="2" s="1"/>
  <c r="P40" i="2" s="1"/>
  <c r="C40" i="30"/>
  <c r="O40" i="30" s="1"/>
  <c r="P40" i="30" s="1"/>
  <c r="C38" i="30"/>
  <c r="O38" i="30" s="1"/>
  <c r="P38" i="30" s="1"/>
  <c r="O100" i="30" s="1"/>
  <c r="BB44" i="7"/>
  <c r="BB41" i="7"/>
  <c r="BB45" i="7"/>
  <c r="BB42" i="7"/>
  <c r="BB46" i="7"/>
  <c r="BB43" i="7"/>
  <c r="BB40" i="7"/>
  <c r="BB20" i="7"/>
  <c r="BB31" i="7"/>
  <c r="BB21" i="7"/>
  <c r="BB25" i="7"/>
  <c r="BB29" i="7"/>
  <c r="BB37" i="7"/>
  <c r="BB22" i="7"/>
  <c r="BB26" i="7"/>
  <c r="BB30" i="7"/>
  <c r="BB34" i="7"/>
  <c r="BB24" i="7"/>
  <c r="BB28" i="7"/>
  <c r="BB32" i="7"/>
  <c r="BB36" i="7"/>
  <c r="BB33" i="7"/>
  <c r="BB23" i="7"/>
  <c r="BB35" i="7"/>
  <c r="BB27" i="7"/>
  <c r="BB19" i="7"/>
  <c r="D178" i="5"/>
  <c r="D165" i="5"/>
  <c r="D170" i="5"/>
  <c r="D174" i="5"/>
  <c r="D182" i="5"/>
  <c r="D186" i="5"/>
  <c r="D167" i="5"/>
  <c r="D171" i="5"/>
  <c r="D175" i="5"/>
  <c r="D179" i="5"/>
  <c r="D183" i="5"/>
  <c r="D187" i="5"/>
  <c r="D185" i="5"/>
  <c r="D181" i="5"/>
  <c r="D173" i="5"/>
  <c r="D169" i="5"/>
  <c r="D184" i="5"/>
  <c r="D180" i="5"/>
  <c r="D176" i="5"/>
  <c r="D172" i="5"/>
  <c r="D168" i="5"/>
  <c r="D164" i="5"/>
  <c r="D166" i="5"/>
  <c r="D177" i="5"/>
  <c r="D143" i="5"/>
  <c r="D147" i="5"/>
  <c r="D155" i="5"/>
  <c r="D160" i="5"/>
  <c r="D151" i="5"/>
  <c r="D159" i="5"/>
  <c r="D144" i="5"/>
  <c r="D148" i="5"/>
  <c r="D152" i="5"/>
  <c r="D156" i="5"/>
  <c r="D141" i="5"/>
  <c r="D146" i="5"/>
  <c r="D150" i="5"/>
  <c r="D154" i="5"/>
  <c r="D158" i="5"/>
  <c r="D153" i="5"/>
  <c r="D157" i="5"/>
  <c r="D149" i="5"/>
  <c r="D161" i="5"/>
  <c r="D145" i="5"/>
  <c r="D142" i="5"/>
  <c r="D125" i="5"/>
  <c r="D129" i="5"/>
  <c r="D133" i="5"/>
  <c r="D137" i="5"/>
  <c r="D122" i="5"/>
  <c r="D126" i="5"/>
  <c r="D130" i="5"/>
  <c r="D134" i="5"/>
  <c r="D138" i="5"/>
  <c r="D123" i="5"/>
  <c r="D127" i="5"/>
  <c r="D131" i="5"/>
  <c r="D135" i="5"/>
  <c r="D124" i="5"/>
  <c r="D128" i="5"/>
  <c r="D132" i="5"/>
  <c r="D136" i="5"/>
  <c r="D111" i="5"/>
  <c r="D119" i="5"/>
  <c r="D108" i="5"/>
  <c r="D112" i="5"/>
  <c r="D116" i="5"/>
  <c r="D107" i="5"/>
  <c r="D115" i="5"/>
  <c r="D109" i="5"/>
  <c r="D113" i="5"/>
  <c r="D117" i="5"/>
  <c r="D114" i="5"/>
  <c r="D110" i="5"/>
  <c r="D118" i="5"/>
  <c r="D106" i="5"/>
  <c r="D94" i="5"/>
  <c r="D95" i="5"/>
  <c r="D98" i="5"/>
  <c r="D102" i="5"/>
  <c r="D99" i="5"/>
  <c r="D103" i="5"/>
  <c r="D101" i="5"/>
  <c r="D100" i="5"/>
  <c r="D97" i="5"/>
  <c r="D93" i="5"/>
  <c r="D96" i="5"/>
  <c r="D85" i="5"/>
  <c r="D81" i="5"/>
  <c r="D84" i="5"/>
  <c r="D80" i="5"/>
  <c r="D83" i="5"/>
  <c r="D79" i="5"/>
  <c r="D82" i="5"/>
  <c r="D78" i="5"/>
  <c r="Q177" i="5"/>
  <c r="Q217" i="5"/>
  <c r="Q209" i="5"/>
  <c r="Q197" i="5"/>
  <c r="Q189" i="5"/>
  <c r="Q181" i="5"/>
  <c r="Q220" i="5"/>
  <c r="Q216" i="5"/>
  <c r="Q212" i="5"/>
  <c r="Q208" i="5"/>
  <c r="Q204" i="5"/>
  <c r="Q200" i="5"/>
  <c r="Q196" i="5"/>
  <c r="Q192" i="5"/>
  <c r="Q188" i="5"/>
  <c r="Q184" i="5"/>
  <c r="Q180" i="5"/>
  <c r="Q213" i="5"/>
  <c r="Q201" i="5"/>
  <c r="Q185" i="5"/>
  <c r="Q219" i="5"/>
  <c r="Q215" i="5"/>
  <c r="Q211" i="5"/>
  <c r="Q207" i="5"/>
  <c r="Q203" i="5"/>
  <c r="Q199" i="5"/>
  <c r="Q195" i="5"/>
  <c r="Q191" i="5"/>
  <c r="Q187" i="5"/>
  <c r="Q183" i="5"/>
  <c r="Q179" i="5"/>
  <c r="Q205" i="5"/>
  <c r="Q193" i="5"/>
  <c r="Q218" i="5"/>
  <c r="Q214" i="5"/>
  <c r="Q210" i="5"/>
  <c r="Q206" i="5"/>
  <c r="Q202" i="5"/>
  <c r="Q198" i="5"/>
  <c r="Q194" i="5"/>
  <c r="Q190" i="5"/>
  <c r="Q186" i="5"/>
  <c r="Q182" i="5"/>
  <c r="Q178" i="5"/>
  <c r="I129" i="5"/>
  <c r="I128" i="5"/>
  <c r="I137" i="5"/>
  <c r="I136" i="5"/>
  <c r="I138" i="5"/>
  <c r="I132" i="5"/>
  <c r="I131" i="5"/>
  <c r="I134" i="5"/>
  <c r="I133" i="5"/>
  <c r="I126" i="5"/>
  <c r="I125" i="5"/>
  <c r="I122" i="5"/>
  <c r="I124" i="5"/>
  <c r="I121" i="5"/>
  <c r="I123" i="5"/>
  <c r="I120" i="5"/>
  <c r="I52" i="5"/>
  <c r="I55" i="5"/>
  <c r="I51" i="5"/>
  <c r="I49" i="5"/>
  <c r="I47" i="5"/>
  <c r="I50" i="5"/>
  <c r="I46" i="5"/>
  <c r="I42" i="5"/>
  <c r="I41" i="5"/>
  <c r="I43" i="5"/>
  <c r="I54" i="5"/>
  <c r="I53" i="5"/>
  <c r="I45" i="5"/>
  <c r="I40" i="5"/>
  <c r="I48" i="5"/>
  <c r="I44" i="5"/>
  <c r="D51" i="5"/>
  <c r="D48" i="5"/>
  <c r="D52" i="5"/>
  <c r="D50" i="5"/>
  <c r="D49" i="5"/>
  <c r="D53" i="5"/>
  <c r="BC3" i="7"/>
  <c r="BC4" i="7"/>
  <c r="BC5" i="7"/>
  <c r="BC6" i="7"/>
  <c r="BC7" i="7"/>
  <c r="BC8" i="7"/>
  <c r="BC9" i="7"/>
  <c r="BC10" i="7"/>
  <c r="BC11" i="7"/>
  <c r="BC12" i="7"/>
  <c r="BC13" i="7"/>
  <c r="BC14" i="7"/>
  <c r="BC15" i="7"/>
  <c r="BC16" i="7"/>
  <c r="BC2" i="7"/>
  <c r="S20" i="30" l="1"/>
  <c r="Q22" i="26"/>
  <c r="Q16" i="30"/>
  <c r="P148" i="30" s="1"/>
  <c r="Q15" i="30"/>
  <c r="O25" i="2"/>
  <c r="O25" i="26"/>
  <c r="Q21" i="26"/>
  <c r="Q21" i="25"/>
  <c r="Q22" i="25"/>
  <c r="O25" i="22"/>
  <c r="O25" i="27"/>
  <c r="Q22" i="22"/>
  <c r="O25" i="25"/>
  <c r="Q16" i="28"/>
  <c r="P148" i="28" s="1"/>
  <c r="Q21" i="24"/>
  <c r="Q19" i="24"/>
  <c r="Q20" i="24"/>
  <c r="Q22" i="24"/>
  <c r="O23" i="26"/>
  <c r="Q22" i="28"/>
  <c r="Q20" i="25"/>
  <c r="Q20" i="26"/>
  <c r="Q16" i="21"/>
  <c r="B154" i="21" s="1"/>
  <c r="Q16" i="24"/>
  <c r="B154" i="24" s="1"/>
  <c r="Q15" i="24"/>
  <c r="Q20" i="28"/>
  <c r="Q21" i="28"/>
  <c r="O23" i="2"/>
  <c r="O25" i="23"/>
  <c r="Q21" i="21"/>
  <c r="Q20" i="21"/>
  <c r="Q22" i="21"/>
  <c r="O16" i="24"/>
  <c r="B128" i="24" s="1"/>
  <c r="O21" i="26"/>
  <c r="Q19" i="28"/>
  <c r="Q18" i="24"/>
  <c r="Q16" i="23"/>
  <c r="P148" i="23" s="1"/>
  <c r="Q15" i="23"/>
  <c r="Q16" i="22"/>
  <c r="B154" i="22" s="1"/>
  <c r="O23" i="27"/>
  <c r="O16" i="21"/>
  <c r="B128" i="21" s="1"/>
  <c r="Q18" i="28"/>
  <c r="Q19" i="21"/>
  <c r="Q18" i="21"/>
  <c r="Q20" i="29"/>
  <c r="Q21" i="29"/>
  <c r="Q22" i="29"/>
  <c r="Q20" i="27"/>
  <c r="Q19" i="27"/>
  <c r="Q21" i="27"/>
  <c r="Q18" i="27"/>
  <c r="Q15" i="22"/>
  <c r="P302" i="22" s="1"/>
  <c r="S20" i="21"/>
  <c r="O16" i="26"/>
  <c r="Q19" i="25"/>
  <c r="Q19" i="29"/>
  <c r="Q22" i="23"/>
  <c r="Q20" i="23"/>
  <c r="Q21" i="23"/>
  <c r="Q16" i="2"/>
  <c r="P148" i="2" s="1"/>
  <c r="Q21" i="22"/>
  <c r="AK1" i="24"/>
  <c r="P48" i="24"/>
  <c r="AI9" i="24"/>
  <c r="AF22" i="24"/>
  <c r="P46" i="24"/>
  <c r="O23" i="22"/>
  <c r="S20" i="25"/>
  <c r="O23" i="23"/>
  <c r="O21" i="23"/>
  <c r="Q16" i="29"/>
  <c r="B154" i="29" s="1"/>
  <c r="S20" i="26"/>
  <c r="O16" i="22"/>
  <c r="O22" i="22" s="1"/>
  <c r="AF22" i="21"/>
  <c r="P46" i="21"/>
  <c r="AI9" i="21"/>
  <c r="AK1" i="21"/>
  <c r="P48" i="21"/>
  <c r="Q19" i="22"/>
  <c r="Q20" i="22"/>
  <c r="Q18" i="22"/>
  <c r="Q19" i="23"/>
  <c r="Q19" i="26"/>
  <c r="Q18" i="26"/>
  <c r="S26" i="24"/>
  <c r="Q16" i="27"/>
  <c r="Q15" i="26"/>
  <c r="Q16" i="26"/>
  <c r="O21" i="2"/>
  <c r="O15" i="21"/>
  <c r="S20" i="27"/>
  <c r="Q15" i="28"/>
  <c r="P302" i="28" s="1"/>
  <c r="Q15" i="21"/>
  <c r="O16" i="25"/>
  <c r="B128" i="25" s="1"/>
  <c r="AI9" i="25"/>
  <c r="AF22" i="25"/>
  <c r="P46" i="25"/>
  <c r="AK1" i="25"/>
  <c r="P48" i="25"/>
  <c r="S26" i="21"/>
  <c r="Q16" i="25"/>
  <c r="Q15" i="25"/>
  <c r="O23" i="21"/>
  <c r="O25" i="21"/>
  <c r="O21" i="27"/>
  <c r="O21" i="24"/>
  <c r="O25" i="24"/>
  <c r="O23" i="24"/>
  <c r="Q18" i="25"/>
  <c r="Q18" i="23"/>
  <c r="O15" i="24"/>
  <c r="O21" i="22"/>
  <c r="AK1" i="23"/>
  <c r="P48" i="23"/>
  <c r="O16" i="23"/>
  <c r="O15" i="23"/>
  <c r="AF22" i="23"/>
  <c r="AI9" i="23"/>
  <c r="P46" i="23"/>
  <c r="O21" i="21"/>
  <c r="S26" i="23"/>
  <c r="S25" i="21"/>
  <c r="O25" i="28"/>
  <c r="P48" i="22"/>
  <c r="AK1" i="22"/>
  <c r="AF22" i="22"/>
  <c r="AI9" i="22"/>
  <c r="P46" i="22"/>
  <c r="S20" i="22"/>
  <c r="S26" i="22"/>
  <c r="S25" i="22"/>
  <c r="O15" i="26"/>
  <c r="O15" i="22"/>
  <c r="S20" i="23"/>
  <c r="O15" i="25"/>
  <c r="S25" i="23"/>
  <c r="R20" i="30"/>
  <c r="S20" i="24"/>
  <c r="S26" i="27"/>
  <c r="Q15" i="27"/>
  <c r="S25" i="24"/>
  <c r="AK1" i="26"/>
  <c r="P48" i="26"/>
  <c r="O23" i="28"/>
  <c r="AF22" i="26"/>
  <c r="P46" i="26"/>
  <c r="AI9" i="26"/>
  <c r="Q18" i="30"/>
  <c r="Q152" i="30" s="1"/>
  <c r="Q18" i="29"/>
  <c r="O21" i="25"/>
  <c r="O23" i="25"/>
  <c r="P48" i="27"/>
  <c r="AK1" i="27"/>
  <c r="S26" i="26"/>
  <c r="O16" i="27"/>
  <c r="AI9" i="27"/>
  <c r="P46" i="27"/>
  <c r="AF22" i="27"/>
  <c r="S26" i="28"/>
  <c r="S25" i="26"/>
  <c r="O15" i="27"/>
  <c r="S25" i="25"/>
  <c r="S26" i="25"/>
  <c r="O25" i="29"/>
  <c r="O23" i="29"/>
  <c r="S20" i="29"/>
  <c r="S20" i="28"/>
  <c r="O21" i="28"/>
  <c r="S25" i="27"/>
  <c r="S25" i="28"/>
  <c r="O15" i="28"/>
  <c r="O16" i="28"/>
  <c r="AF22" i="28"/>
  <c r="AI9" i="28"/>
  <c r="P46" i="28"/>
  <c r="AK1" i="28"/>
  <c r="P48" i="28"/>
  <c r="Q15" i="29"/>
  <c r="O16" i="29"/>
  <c r="O22" i="29" s="1"/>
  <c r="P48" i="29"/>
  <c r="AK1" i="29"/>
  <c r="P46" i="29"/>
  <c r="AF22" i="29"/>
  <c r="AI9" i="29"/>
  <c r="S26" i="29"/>
  <c r="Q22" i="2"/>
  <c r="Q21" i="2"/>
  <c r="O15" i="29"/>
  <c r="Q15" i="2"/>
  <c r="S26" i="2"/>
  <c r="S25" i="29"/>
  <c r="S20" i="2"/>
  <c r="O21" i="29"/>
  <c r="S25" i="2"/>
  <c r="O16" i="2"/>
  <c r="Q19" i="2"/>
  <c r="Q20" i="2"/>
  <c r="Q18" i="2"/>
  <c r="AK1" i="2"/>
  <c r="P48" i="2"/>
  <c r="P46" i="2"/>
  <c r="AF22" i="2"/>
  <c r="AI9" i="2"/>
  <c r="O15" i="2"/>
  <c r="S26" i="30"/>
  <c r="O25" i="30"/>
  <c r="O21" i="30"/>
  <c r="O23" i="30"/>
  <c r="R18" i="30"/>
  <c r="R19" i="30"/>
  <c r="S25" i="30"/>
  <c r="O15" i="30"/>
  <c r="O16" i="30"/>
  <c r="AI9" i="30"/>
  <c r="AF22" i="30"/>
  <c r="P46" i="30"/>
  <c r="AK1" i="30"/>
  <c r="P48" i="30"/>
  <c r="BB13" i="7"/>
  <c r="BB9" i="7"/>
  <c r="BB5" i="7"/>
  <c r="BB12" i="7"/>
  <c r="BB8" i="7"/>
  <c r="BB4" i="7"/>
  <c r="BB16" i="7"/>
  <c r="BB11" i="7"/>
  <c r="BB3" i="7"/>
  <c r="BB15" i="7"/>
  <c r="BB7" i="7"/>
  <c r="BB14" i="7"/>
  <c r="BB6" i="7"/>
  <c r="BB10" i="7"/>
  <c r="BB2" i="7"/>
  <c r="P296" i="30" l="1"/>
  <c r="P302" i="30"/>
  <c r="P298" i="30"/>
  <c r="P300" i="30"/>
  <c r="P303" i="30"/>
  <c r="P301" i="30"/>
  <c r="P295" i="30"/>
  <c r="P299" i="30"/>
  <c r="P297" i="30"/>
  <c r="P304" i="30"/>
  <c r="R269" i="30"/>
  <c r="S270" i="30"/>
  <c r="R268" i="30"/>
  <c r="S262" i="30"/>
  <c r="R271" i="30"/>
  <c r="R267" i="30"/>
  <c r="T270" i="30"/>
  <c r="Q269" i="30"/>
  <c r="T266" i="30"/>
  <c r="T269" i="30"/>
  <c r="S264" i="30"/>
  <c r="Q268" i="30"/>
  <c r="S268" i="30"/>
  <c r="S267" i="30"/>
  <c r="T271" i="30"/>
  <c r="R266" i="30"/>
  <c r="S269" i="30"/>
  <c r="Q270" i="30"/>
  <c r="T262" i="30"/>
  <c r="R270" i="30"/>
  <c r="Q267" i="30"/>
  <c r="S266" i="30"/>
  <c r="S265" i="30"/>
  <c r="S263" i="30"/>
  <c r="Q271" i="30"/>
  <c r="T265" i="30"/>
  <c r="S271" i="30"/>
  <c r="Q266" i="30"/>
  <c r="Q264" i="30"/>
  <c r="T264" i="30"/>
  <c r="Q265" i="30"/>
  <c r="R265" i="30"/>
  <c r="T268" i="30"/>
  <c r="T267" i="30"/>
  <c r="T263" i="30"/>
  <c r="P15" i="30"/>
  <c r="B122" i="30" s="1"/>
  <c r="P15" i="26"/>
  <c r="B195" i="26" s="1"/>
  <c r="R15" i="25"/>
  <c r="B262" i="25" s="1"/>
  <c r="R15" i="21"/>
  <c r="R22" i="21" s="1"/>
  <c r="B154" i="28"/>
  <c r="Q155" i="24"/>
  <c r="P148" i="24"/>
  <c r="P148" i="21"/>
  <c r="Q154" i="24"/>
  <c r="O22" i="24"/>
  <c r="O24" i="24"/>
  <c r="P122" i="24"/>
  <c r="P300" i="24"/>
  <c r="P304" i="24"/>
  <c r="P301" i="24"/>
  <c r="P298" i="24"/>
  <c r="P299" i="24"/>
  <c r="P302" i="24"/>
  <c r="P303" i="24"/>
  <c r="P15" i="28"/>
  <c r="B193" i="28" s="1"/>
  <c r="R15" i="28"/>
  <c r="T149" i="28"/>
  <c r="Q151" i="28"/>
  <c r="S148" i="28"/>
  <c r="Q155" i="28"/>
  <c r="Q149" i="28"/>
  <c r="T148" i="28"/>
  <c r="Q154" i="28"/>
  <c r="Q150" i="28"/>
  <c r="Q148" i="28"/>
  <c r="Q153" i="28"/>
  <c r="P148" i="22"/>
  <c r="Q152" i="28"/>
  <c r="P298" i="22"/>
  <c r="O22" i="21"/>
  <c r="O24" i="21"/>
  <c r="B154" i="23"/>
  <c r="Q153" i="24"/>
  <c r="T149" i="24"/>
  <c r="T148" i="24"/>
  <c r="Q152" i="24"/>
  <c r="Q151" i="24"/>
  <c r="Q150" i="24"/>
  <c r="S148" i="24"/>
  <c r="Q148" i="24"/>
  <c r="Q149" i="24"/>
  <c r="Q148" i="30"/>
  <c r="P301" i="23"/>
  <c r="P299" i="23"/>
  <c r="P304" i="23"/>
  <c r="P300" i="23"/>
  <c r="P302" i="23"/>
  <c r="P298" i="23"/>
  <c r="P303" i="23"/>
  <c r="P301" i="22"/>
  <c r="P304" i="22"/>
  <c r="P299" i="22"/>
  <c r="P303" i="22"/>
  <c r="P300" i="22"/>
  <c r="P122" i="21"/>
  <c r="Q155" i="21"/>
  <c r="Q152" i="21"/>
  <c r="Q150" i="21"/>
  <c r="Q151" i="21"/>
  <c r="S148" i="21"/>
  <c r="Q153" i="21"/>
  <c r="Q148" i="21"/>
  <c r="T148" i="21"/>
  <c r="Q154" i="21"/>
  <c r="Q149" i="21"/>
  <c r="T149" i="21"/>
  <c r="P148" i="29"/>
  <c r="B154" i="2"/>
  <c r="Q150" i="27"/>
  <c r="Q151" i="27"/>
  <c r="Q153" i="27"/>
  <c r="T148" i="27"/>
  <c r="T149" i="27"/>
  <c r="Q152" i="27"/>
  <c r="S148" i="27"/>
  <c r="Q148" i="27"/>
  <c r="Q149" i="27"/>
  <c r="P15" i="27"/>
  <c r="B120" i="27" s="1"/>
  <c r="R15" i="27"/>
  <c r="O24" i="26"/>
  <c r="B128" i="26"/>
  <c r="P122" i="26"/>
  <c r="O22" i="26"/>
  <c r="P15" i="29"/>
  <c r="P18" i="29" s="1"/>
  <c r="R100" i="29" s="1"/>
  <c r="R15" i="29"/>
  <c r="P122" i="22"/>
  <c r="P300" i="28"/>
  <c r="P298" i="28"/>
  <c r="P299" i="28"/>
  <c r="P304" i="28"/>
  <c r="P303" i="28"/>
  <c r="O24" i="22"/>
  <c r="B128" i="22"/>
  <c r="Q151" i="22"/>
  <c r="Q155" i="22"/>
  <c r="T148" i="22"/>
  <c r="Q150" i="22"/>
  <c r="Q153" i="22"/>
  <c r="Q149" i="22"/>
  <c r="S148" i="22"/>
  <c r="Q154" i="22"/>
  <c r="Q152" i="22"/>
  <c r="T149" i="22"/>
  <c r="Q148" i="22"/>
  <c r="P15" i="22"/>
  <c r="P24" i="22" s="1"/>
  <c r="R15" i="22"/>
  <c r="P15" i="24"/>
  <c r="B195" i="24" s="1"/>
  <c r="R15" i="24"/>
  <c r="Q148" i="26"/>
  <c r="Q150" i="26"/>
  <c r="Q153" i="26"/>
  <c r="Q151" i="26"/>
  <c r="Q152" i="26"/>
  <c r="T149" i="26"/>
  <c r="T148" i="26"/>
  <c r="S148" i="26"/>
  <c r="Q149" i="26"/>
  <c r="R15" i="26"/>
  <c r="P301" i="28"/>
  <c r="P148" i="27"/>
  <c r="B154" i="27"/>
  <c r="Q155" i="27"/>
  <c r="Q154" i="27"/>
  <c r="R15" i="2"/>
  <c r="O254" i="2" s="1"/>
  <c r="P15" i="2"/>
  <c r="B154" i="26"/>
  <c r="P148" i="26"/>
  <c r="Q154" i="26"/>
  <c r="Q155" i="26"/>
  <c r="P303" i="26"/>
  <c r="P298" i="26"/>
  <c r="P304" i="26"/>
  <c r="P299" i="26"/>
  <c r="P300" i="26"/>
  <c r="P301" i="26"/>
  <c r="P302" i="26"/>
  <c r="P122" i="25"/>
  <c r="O24" i="25"/>
  <c r="O22" i="25"/>
  <c r="P15" i="21"/>
  <c r="P237" i="21"/>
  <c r="P236" i="21"/>
  <c r="P235" i="21"/>
  <c r="P231" i="21"/>
  <c r="P233" i="21"/>
  <c r="P232" i="21"/>
  <c r="P234" i="21"/>
  <c r="P304" i="21"/>
  <c r="P299" i="21"/>
  <c r="P300" i="21"/>
  <c r="P301" i="21"/>
  <c r="P302" i="21"/>
  <c r="P303" i="21"/>
  <c r="P298" i="21"/>
  <c r="P15" i="23"/>
  <c r="B122" i="23" s="1"/>
  <c r="R15" i="23"/>
  <c r="P304" i="25"/>
  <c r="P299" i="25"/>
  <c r="P301" i="25"/>
  <c r="P300" i="25"/>
  <c r="P303" i="25"/>
  <c r="P298" i="25"/>
  <c r="P302" i="25"/>
  <c r="B154" i="25"/>
  <c r="P148" i="25"/>
  <c r="P235" i="24"/>
  <c r="P233" i="24"/>
  <c r="P234" i="24"/>
  <c r="P236" i="24"/>
  <c r="P231" i="24"/>
  <c r="P232" i="24"/>
  <c r="P237" i="24"/>
  <c r="S148" i="23"/>
  <c r="Q150" i="23"/>
  <c r="Q152" i="23"/>
  <c r="Q154" i="23"/>
  <c r="Q148" i="23"/>
  <c r="Q153" i="23"/>
  <c r="T148" i="23"/>
  <c r="Q149" i="23"/>
  <c r="Q151" i="23"/>
  <c r="T149" i="23"/>
  <c r="Q155" i="23"/>
  <c r="Q155" i="25"/>
  <c r="Q149" i="25"/>
  <c r="S148" i="25"/>
  <c r="Q154" i="25"/>
  <c r="Q153" i="25"/>
  <c r="T148" i="25"/>
  <c r="T149" i="25"/>
  <c r="Q148" i="25"/>
  <c r="Q151" i="25"/>
  <c r="Q152" i="25"/>
  <c r="Q150" i="25"/>
  <c r="P232" i="23"/>
  <c r="P234" i="23"/>
  <c r="P235" i="23"/>
  <c r="P237" i="23"/>
  <c r="P236" i="23"/>
  <c r="P231" i="23"/>
  <c r="P233" i="23"/>
  <c r="B128" i="23"/>
  <c r="P122" i="23"/>
  <c r="O24" i="23"/>
  <c r="O22" i="23"/>
  <c r="P234" i="26"/>
  <c r="P232" i="26"/>
  <c r="P235" i="26"/>
  <c r="P237" i="26"/>
  <c r="P236" i="26"/>
  <c r="P233" i="26"/>
  <c r="P231" i="26"/>
  <c r="P233" i="22"/>
  <c r="P232" i="22"/>
  <c r="P234" i="22"/>
  <c r="P235" i="22"/>
  <c r="P237" i="22"/>
  <c r="P236" i="22"/>
  <c r="P231" i="22"/>
  <c r="Q155" i="30"/>
  <c r="Q153" i="30"/>
  <c r="P15" i="25"/>
  <c r="P234" i="25"/>
  <c r="P235" i="25"/>
  <c r="P237" i="25"/>
  <c r="P232" i="25"/>
  <c r="P231" i="25"/>
  <c r="P236" i="25"/>
  <c r="P233" i="25"/>
  <c r="T148" i="30"/>
  <c r="Q151" i="30"/>
  <c r="T149" i="30"/>
  <c r="Q150" i="30"/>
  <c r="Q154" i="30"/>
  <c r="Q149" i="30"/>
  <c r="S148" i="30"/>
  <c r="P298" i="27"/>
  <c r="P301" i="27"/>
  <c r="P303" i="27"/>
  <c r="P300" i="27"/>
  <c r="P302" i="27"/>
  <c r="P299" i="27"/>
  <c r="P304" i="27"/>
  <c r="B128" i="27"/>
  <c r="P122" i="27"/>
  <c r="O22" i="27"/>
  <c r="O24" i="27"/>
  <c r="Q150" i="29"/>
  <c r="T149" i="29"/>
  <c r="Q148" i="29"/>
  <c r="Q149" i="29"/>
  <c r="Q152" i="29"/>
  <c r="T148" i="29"/>
  <c r="Q153" i="29"/>
  <c r="Q151" i="29"/>
  <c r="S148" i="29"/>
  <c r="Q154" i="29"/>
  <c r="Q155" i="29"/>
  <c r="P236" i="27"/>
  <c r="P234" i="27"/>
  <c r="P232" i="27"/>
  <c r="P237" i="27"/>
  <c r="P231" i="27"/>
  <c r="P233" i="27"/>
  <c r="P235" i="27"/>
  <c r="O24" i="28"/>
  <c r="O22" i="28"/>
  <c r="P122" i="28"/>
  <c r="B128" i="28"/>
  <c r="P234" i="28"/>
  <c r="P237" i="28"/>
  <c r="P236" i="28"/>
  <c r="P231" i="28"/>
  <c r="P232" i="28"/>
  <c r="P233" i="28"/>
  <c r="P235" i="28"/>
  <c r="P301" i="29"/>
  <c r="P298" i="29"/>
  <c r="P304" i="29"/>
  <c r="P300" i="29"/>
  <c r="P299" i="29"/>
  <c r="P303" i="29"/>
  <c r="P302" i="29"/>
  <c r="O24" i="29"/>
  <c r="B128" i="29"/>
  <c r="P122" i="29"/>
  <c r="P301" i="2"/>
  <c r="P303" i="2"/>
  <c r="P299" i="2"/>
  <c r="P300" i="2"/>
  <c r="P298" i="2"/>
  <c r="P302" i="2"/>
  <c r="P304" i="2"/>
  <c r="P236" i="29"/>
  <c r="P231" i="29"/>
  <c r="P233" i="29"/>
  <c r="P232" i="29"/>
  <c r="P237" i="29"/>
  <c r="P234" i="29"/>
  <c r="P235" i="29"/>
  <c r="Q151" i="2"/>
  <c r="T149" i="2"/>
  <c r="Q154" i="2"/>
  <c r="Q153" i="2"/>
  <c r="Q150" i="2"/>
  <c r="T148" i="2"/>
  <c r="Q155" i="2"/>
  <c r="Q148" i="2"/>
  <c r="Q149" i="2"/>
  <c r="Q152" i="2"/>
  <c r="S148" i="2"/>
  <c r="O22" i="2"/>
  <c r="P122" i="2"/>
  <c r="O24" i="2"/>
  <c r="B128" i="2"/>
  <c r="P233" i="2"/>
  <c r="P236" i="2"/>
  <c r="P234" i="2"/>
  <c r="P231" i="2"/>
  <c r="P237" i="2"/>
  <c r="P235" i="2"/>
  <c r="P232" i="2"/>
  <c r="B193" i="30"/>
  <c r="Q146" i="30"/>
  <c r="Q147" i="30"/>
  <c r="Q184" i="30"/>
  <c r="Q185" i="30" s="1"/>
  <c r="T178" i="30"/>
  <c r="T179" i="30" s="1"/>
  <c r="S178" i="30"/>
  <c r="AI4" i="30"/>
  <c r="Q5" i="30" s="1"/>
  <c r="P179" i="30"/>
  <c r="O179" i="30"/>
  <c r="Q178" i="30"/>
  <c r="Q179" i="30" s="1"/>
  <c r="O83" i="30"/>
  <c r="S22" i="30"/>
  <c r="P17" i="30"/>
  <c r="P27" i="30"/>
  <c r="P25" i="30"/>
  <c r="T184" i="30"/>
  <c r="T185" i="30" s="1"/>
  <c r="S21" i="30"/>
  <c r="S24" i="30"/>
  <c r="P20" i="30"/>
  <c r="R148" i="30"/>
  <c r="P122" i="30"/>
  <c r="O22" i="30"/>
  <c r="O24" i="30"/>
  <c r="P235" i="30"/>
  <c r="P234" i="30"/>
  <c r="P236" i="30"/>
  <c r="P231" i="30"/>
  <c r="P233" i="30"/>
  <c r="P237" i="30"/>
  <c r="P232" i="30"/>
  <c r="Q202" i="30" l="1"/>
  <c r="AF16" i="30"/>
  <c r="AF18" i="30" s="1"/>
  <c r="T206" i="30" s="1"/>
  <c r="R102" i="30"/>
  <c r="B79" i="30"/>
  <c r="B121" i="30"/>
  <c r="P19" i="30"/>
  <c r="P77" i="30"/>
  <c r="P80" i="30" s="1"/>
  <c r="B195" i="30"/>
  <c r="B77" i="30"/>
  <c r="R178" i="30"/>
  <c r="R179" i="30" s="1"/>
  <c r="R184" i="30"/>
  <c r="R185" i="30" s="1"/>
  <c r="AL192" i="30"/>
  <c r="P147" i="30" s="1"/>
  <c r="AL191" i="30"/>
  <c r="P146" i="30" s="1"/>
  <c r="O82" i="30"/>
  <c r="O84" i="30" s="1"/>
  <c r="AK31" i="30"/>
  <c r="P23" i="30"/>
  <c r="P16" i="30"/>
  <c r="P24" i="30"/>
  <c r="S184" i="30"/>
  <c r="S185" i="30" s="1"/>
  <c r="B78" i="30"/>
  <c r="B90" i="30" s="1"/>
  <c r="R89" i="30" s="1"/>
  <c r="P22" i="30"/>
  <c r="P28" i="30"/>
  <c r="B120" i="30"/>
  <c r="AK33" i="30"/>
  <c r="P26" i="30"/>
  <c r="O185" i="30"/>
  <c r="P21" i="30"/>
  <c r="P185" i="30"/>
  <c r="P200" i="30" s="1"/>
  <c r="P322" i="30" s="1"/>
  <c r="P18" i="30"/>
  <c r="R100" i="30" s="1"/>
  <c r="AK32" i="30"/>
  <c r="AF17" i="25"/>
  <c r="R17" i="25"/>
  <c r="S247" i="25"/>
  <c r="S248" i="25" s="1"/>
  <c r="R22" i="25"/>
  <c r="R21" i="25"/>
  <c r="P254" i="25"/>
  <c r="R149" i="25"/>
  <c r="O185" i="26"/>
  <c r="P26" i="26"/>
  <c r="B193" i="26"/>
  <c r="S179" i="30"/>
  <c r="AK31" i="26"/>
  <c r="P23" i="26"/>
  <c r="P19" i="26"/>
  <c r="S178" i="26"/>
  <c r="O83" i="26"/>
  <c r="P22" i="26"/>
  <c r="R19" i="25"/>
  <c r="P248" i="25"/>
  <c r="B146" i="25"/>
  <c r="T253" i="25"/>
  <c r="T254" i="25" s="1"/>
  <c r="Q253" i="25"/>
  <c r="O248" i="25"/>
  <c r="R18" i="25"/>
  <c r="B148" i="25"/>
  <c r="P25" i="28"/>
  <c r="AK32" i="26"/>
  <c r="P16" i="26"/>
  <c r="O179" i="26"/>
  <c r="P179" i="26"/>
  <c r="P185" i="26"/>
  <c r="P25" i="26"/>
  <c r="S24" i="26"/>
  <c r="R178" i="26"/>
  <c r="B122" i="26"/>
  <c r="P18" i="26"/>
  <c r="R100" i="26" s="1"/>
  <c r="P17" i="26"/>
  <c r="R184" i="26"/>
  <c r="T184" i="26"/>
  <c r="T185" i="26" s="1"/>
  <c r="O82" i="26"/>
  <c r="O84" i="26" s="1"/>
  <c r="S184" i="26"/>
  <c r="P28" i="26"/>
  <c r="P24" i="26"/>
  <c r="Q184" i="26"/>
  <c r="Q185" i="26" s="1"/>
  <c r="AK33" i="26"/>
  <c r="AF16" i="26"/>
  <c r="T178" i="26"/>
  <c r="T179" i="26" s="1"/>
  <c r="T198" i="26" s="1"/>
  <c r="Q178" i="26"/>
  <c r="Q179" i="26" s="1"/>
  <c r="P20" i="26"/>
  <c r="B121" i="26" s="1"/>
  <c r="P27" i="26"/>
  <c r="P21" i="26"/>
  <c r="B120" i="26"/>
  <c r="R25" i="21"/>
  <c r="AF17" i="21"/>
  <c r="R26" i="21"/>
  <c r="B262" i="21"/>
  <c r="R25" i="25"/>
  <c r="R24" i="25"/>
  <c r="O254" i="25"/>
  <c r="R16" i="25"/>
  <c r="T247" i="25"/>
  <c r="T248" i="25" s="1"/>
  <c r="Q247" i="25"/>
  <c r="Q248" i="25" s="1"/>
  <c r="B264" i="25"/>
  <c r="Q253" i="21"/>
  <c r="Q254" i="21" s="1"/>
  <c r="B264" i="21"/>
  <c r="R247" i="25"/>
  <c r="R26" i="25"/>
  <c r="R20" i="25"/>
  <c r="R23" i="25"/>
  <c r="S253" i="25"/>
  <c r="S254" i="25" s="1"/>
  <c r="R253" i="25"/>
  <c r="R17" i="21"/>
  <c r="O254" i="21"/>
  <c r="R149" i="21"/>
  <c r="S247" i="21"/>
  <c r="S248" i="21" s="1"/>
  <c r="T247" i="21"/>
  <c r="T248" i="21" s="1"/>
  <c r="P248" i="21"/>
  <c r="O248" i="21"/>
  <c r="R19" i="21"/>
  <c r="B148" i="21"/>
  <c r="R247" i="21"/>
  <c r="Q247" i="21"/>
  <c r="Q248" i="21" s="1"/>
  <c r="P254" i="21"/>
  <c r="R253" i="21"/>
  <c r="S253" i="21"/>
  <c r="S254" i="21" s="1"/>
  <c r="R20" i="21"/>
  <c r="R21" i="21"/>
  <c r="R18" i="21"/>
  <c r="T253" i="21"/>
  <c r="T254" i="21" s="1"/>
  <c r="B146" i="21"/>
  <c r="R24" i="21"/>
  <c r="R23" i="21"/>
  <c r="R16" i="21"/>
  <c r="P28" i="28"/>
  <c r="B79" i="28"/>
  <c r="P185" i="28"/>
  <c r="P19" i="29"/>
  <c r="O179" i="28"/>
  <c r="B193" i="27"/>
  <c r="B195" i="27"/>
  <c r="P16" i="28"/>
  <c r="B195" i="28"/>
  <c r="P22" i="29"/>
  <c r="B120" i="28"/>
  <c r="P27" i="28"/>
  <c r="B77" i="28"/>
  <c r="B78" i="28"/>
  <c r="B90" i="28" s="1"/>
  <c r="R89" i="28" s="1"/>
  <c r="S184" i="28"/>
  <c r="B120" i="29"/>
  <c r="AK32" i="28"/>
  <c r="AF16" i="28"/>
  <c r="P24" i="28"/>
  <c r="P20" i="28"/>
  <c r="T147" i="28" s="1"/>
  <c r="AI4" i="28"/>
  <c r="Q5" i="28" s="1"/>
  <c r="AL192" i="28"/>
  <c r="P121" i="28" s="1"/>
  <c r="P179" i="28"/>
  <c r="B122" i="28"/>
  <c r="P27" i="29"/>
  <c r="P28" i="29"/>
  <c r="S24" i="28"/>
  <c r="AL191" i="28"/>
  <c r="P22" i="28"/>
  <c r="AK31" i="28"/>
  <c r="P21" i="28"/>
  <c r="O82" i="28"/>
  <c r="O84" i="28" s="1"/>
  <c r="Q178" i="28"/>
  <c r="Q179" i="28" s="1"/>
  <c r="R102" i="28"/>
  <c r="S21" i="28"/>
  <c r="T178" i="28"/>
  <c r="T179" i="28" s="1"/>
  <c r="O185" i="28"/>
  <c r="S184" i="29"/>
  <c r="P19" i="28"/>
  <c r="P26" i="28"/>
  <c r="AK33" i="28"/>
  <c r="P23" i="28"/>
  <c r="P20" i="29"/>
  <c r="B121" i="29" s="1"/>
  <c r="R184" i="29"/>
  <c r="B122" i="29"/>
  <c r="O83" i="28"/>
  <c r="P77" i="28"/>
  <c r="R178" i="28"/>
  <c r="S178" i="28"/>
  <c r="P18" i="28"/>
  <c r="R100" i="28" s="1"/>
  <c r="T184" i="28"/>
  <c r="T185" i="28" s="1"/>
  <c r="Q184" i="28"/>
  <c r="Q185" i="28" s="1"/>
  <c r="S22" i="28"/>
  <c r="P17" i="28"/>
  <c r="R184" i="28"/>
  <c r="B264" i="28"/>
  <c r="B262" i="28"/>
  <c r="B148" i="28"/>
  <c r="T253" i="28"/>
  <c r="T254" i="28" s="1"/>
  <c r="R149" i="28"/>
  <c r="S247" i="28"/>
  <c r="S248" i="28" s="1"/>
  <c r="R16" i="28"/>
  <c r="R18" i="28"/>
  <c r="S253" i="28"/>
  <c r="S254" i="28" s="1"/>
  <c r="O248" i="28"/>
  <c r="B146" i="28"/>
  <c r="R247" i="28"/>
  <c r="O254" i="28"/>
  <c r="AF17" i="28"/>
  <c r="P254" i="28"/>
  <c r="Q247" i="28"/>
  <c r="Q253" i="28"/>
  <c r="Q254" i="28" s="1"/>
  <c r="R26" i="28"/>
  <c r="R23" i="28"/>
  <c r="R253" i="28"/>
  <c r="P248" i="28"/>
  <c r="T247" i="28"/>
  <c r="T248" i="28" s="1"/>
  <c r="R24" i="28"/>
  <c r="R25" i="28"/>
  <c r="R17" i="28"/>
  <c r="R20" i="28"/>
  <c r="R22" i="28"/>
  <c r="R21" i="28"/>
  <c r="R19" i="28"/>
  <c r="AK32" i="29"/>
  <c r="P23" i="29"/>
  <c r="S178" i="29"/>
  <c r="R178" i="29"/>
  <c r="P25" i="29"/>
  <c r="B193" i="29"/>
  <c r="AK33" i="29"/>
  <c r="P16" i="29"/>
  <c r="O179" i="29"/>
  <c r="P24" i="29"/>
  <c r="O82" i="29"/>
  <c r="O84" i="29" s="1"/>
  <c r="S24" i="29"/>
  <c r="O185" i="29"/>
  <c r="Q178" i="29"/>
  <c r="B195" i="29"/>
  <c r="AF16" i="29"/>
  <c r="P185" i="29"/>
  <c r="P26" i="29"/>
  <c r="AK31" i="29"/>
  <c r="O83" i="29"/>
  <c r="T178" i="29"/>
  <c r="T179" i="29" s="1"/>
  <c r="Q184" i="29"/>
  <c r="Q185" i="29" s="1"/>
  <c r="P17" i="29"/>
  <c r="T184" i="29"/>
  <c r="T185" i="29" s="1"/>
  <c r="P21" i="29"/>
  <c r="P179" i="29"/>
  <c r="B193" i="24"/>
  <c r="R102" i="29"/>
  <c r="S22" i="29"/>
  <c r="R16" i="2"/>
  <c r="AL191" i="29"/>
  <c r="AL192" i="29"/>
  <c r="P121" i="29" s="1"/>
  <c r="B195" i="22"/>
  <c r="R22" i="2"/>
  <c r="B77" i="29"/>
  <c r="B78" i="29"/>
  <c r="B90" i="29" s="1"/>
  <c r="R89" i="29" s="1"/>
  <c r="AI4" i="29"/>
  <c r="Q5" i="29" s="1"/>
  <c r="P77" i="29"/>
  <c r="B79" i="29"/>
  <c r="R253" i="2"/>
  <c r="R254" i="2" s="1"/>
  <c r="S21" i="29"/>
  <c r="P17" i="22"/>
  <c r="R26" i="2"/>
  <c r="R20" i="2"/>
  <c r="Q253" i="2"/>
  <c r="Q254" i="2" s="1"/>
  <c r="B262" i="2"/>
  <c r="AF16" i="22"/>
  <c r="B122" i="22"/>
  <c r="S24" i="27"/>
  <c r="Q184" i="22"/>
  <c r="P22" i="27"/>
  <c r="R24" i="2"/>
  <c r="T247" i="2"/>
  <c r="T248" i="2" s="1"/>
  <c r="S253" i="2"/>
  <c r="S254" i="2" s="1"/>
  <c r="AF17" i="2"/>
  <c r="B148" i="2"/>
  <c r="O248" i="2"/>
  <c r="S247" i="2"/>
  <c r="S248" i="2" s="1"/>
  <c r="B264" i="2"/>
  <c r="P27" i="22"/>
  <c r="P25" i="27"/>
  <c r="R18" i="2"/>
  <c r="Q247" i="2"/>
  <c r="R25" i="2"/>
  <c r="T253" i="2"/>
  <c r="T254" i="2" s="1"/>
  <c r="B146" i="2"/>
  <c r="R19" i="2"/>
  <c r="R247" i="2"/>
  <c r="P28" i="22"/>
  <c r="P22" i="22"/>
  <c r="AK33" i="22"/>
  <c r="S21" i="22"/>
  <c r="S184" i="22"/>
  <c r="R23" i="2"/>
  <c r="P248" i="2"/>
  <c r="R21" i="2"/>
  <c r="P254" i="2"/>
  <c r="R149" i="2"/>
  <c r="R17" i="2"/>
  <c r="P19" i="22"/>
  <c r="P185" i="22"/>
  <c r="AK31" i="22"/>
  <c r="O83" i="22"/>
  <c r="P25" i="22"/>
  <c r="Q178" i="22"/>
  <c r="P179" i="22"/>
  <c r="AL191" i="22"/>
  <c r="B121" i="28"/>
  <c r="B78" i="22"/>
  <c r="B90" i="22" s="1"/>
  <c r="R89" i="22" s="1"/>
  <c r="AL192" i="22"/>
  <c r="P121" i="22" s="1"/>
  <c r="S22" i="22"/>
  <c r="P185" i="27"/>
  <c r="B79" i="27"/>
  <c r="O82" i="27"/>
  <c r="O84" i="27" s="1"/>
  <c r="O83" i="24"/>
  <c r="S22" i="27"/>
  <c r="AL192" i="27"/>
  <c r="P121" i="27" s="1"/>
  <c r="P18" i="27"/>
  <c r="R100" i="27" s="1"/>
  <c r="P17" i="27"/>
  <c r="O83" i="27"/>
  <c r="B77" i="27"/>
  <c r="R102" i="2"/>
  <c r="P28" i="24"/>
  <c r="S184" i="24"/>
  <c r="P77" i="27"/>
  <c r="P23" i="27"/>
  <c r="O179" i="27"/>
  <c r="P26" i="27"/>
  <c r="T184" i="27"/>
  <c r="T185" i="27" s="1"/>
  <c r="AK33" i="27"/>
  <c r="R102" i="27"/>
  <c r="S21" i="27"/>
  <c r="P16" i="27"/>
  <c r="O185" i="27"/>
  <c r="P179" i="27"/>
  <c r="AL191" i="2"/>
  <c r="B120" i="24"/>
  <c r="P185" i="24"/>
  <c r="P21" i="27"/>
  <c r="AK31" i="27"/>
  <c r="AL191" i="27"/>
  <c r="R184" i="27"/>
  <c r="AF16" i="27"/>
  <c r="P24" i="27"/>
  <c r="S184" i="27"/>
  <c r="P28" i="27"/>
  <c r="P20" i="27"/>
  <c r="S147" i="27" s="1"/>
  <c r="T178" i="27"/>
  <c r="T179" i="27" s="1"/>
  <c r="B122" i="27"/>
  <c r="P26" i="24"/>
  <c r="R178" i="24"/>
  <c r="P27" i="27"/>
  <c r="AK32" i="27"/>
  <c r="P19" i="27"/>
  <c r="Q178" i="27"/>
  <c r="Q179" i="27" s="1"/>
  <c r="AI4" i="27"/>
  <c r="Q5" i="27" s="1"/>
  <c r="S178" i="27"/>
  <c r="R178" i="27"/>
  <c r="B78" i="27"/>
  <c r="B90" i="27" s="1"/>
  <c r="R89" i="27" s="1"/>
  <c r="Q184" i="27"/>
  <c r="B78" i="24"/>
  <c r="B90" i="24" s="1"/>
  <c r="R89" i="24" s="1"/>
  <c r="B148" i="27"/>
  <c r="B264" i="27"/>
  <c r="B262" i="27"/>
  <c r="P254" i="27"/>
  <c r="R247" i="27"/>
  <c r="Q247" i="27"/>
  <c r="R23" i="27"/>
  <c r="R26" i="27"/>
  <c r="S247" i="27"/>
  <c r="S248" i="27" s="1"/>
  <c r="T253" i="27"/>
  <c r="T254" i="27" s="1"/>
  <c r="P248" i="27"/>
  <c r="R17" i="27"/>
  <c r="R25" i="27"/>
  <c r="O248" i="27"/>
  <c r="Q253" i="27"/>
  <c r="B146" i="27"/>
  <c r="R253" i="27"/>
  <c r="T247" i="27"/>
  <c r="T248" i="27" s="1"/>
  <c r="R24" i="27"/>
  <c r="R18" i="27"/>
  <c r="S253" i="27"/>
  <c r="S254" i="27" s="1"/>
  <c r="R16" i="27"/>
  <c r="R149" i="27"/>
  <c r="O254" i="27"/>
  <c r="AF17" i="27"/>
  <c r="R21" i="27"/>
  <c r="R22" i="27"/>
  <c r="R20" i="27"/>
  <c r="R19" i="27"/>
  <c r="R102" i="22"/>
  <c r="O185" i="23"/>
  <c r="B264" i="29"/>
  <c r="B262" i="29"/>
  <c r="P20" i="22"/>
  <c r="B121" i="22" s="1"/>
  <c r="T178" i="22"/>
  <c r="T179" i="22" s="1"/>
  <c r="P16" i="22"/>
  <c r="P26" i="22"/>
  <c r="R178" i="22"/>
  <c r="AK32" i="22"/>
  <c r="B79" i="22"/>
  <c r="B77" i="22"/>
  <c r="AI4" i="22"/>
  <c r="Q5" i="22" s="1"/>
  <c r="O82" i="22"/>
  <c r="O84" i="22" s="1"/>
  <c r="T184" i="22"/>
  <c r="T185" i="22" s="1"/>
  <c r="B193" i="22"/>
  <c r="S21" i="24"/>
  <c r="B148" i="29"/>
  <c r="B146" i="29"/>
  <c r="R149" i="29"/>
  <c r="R22" i="29"/>
  <c r="P248" i="29"/>
  <c r="R19" i="29"/>
  <c r="P254" i="29"/>
  <c r="AF17" i="29"/>
  <c r="O254" i="29"/>
  <c r="T247" i="29"/>
  <c r="T248" i="29" s="1"/>
  <c r="R25" i="29"/>
  <c r="R24" i="29"/>
  <c r="R23" i="29"/>
  <c r="R26" i="29"/>
  <c r="R18" i="29"/>
  <c r="R247" i="29"/>
  <c r="R21" i="29"/>
  <c r="R253" i="29"/>
  <c r="S253" i="29"/>
  <c r="S254" i="29" s="1"/>
  <c r="Q247" i="29"/>
  <c r="Q248" i="29" s="1"/>
  <c r="O248" i="29"/>
  <c r="S247" i="29"/>
  <c r="S248" i="29" s="1"/>
  <c r="R16" i="29"/>
  <c r="Q253" i="29"/>
  <c r="R20" i="29"/>
  <c r="T253" i="29"/>
  <c r="T254" i="29" s="1"/>
  <c r="R17" i="29"/>
  <c r="P21" i="22"/>
  <c r="O185" i="22"/>
  <c r="B120" i="22"/>
  <c r="S24" i="22"/>
  <c r="R184" i="22"/>
  <c r="P18" i="22"/>
  <c r="R100" i="22" s="1"/>
  <c r="P23" i="22"/>
  <c r="O179" i="22"/>
  <c r="P77" i="22"/>
  <c r="S178" i="22"/>
  <c r="P179" i="23"/>
  <c r="O82" i="23"/>
  <c r="O84" i="23" s="1"/>
  <c r="T184" i="23"/>
  <c r="T185" i="23" s="1"/>
  <c r="P22" i="23"/>
  <c r="T178" i="23"/>
  <c r="T179" i="23" s="1"/>
  <c r="P21" i="23"/>
  <c r="P25" i="23"/>
  <c r="P19" i="23"/>
  <c r="R184" i="23"/>
  <c r="P27" i="23"/>
  <c r="P28" i="23"/>
  <c r="AK32" i="23"/>
  <c r="P24" i="23"/>
  <c r="P18" i="23"/>
  <c r="R100" i="23" s="1"/>
  <c r="S178" i="23"/>
  <c r="Q184" i="23"/>
  <c r="Q185" i="23" s="1"/>
  <c r="S184" i="23"/>
  <c r="S24" i="23"/>
  <c r="AF16" i="23"/>
  <c r="B120" i="23"/>
  <c r="O179" i="23"/>
  <c r="P23" i="23"/>
  <c r="AI4" i="23"/>
  <c r="Q5" i="23" s="1"/>
  <c r="P77" i="2"/>
  <c r="P77" i="23"/>
  <c r="AL192" i="2"/>
  <c r="P121" i="2" s="1"/>
  <c r="B79" i="2"/>
  <c r="P24" i="24"/>
  <c r="P27" i="24"/>
  <c r="O179" i="24"/>
  <c r="AK31" i="24"/>
  <c r="S178" i="24"/>
  <c r="AI4" i="24"/>
  <c r="Q5" i="24" s="1"/>
  <c r="P16" i="24"/>
  <c r="R184" i="24"/>
  <c r="AL191" i="24"/>
  <c r="R102" i="24"/>
  <c r="S21" i="2"/>
  <c r="B78" i="2"/>
  <c r="B90" i="2" s="1"/>
  <c r="R89" i="2" s="1"/>
  <c r="B77" i="2"/>
  <c r="P17" i="24"/>
  <c r="S24" i="24"/>
  <c r="T184" i="24"/>
  <c r="T185" i="24" s="1"/>
  <c r="AF16" i="24"/>
  <c r="AL192" i="24"/>
  <c r="P147" i="24" s="1"/>
  <c r="Q184" i="24"/>
  <c r="P25" i="24"/>
  <c r="B79" i="24"/>
  <c r="P77" i="24"/>
  <c r="P22" i="24"/>
  <c r="Q178" i="24"/>
  <c r="Q179" i="24" s="1"/>
  <c r="S22" i="2"/>
  <c r="AI4" i="2"/>
  <c r="Q5" i="2" s="1"/>
  <c r="B77" i="24"/>
  <c r="O82" i="24"/>
  <c r="O84" i="24" s="1"/>
  <c r="T178" i="24"/>
  <c r="T179" i="24" s="1"/>
  <c r="AK33" i="24"/>
  <c r="AK32" i="24"/>
  <c r="P179" i="24"/>
  <c r="S22" i="24"/>
  <c r="O185" i="24"/>
  <c r="P23" i="24"/>
  <c r="P21" i="24"/>
  <c r="B122" i="24"/>
  <c r="Q178" i="23"/>
  <c r="P26" i="23"/>
  <c r="P20" i="23"/>
  <c r="P159" i="23" s="1"/>
  <c r="AK31" i="23"/>
  <c r="B78" i="23"/>
  <c r="B90" i="23" s="1"/>
  <c r="R89" i="23" s="1"/>
  <c r="AK33" i="23"/>
  <c r="O83" i="23"/>
  <c r="P16" i="23"/>
  <c r="R178" i="23"/>
  <c r="P17" i="23"/>
  <c r="P185" i="23"/>
  <c r="B264" i="22"/>
  <c r="B148" i="22"/>
  <c r="B262" i="22"/>
  <c r="AF17" i="22"/>
  <c r="R253" i="22"/>
  <c r="P248" i="22"/>
  <c r="Q253" i="22"/>
  <c r="R21" i="22"/>
  <c r="R22" i="22"/>
  <c r="R24" i="22"/>
  <c r="O254" i="22"/>
  <c r="R247" i="22"/>
  <c r="T247" i="22"/>
  <c r="T248" i="22" s="1"/>
  <c r="R17" i="22"/>
  <c r="R23" i="22"/>
  <c r="S247" i="22"/>
  <c r="S248" i="22" s="1"/>
  <c r="S253" i="22"/>
  <c r="S254" i="22" s="1"/>
  <c r="Q247" i="22"/>
  <c r="R16" i="22"/>
  <c r="R26" i="22"/>
  <c r="P254" i="22"/>
  <c r="T253" i="22"/>
  <c r="T254" i="22" s="1"/>
  <c r="O248" i="22"/>
  <c r="R149" i="22"/>
  <c r="B146" i="22"/>
  <c r="R25" i="22"/>
  <c r="R20" i="22"/>
  <c r="R19" i="22"/>
  <c r="R18" i="22"/>
  <c r="AL192" i="23"/>
  <c r="B264" i="24"/>
  <c r="B262" i="24"/>
  <c r="B264" i="26"/>
  <c r="B262" i="26"/>
  <c r="B148" i="26"/>
  <c r="B77" i="26"/>
  <c r="S253" i="26"/>
  <c r="S254" i="26" s="1"/>
  <c r="Q253" i="26"/>
  <c r="Q254" i="26" s="1"/>
  <c r="R247" i="26"/>
  <c r="P248" i="26"/>
  <c r="R21" i="26"/>
  <c r="R25" i="26"/>
  <c r="R17" i="26"/>
  <c r="R102" i="26"/>
  <c r="P77" i="26"/>
  <c r="P254" i="26"/>
  <c r="T247" i="26"/>
  <c r="T248" i="26" s="1"/>
  <c r="R149" i="26"/>
  <c r="O248" i="26"/>
  <c r="R22" i="26"/>
  <c r="R23" i="26"/>
  <c r="R16" i="26"/>
  <c r="AI4" i="26"/>
  <c r="Q5" i="26" s="1"/>
  <c r="B78" i="26"/>
  <c r="B90" i="26" s="1"/>
  <c r="R89" i="26" s="1"/>
  <c r="O254" i="26"/>
  <c r="T253" i="26"/>
  <c r="T254" i="26" s="1"/>
  <c r="Q247" i="26"/>
  <c r="Q248" i="26" s="1"/>
  <c r="R19" i="26"/>
  <c r="R24" i="26"/>
  <c r="R26" i="26"/>
  <c r="AF17" i="26"/>
  <c r="AL191" i="26"/>
  <c r="AL192" i="26"/>
  <c r="R253" i="26"/>
  <c r="S247" i="26"/>
  <c r="S248" i="26" s="1"/>
  <c r="B146" i="26"/>
  <c r="B147" i="26"/>
  <c r="R20" i="26"/>
  <c r="R18" i="26"/>
  <c r="B79" i="26"/>
  <c r="S21" i="26"/>
  <c r="S22" i="26"/>
  <c r="O254" i="24"/>
  <c r="AF17" i="24"/>
  <c r="P254" i="24"/>
  <c r="R25" i="24"/>
  <c r="T247" i="24"/>
  <c r="T248" i="24" s="1"/>
  <c r="R149" i="24"/>
  <c r="S247" i="24"/>
  <c r="S248" i="24" s="1"/>
  <c r="R19" i="24"/>
  <c r="B148" i="24"/>
  <c r="R16" i="24"/>
  <c r="P248" i="24"/>
  <c r="R26" i="24"/>
  <c r="R24" i="24"/>
  <c r="R18" i="24"/>
  <c r="R253" i="24"/>
  <c r="T253" i="24"/>
  <c r="T254" i="24" s="1"/>
  <c r="S253" i="24"/>
  <c r="S254" i="24" s="1"/>
  <c r="Q253" i="24"/>
  <c r="R23" i="24"/>
  <c r="R22" i="24"/>
  <c r="R17" i="24"/>
  <c r="Q247" i="24"/>
  <c r="O248" i="24"/>
  <c r="R247" i="24"/>
  <c r="B146" i="24"/>
  <c r="R20" i="24"/>
  <c r="R21" i="24"/>
  <c r="P19" i="24"/>
  <c r="P20" i="24"/>
  <c r="B121" i="24" s="1"/>
  <c r="P18" i="24"/>
  <c r="R100" i="24" s="1"/>
  <c r="P19" i="2"/>
  <c r="B193" i="2"/>
  <c r="B195" i="2"/>
  <c r="R102" i="23"/>
  <c r="B122" i="2"/>
  <c r="S178" i="2"/>
  <c r="S24" i="2"/>
  <c r="S184" i="2"/>
  <c r="P16" i="2"/>
  <c r="Q184" i="2"/>
  <c r="Q178" i="2"/>
  <c r="O179" i="2"/>
  <c r="O82" i="2"/>
  <c r="O84" i="2" s="1"/>
  <c r="P179" i="2"/>
  <c r="AF16" i="2"/>
  <c r="T184" i="2"/>
  <c r="T185" i="2" s="1"/>
  <c r="P28" i="2"/>
  <c r="P185" i="2"/>
  <c r="B120" i="2"/>
  <c r="O185" i="2"/>
  <c r="P27" i="2"/>
  <c r="T178" i="2"/>
  <c r="T179" i="2" s="1"/>
  <c r="R178" i="2"/>
  <c r="O83" i="2"/>
  <c r="R184" i="2"/>
  <c r="P17" i="2"/>
  <c r="AK32" i="2"/>
  <c r="AK31" i="2"/>
  <c r="AK33" i="2"/>
  <c r="P26" i="2"/>
  <c r="P23" i="2"/>
  <c r="P25" i="2"/>
  <c r="P21" i="2"/>
  <c r="P22" i="2"/>
  <c r="P18" i="2"/>
  <c r="R100" i="2" s="1"/>
  <c r="P24" i="2"/>
  <c r="P20" i="2"/>
  <c r="B147" i="2" s="1"/>
  <c r="AL191" i="23"/>
  <c r="B79" i="23"/>
  <c r="B77" i="23"/>
  <c r="B193" i="21"/>
  <c r="B195" i="21"/>
  <c r="B78" i="21"/>
  <c r="B90" i="21" s="1"/>
  <c r="R89" i="21" s="1"/>
  <c r="O83" i="21"/>
  <c r="P24" i="21"/>
  <c r="S184" i="21"/>
  <c r="S21" i="21"/>
  <c r="O185" i="21"/>
  <c r="P27" i="21"/>
  <c r="P19" i="21"/>
  <c r="Q178" i="21"/>
  <c r="P18" i="21"/>
  <c r="R100" i="21" s="1"/>
  <c r="S178" i="21"/>
  <c r="P17" i="21"/>
  <c r="P77" i="21"/>
  <c r="P185" i="21"/>
  <c r="P23" i="21"/>
  <c r="T184" i="21"/>
  <c r="T185" i="21" s="1"/>
  <c r="P20" i="21"/>
  <c r="AF16" i="21"/>
  <c r="P25" i="21"/>
  <c r="P16" i="21"/>
  <c r="R178" i="21"/>
  <c r="P22" i="21"/>
  <c r="AL192" i="21"/>
  <c r="O82" i="21"/>
  <c r="O84" i="21" s="1"/>
  <c r="AI4" i="21"/>
  <c r="Q5" i="21" s="1"/>
  <c r="O179" i="21"/>
  <c r="P26" i="21"/>
  <c r="Q184" i="21"/>
  <c r="Q185" i="21" s="1"/>
  <c r="P21" i="21"/>
  <c r="R102" i="21"/>
  <c r="B122" i="21"/>
  <c r="B79" i="21"/>
  <c r="B120" i="21"/>
  <c r="AL191" i="21"/>
  <c r="R184" i="21"/>
  <c r="B77" i="21"/>
  <c r="T178" i="21"/>
  <c r="T179" i="21" s="1"/>
  <c r="S22" i="21"/>
  <c r="P179" i="21"/>
  <c r="P28" i="21"/>
  <c r="S24" i="21"/>
  <c r="AK32" i="21"/>
  <c r="AK33" i="21"/>
  <c r="AK31" i="21"/>
  <c r="B148" i="23"/>
  <c r="B262" i="23"/>
  <c r="B264" i="23"/>
  <c r="S253" i="23"/>
  <c r="S254" i="23" s="1"/>
  <c r="R26" i="23"/>
  <c r="R247" i="23"/>
  <c r="R25" i="23"/>
  <c r="R149" i="23"/>
  <c r="R253" i="23"/>
  <c r="R20" i="23"/>
  <c r="P248" i="23"/>
  <c r="AF17" i="23"/>
  <c r="T247" i="23"/>
  <c r="T248" i="23" s="1"/>
  <c r="R19" i="23"/>
  <c r="R21" i="23"/>
  <c r="O248" i="23"/>
  <c r="R24" i="23"/>
  <c r="T253" i="23"/>
  <c r="T254" i="23" s="1"/>
  <c r="Q253" i="23"/>
  <c r="O254" i="23"/>
  <c r="R18" i="23"/>
  <c r="R16" i="23"/>
  <c r="B146" i="23"/>
  <c r="P254" i="23"/>
  <c r="R22" i="23"/>
  <c r="Q247" i="23"/>
  <c r="R23" i="23"/>
  <c r="S247" i="23"/>
  <c r="S248" i="23" s="1"/>
  <c r="R17" i="23"/>
  <c r="B193" i="23"/>
  <c r="B195" i="23"/>
  <c r="S22" i="23"/>
  <c r="S21" i="23"/>
  <c r="B122" i="25"/>
  <c r="B195" i="25"/>
  <c r="B193" i="25"/>
  <c r="R178" i="25"/>
  <c r="P16" i="25"/>
  <c r="P77" i="25"/>
  <c r="AL192" i="25"/>
  <c r="P25" i="25"/>
  <c r="AK31" i="25"/>
  <c r="P179" i="25"/>
  <c r="P21" i="25"/>
  <c r="P185" i="25"/>
  <c r="Q178" i="25"/>
  <c r="P24" i="25"/>
  <c r="P17" i="25"/>
  <c r="O83" i="25"/>
  <c r="R184" i="25"/>
  <c r="O179" i="25"/>
  <c r="AI4" i="25"/>
  <c r="Q5" i="25" s="1"/>
  <c r="B78" i="25"/>
  <c r="B90" i="25" s="1"/>
  <c r="R89" i="25" s="1"/>
  <c r="T178" i="25"/>
  <c r="T179" i="25" s="1"/>
  <c r="P20" i="25"/>
  <c r="B121" i="25" s="1"/>
  <c r="T184" i="25"/>
  <c r="T185" i="25" s="1"/>
  <c r="S24" i="25"/>
  <c r="B77" i="25"/>
  <c r="AL191" i="25"/>
  <c r="P28" i="25"/>
  <c r="P18" i="25"/>
  <c r="R100" i="25" s="1"/>
  <c r="P23" i="25"/>
  <c r="O82" i="25"/>
  <c r="R102" i="25"/>
  <c r="AK32" i="25"/>
  <c r="B79" i="25"/>
  <c r="S178" i="25"/>
  <c r="P26" i="25"/>
  <c r="P19" i="25"/>
  <c r="O185" i="25"/>
  <c r="S184" i="25"/>
  <c r="B120" i="25"/>
  <c r="Q184" i="25"/>
  <c r="AK33" i="25"/>
  <c r="AF16" i="25"/>
  <c r="P27" i="25"/>
  <c r="P22" i="25"/>
  <c r="S22" i="25"/>
  <c r="S21" i="25"/>
  <c r="B147" i="29"/>
  <c r="P206" i="30"/>
  <c r="Q206" i="30"/>
  <c r="R206" i="30"/>
  <c r="S206" i="30"/>
  <c r="P158" i="30"/>
  <c r="P159" i="30"/>
  <c r="B128" i="30"/>
  <c r="T171" i="30"/>
  <c r="T199" i="30"/>
  <c r="Q171" i="30"/>
  <c r="Q200" i="30"/>
  <c r="R171" i="30"/>
  <c r="S171" i="30"/>
  <c r="Q201" i="30"/>
  <c r="Q197" i="30"/>
  <c r="B154" i="30"/>
  <c r="T201" i="30"/>
  <c r="Q199" i="30"/>
  <c r="Q198" i="30"/>
  <c r="Q79" i="30"/>
  <c r="AQ53" i="30" s="1"/>
  <c r="AP53" i="30" s="1"/>
  <c r="R77" i="30"/>
  <c r="AQ56" i="30" s="1"/>
  <c r="AP56" i="30" s="1"/>
  <c r="AO56" i="30" s="1"/>
  <c r="Q77" i="30"/>
  <c r="AQ51" i="30" s="1"/>
  <c r="AP51" i="30" s="1"/>
  <c r="P79" i="30"/>
  <c r="AQ48" i="30" s="1"/>
  <c r="AP48" i="30" s="1"/>
  <c r="Q78" i="30"/>
  <c r="AQ52" i="30" s="1"/>
  <c r="AP52" i="30" s="1"/>
  <c r="P78" i="30"/>
  <c r="AQ47" i="30" s="1"/>
  <c r="AP47" i="30" s="1"/>
  <c r="T202" i="30"/>
  <c r="T200" i="30"/>
  <c r="T197" i="30"/>
  <c r="R147" i="30"/>
  <c r="T147" i="30"/>
  <c r="T146" i="30"/>
  <c r="S147" i="30"/>
  <c r="S146" i="30"/>
  <c r="T196" i="30"/>
  <c r="T198" i="30"/>
  <c r="R146" i="30"/>
  <c r="CM11" i="7"/>
  <c r="CM10" i="7"/>
  <c r="CM9" i="7"/>
  <c r="CM8" i="7"/>
  <c r="CM7" i="7"/>
  <c r="CM6" i="7"/>
  <c r="CM5" i="7"/>
  <c r="CM4" i="7"/>
  <c r="CM3" i="7"/>
  <c r="CM2" i="7"/>
  <c r="CI14" i="7"/>
  <c r="CI13" i="7"/>
  <c r="CI12" i="7"/>
  <c r="CI11" i="7"/>
  <c r="CI10" i="7"/>
  <c r="CI9" i="7"/>
  <c r="CI8" i="7"/>
  <c r="CI7" i="7"/>
  <c r="CI6" i="7"/>
  <c r="CI5" i="7"/>
  <c r="CI4" i="7"/>
  <c r="CI3" i="7"/>
  <c r="CI2" i="7"/>
  <c r="CE11" i="7"/>
  <c r="CE10" i="7"/>
  <c r="CE9" i="7"/>
  <c r="CE8" i="7"/>
  <c r="CE7" i="7"/>
  <c r="CE6" i="7"/>
  <c r="CE5" i="7"/>
  <c r="CE4" i="7"/>
  <c r="CE3" i="7"/>
  <c r="CE2" i="7"/>
  <c r="CA27" i="7"/>
  <c r="CA26" i="7"/>
  <c r="CA25" i="7"/>
  <c r="CA24" i="7"/>
  <c r="CA23" i="7"/>
  <c r="CA22" i="7"/>
  <c r="CA21" i="7"/>
  <c r="CA20" i="7"/>
  <c r="CA19" i="7"/>
  <c r="CA18" i="7"/>
  <c r="CA17" i="7"/>
  <c r="CA16" i="7"/>
  <c r="CA15" i="7"/>
  <c r="CA14" i="7"/>
  <c r="CA13" i="7"/>
  <c r="CA12" i="7"/>
  <c r="CA11" i="7"/>
  <c r="CA10" i="7"/>
  <c r="CA9" i="7"/>
  <c r="CA8" i="7"/>
  <c r="CA7" i="7"/>
  <c r="CA6" i="7"/>
  <c r="CA5" i="7"/>
  <c r="CA4" i="7"/>
  <c r="CA3" i="7"/>
  <c r="CA2" i="7"/>
  <c r="BW24" i="7"/>
  <c r="BW23" i="7"/>
  <c r="BW22" i="7"/>
  <c r="BW21" i="7"/>
  <c r="BW20" i="7"/>
  <c r="BW19" i="7"/>
  <c r="BW18" i="7"/>
  <c r="BW17" i="7"/>
  <c r="BW16" i="7"/>
  <c r="BW15" i="7"/>
  <c r="BW14" i="7"/>
  <c r="BW13" i="7"/>
  <c r="BW12" i="7"/>
  <c r="BW11" i="7"/>
  <c r="BW10" i="7"/>
  <c r="BW9" i="7"/>
  <c r="BW8" i="7"/>
  <c r="BW7" i="7"/>
  <c r="BW6" i="7"/>
  <c r="BW5" i="7"/>
  <c r="BW4" i="7"/>
  <c r="BW3" i="7"/>
  <c r="BW2" i="7"/>
  <c r="BS29" i="7"/>
  <c r="BS28" i="7"/>
  <c r="BS27" i="7"/>
  <c r="BS26" i="7"/>
  <c r="BS25" i="7"/>
  <c r="BS24" i="7"/>
  <c r="BS23" i="7"/>
  <c r="BS22" i="7"/>
  <c r="BS21" i="7"/>
  <c r="BS20" i="7"/>
  <c r="BS19" i="7"/>
  <c r="BS18" i="7"/>
  <c r="BS17" i="7"/>
  <c r="BS16" i="7"/>
  <c r="BS15" i="7"/>
  <c r="BS14" i="7"/>
  <c r="BS13" i="7"/>
  <c r="BS12" i="7"/>
  <c r="BS11" i="7"/>
  <c r="BS10" i="7"/>
  <c r="BS9" i="7"/>
  <c r="BS8" i="7"/>
  <c r="BS7" i="7"/>
  <c r="BS6" i="7"/>
  <c r="BS5" i="7"/>
  <c r="BS4" i="7"/>
  <c r="BS3" i="7"/>
  <c r="BS2" i="7"/>
  <c r="BO35" i="7"/>
  <c r="BO34" i="7"/>
  <c r="BO33" i="7"/>
  <c r="BO32" i="7"/>
  <c r="BO31" i="7"/>
  <c r="BO30" i="7"/>
  <c r="BO29" i="7"/>
  <c r="BO28" i="7"/>
  <c r="BO27" i="7"/>
  <c r="BO26" i="7"/>
  <c r="BO25" i="7"/>
  <c r="BO24" i="7"/>
  <c r="BO23" i="7"/>
  <c r="BO22" i="7"/>
  <c r="BO21" i="7"/>
  <c r="BO20" i="7"/>
  <c r="BO19" i="7"/>
  <c r="BO18" i="7"/>
  <c r="BO17" i="7"/>
  <c r="BO16" i="7"/>
  <c r="BO15" i="7"/>
  <c r="BO14" i="7"/>
  <c r="BO13" i="7"/>
  <c r="BO12" i="7"/>
  <c r="BO11" i="7"/>
  <c r="BO10" i="7"/>
  <c r="BO9" i="7"/>
  <c r="BO8" i="7"/>
  <c r="BO7" i="7"/>
  <c r="BO6" i="7"/>
  <c r="BO5" i="7"/>
  <c r="BO4" i="7"/>
  <c r="BO3" i="7"/>
  <c r="BO2" i="7"/>
  <c r="BK37" i="7"/>
  <c r="BK36" i="7"/>
  <c r="BK35" i="7"/>
  <c r="BK34" i="7"/>
  <c r="BK33" i="7"/>
  <c r="BK32" i="7"/>
  <c r="BK31" i="7"/>
  <c r="BK30" i="7"/>
  <c r="BK29" i="7"/>
  <c r="BK28" i="7"/>
  <c r="BK27" i="7"/>
  <c r="BK26" i="7"/>
  <c r="BK25" i="7"/>
  <c r="BK24" i="7"/>
  <c r="BK23" i="7"/>
  <c r="BK22" i="7"/>
  <c r="BK21" i="7"/>
  <c r="BK20" i="7"/>
  <c r="BK19" i="7"/>
  <c r="BK18" i="7"/>
  <c r="BK17" i="7"/>
  <c r="BK16" i="7"/>
  <c r="BK15" i="7"/>
  <c r="BK14" i="7"/>
  <c r="BK13" i="7"/>
  <c r="BK12" i="7"/>
  <c r="BK11" i="7"/>
  <c r="BK10" i="7"/>
  <c r="BK9" i="7"/>
  <c r="BK8" i="7"/>
  <c r="BK7" i="7"/>
  <c r="BK6" i="7"/>
  <c r="BK5" i="7"/>
  <c r="BK4" i="7"/>
  <c r="BK3" i="7"/>
  <c r="BK2" i="7"/>
  <c r="BG41" i="7"/>
  <c r="BG40" i="7"/>
  <c r="BG39" i="7"/>
  <c r="BG38" i="7"/>
  <c r="BG37" i="7"/>
  <c r="BG36" i="7"/>
  <c r="BG35" i="7"/>
  <c r="BG34" i="7"/>
  <c r="BG33" i="7"/>
  <c r="BG32" i="7"/>
  <c r="BG31" i="7"/>
  <c r="BG30" i="7"/>
  <c r="BG29" i="7"/>
  <c r="BG28" i="7"/>
  <c r="BG27" i="7"/>
  <c r="BG26" i="7"/>
  <c r="BG25" i="7"/>
  <c r="BG24" i="7"/>
  <c r="BG23" i="7"/>
  <c r="BG22" i="7"/>
  <c r="BG21" i="7"/>
  <c r="BG20" i="7"/>
  <c r="BG19" i="7"/>
  <c r="BG18" i="7"/>
  <c r="BG17" i="7"/>
  <c r="BG16" i="7"/>
  <c r="BG15" i="7"/>
  <c r="BG14" i="7"/>
  <c r="BG13" i="7"/>
  <c r="BG12" i="7"/>
  <c r="BG11" i="7"/>
  <c r="BG10" i="7"/>
  <c r="BG9" i="7"/>
  <c r="BG8" i="7"/>
  <c r="BG7" i="7"/>
  <c r="BG6" i="7"/>
  <c r="BG5" i="7"/>
  <c r="BG4" i="7"/>
  <c r="BG3" i="7"/>
  <c r="BG2" i="7"/>
  <c r="AU159" i="7"/>
  <c r="AU158" i="7"/>
  <c r="AU157" i="7"/>
  <c r="AU156" i="7"/>
  <c r="AU155" i="7"/>
  <c r="AU154" i="7"/>
  <c r="AU153" i="7"/>
  <c r="AU152" i="7"/>
  <c r="AU151" i="7"/>
  <c r="AU150" i="7"/>
  <c r="AU149" i="7"/>
  <c r="AU148" i="7"/>
  <c r="AU147" i="7"/>
  <c r="AU146" i="7"/>
  <c r="AU145" i="7"/>
  <c r="AU144" i="7"/>
  <c r="AU143" i="7"/>
  <c r="AU142" i="7"/>
  <c r="AU141" i="7"/>
  <c r="AQ144" i="7"/>
  <c r="AQ143" i="7"/>
  <c r="AQ142" i="7"/>
  <c r="AQ141" i="7"/>
  <c r="AM165" i="7"/>
  <c r="AM164" i="7"/>
  <c r="AM163" i="7"/>
  <c r="AM162" i="7"/>
  <c r="AM161" i="7"/>
  <c r="AM160" i="7"/>
  <c r="AM159" i="7"/>
  <c r="AM158" i="7"/>
  <c r="AM157" i="7"/>
  <c r="AM156" i="7"/>
  <c r="AM155" i="7"/>
  <c r="AM154" i="7"/>
  <c r="AM153" i="7"/>
  <c r="AM152" i="7"/>
  <c r="AM151" i="7"/>
  <c r="AM150" i="7"/>
  <c r="AM149" i="7"/>
  <c r="AM148" i="7"/>
  <c r="AM147" i="7"/>
  <c r="AM146" i="7"/>
  <c r="AM145" i="7"/>
  <c r="AM144" i="7"/>
  <c r="AM143" i="7"/>
  <c r="AM142" i="7"/>
  <c r="AM141" i="7"/>
  <c r="AI144" i="7"/>
  <c r="AI143" i="7"/>
  <c r="AI142" i="7"/>
  <c r="AI141" i="7"/>
  <c r="AE165" i="7"/>
  <c r="AE164" i="7"/>
  <c r="AE163" i="7"/>
  <c r="AE162" i="7"/>
  <c r="AE161" i="7"/>
  <c r="AE160" i="7"/>
  <c r="AE159" i="7"/>
  <c r="AE158" i="7"/>
  <c r="AE157" i="7"/>
  <c r="AE156" i="7"/>
  <c r="AE155" i="7"/>
  <c r="AE154" i="7"/>
  <c r="AE153" i="7"/>
  <c r="AE152" i="7"/>
  <c r="AE151" i="7"/>
  <c r="AE150" i="7"/>
  <c r="AE149" i="7"/>
  <c r="AE148" i="7"/>
  <c r="AE147" i="7"/>
  <c r="AE146" i="7"/>
  <c r="AE145" i="7"/>
  <c r="AE144" i="7"/>
  <c r="AE143" i="7"/>
  <c r="AE142" i="7"/>
  <c r="AE141" i="7"/>
  <c r="AA149" i="7"/>
  <c r="AA148" i="7"/>
  <c r="AA147" i="7"/>
  <c r="AA146" i="7"/>
  <c r="AA145" i="7"/>
  <c r="AA144" i="7"/>
  <c r="AA143" i="7"/>
  <c r="AA142" i="7"/>
  <c r="AA141" i="7"/>
  <c r="W163" i="7"/>
  <c r="W162" i="7"/>
  <c r="W161" i="7"/>
  <c r="W160" i="7"/>
  <c r="W159" i="7"/>
  <c r="W158" i="7"/>
  <c r="W157" i="7"/>
  <c r="W156" i="7"/>
  <c r="W155" i="7"/>
  <c r="W154" i="7"/>
  <c r="W153" i="7"/>
  <c r="W152" i="7"/>
  <c r="W151" i="7"/>
  <c r="W150" i="7"/>
  <c r="W149" i="7"/>
  <c r="W148" i="7"/>
  <c r="W147" i="7"/>
  <c r="W146" i="7"/>
  <c r="W145" i="7"/>
  <c r="W144" i="7"/>
  <c r="W143" i="7"/>
  <c r="W142" i="7"/>
  <c r="W141" i="7"/>
  <c r="S147" i="7"/>
  <c r="S146" i="7"/>
  <c r="S145" i="7"/>
  <c r="S144" i="7"/>
  <c r="S143" i="7"/>
  <c r="S142" i="7"/>
  <c r="S141" i="7"/>
  <c r="O156" i="7"/>
  <c r="O155" i="7"/>
  <c r="O154" i="7"/>
  <c r="O153" i="7"/>
  <c r="O152" i="7"/>
  <c r="O151" i="7"/>
  <c r="O150" i="7"/>
  <c r="O149" i="7"/>
  <c r="O148" i="7"/>
  <c r="O147" i="7"/>
  <c r="O146" i="7"/>
  <c r="O145" i="7"/>
  <c r="O144" i="7"/>
  <c r="O143" i="7"/>
  <c r="O142" i="7"/>
  <c r="O141" i="7"/>
  <c r="Q185" i="22" l="1"/>
  <c r="R254" i="21"/>
  <c r="AQ46" i="30"/>
  <c r="AP46" i="30" s="1"/>
  <c r="AF18" i="25"/>
  <c r="S206" i="25" s="1"/>
  <c r="Q248" i="28"/>
  <c r="Q269" i="28" s="1"/>
  <c r="B89" i="30"/>
  <c r="O89" i="30" s="1"/>
  <c r="P120" i="30"/>
  <c r="Q254" i="29"/>
  <c r="Q270" i="29" s="1"/>
  <c r="Q248" i="23"/>
  <c r="AK21" i="30"/>
  <c r="P199" i="30"/>
  <c r="P321" i="30" s="1"/>
  <c r="AK23" i="30"/>
  <c r="P202" i="30"/>
  <c r="P324" i="30" s="1"/>
  <c r="AK8" i="30"/>
  <c r="P121" i="30"/>
  <c r="AK12" i="30"/>
  <c r="P201" i="30"/>
  <c r="P323" i="30" s="1"/>
  <c r="AK22" i="30"/>
  <c r="P198" i="30"/>
  <c r="P320" i="30" s="1"/>
  <c r="AK15" i="30"/>
  <c r="R201" i="30"/>
  <c r="R200" i="30"/>
  <c r="R202" i="30"/>
  <c r="AK13" i="30"/>
  <c r="AK19" i="30"/>
  <c r="AK10" i="30"/>
  <c r="AK17" i="30"/>
  <c r="AK14" i="30"/>
  <c r="AK16" i="30"/>
  <c r="AK6" i="30"/>
  <c r="AK20" i="30"/>
  <c r="AK9" i="30"/>
  <c r="AK11" i="30"/>
  <c r="AK7" i="30"/>
  <c r="AK18" i="30"/>
  <c r="B147" i="28"/>
  <c r="B89" i="25"/>
  <c r="Q89" i="25" s="1"/>
  <c r="Q179" i="29"/>
  <c r="Q202" i="29" s="1"/>
  <c r="Q248" i="27"/>
  <c r="R248" i="27" s="1"/>
  <c r="R248" i="21"/>
  <c r="R271" i="21" s="1"/>
  <c r="AK22" i="26"/>
  <c r="T199" i="26"/>
  <c r="AK12" i="26"/>
  <c r="Q179" i="22"/>
  <c r="P202" i="26"/>
  <c r="P271" i="25"/>
  <c r="R179" i="26"/>
  <c r="P268" i="25"/>
  <c r="AF18" i="26"/>
  <c r="T206" i="26" s="1"/>
  <c r="AK19" i="26"/>
  <c r="S147" i="26"/>
  <c r="T147" i="26"/>
  <c r="AK23" i="26"/>
  <c r="T146" i="26"/>
  <c r="S146" i="26"/>
  <c r="AK10" i="26"/>
  <c r="T201" i="26"/>
  <c r="Q147" i="25"/>
  <c r="AF18" i="21"/>
  <c r="R171" i="21" s="1"/>
  <c r="P270" i="25"/>
  <c r="P269" i="25"/>
  <c r="Q254" i="25"/>
  <c r="Q271" i="25" s="1"/>
  <c r="T267" i="25"/>
  <c r="R248" i="23"/>
  <c r="P201" i="26"/>
  <c r="AK13" i="26"/>
  <c r="AK16" i="26"/>
  <c r="AK20" i="26"/>
  <c r="AK15" i="26"/>
  <c r="AK21" i="26"/>
  <c r="P200" i="26"/>
  <c r="T200" i="26"/>
  <c r="T202" i="26"/>
  <c r="AK11" i="26"/>
  <c r="AK14" i="26"/>
  <c r="AK8" i="26"/>
  <c r="AK7" i="26"/>
  <c r="AK6" i="26"/>
  <c r="P199" i="26"/>
  <c r="T197" i="26"/>
  <c r="T196" i="26"/>
  <c r="AK18" i="26"/>
  <c r="AK9" i="26"/>
  <c r="AK17" i="26"/>
  <c r="R148" i="25"/>
  <c r="Q269" i="25"/>
  <c r="B147" i="23"/>
  <c r="R185" i="26"/>
  <c r="S185" i="26" s="1"/>
  <c r="T268" i="21"/>
  <c r="P269" i="21"/>
  <c r="T269" i="25"/>
  <c r="T271" i="25"/>
  <c r="T266" i="25"/>
  <c r="T265" i="25"/>
  <c r="T270" i="25"/>
  <c r="T268" i="25"/>
  <c r="Q268" i="21"/>
  <c r="Q147" i="21"/>
  <c r="B89" i="28"/>
  <c r="Q89" i="28" s="1"/>
  <c r="B89" i="29"/>
  <c r="B8" i="29" s="1"/>
  <c r="Q78" i="29"/>
  <c r="AQ52" i="29" s="1"/>
  <c r="AP52" i="29" s="1"/>
  <c r="Q79" i="28"/>
  <c r="AQ53" i="28" s="1"/>
  <c r="AP53" i="28" s="1"/>
  <c r="T267" i="21"/>
  <c r="R148" i="21"/>
  <c r="P270" i="21"/>
  <c r="B89" i="27"/>
  <c r="Q89" i="27" s="1"/>
  <c r="P268" i="21"/>
  <c r="T271" i="21"/>
  <c r="T270" i="21"/>
  <c r="Q185" i="25"/>
  <c r="P271" i="21"/>
  <c r="T265" i="21"/>
  <c r="T266" i="21"/>
  <c r="P80" i="27"/>
  <c r="AQ49" i="27" s="1"/>
  <c r="AP49" i="27" s="1"/>
  <c r="T269" i="21"/>
  <c r="B89" i="26"/>
  <c r="Q89" i="26" s="1"/>
  <c r="B89" i="23"/>
  <c r="Q89" i="23" s="1"/>
  <c r="AQ46" i="24"/>
  <c r="AP46" i="24" s="1"/>
  <c r="B89" i="24"/>
  <c r="J28" i="14" s="1"/>
  <c r="B89" i="22"/>
  <c r="O89" i="22" s="1"/>
  <c r="P80" i="23"/>
  <c r="AQ49" i="23" s="1"/>
  <c r="AP49" i="23" s="1"/>
  <c r="Q79" i="22"/>
  <c r="AQ53" i="22" s="1"/>
  <c r="AP53" i="22" s="1"/>
  <c r="B89" i="21"/>
  <c r="J40" i="14" s="1"/>
  <c r="Q269" i="21"/>
  <c r="AK23" i="29"/>
  <c r="Q254" i="23"/>
  <c r="Q271" i="21"/>
  <c r="Q267" i="21"/>
  <c r="Q270" i="21"/>
  <c r="Q77" i="28"/>
  <c r="AQ51" i="28" s="1"/>
  <c r="AP51" i="28" s="1"/>
  <c r="Q77" i="2"/>
  <c r="AQ51" i="2" s="1"/>
  <c r="AP51" i="2" s="1"/>
  <c r="R185" i="28"/>
  <c r="B147" i="22"/>
  <c r="R248" i="28"/>
  <c r="R248" i="26"/>
  <c r="Q202" i="26"/>
  <c r="Q201" i="26"/>
  <c r="Q200" i="26"/>
  <c r="Q198" i="26"/>
  <c r="Q199" i="26"/>
  <c r="Q248" i="22"/>
  <c r="Q248" i="24"/>
  <c r="Q254" i="27"/>
  <c r="R248" i="22"/>
  <c r="B147" i="27"/>
  <c r="P80" i="28"/>
  <c r="AQ49" i="28" s="1"/>
  <c r="AP49" i="28" s="1"/>
  <c r="S147" i="29"/>
  <c r="P78" i="28"/>
  <c r="AQ47" i="28" s="1"/>
  <c r="AP47" i="28" s="1"/>
  <c r="P79" i="28"/>
  <c r="AQ48" i="28" s="1"/>
  <c r="AP48" i="28" s="1"/>
  <c r="P158" i="29"/>
  <c r="Q185" i="24"/>
  <c r="Q198" i="24" s="1"/>
  <c r="B121" i="27"/>
  <c r="B147" i="24"/>
  <c r="R254" i="28"/>
  <c r="R179" i="28"/>
  <c r="Q248" i="2"/>
  <c r="R248" i="2" s="1"/>
  <c r="Q254" i="24"/>
  <c r="R248" i="25"/>
  <c r="R185" i="21"/>
  <c r="S185" i="21" s="1"/>
  <c r="R185" i="23"/>
  <c r="S185" i="23" s="1"/>
  <c r="P199" i="28"/>
  <c r="R77" i="28"/>
  <c r="AQ56" i="28" s="1"/>
  <c r="AP56" i="28" s="1"/>
  <c r="AQ46" i="28"/>
  <c r="AP46" i="28" s="1"/>
  <c r="R179" i="27"/>
  <c r="S179" i="27" s="1"/>
  <c r="Q78" i="28"/>
  <c r="AQ52" i="28" s="1"/>
  <c r="AP52" i="28" s="1"/>
  <c r="P147" i="22"/>
  <c r="P202" i="28"/>
  <c r="P201" i="28"/>
  <c r="P200" i="28"/>
  <c r="R185" i="29"/>
  <c r="S185" i="29" s="1"/>
  <c r="R254" i="26"/>
  <c r="R179" i="22"/>
  <c r="AF18" i="2"/>
  <c r="S171" i="2" s="1"/>
  <c r="Q185" i="27"/>
  <c r="Q200" i="27" s="1"/>
  <c r="P147" i="28"/>
  <c r="T147" i="27"/>
  <c r="Q179" i="2"/>
  <c r="R179" i="2" s="1"/>
  <c r="S179" i="2" s="1"/>
  <c r="Q185" i="2"/>
  <c r="R185" i="2" s="1"/>
  <c r="AK21" i="28"/>
  <c r="S185" i="28"/>
  <c r="P78" i="27"/>
  <c r="AQ47" i="27" s="1"/>
  <c r="AP47" i="27" s="1"/>
  <c r="Q78" i="27"/>
  <c r="AQ52" i="27" s="1"/>
  <c r="AP52" i="27" s="1"/>
  <c r="Q147" i="2"/>
  <c r="AF18" i="28"/>
  <c r="B121" i="21"/>
  <c r="B147" i="21"/>
  <c r="P202" i="29"/>
  <c r="R179" i="29"/>
  <c r="S179" i="29" s="1"/>
  <c r="T196" i="28"/>
  <c r="P147" i="29"/>
  <c r="S146" i="28"/>
  <c r="T200" i="28"/>
  <c r="T197" i="28"/>
  <c r="S147" i="28"/>
  <c r="T199" i="28"/>
  <c r="T201" i="28"/>
  <c r="P159" i="22"/>
  <c r="T146" i="28"/>
  <c r="T202" i="28"/>
  <c r="T198" i="28"/>
  <c r="R185" i="22"/>
  <c r="S185" i="22" s="1"/>
  <c r="S179" i="28"/>
  <c r="Q179" i="23"/>
  <c r="Q198" i="23" s="1"/>
  <c r="AK12" i="28"/>
  <c r="AK10" i="28"/>
  <c r="Q202" i="28"/>
  <c r="AK6" i="29"/>
  <c r="AK16" i="29"/>
  <c r="AK15" i="28"/>
  <c r="R147" i="28"/>
  <c r="AK8" i="28"/>
  <c r="AK13" i="29"/>
  <c r="AK7" i="28"/>
  <c r="AK13" i="28"/>
  <c r="AK20" i="28"/>
  <c r="Q201" i="28"/>
  <c r="Q199" i="28"/>
  <c r="AK21" i="29"/>
  <c r="AK9" i="29"/>
  <c r="AK14" i="28"/>
  <c r="AK23" i="28"/>
  <c r="Q200" i="28"/>
  <c r="AK22" i="29"/>
  <c r="AK18" i="29"/>
  <c r="AK19" i="28"/>
  <c r="AK16" i="28"/>
  <c r="AK22" i="28"/>
  <c r="AK9" i="28"/>
  <c r="Q198" i="28"/>
  <c r="AK17" i="29"/>
  <c r="AK12" i="29"/>
  <c r="AK11" i="28"/>
  <c r="AK6" i="28"/>
  <c r="AK18" i="28"/>
  <c r="AK17" i="28"/>
  <c r="S271" i="28"/>
  <c r="Q79" i="27"/>
  <c r="AQ53" i="27" s="1"/>
  <c r="AP53" i="27" s="1"/>
  <c r="P79" i="27"/>
  <c r="AQ48" i="27" s="1"/>
  <c r="AP48" i="27" s="1"/>
  <c r="S271" i="2"/>
  <c r="AQ46" i="27"/>
  <c r="AP46" i="27" s="1"/>
  <c r="Q77" i="27"/>
  <c r="AQ51" i="27" s="1"/>
  <c r="AP51" i="27" s="1"/>
  <c r="R254" i="29"/>
  <c r="AK14" i="29"/>
  <c r="AK7" i="29"/>
  <c r="AK19" i="29"/>
  <c r="AK20" i="29"/>
  <c r="P158" i="22"/>
  <c r="P268" i="28"/>
  <c r="P271" i="28"/>
  <c r="P270" i="28"/>
  <c r="P269" i="28"/>
  <c r="T269" i="28"/>
  <c r="T268" i="28"/>
  <c r="T270" i="28"/>
  <c r="T267" i="28"/>
  <c r="T265" i="28"/>
  <c r="T271" i="28"/>
  <c r="T266" i="28"/>
  <c r="AK15" i="29"/>
  <c r="AK10" i="29"/>
  <c r="AK11" i="29"/>
  <c r="AK8" i="29"/>
  <c r="S147" i="22"/>
  <c r="T147" i="22"/>
  <c r="Q267" i="28"/>
  <c r="R148" i="28"/>
  <c r="Q147" i="28"/>
  <c r="S146" i="22"/>
  <c r="AF18" i="22"/>
  <c r="Q171" i="22" s="1"/>
  <c r="P271" i="2"/>
  <c r="R179" i="23"/>
  <c r="T201" i="29"/>
  <c r="R77" i="2"/>
  <c r="AQ56" i="2" s="1"/>
  <c r="AP56" i="2" s="1"/>
  <c r="P147" i="2"/>
  <c r="P147" i="23"/>
  <c r="P121" i="23"/>
  <c r="P199" i="23"/>
  <c r="P201" i="24"/>
  <c r="R148" i="2"/>
  <c r="P201" i="29"/>
  <c r="AF18" i="29"/>
  <c r="AF18" i="24"/>
  <c r="R171" i="24" s="1"/>
  <c r="T200" i="24"/>
  <c r="AQ46" i="29"/>
  <c r="AP46" i="29" s="1"/>
  <c r="P199" i="29"/>
  <c r="T198" i="29"/>
  <c r="T146" i="27"/>
  <c r="R77" i="29"/>
  <c r="AQ56" i="29" s="1"/>
  <c r="AP56" i="29" s="1"/>
  <c r="P200" i="29"/>
  <c r="T196" i="29"/>
  <c r="T197" i="29"/>
  <c r="P200" i="24"/>
  <c r="R77" i="23"/>
  <c r="AQ56" i="23" s="1"/>
  <c r="AP56" i="23" s="1"/>
  <c r="T200" i="29"/>
  <c r="T199" i="29"/>
  <c r="T202" i="29"/>
  <c r="R77" i="27"/>
  <c r="AQ56" i="27" s="1"/>
  <c r="AP56" i="27" s="1"/>
  <c r="Q79" i="29"/>
  <c r="AQ53" i="29" s="1"/>
  <c r="AP53" i="29" s="1"/>
  <c r="Q77" i="29"/>
  <c r="AQ51" i="29" s="1"/>
  <c r="AP51" i="29" s="1"/>
  <c r="R77" i="24"/>
  <c r="AQ56" i="24" s="1"/>
  <c r="AP56" i="24" s="1"/>
  <c r="P147" i="27"/>
  <c r="P158" i="27"/>
  <c r="S146" i="27"/>
  <c r="P78" i="23"/>
  <c r="AQ47" i="23" s="1"/>
  <c r="AP47" i="23" s="1"/>
  <c r="R146" i="2"/>
  <c r="AK15" i="22"/>
  <c r="Q78" i="24"/>
  <c r="AQ52" i="24" s="1"/>
  <c r="AP52" i="24" s="1"/>
  <c r="AQ46" i="23"/>
  <c r="AP46" i="23" s="1"/>
  <c r="P79" i="23"/>
  <c r="AQ48" i="23" s="1"/>
  <c r="AP48" i="23" s="1"/>
  <c r="P78" i="29"/>
  <c r="AQ47" i="29" s="1"/>
  <c r="AP47" i="29" s="1"/>
  <c r="P79" i="29"/>
  <c r="AQ48" i="29" s="1"/>
  <c r="AP48" i="29" s="1"/>
  <c r="P80" i="29"/>
  <c r="AQ49" i="29" s="1"/>
  <c r="AP49" i="29" s="1"/>
  <c r="Q77" i="24"/>
  <c r="AQ51" i="24" s="1"/>
  <c r="AP51" i="24" s="1"/>
  <c r="Q78" i="23"/>
  <c r="AQ52" i="23" s="1"/>
  <c r="AP52" i="23" s="1"/>
  <c r="Q77" i="23"/>
  <c r="AQ51" i="23" s="1"/>
  <c r="AP51" i="23" s="1"/>
  <c r="AK22" i="23"/>
  <c r="AK23" i="23"/>
  <c r="P201" i="27"/>
  <c r="AF18" i="27"/>
  <c r="S179" i="26"/>
  <c r="AK14" i="24"/>
  <c r="T198" i="22"/>
  <c r="AK15" i="27"/>
  <c r="T269" i="2"/>
  <c r="T201" i="24"/>
  <c r="T199" i="23"/>
  <c r="AK11" i="22"/>
  <c r="T200" i="23"/>
  <c r="AQ46" i="2"/>
  <c r="AP46" i="2" s="1"/>
  <c r="AK12" i="24"/>
  <c r="T197" i="24"/>
  <c r="R147" i="29"/>
  <c r="T196" i="27"/>
  <c r="AK10" i="27"/>
  <c r="P199" i="22"/>
  <c r="P200" i="23"/>
  <c r="Q78" i="2"/>
  <c r="AQ52" i="2" s="1"/>
  <c r="AP52" i="2" s="1"/>
  <c r="AK12" i="22"/>
  <c r="AK6" i="24"/>
  <c r="AK8" i="27"/>
  <c r="P199" i="27"/>
  <c r="T200" i="22"/>
  <c r="T197" i="22"/>
  <c r="T199" i="22"/>
  <c r="AK10" i="23"/>
  <c r="R146" i="27"/>
  <c r="P78" i="2"/>
  <c r="AQ47" i="2" s="1"/>
  <c r="AP47" i="2" s="1"/>
  <c r="P79" i="2"/>
  <c r="AQ48" i="2" s="1"/>
  <c r="AP48" i="2" s="1"/>
  <c r="P80" i="2"/>
  <c r="Q76" i="2" s="1"/>
  <c r="AQ50" i="2" s="1"/>
  <c r="AP50" i="2" s="1"/>
  <c r="T268" i="2"/>
  <c r="AK18" i="22"/>
  <c r="R77" i="22"/>
  <c r="AQ56" i="22" s="1"/>
  <c r="AP56" i="22" s="1"/>
  <c r="AK7" i="24"/>
  <c r="AK13" i="24"/>
  <c r="T196" i="24"/>
  <c r="AK12" i="27"/>
  <c r="T196" i="23"/>
  <c r="AK10" i="24"/>
  <c r="B89" i="2"/>
  <c r="J4" i="14" s="1"/>
  <c r="Q79" i="2"/>
  <c r="AQ53" i="2" s="1"/>
  <c r="AP53" i="2" s="1"/>
  <c r="T270" i="2"/>
  <c r="P202" i="22"/>
  <c r="AK8" i="22"/>
  <c r="P78" i="22"/>
  <c r="AQ47" i="22" s="1"/>
  <c r="AP47" i="22" s="1"/>
  <c r="T198" i="24"/>
  <c r="AK18" i="27"/>
  <c r="P200" i="22"/>
  <c r="AK7" i="22"/>
  <c r="AK22" i="22"/>
  <c r="AK13" i="22"/>
  <c r="AK17" i="22"/>
  <c r="AK23" i="22"/>
  <c r="P79" i="22"/>
  <c r="AQ48" i="22" s="1"/>
  <c r="AP48" i="22" s="1"/>
  <c r="P80" i="22"/>
  <c r="AQ49" i="22" s="1"/>
  <c r="AP49" i="22" s="1"/>
  <c r="AK22" i="24"/>
  <c r="AK20" i="24"/>
  <c r="AK17" i="24"/>
  <c r="AK18" i="24"/>
  <c r="AK8" i="24"/>
  <c r="P80" i="24"/>
  <c r="AQ49" i="24" s="1"/>
  <c r="AP49" i="24" s="1"/>
  <c r="Q79" i="24"/>
  <c r="AQ53" i="24" s="1"/>
  <c r="AP53" i="24" s="1"/>
  <c r="P202" i="24"/>
  <c r="AK6" i="27"/>
  <c r="AK13" i="27"/>
  <c r="AK11" i="27"/>
  <c r="AK21" i="27"/>
  <c r="AK23" i="27"/>
  <c r="P121" i="24"/>
  <c r="P202" i="27"/>
  <c r="T201" i="22"/>
  <c r="AK11" i="23"/>
  <c r="AK7" i="23"/>
  <c r="T147" i="23"/>
  <c r="P268" i="2"/>
  <c r="T271" i="2"/>
  <c r="T267" i="2"/>
  <c r="P270" i="2"/>
  <c r="P269" i="2"/>
  <c r="T266" i="2"/>
  <c r="T265" i="2"/>
  <c r="P201" i="22"/>
  <c r="AK14" i="22"/>
  <c r="AK10" i="22"/>
  <c r="AK16" i="22"/>
  <c r="AK6" i="22"/>
  <c r="AK20" i="22"/>
  <c r="AQ46" i="22"/>
  <c r="AP46" i="22" s="1"/>
  <c r="Q77" i="22"/>
  <c r="AQ51" i="22" s="1"/>
  <c r="AP51" i="22" s="1"/>
  <c r="AK11" i="24"/>
  <c r="AK21" i="24"/>
  <c r="AK15" i="24"/>
  <c r="AK19" i="24"/>
  <c r="P78" i="24"/>
  <c r="AQ47" i="24" s="1"/>
  <c r="AP47" i="24" s="1"/>
  <c r="P79" i="24"/>
  <c r="AQ48" i="24" s="1"/>
  <c r="AP48" i="24" s="1"/>
  <c r="P199" i="24"/>
  <c r="AK16" i="27"/>
  <c r="AK7" i="27"/>
  <c r="AK20" i="27"/>
  <c r="AK19" i="27"/>
  <c r="AK17" i="27"/>
  <c r="P200" i="27"/>
  <c r="T202" i="22"/>
  <c r="AK12" i="23"/>
  <c r="P158" i="23"/>
  <c r="S147" i="23"/>
  <c r="T197" i="27"/>
  <c r="R185" i="27"/>
  <c r="AK9" i="22"/>
  <c r="AK19" i="22"/>
  <c r="AK21" i="22"/>
  <c r="Q78" i="22"/>
  <c r="AQ52" i="22" s="1"/>
  <c r="AP52" i="22" s="1"/>
  <c r="AK9" i="24"/>
  <c r="AK23" i="24"/>
  <c r="AK16" i="24"/>
  <c r="AK9" i="27"/>
  <c r="AK22" i="27"/>
  <c r="AK14" i="27"/>
  <c r="T196" i="22"/>
  <c r="AK13" i="23"/>
  <c r="S146" i="23"/>
  <c r="R179" i="24"/>
  <c r="S179" i="24" s="1"/>
  <c r="B121" i="23"/>
  <c r="Q179" i="25"/>
  <c r="Q179" i="21"/>
  <c r="Q202" i="21" s="1"/>
  <c r="T199" i="24"/>
  <c r="AK6" i="23"/>
  <c r="AF18" i="23"/>
  <c r="S206" i="23" s="1"/>
  <c r="T200" i="27"/>
  <c r="R147" i="27"/>
  <c r="AK21" i="23"/>
  <c r="AK8" i="23"/>
  <c r="AK20" i="23"/>
  <c r="P201" i="23"/>
  <c r="P202" i="23"/>
  <c r="T199" i="27"/>
  <c r="T201" i="27"/>
  <c r="T202" i="23"/>
  <c r="T202" i="24"/>
  <c r="AK16" i="23"/>
  <c r="AK15" i="23"/>
  <c r="AK14" i="23"/>
  <c r="T198" i="27"/>
  <c r="T202" i="27"/>
  <c r="AK9" i="23"/>
  <c r="R146" i="22"/>
  <c r="S179" i="22"/>
  <c r="AK19" i="23"/>
  <c r="AK18" i="23"/>
  <c r="AK17" i="23"/>
  <c r="T201" i="23"/>
  <c r="T197" i="23"/>
  <c r="Q79" i="23"/>
  <c r="AQ53" i="23" s="1"/>
  <c r="AP53" i="23" s="1"/>
  <c r="P271" i="27"/>
  <c r="P269" i="27"/>
  <c r="P268" i="27"/>
  <c r="P270" i="27"/>
  <c r="Q254" i="22"/>
  <c r="R254" i="22" s="1"/>
  <c r="T198" i="23"/>
  <c r="T266" i="27"/>
  <c r="T269" i="27"/>
  <c r="T268" i="27"/>
  <c r="T271" i="27"/>
  <c r="T267" i="27"/>
  <c r="T270" i="27"/>
  <c r="T265" i="27"/>
  <c r="S271" i="27"/>
  <c r="R148" i="27"/>
  <c r="Q147" i="27"/>
  <c r="R248" i="29"/>
  <c r="R248" i="24"/>
  <c r="R148" i="29"/>
  <c r="Q147" i="29"/>
  <c r="T271" i="29"/>
  <c r="T265" i="29"/>
  <c r="T269" i="29"/>
  <c r="T267" i="29"/>
  <c r="T270" i="29"/>
  <c r="T266" i="29"/>
  <c r="T268" i="29"/>
  <c r="P270" i="29"/>
  <c r="P268" i="29"/>
  <c r="P269" i="29"/>
  <c r="P271" i="29"/>
  <c r="Q147" i="22"/>
  <c r="R148" i="22"/>
  <c r="P270" i="22"/>
  <c r="P269" i="22"/>
  <c r="P271" i="22"/>
  <c r="P268" i="22"/>
  <c r="T268" i="22"/>
  <c r="T265" i="22"/>
  <c r="T270" i="22"/>
  <c r="T269" i="22"/>
  <c r="T271" i="22"/>
  <c r="T266" i="22"/>
  <c r="T267" i="22"/>
  <c r="P268" i="26"/>
  <c r="P321" i="26" s="1"/>
  <c r="P267" i="26"/>
  <c r="P271" i="26"/>
  <c r="P324" i="26" s="1"/>
  <c r="P270" i="26"/>
  <c r="P323" i="26" s="1"/>
  <c r="P269" i="26"/>
  <c r="P322" i="26" s="1"/>
  <c r="P268" i="24"/>
  <c r="P270" i="24"/>
  <c r="P271" i="24"/>
  <c r="P269" i="24"/>
  <c r="P267" i="24"/>
  <c r="P121" i="26"/>
  <c r="P147" i="26"/>
  <c r="T266" i="26"/>
  <c r="T268" i="26"/>
  <c r="T265" i="26"/>
  <c r="T267" i="26"/>
  <c r="T270" i="26"/>
  <c r="T271" i="26"/>
  <c r="T269" i="26"/>
  <c r="P159" i="24"/>
  <c r="P158" i="24"/>
  <c r="S147" i="24"/>
  <c r="S146" i="24"/>
  <c r="T147" i="24"/>
  <c r="T146" i="24"/>
  <c r="R148" i="24"/>
  <c r="Q147" i="24"/>
  <c r="R147" i="24"/>
  <c r="T266" i="24"/>
  <c r="T268" i="24"/>
  <c r="T271" i="24"/>
  <c r="T269" i="24"/>
  <c r="T267" i="24"/>
  <c r="T265" i="24"/>
  <c r="T270" i="24"/>
  <c r="R148" i="26"/>
  <c r="R146" i="26"/>
  <c r="Q147" i="26"/>
  <c r="Q271" i="26"/>
  <c r="Q269" i="26"/>
  <c r="Q268" i="26"/>
  <c r="Q267" i="26"/>
  <c r="Q270" i="26"/>
  <c r="P78" i="26"/>
  <c r="AQ47" i="26" s="1"/>
  <c r="AP47" i="26" s="1"/>
  <c r="Q78" i="26"/>
  <c r="AQ52" i="26" s="1"/>
  <c r="AP52" i="26" s="1"/>
  <c r="AQ46" i="26"/>
  <c r="AP46" i="26" s="1"/>
  <c r="Q77" i="26"/>
  <c r="AQ51" i="26" s="1"/>
  <c r="AP51" i="26" s="1"/>
  <c r="P80" i="26"/>
  <c r="Q79" i="26"/>
  <c r="AQ53" i="26" s="1"/>
  <c r="AP53" i="26" s="1"/>
  <c r="R77" i="26"/>
  <c r="AQ56" i="26" s="1"/>
  <c r="AP56" i="26" s="1"/>
  <c r="P79" i="26"/>
  <c r="AQ48" i="26" s="1"/>
  <c r="AP48" i="26" s="1"/>
  <c r="T202" i="2"/>
  <c r="T200" i="2"/>
  <c r="T197" i="2"/>
  <c r="T196" i="2"/>
  <c r="T201" i="2"/>
  <c r="T199" i="2"/>
  <c r="T198" i="2"/>
  <c r="P201" i="2"/>
  <c r="P202" i="2"/>
  <c r="P200" i="2"/>
  <c r="P322" i="2" s="1"/>
  <c r="P199" i="2"/>
  <c r="P321" i="2" s="1"/>
  <c r="B121" i="2"/>
  <c r="P159" i="2"/>
  <c r="S147" i="2"/>
  <c r="P158" i="2"/>
  <c r="S146" i="2"/>
  <c r="AK12" i="2"/>
  <c r="AK9" i="2"/>
  <c r="AK7" i="2"/>
  <c r="AK19" i="2"/>
  <c r="AK17" i="2"/>
  <c r="AK20" i="2"/>
  <c r="AK11" i="2"/>
  <c r="AK16" i="2"/>
  <c r="AK18" i="2"/>
  <c r="AK15" i="2"/>
  <c r="AK13" i="2"/>
  <c r="AK23" i="2"/>
  <c r="AK14" i="2"/>
  <c r="AK10" i="2"/>
  <c r="AK22" i="2"/>
  <c r="AK8" i="2"/>
  <c r="AK21" i="2"/>
  <c r="AK6" i="2"/>
  <c r="AK8" i="21"/>
  <c r="AK7" i="21"/>
  <c r="AK11" i="21"/>
  <c r="AK9" i="21"/>
  <c r="AK10" i="21"/>
  <c r="AK18" i="21"/>
  <c r="AK17" i="21"/>
  <c r="AK6" i="21"/>
  <c r="AK23" i="21"/>
  <c r="AK14" i="21"/>
  <c r="AK21" i="21"/>
  <c r="AK22" i="21"/>
  <c r="AK12" i="21"/>
  <c r="AK19" i="21"/>
  <c r="AK20" i="21"/>
  <c r="AK13" i="21"/>
  <c r="AK15" i="21"/>
  <c r="AK16" i="21"/>
  <c r="P147" i="21"/>
  <c r="P121" i="21"/>
  <c r="T147" i="21"/>
  <c r="S146" i="21"/>
  <c r="T146" i="21"/>
  <c r="P80" i="21"/>
  <c r="Q77" i="21"/>
  <c r="AQ51" i="21" s="1"/>
  <c r="AP51" i="21" s="1"/>
  <c r="P78" i="21"/>
  <c r="AQ47" i="21" s="1"/>
  <c r="AP47" i="21" s="1"/>
  <c r="AQ46" i="21"/>
  <c r="AP46" i="21" s="1"/>
  <c r="Q79" i="21"/>
  <c r="AQ53" i="21" s="1"/>
  <c r="AP53" i="21" s="1"/>
  <c r="P79" i="21"/>
  <c r="AQ48" i="21" s="1"/>
  <c r="AP48" i="21" s="1"/>
  <c r="Q78" i="21"/>
  <c r="AQ52" i="21" s="1"/>
  <c r="AP52" i="21" s="1"/>
  <c r="R77" i="21"/>
  <c r="AQ56" i="21" s="1"/>
  <c r="AP56" i="21" s="1"/>
  <c r="P199" i="21"/>
  <c r="P321" i="21" s="1"/>
  <c r="P201" i="21"/>
  <c r="P323" i="21" s="1"/>
  <c r="P202" i="21"/>
  <c r="P200" i="21"/>
  <c r="T196" i="21"/>
  <c r="T201" i="21"/>
  <c r="T199" i="21"/>
  <c r="T197" i="21"/>
  <c r="T200" i="21"/>
  <c r="T198" i="21"/>
  <c r="T202" i="21"/>
  <c r="P269" i="23"/>
  <c r="P270" i="23"/>
  <c r="P271" i="23"/>
  <c r="P268" i="23"/>
  <c r="S271" i="23"/>
  <c r="R148" i="23"/>
  <c r="Q147" i="23"/>
  <c r="R146" i="23"/>
  <c r="T267" i="23"/>
  <c r="T265" i="23"/>
  <c r="T266" i="23"/>
  <c r="T269" i="23"/>
  <c r="T271" i="23"/>
  <c r="T268" i="23"/>
  <c r="T270" i="23"/>
  <c r="P206" i="25"/>
  <c r="R185" i="25"/>
  <c r="P147" i="25"/>
  <c r="P121" i="25"/>
  <c r="P200" i="25"/>
  <c r="P322" i="25" s="1"/>
  <c r="P199" i="25"/>
  <c r="P202" i="25"/>
  <c r="P201" i="25"/>
  <c r="AQ46" i="25"/>
  <c r="AP46" i="25" s="1"/>
  <c r="P78" i="25"/>
  <c r="AQ47" i="25" s="1"/>
  <c r="AP47" i="25" s="1"/>
  <c r="P80" i="25"/>
  <c r="P79" i="25"/>
  <c r="AQ48" i="25" s="1"/>
  <c r="AP48" i="25" s="1"/>
  <c r="Q78" i="25"/>
  <c r="AQ52" i="25" s="1"/>
  <c r="AP52" i="25" s="1"/>
  <c r="R77" i="25"/>
  <c r="AQ56" i="25" s="1"/>
  <c r="AP56" i="25" s="1"/>
  <c r="Q77" i="25"/>
  <c r="AQ51" i="25" s="1"/>
  <c r="AP51" i="25" s="1"/>
  <c r="Q79" i="25"/>
  <c r="AQ53" i="25" s="1"/>
  <c r="AP53" i="25" s="1"/>
  <c r="O84" i="25"/>
  <c r="B147" i="25"/>
  <c r="S147" i="25"/>
  <c r="P159" i="25"/>
  <c r="R146" i="25"/>
  <c r="P158" i="25"/>
  <c r="AK21" i="25"/>
  <c r="AK23" i="25"/>
  <c r="AK20" i="25"/>
  <c r="AK14" i="25"/>
  <c r="AK11" i="25"/>
  <c r="AK7" i="25"/>
  <c r="AK22" i="25"/>
  <c r="AK19" i="25"/>
  <c r="AK16" i="25"/>
  <c r="AK13" i="25"/>
  <c r="AK18" i="25"/>
  <c r="AK17" i="25"/>
  <c r="AK8" i="25"/>
  <c r="AK12" i="25"/>
  <c r="AK15" i="25"/>
  <c r="AK9" i="25"/>
  <c r="AK10" i="25"/>
  <c r="AK6" i="25"/>
  <c r="T200" i="25"/>
  <c r="T197" i="25"/>
  <c r="T201" i="25"/>
  <c r="T198" i="25"/>
  <c r="T202" i="25"/>
  <c r="T199" i="25"/>
  <c r="T196" i="25"/>
  <c r="AQ49" i="30"/>
  <c r="AP49" i="30" s="1"/>
  <c r="Q76" i="30"/>
  <c r="AQ50" i="30" s="1"/>
  <c r="AP50" i="30" s="1"/>
  <c r="BN3" i="7"/>
  <c r="BN4" i="7"/>
  <c r="BN8" i="7"/>
  <c r="BN12" i="7"/>
  <c r="BN16" i="7"/>
  <c r="BN20" i="7"/>
  <c r="BN24" i="7"/>
  <c r="BN28" i="7"/>
  <c r="BN32" i="7"/>
  <c r="BN7" i="7"/>
  <c r="BN11" i="7"/>
  <c r="BN15" i="7"/>
  <c r="BN19" i="7"/>
  <c r="BN23" i="7"/>
  <c r="BN27" i="7"/>
  <c r="BN31" i="7"/>
  <c r="BN35" i="7"/>
  <c r="BN5" i="7"/>
  <c r="BN9" i="7"/>
  <c r="BN13" i="7"/>
  <c r="BN17" i="7"/>
  <c r="BN21" i="7"/>
  <c r="BN25" i="7"/>
  <c r="BN29" i="7"/>
  <c r="BN33" i="7"/>
  <c r="BN34" i="7"/>
  <c r="BN26" i="7"/>
  <c r="BN18" i="7"/>
  <c r="BN14" i="7"/>
  <c r="BN6" i="7"/>
  <c r="BN30" i="7"/>
  <c r="BN22" i="7"/>
  <c r="BN10" i="7"/>
  <c r="BR3" i="7"/>
  <c r="T147" i="25" s="1"/>
  <c r="BV3" i="7"/>
  <c r="BN2" i="7"/>
  <c r="S147" i="21" s="1"/>
  <c r="BR5" i="7"/>
  <c r="BR9" i="7"/>
  <c r="BR13" i="7"/>
  <c r="BR17" i="7"/>
  <c r="BR21" i="7"/>
  <c r="BR25" i="7"/>
  <c r="BR29" i="7"/>
  <c r="BR7" i="7"/>
  <c r="BR11" i="7"/>
  <c r="BR15" i="7"/>
  <c r="BR19" i="7"/>
  <c r="BR23" i="7"/>
  <c r="BR27" i="7"/>
  <c r="BR4" i="7"/>
  <c r="BR8" i="7"/>
  <c r="BR12" i="7"/>
  <c r="BR16" i="7"/>
  <c r="BR20" i="7"/>
  <c r="BR24" i="7"/>
  <c r="BR28" i="7"/>
  <c r="BR26" i="7"/>
  <c r="BR18" i="7"/>
  <c r="BR6" i="7"/>
  <c r="BV4" i="7"/>
  <c r="BR10" i="7"/>
  <c r="BR22" i="7"/>
  <c r="BR14" i="7"/>
  <c r="BR2" i="7"/>
  <c r="T146" i="23" s="1"/>
  <c r="BV5" i="7"/>
  <c r="BV9" i="7"/>
  <c r="BV13" i="7"/>
  <c r="BV17" i="7"/>
  <c r="BV21" i="7"/>
  <c r="BV2" i="7"/>
  <c r="P158" i="21" s="1"/>
  <c r="BV6" i="7"/>
  <c r="BV10" i="7"/>
  <c r="BV14" i="7"/>
  <c r="BV18" i="7"/>
  <c r="BV22" i="7"/>
  <c r="BZ3" i="7"/>
  <c r="BV7" i="7"/>
  <c r="BV11" i="7"/>
  <c r="BV15" i="7"/>
  <c r="BV19" i="7"/>
  <c r="BV23" i="7"/>
  <c r="BV8" i="7"/>
  <c r="BV12" i="7"/>
  <c r="BV16" i="7"/>
  <c r="BV20" i="7"/>
  <c r="BV24" i="7"/>
  <c r="BZ2" i="7"/>
  <c r="BZ6" i="7"/>
  <c r="BZ10" i="7"/>
  <c r="BZ14" i="7"/>
  <c r="BZ18" i="7"/>
  <c r="BZ22" i="7"/>
  <c r="BZ26" i="7"/>
  <c r="BZ7" i="7"/>
  <c r="BZ11" i="7"/>
  <c r="BZ15" i="7"/>
  <c r="BZ19" i="7"/>
  <c r="BZ23" i="7"/>
  <c r="BZ27" i="7"/>
  <c r="BZ4" i="7"/>
  <c r="BZ8" i="7"/>
  <c r="BZ12" i="7"/>
  <c r="BZ16" i="7"/>
  <c r="BZ20" i="7"/>
  <c r="BZ24" i="7"/>
  <c r="BZ5" i="7"/>
  <c r="BZ9" i="7"/>
  <c r="BZ13" i="7"/>
  <c r="BZ17" i="7"/>
  <c r="BZ21" i="7"/>
  <c r="BZ25" i="7"/>
  <c r="CD3" i="7"/>
  <c r="CD10" i="7"/>
  <c r="CD8" i="7"/>
  <c r="CD5" i="7"/>
  <c r="CD9" i="7"/>
  <c r="CD7" i="7"/>
  <c r="CD11" i="7"/>
  <c r="CD6" i="7"/>
  <c r="CD2" i="7"/>
  <c r="CD4" i="7"/>
  <c r="CH10" i="7"/>
  <c r="CL4" i="7"/>
  <c r="CH3" i="7"/>
  <c r="CH7" i="7"/>
  <c r="CH11" i="7"/>
  <c r="CH4" i="7"/>
  <c r="CH8" i="7"/>
  <c r="CH12" i="7"/>
  <c r="CH9" i="7"/>
  <c r="CH13" i="7"/>
  <c r="CH6" i="7"/>
  <c r="CH5" i="7"/>
  <c r="CH14" i="7"/>
  <c r="CH2" i="7"/>
  <c r="CL3" i="7"/>
  <c r="CL10" i="7"/>
  <c r="CL9" i="7"/>
  <c r="CL7" i="7"/>
  <c r="CL11" i="7"/>
  <c r="CL8" i="7"/>
  <c r="CL6" i="7"/>
  <c r="CL2" i="7"/>
  <c r="CL5" i="7"/>
  <c r="BJ14" i="7"/>
  <c r="BJ3" i="7"/>
  <c r="BJ7" i="7"/>
  <c r="BJ11" i="7"/>
  <c r="BJ15" i="7"/>
  <c r="BJ19" i="7"/>
  <c r="BJ23" i="7"/>
  <c r="BJ27" i="7"/>
  <c r="BJ31" i="7"/>
  <c r="BJ35" i="7"/>
  <c r="BJ4" i="7"/>
  <c r="BJ8" i="7"/>
  <c r="BJ12" i="7"/>
  <c r="BJ16" i="7"/>
  <c r="BJ20" i="7"/>
  <c r="BJ24" i="7"/>
  <c r="BJ28" i="7"/>
  <c r="BJ32" i="7"/>
  <c r="BJ36" i="7"/>
  <c r="BJ9" i="7"/>
  <c r="BJ13" i="7"/>
  <c r="BJ17" i="7"/>
  <c r="BJ21" i="7"/>
  <c r="BJ25" i="7"/>
  <c r="BJ29" i="7"/>
  <c r="BJ33" i="7"/>
  <c r="BJ37" i="7"/>
  <c r="BJ34" i="7"/>
  <c r="BJ26" i="7"/>
  <c r="BJ18" i="7"/>
  <c r="BJ6" i="7"/>
  <c r="BJ2" i="7"/>
  <c r="R147" i="23" s="1"/>
  <c r="BJ5" i="7"/>
  <c r="BJ30" i="7"/>
  <c r="BJ22" i="7"/>
  <c r="BJ10" i="7"/>
  <c r="BF4" i="7"/>
  <c r="BF5" i="7"/>
  <c r="BF3" i="7"/>
  <c r="BF7" i="7"/>
  <c r="BF11" i="7"/>
  <c r="BF15" i="7"/>
  <c r="BF19" i="7"/>
  <c r="BF23" i="7"/>
  <c r="BF27" i="7"/>
  <c r="BF31" i="7"/>
  <c r="BF35" i="7"/>
  <c r="BF39" i="7"/>
  <c r="BF8" i="7"/>
  <c r="BF12" i="7"/>
  <c r="BF16" i="7"/>
  <c r="BF20" i="7"/>
  <c r="BF24" i="7"/>
  <c r="BF28" i="7"/>
  <c r="BF32" i="7"/>
  <c r="BF36" i="7"/>
  <c r="BF40" i="7"/>
  <c r="BF9" i="7"/>
  <c r="BF13" i="7"/>
  <c r="BF17" i="7"/>
  <c r="BF21" i="7"/>
  <c r="BF25" i="7"/>
  <c r="BF29" i="7"/>
  <c r="BF33" i="7"/>
  <c r="BF37" i="7"/>
  <c r="BF41" i="7"/>
  <c r="BF38" i="7"/>
  <c r="BF34" i="7"/>
  <c r="BF30" i="7"/>
  <c r="BF26" i="7"/>
  <c r="BF22" i="7"/>
  <c r="BF18" i="7"/>
  <c r="BF14" i="7"/>
  <c r="BF10" i="7"/>
  <c r="BF6" i="7"/>
  <c r="BF2" i="7"/>
  <c r="AT142" i="7"/>
  <c r="AT146" i="7"/>
  <c r="AT150" i="7"/>
  <c r="AT154" i="7"/>
  <c r="AT158" i="7"/>
  <c r="AT143" i="7"/>
  <c r="AT147" i="7"/>
  <c r="AT151" i="7"/>
  <c r="AT155" i="7"/>
  <c r="AT159" i="7"/>
  <c r="AT157" i="7"/>
  <c r="AT149" i="7"/>
  <c r="AT152" i="7"/>
  <c r="AT144" i="7"/>
  <c r="AT141" i="7"/>
  <c r="AT153" i="7"/>
  <c r="AT145" i="7"/>
  <c r="AT156" i="7"/>
  <c r="AT148" i="7"/>
  <c r="AL165" i="7"/>
  <c r="AP142" i="7"/>
  <c r="AP143" i="7"/>
  <c r="AL141" i="7"/>
  <c r="AP141" i="7"/>
  <c r="AP144" i="7"/>
  <c r="AL142" i="7"/>
  <c r="AL146" i="7"/>
  <c r="AL150" i="7"/>
  <c r="AL154" i="7"/>
  <c r="AL158" i="7"/>
  <c r="AL162" i="7"/>
  <c r="AL143" i="7"/>
  <c r="AL147" i="7"/>
  <c r="AL151" i="7"/>
  <c r="AL155" i="7"/>
  <c r="AL159" i="7"/>
  <c r="AL163" i="7"/>
  <c r="AL144" i="7"/>
  <c r="AL148" i="7"/>
  <c r="AL152" i="7"/>
  <c r="AL156" i="7"/>
  <c r="AL160" i="7"/>
  <c r="AL164" i="7"/>
  <c r="AL145" i="7"/>
  <c r="AL149" i="7"/>
  <c r="AL153" i="7"/>
  <c r="AL157" i="7"/>
  <c r="AL161" i="7"/>
  <c r="AH142" i="7"/>
  <c r="AH143" i="7"/>
  <c r="AH144" i="7"/>
  <c r="V146" i="7"/>
  <c r="Z141" i="7"/>
  <c r="AD141" i="7"/>
  <c r="AH141" i="7"/>
  <c r="V142" i="7"/>
  <c r="AD150" i="7"/>
  <c r="AD162" i="7"/>
  <c r="AD143" i="7"/>
  <c r="AD147" i="7"/>
  <c r="AD151" i="7"/>
  <c r="AD155" i="7"/>
  <c r="AD159" i="7"/>
  <c r="AD163" i="7"/>
  <c r="AD148" i="7"/>
  <c r="AD146" i="7"/>
  <c r="AD158" i="7"/>
  <c r="AD144" i="7"/>
  <c r="AD152" i="7"/>
  <c r="AD156" i="7"/>
  <c r="AD160" i="7"/>
  <c r="AD164" i="7"/>
  <c r="AD154" i="7"/>
  <c r="AD161" i="7"/>
  <c r="AD157" i="7"/>
  <c r="AD153" i="7"/>
  <c r="AD145" i="7"/>
  <c r="Z147" i="7"/>
  <c r="AD165" i="7"/>
  <c r="AD149" i="7"/>
  <c r="AD142" i="7"/>
  <c r="Z144" i="7"/>
  <c r="Z148" i="7"/>
  <c r="Z142" i="7"/>
  <c r="Z146" i="7"/>
  <c r="Z145" i="7"/>
  <c r="Z149" i="7"/>
  <c r="Z143" i="7"/>
  <c r="V162" i="7"/>
  <c r="V155" i="7"/>
  <c r="V158" i="7"/>
  <c r="V143" i="7"/>
  <c r="V151" i="7"/>
  <c r="V159" i="7"/>
  <c r="V148" i="7"/>
  <c r="V160" i="7"/>
  <c r="V150" i="7"/>
  <c r="V147" i="7"/>
  <c r="V163" i="7"/>
  <c r="V149" i="7"/>
  <c r="V152" i="7"/>
  <c r="V156" i="7"/>
  <c r="V154" i="7"/>
  <c r="V161" i="7"/>
  <c r="V141" i="7"/>
  <c r="V144" i="7"/>
  <c r="V157" i="7"/>
  <c r="V145" i="7"/>
  <c r="V153" i="7"/>
  <c r="R142" i="7"/>
  <c r="R146" i="7"/>
  <c r="R143" i="7"/>
  <c r="R147" i="7"/>
  <c r="R144" i="7"/>
  <c r="R145" i="7"/>
  <c r="R141" i="7"/>
  <c r="N145" i="7"/>
  <c r="N144" i="7"/>
  <c r="N148" i="7"/>
  <c r="N146" i="7"/>
  <c r="N154" i="7"/>
  <c r="N143" i="7"/>
  <c r="N150" i="7"/>
  <c r="N152" i="7"/>
  <c r="N156" i="7"/>
  <c r="N149" i="7"/>
  <c r="N153" i="7"/>
  <c r="N142" i="7"/>
  <c r="N155" i="7"/>
  <c r="N151" i="7"/>
  <c r="N147" i="7"/>
  <c r="N141" i="7"/>
  <c r="AM201" i="7"/>
  <c r="W204" i="7"/>
  <c r="W205" i="7"/>
  <c r="S201" i="7"/>
  <c r="S202" i="7"/>
  <c r="S203" i="7"/>
  <c r="S204" i="7"/>
  <c r="O201" i="7"/>
  <c r="AM177" i="7"/>
  <c r="W189" i="7"/>
  <c r="W190" i="7"/>
  <c r="W191" i="7"/>
  <c r="S185" i="7"/>
  <c r="S186" i="7"/>
  <c r="S187" i="7"/>
  <c r="O182" i="7"/>
  <c r="O183" i="7"/>
  <c r="AE121" i="7"/>
  <c r="AE122" i="7"/>
  <c r="AA122" i="7"/>
  <c r="W128" i="7"/>
  <c r="W129" i="7"/>
  <c r="S130" i="7"/>
  <c r="S131" i="7"/>
  <c r="O130" i="7"/>
  <c r="O131" i="7"/>
  <c r="AE100" i="7"/>
  <c r="AE101" i="7"/>
  <c r="AE102" i="7"/>
  <c r="AA100" i="7"/>
  <c r="AA101" i="7"/>
  <c r="AA102" i="7"/>
  <c r="W103" i="7"/>
  <c r="W104" i="7"/>
  <c r="W105" i="7"/>
  <c r="W106" i="7"/>
  <c r="O108" i="7"/>
  <c r="O109" i="7"/>
  <c r="O110" i="7"/>
  <c r="O111" i="7"/>
  <c r="AU54" i="7"/>
  <c r="AE63" i="7"/>
  <c r="AA60" i="7"/>
  <c r="W65" i="7"/>
  <c r="O55" i="7"/>
  <c r="AA45" i="7"/>
  <c r="AY5" i="7"/>
  <c r="AA6" i="7"/>
  <c r="W18" i="7"/>
  <c r="W6" i="7"/>
  <c r="W5" i="7"/>
  <c r="S9" i="7"/>
  <c r="O4" i="7"/>
  <c r="O12" i="7"/>
  <c r="W90" i="7"/>
  <c r="W89" i="7"/>
  <c r="W88" i="7"/>
  <c r="W87" i="7"/>
  <c r="W86" i="7"/>
  <c r="W85" i="7"/>
  <c r="W84" i="7"/>
  <c r="W83" i="7"/>
  <c r="W82" i="7"/>
  <c r="W81" i="7"/>
  <c r="W80" i="7"/>
  <c r="W79" i="7"/>
  <c r="W78" i="7"/>
  <c r="W77" i="7"/>
  <c r="W76" i="7"/>
  <c r="W75" i="7"/>
  <c r="W74" i="7"/>
  <c r="W73" i="7"/>
  <c r="W72" i="7"/>
  <c r="W71" i="7"/>
  <c r="W70" i="7"/>
  <c r="AE94" i="7"/>
  <c r="AE93" i="7"/>
  <c r="AE92" i="7"/>
  <c r="AE91" i="7"/>
  <c r="AE90" i="7"/>
  <c r="AE89" i="7"/>
  <c r="AE88" i="7"/>
  <c r="AE87" i="7"/>
  <c r="AE86" i="7"/>
  <c r="AE85" i="7"/>
  <c r="AE84" i="7"/>
  <c r="AE83" i="7"/>
  <c r="AE82" i="7"/>
  <c r="AE81" i="7"/>
  <c r="AE80" i="7"/>
  <c r="AE79" i="7"/>
  <c r="AE78" i="7"/>
  <c r="AE77" i="7"/>
  <c r="AE76" i="7"/>
  <c r="AE75" i="7"/>
  <c r="AE74" i="7"/>
  <c r="AE73" i="7"/>
  <c r="AE72" i="7"/>
  <c r="AE71" i="7"/>
  <c r="AE70" i="7"/>
  <c r="AM88" i="7"/>
  <c r="AM87" i="7"/>
  <c r="AM86" i="7"/>
  <c r="AM85" i="7"/>
  <c r="AM84" i="7"/>
  <c r="AM83" i="7"/>
  <c r="AM82" i="7"/>
  <c r="AM81" i="7"/>
  <c r="AM80" i="7"/>
  <c r="AM79" i="7"/>
  <c r="AM78" i="7"/>
  <c r="AM77" i="7"/>
  <c r="AM76" i="7"/>
  <c r="AM75" i="7"/>
  <c r="AM74" i="7"/>
  <c r="AM73" i="7"/>
  <c r="AM72" i="7"/>
  <c r="AM71" i="7"/>
  <c r="AM70" i="7"/>
  <c r="AU86" i="7"/>
  <c r="AU85" i="7"/>
  <c r="AU84" i="7"/>
  <c r="AU83" i="7"/>
  <c r="AU82" i="7"/>
  <c r="AU81" i="7"/>
  <c r="AU80" i="7"/>
  <c r="AU79" i="7"/>
  <c r="AU78" i="7"/>
  <c r="AU77" i="7"/>
  <c r="AU76" i="7"/>
  <c r="AU75" i="7"/>
  <c r="AU74" i="7"/>
  <c r="AU73" i="7"/>
  <c r="AU72" i="7"/>
  <c r="AU71" i="7"/>
  <c r="AU70" i="7"/>
  <c r="AU255" i="7"/>
  <c r="AU254" i="7"/>
  <c r="AA249" i="7"/>
  <c r="W267" i="7"/>
  <c r="W266" i="7"/>
  <c r="W248" i="7"/>
  <c r="S271" i="7"/>
  <c r="S270" i="7"/>
  <c r="S269" i="7"/>
  <c r="S268" i="7"/>
  <c r="S267" i="7"/>
  <c r="S266" i="7"/>
  <c r="S265" i="7"/>
  <c r="S264" i="7"/>
  <c r="S263" i="7"/>
  <c r="O257" i="7"/>
  <c r="O256" i="7"/>
  <c r="AQ75" i="7"/>
  <c r="AQ74" i="7"/>
  <c r="AQ73" i="7"/>
  <c r="AQ72" i="7"/>
  <c r="AQ71" i="7"/>
  <c r="AQ70" i="7"/>
  <c r="AI79" i="7"/>
  <c r="AI78" i="7"/>
  <c r="AI77" i="7"/>
  <c r="AI76" i="7"/>
  <c r="AI75" i="7"/>
  <c r="AI74" i="7"/>
  <c r="AI73" i="7"/>
  <c r="AI72" i="7"/>
  <c r="AI71" i="7"/>
  <c r="AI70" i="7"/>
  <c r="AA75" i="7"/>
  <c r="AA74" i="7"/>
  <c r="AA73" i="7"/>
  <c r="AA72" i="7"/>
  <c r="AA71" i="7"/>
  <c r="AA70" i="7"/>
  <c r="S78" i="7"/>
  <c r="S77" i="7"/>
  <c r="S76" i="7"/>
  <c r="S75" i="7"/>
  <c r="S74" i="7"/>
  <c r="S73" i="7"/>
  <c r="S72" i="7"/>
  <c r="S71" i="7"/>
  <c r="S70" i="7"/>
  <c r="O83" i="7"/>
  <c r="O82" i="7"/>
  <c r="O81" i="7"/>
  <c r="O80" i="7"/>
  <c r="O79" i="7"/>
  <c r="O78" i="7"/>
  <c r="O77" i="7"/>
  <c r="O76" i="7"/>
  <c r="O75" i="7"/>
  <c r="O74" i="7"/>
  <c r="O73" i="7"/>
  <c r="O72" i="7"/>
  <c r="O71" i="7"/>
  <c r="O70" i="7"/>
  <c r="R171" i="25" l="1"/>
  <c r="T171" i="25"/>
  <c r="Q268" i="29"/>
  <c r="Q171" i="25"/>
  <c r="S171" i="25"/>
  <c r="Q206" i="25"/>
  <c r="R206" i="25"/>
  <c r="T206" i="25"/>
  <c r="Q201" i="22"/>
  <c r="S171" i="26"/>
  <c r="Q270" i="28"/>
  <c r="Q268" i="28"/>
  <c r="Q271" i="28"/>
  <c r="S134" i="23"/>
  <c r="S134" i="21"/>
  <c r="P322" i="21"/>
  <c r="P324" i="25"/>
  <c r="B8" i="30"/>
  <c r="Q89" i="30"/>
  <c r="P89" i="30"/>
  <c r="Q271" i="29"/>
  <c r="Q267" i="29"/>
  <c r="P159" i="28"/>
  <c r="P158" i="28"/>
  <c r="Q269" i="29"/>
  <c r="AO49" i="30"/>
  <c r="Q268" i="23"/>
  <c r="Q146" i="23"/>
  <c r="T171" i="26"/>
  <c r="P322" i="29"/>
  <c r="P324" i="21"/>
  <c r="Q201" i="29"/>
  <c r="Q199" i="29"/>
  <c r="Q270" i="25"/>
  <c r="O89" i="25"/>
  <c r="Q206" i="26"/>
  <c r="Q171" i="26"/>
  <c r="P89" i="25"/>
  <c r="R171" i="26"/>
  <c r="P206" i="26"/>
  <c r="R206" i="26"/>
  <c r="S206" i="26"/>
  <c r="R185" i="24"/>
  <c r="S185" i="24" s="1"/>
  <c r="Q200" i="29"/>
  <c r="P159" i="21"/>
  <c r="T206" i="21"/>
  <c r="T171" i="21"/>
  <c r="Q267" i="27"/>
  <c r="R267" i="2"/>
  <c r="R271" i="2"/>
  <c r="R269" i="2"/>
  <c r="R268" i="2"/>
  <c r="R270" i="2"/>
  <c r="R147" i="22"/>
  <c r="T146" i="22"/>
  <c r="R254" i="25"/>
  <c r="R271" i="25" s="1"/>
  <c r="R270" i="21"/>
  <c r="R147" i="25"/>
  <c r="S146" i="25"/>
  <c r="R269" i="21"/>
  <c r="R268" i="21"/>
  <c r="S206" i="21"/>
  <c r="R206" i="21"/>
  <c r="P206" i="21"/>
  <c r="Q171" i="21"/>
  <c r="P323" i="25"/>
  <c r="P321" i="25"/>
  <c r="Q202" i="22"/>
  <c r="Q198" i="22"/>
  <c r="Q199" i="22"/>
  <c r="Q200" i="22"/>
  <c r="R199" i="26"/>
  <c r="R199" i="30"/>
  <c r="R198" i="30"/>
  <c r="R197" i="30"/>
  <c r="R147" i="2"/>
  <c r="S171" i="21"/>
  <c r="Q206" i="21"/>
  <c r="Q268" i="25"/>
  <c r="Q267" i="25"/>
  <c r="S134" i="24"/>
  <c r="R254" i="23"/>
  <c r="R201" i="26"/>
  <c r="R202" i="26"/>
  <c r="Q270" i="24"/>
  <c r="R200" i="26"/>
  <c r="Q76" i="27"/>
  <c r="AQ50" i="27" s="1"/>
  <c r="AP50" i="27" s="1"/>
  <c r="AO50" i="27" s="1"/>
  <c r="B8" i="28"/>
  <c r="O89" i="28"/>
  <c r="Q76" i="23"/>
  <c r="AQ50" i="23" s="1"/>
  <c r="AP50" i="23" s="1"/>
  <c r="AO50" i="23" s="1"/>
  <c r="J20" i="14"/>
  <c r="P89" i="28"/>
  <c r="J16" i="14"/>
  <c r="Q89" i="29"/>
  <c r="P89" i="29"/>
  <c r="O89" i="29"/>
  <c r="J8" i="14"/>
  <c r="O89" i="27"/>
  <c r="J32" i="14"/>
  <c r="O89" i="23"/>
  <c r="P89" i="27"/>
  <c r="Q89" i="22"/>
  <c r="P89" i="26"/>
  <c r="O89" i="26"/>
  <c r="P89" i="23"/>
  <c r="P89" i="22"/>
  <c r="Q89" i="24"/>
  <c r="P89" i="24"/>
  <c r="O89" i="24"/>
  <c r="Q270" i="23"/>
  <c r="Q267" i="23"/>
  <c r="Q271" i="23"/>
  <c r="Q269" i="23"/>
  <c r="Q89" i="21"/>
  <c r="P89" i="21"/>
  <c r="O89" i="21"/>
  <c r="S185" i="2"/>
  <c r="R179" i="21"/>
  <c r="S179" i="21" s="1"/>
  <c r="T146" i="25"/>
  <c r="Q146" i="2"/>
  <c r="Q146" i="21"/>
  <c r="R200" i="28"/>
  <c r="R271" i="28"/>
  <c r="R268" i="26"/>
  <c r="P159" i="29"/>
  <c r="P159" i="27"/>
  <c r="S134" i="2"/>
  <c r="Q146" i="26"/>
  <c r="T206" i="22"/>
  <c r="T146" i="29"/>
  <c r="Q134" i="25"/>
  <c r="R254" i="27"/>
  <c r="Q271" i="27"/>
  <c r="Q268" i="27"/>
  <c r="Q270" i="27"/>
  <c r="Q269" i="27"/>
  <c r="Q201" i="24"/>
  <c r="R147" i="21"/>
  <c r="S134" i="22"/>
  <c r="Q76" i="28"/>
  <c r="AQ50" i="28" s="1"/>
  <c r="AP50" i="28" s="1"/>
  <c r="AO50" i="28" s="1"/>
  <c r="T134" i="29"/>
  <c r="S134" i="29"/>
  <c r="S123" i="24"/>
  <c r="Q202" i="24"/>
  <c r="Q200" i="24"/>
  <c r="Q199" i="24"/>
  <c r="P323" i="24"/>
  <c r="S134" i="25"/>
  <c r="P323" i="28"/>
  <c r="S185" i="27"/>
  <c r="R254" i="24"/>
  <c r="R270" i="24" s="1"/>
  <c r="R202" i="2"/>
  <c r="R200" i="2"/>
  <c r="R201" i="2"/>
  <c r="P322" i="28"/>
  <c r="J12" i="14"/>
  <c r="R269" i="28"/>
  <c r="R123" i="23"/>
  <c r="Q146" i="22"/>
  <c r="P324" i="28"/>
  <c r="P321" i="28"/>
  <c r="S171" i="22"/>
  <c r="P324" i="29"/>
  <c r="P323" i="29"/>
  <c r="Q269" i="2"/>
  <c r="R268" i="28"/>
  <c r="R270" i="28"/>
  <c r="P321" i="29"/>
  <c r="Q268" i="2"/>
  <c r="Q270" i="2"/>
  <c r="Q267" i="2"/>
  <c r="Q271" i="2"/>
  <c r="R199" i="29"/>
  <c r="R199" i="28"/>
  <c r="R201" i="28"/>
  <c r="R202" i="28"/>
  <c r="Q267" i="24"/>
  <c r="Q271" i="24"/>
  <c r="Q269" i="24"/>
  <c r="Q268" i="24"/>
  <c r="R199" i="27"/>
  <c r="P322" i="27"/>
  <c r="T134" i="24"/>
  <c r="T134" i="25"/>
  <c r="S206" i="2"/>
  <c r="P159" i="26"/>
  <c r="Q134" i="24"/>
  <c r="S179" i="23"/>
  <c r="T206" i="24"/>
  <c r="Q171" i="24"/>
  <c r="R271" i="26"/>
  <c r="R270" i="26"/>
  <c r="R269" i="26"/>
  <c r="Q201" i="2"/>
  <c r="R206" i="2"/>
  <c r="P324" i="2"/>
  <c r="T171" i="2"/>
  <c r="Q206" i="2"/>
  <c r="R134" i="28"/>
  <c r="S134" i="28"/>
  <c r="P323" i="2"/>
  <c r="Q201" i="27"/>
  <c r="Q202" i="27"/>
  <c r="P321" i="24"/>
  <c r="Q199" i="27"/>
  <c r="R171" i="2"/>
  <c r="Q171" i="2"/>
  <c r="P206" i="2"/>
  <c r="T206" i="2"/>
  <c r="Q200" i="2"/>
  <c r="Q199" i="2"/>
  <c r="Q202" i="2"/>
  <c r="Q198" i="2"/>
  <c r="R134" i="24"/>
  <c r="R122" i="22"/>
  <c r="Q206" i="22"/>
  <c r="R171" i="22"/>
  <c r="S206" i="22"/>
  <c r="R206" i="22"/>
  <c r="T171" i="22"/>
  <c r="P206" i="22"/>
  <c r="P324" i="23"/>
  <c r="P322" i="23"/>
  <c r="P321" i="23"/>
  <c r="P323" i="23"/>
  <c r="P322" i="24"/>
  <c r="P324" i="24"/>
  <c r="S171" i="28"/>
  <c r="R171" i="28"/>
  <c r="Q171" i="28"/>
  <c r="Q206" i="28"/>
  <c r="R206" i="28"/>
  <c r="T206" i="28"/>
  <c r="T171" i="28"/>
  <c r="P206" i="28"/>
  <c r="S206" i="28"/>
  <c r="Q134" i="23"/>
  <c r="P322" i="22"/>
  <c r="P323" i="22"/>
  <c r="R270" i="29"/>
  <c r="P321" i="27"/>
  <c r="P324" i="22"/>
  <c r="P321" i="22"/>
  <c r="R200" i="29"/>
  <c r="R202" i="29"/>
  <c r="Q76" i="24"/>
  <c r="AQ50" i="24" s="1"/>
  <c r="AP50" i="24" s="1"/>
  <c r="AO50" i="24" s="1"/>
  <c r="R201" i="29"/>
  <c r="R201" i="22"/>
  <c r="R202" i="22"/>
  <c r="R200" i="22"/>
  <c r="R202" i="23"/>
  <c r="R206" i="24"/>
  <c r="Q206" i="24"/>
  <c r="P206" i="24"/>
  <c r="T171" i="24"/>
  <c r="S206" i="24"/>
  <c r="S171" i="24"/>
  <c r="Q199" i="23"/>
  <c r="P206" i="23"/>
  <c r="Q146" i="27"/>
  <c r="Q146" i="25"/>
  <c r="Q202" i="23"/>
  <c r="Q201" i="23"/>
  <c r="Q200" i="23"/>
  <c r="R122" i="24"/>
  <c r="R123" i="24"/>
  <c r="Q76" i="29"/>
  <c r="AQ50" i="29" s="1"/>
  <c r="AP50" i="29" s="1"/>
  <c r="AO50" i="29" s="1"/>
  <c r="S123" i="23"/>
  <c r="S123" i="22"/>
  <c r="R179" i="25"/>
  <c r="S179" i="25" s="1"/>
  <c r="P158" i="26"/>
  <c r="R147" i="26"/>
  <c r="S171" i="23"/>
  <c r="R206" i="23"/>
  <c r="T146" i="2"/>
  <c r="T147" i="2"/>
  <c r="T134" i="2"/>
  <c r="T134" i="26"/>
  <c r="S134" i="26"/>
  <c r="R201" i="23"/>
  <c r="S123" i="2"/>
  <c r="S185" i="25"/>
  <c r="R122" i="23"/>
  <c r="R200" i="23"/>
  <c r="AQ49" i="2"/>
  <c r="AP49" i="2" s="1"/>
  <c r="AO56" i="2" s="1"/>
  <c r="Q201" i="21"/>
  <c r="R122" i="25"/>
  <c r="Q171" i="23"/>
  <c r="Q206" i="23"/>
  <c r="Q198" i="21"/>
  <c r="Q200" i="21"/>
  <c r="R171" i="23"/>
  <c r="T206" i="23"/>
  <c r="Q199" i="21"/>
  <c r="T171" i="23"/>
  <c r="Q171" i="29"/>
  <c r="R206" i="29"/>
  <c r="T206" i="29"/>
  <c r="T171" i="29"/>
  <c r="S206" i="29"/>
  <c r="P206" i="29"/>
  <c r="R171" i="29"/>
  <c r="Q206" i="29"/>
  <c r="S171" i="29"/>
  <c r="R134" i="29"/>
  <c r="R134" i="26"/>
  <c r="B8" i="2"/>
  <c r="Q269" i="22"/>
  <c r="P324" i="27"/>
  <c r="Q76" i="22"/>
  <c r="AQ50" i="22" s="1"/>
  <c r="AP50" i="22" s="1"/>
  <c r="AO51" i="22" s="1"/>
  <c r="P323" i="27"/>
  <c r="Q199" i="25"/>
  <c r="Q200" i="25"/>
  <c r="Q270" i="22"/>
  <c r="Q201" i="25"/>
  <c r="Q202" i="25"/>
  <c r="Q268" i="22"/>
  <c r="Q271" i="22"/>
  <c r="Q171" i="27"/>
  <c r="Q206" i="27"/>
  <c r="R171" i="27"/>
  <c r="S206" i="27"/>
  <c r="R206" i="27"/>
  <c r="S171" i="27"/>
  <c r="T206" i="27"/>
  <c r="T171" i="27"/>
  <c r="P206" i="27"/>
  <c r="Q266" i="22"/>
  <c r="Q267" i="22"/>
  <c r="Q146" i="24"/>
  <c r="Q146" i="28"/>
  <c r="R146" i="28"/>
  <c r="R270" i="22"/>
  <c r="R269" i="22"/>
  <c r="R268" i="22"/>
  <c r="R271" i="22"/>
  <c r="R267" i="22"/>
  <c r="O89" i="2"/>
  <c r="Q89" i="2"/>
  <c r="P89" i="2"/>
  <c r="B8" i="24"/>
  <c r="R123" i="25"/>
  <c r="R123" i="27"/>
  <c r="S134" i="27"/>
  <c r="Q134" i="21"/>
  <c r="R123" i="21"/>
  <c r="T134" i="22"/>
  <c r="Q134" i="26"/>
  <c r="R202" i="27"/>
  <c r="R200" i="27"/>
  <c r="R201" i="27"/>
  <c r="B8" i="27"/>
  <c r="AO59" i="23"/>
  <c r="R123" i="22"/>
  <c r="Q134" i="22"/>
  <c r="R268" i="29"/>
  <c r="R269" i="29"/>
  <c r="R134" i="27"/>
  <c r="T134" i="27"/>
  <c r="R271" i="29"/>
  <c r="J36" i="14"/>
  <c r="B8" i="22"/>
  <c r="R146" i="29"/>
  <c r="Q146" i="29"/>
  <c r="R146" i="24"/>
  <c r="J24" i="14"/>
  <c r="R123" i="29"/>
  <c r="Q134" i="2"/>
  <c r="T134" i="28"/>
  <c r="B8" i="26"/>
  <c r="R122" i="29"/>
  <c r="S123" i="26"/>
  <c r="S123" i="29"/>
  <c r="R134" i="22"/>
  <c r="AO54" i="27"/>
  <c r="AO56" i="27"/>
  <c r="AO59" i="27"/>
  <c r="AQ49" i="26"/>
  <c r="AP49" i="26" s="1"/>
  <c r="Q76" i="26"/>
  <c r="AQ50" i="26" s="1"/>
  <c r="AP50" i="26" s="1"/>
  <c r="S123" i="28"/>
  <c r="R122" i="21"/>
  <c r="R122" i="27"/>
  <c r="S123" i="27"/>
  <c r="Q134" i="27"/>
  <c r="B8" i="21"/>
  <c r="AO49" i="27"/>
  <c r="AQ49" i="21"/>
  <c r="AP49" i="21" s="1"/>
  <c r="Q76" i="21"/>
  <c r="AQ50" i="21" s="1"/>
  <c r="AP50" i="21" s="1"/>
  <c r="B8" i="23"/>
  <c r="T134" i="23"/>
  <c r="AO45" i="24"/>
  <c r="R134" i="21"/>
  <c r="R134" i="23"/>
  <c r="S123" i="25"/>
  <c r="S123" i="21"/>
  <c r="R134" i="2"/>
  <c r="R134" i="25"/>
  <c r="B8" i="25"/>
  <c r="R123" i="2"/>
  <c r="Q134" i="28"/>
  <c r="R123" i="28"/>
  <c r="R122" i="28"/>
  <c r="Q76" i="25"/>
  <c r="AQ50" i="25" s="1"/>
  <c r="AP50" i="25" s="1"/>
  <c r="AQ49" i="25"/>
  <c r="AP49" i="25" s="1"/>
  <c r="R123" i="26"/>
  <c r="R122" i="26"/>
  <c r="T147" i="29"/>
  <c r="S146" i="29"/>
  <c r="Q134" i="29"/>
  <c r="R122" i="2"/>
  <c r="R122" i="30"/>
  <c r="R123" i="30"/>
  <c r="S133" i="30"/>
  <c r="S134" i="30"/>
  <c r="AO50" i="30"/>
  <c r="Q134" i="30"/>
  <c r="R134" i="30"/>
  <c r="S123" i="30"/>
  <c r="T133" i="30"/>
  <c r="T134" i="30"/>
  <c r="AO58" i="30"/>
  <c r="AO47" i="30"/>
  <c r="AO45" i="30"/>
  <c r="AO52" i="30"/>
  <c r="AO51" i="30"/>
  <c r="AO55" i="30"/>
  <c r="AO53" i="30"/>
  <c r="AO48" i="30"/>
  <c r="AO46" i="30"/>
  <c r="AD82" i="7"/>
  <c r="V75" i="7"/>
  <c r="V71" i="7"/>
  <c r="V87" i="7"/>
  <c r="V79" i="7"/>
  <c r="V83" i="7"/>
  <c r="V72" i="7"/>
  <c r="V76" i="7"/>
  <c r="V80" i="7"/>
  <c r="V84" i="7"/>
  <c r="V88" i="7"/>
  <c r="V73" i="7"/>
  <c r="V77" i="7"/>
  <c r="V81" i="7"/>
  <c r="V85" i="7"/>
  <c r="V89" i="7"/>
  <c r="V90" i="7"/>
  <c r="V74" i="7"/>
  <c r="V86" i="7"/>
  <c r="V78" i="7"/>
  <c r="V82" i="7"/>
  <c r="V70" i="7"/>
  <c r="AD73" i="7"/>
  <c r="AD77" i="7"/>
  <c r="AD81" i="7"/>
  <c r="AD85" i="7"/>
  <c r="AD89" i="7"/>
  <c r="AD93" i="7"/>
  <c r="AD75" i="7"/>
  <c r="AD79" i="7"/>
  <c r="AD83" i="7"/>
  <c r="AD87" i="7"/>
  <c r="AD91" i="7"/>
  <c r="AD76" i="7"/>
  <c r="AD80" i="7"/>
  <c r="AD84" i="7"/>
  <c r="AD88" i="7"/>
  <c r="AD92" i="7"/>
  <c r="AD86" i="7"/>
  <c r="AD74" i="7"/>
  <c r="AD94" i="7"/>
  <c r="AD78" i="7"/>
  <c r="AD72" i="7"/>
  <c r="AD90" i="7"/>
  <c r="AD70" i="7"/>
  <c r="AD71" i="7"/>
  <c r="AL72" i="7"/>
  <c r="AL76" i="7"/>
  <c r="AL80" i="7"/>
  <c r="AL84" i="7"/>
  <c r="AL88" i="7"/>
  <c r="AL82" i="7"/>
  <c r="AL77" i="7"/>
  <c r="AL81" i="7"/>
  <c r="AL85" i="7"/>
  <c r="AL75" i="7"/>
  <c r="AL79" i="7"/>
  <c r="AL83" i="7"/>
  <c r="AL87" i="7"/>
  <c r="AL78" i="7"/>
  <c r="AL74" i="7"/>
  <c r="AL73" i="7"/>
  <c r="AL86" i="7"/>
  <c r="AT78" i="7"/>
  <c r="AT76" i="7"/>
  <c r="AL70" i="7"/>
  <c r="AL71" i="7"/>
  <c r="AT80" i="7"/>
  <c r="AT73" i="7"/>
  <c r="AT77" i="7"/>
  <c r="AT81" i="7"/>
  <c r="AT85" i="7"/>
  <c r="AT84" i="7"/>
  <c r="AT71" i="7"/>
  <c r="AT75" i="7"/>
  <c r="AT79" i="7"/>
  <c r="AT83" i="7"/>
  <c r="AT74" i="7"/>
  <c r="AT86" i="7"/>
  <c r="AT82" i="7"/>
  <c r="AT70" i="7"/>
  <c r="AT72" i="7"/>
  <c r="AP73" i="7"/>
  <c r="AP70" i="7"/>
  <c r="AP74" i="7"/>
  <c r="AP71" i="7"/>
  <c r="AP75" i="7"/>
  <c r="AP72" i="7"/>
  <c r="AH71" i="7"/>
  <c r="AH75" i="7"/>
  <c r="AH79" i="7"/>
  <c r="AH76" i="7"/>
  <c r="AH72" i="7"/>
  <c r="AH78" i="7"/>
  <c r="AH77" i="7"/>
  <c r="AH73" i="7"/>
  <c r="AH74" i="7"/>
  <c r="AH70" i="7"/>
  <c r="Z71" i="7"/>
  <c r="Z73" i="7"/>
  <c r="Z75" i="7"/>
  <c r="Z74" i="7"/>
  <c r="Z70" i="7"/>
  <c r="Z72" i="7"/>
  <c r="R78" i="7"/>
  <c r="R77" i="7"/>
  <c r="R71" i="7"/>
  <c r="R75" i="7"/>
  <c r="R72" i="7"/>
  <c r="R76" i="7"/>
  <c r="R70" i="7"/>
  <c r="R73" i="7"/>
  <c r="R74" i="7"/>
  <c r="N71" i="7"/>
  <c r="N75" i="7"/>
  <c r="N83" i="7"/>
  <c r="N72" i="7"/>
  <c r="N76" i="7"/>
  <c r="N80" i="7"/>
  <c r="N79" i="7"/>
  <c r="N74" i="7"/>
  <c r="N77" i="7"/>
  <c r="N81" i="7"/>
  <c r="N70" i="7"/>
  <c r="N73" i="7"/>
  <c r="N78" i="7"/>
  <c r="N82" i="7"/>
  <c r="AY172" i="7"/>
  <c r="AY171" i="7"/>
  <c r="AY170" i="7"/>
  <c r="AY169" i="7"/>
  <c r="AY168" i="7"/>
  <c r="AM168" i="7"/>
  <c r="AY253" i="7"/>
  <c r="AY252" i="7"/>
  <c r="AY251" i="7"/>
  <c r="AY250" i="7"/>
  <c r="AY249" i="7"/>
  <c r="AY248" i="7"/>
  <c r="AY247" i="7"/>
  <c r="AY246" i="7"/>
  <c r="AY245" i="7"/>
  <c r="AY244" i="7"/>
  <c r="AY243" i="7"/>
  <c r="AY242" i="7"/>
  <c r="AU253" i="7"/>
  <c r="AU252" i="7"/>
  <c r="AU251" i="7"/>
  <c r="AU250" i="7"/>
  <c r="AU249" i="7"/>
  <c r="AU248" i="7"/>
  <c r="AU247" i="7"/>
  <c r="AU246" i="7"/>
  <c r="AU245" i="7"/>
  <c r="AU244" i="7"/>
  <c r="AU243" i="7"/>
  <c r="AU242" i="7"/>
  <c r="AQ256" i="7"/>
  <c r="AQ255" i="7"/>
  <c r="AQ254" i="7"/>
  <c r="AQ253" i="7"/>
  <c r="AQ252" i="7"/>
  <c r="AQ251" i="7"/>
  <c r="AQ250" i="7"/>
  <c r="AQ249" i="7"/>
  <c r="AQ248" i="7"/>
  <c r="AQ247" i="7"/>
  <c r="AQ246" i="7"/>
  <c r="AQ245" i="7"/>
  <c r="AQ244" i="7"/>
  <c r="AQ243" i="7"/>
  <c r="AQ242" i="7"/>
  <c r="AM260" i="7"/>
  <c r="AM259" i="7"/>
  <c r="AM258" i="7"/>
  <c r="AM257" i="7"/>
  <c r="AM254" i="7"/>
  <c r="AM253" i="7"/>
  <c r="AM252" i="7"/>
  <c r="AM256" i="7"/>
  <c r="AM242" i="7"/>
  <c r="AM251" i="7"/>
  <c r="AM250" i="7"/>
  <c r="AM255" i="7"/>
  <c r="AM249" i="7"/>
  <c r="AM248" i="7"/>
  <c r="AM247" i="7"/>
  <c r="AM246" i="7"/>
  <c r="AM245" i="7"/>
  <c r="AM244" i="7"/>
  <c r="AM243" i="7"/>
  <c r="AI264" i="7"/>
  <c r="AI263" i="7"/>
  <c r="AI262" i="7"/>
  <c r="AI261" i="7"/>
  <c r="AI260" i="7"/>
  <c r="AI259" i="7"/>
  <c r="AI258" i="7"/>
  <c r="AI257" i="7"/>
  <c r="AI256" i="7"/>
  <c r="AI255" i="7"/>
  <c r="AI254" i="7"/>
  <c r="AI253" i="7"/>
  <c r="AI252" i="7"/>
  <c r="AI251" i="7"/>
  <c r="AI250" i="7"/>
  <c r="AI249" i="7"/>
  <c r="AI248" i="7"/>
  <c r="AI247" i="7"/>
  <c r="AI246" i="7"/>
  <c r="AI245" i="7"/>
  <c r="AI244" i="7"/>
  <c r="AI243" i="7"/>
  <c r="AI242" i="7"/>
  <c r="AE264" i="7"/>
  <c r="AE263" i="7"/>
  <c r="AE262" i="7"/>
  <c r="AE255" i="7"/>
  <c r="AE259" i="7"/>
  <c r="AE258" i="7"/>
  <c r="AE261" i="7"/>
  <c r="AE260" i="7"/>
  <c r="AE256" i="7"/>
  <c r="AE254" i="7"/>
  <c r="AE253" i="7"/>
  <c r="AE252" i="7"/>
  <c r="AE251" i="7"/>
  <c r="AE257" i="7"/>
  <c r="AE250" i="7"/>
  <c r="AE248" i="7"/>
  <c r="AE247" i="7"/>
  <c r="AE246" i="7"/>
  <c r="AE245" i="7"/>
  <c r="AE244" i="7"/>
  <c r="AE249" i="7"/>
  <c r="AE243" i="7"/>
  <c r="AE242" i="7"/>
  <c r="AA270" i="7"/>
  <c r="AA269" i="7"/>
  <c r="AA268" i="7"/>
  <c r="AA256" i="7"/>
  <c r="AA267" i="7"/>
  <c r="AA266" i="7"/>
  <c r="AA265" i="7"/>
  <c r="AA264" i="7"/>
  <c r="AA263" i="7"/>
  <c r="AA262" i="7"/>
  <c r="AA261" i="7"/>
  <c r="AA260" i="7"/>
  <c r="AA259" i="7"/>
  <c r="AA258" i="7"/>
  <c r="AA257" i="7"/>
  <c r="AA255" i="7"/>
  <c r="AA254" i="7"/>
  <c r="AA253" i="7"/>
  <c r="AA252" i="7"/>
  <c r="AA251" i="7"/>
  <c r="AA250" i="7"/>
  <c r="AA248" i="7"/>
  <c r="AA247" i="7"/>
  <c r="AA246" i="7"/>
  <c r="AA245" i="7"/>
  <c r="AA244" i="7"/>
  <c r="AA243" i="7"/>
  <c r="AA242" i="7"/>
  <c r="W275" i="7"/>
  <c r="W274" i="7"/>
  <c r="W273" i="7"/>
  <c r="W272" i="7"/>
  <c r="W271" i="7"/>
  <c r="W270" i="7"/>
  <c r="W269" i="7"/>
  <c r="W268" i="7"/>
  <c r="W265" i="7"/>
  <c r="W264" i="7"/>
  <c r="W262" i="7"/>
  <c r="W261" i="7"/>
  <c r="W260" i="7"/>
  <c r="W259" i="7"/>
  <c r="W258" i="7"/>
  <c r="W257" i="7"/>
  <c r="W256" i="7"/>
  <c r="W255" i="7"/>
  <c r="W254" i="7"/>
  <c r="W253" i="7"/>
  <c r="W252" i="7"/>
  <c r="W251" i="7"/>
  <c r="W250" i="7"/>
  <c r="W249" i="7"/>
  <c r="W247" i="7"/>
  <c r="W246" i="7"/>
  <c r="W245" i="7"/>
  <c r="W244" i="7"/>
  <c r="W243" i="7"/>
  <c r="W242" i="7"/>
  <c r="W263" i="7"/>
  <c r="S262" i="7"/>
  <c r="S261" i="7"/>
  <c r="S260" i="7"/>
  <c r="S259" i="7"/>
  <c r="S258" i="7"/>
  <c r="S257" i="7"/>
  <c r="S256" i="7"/>
  <c r="S255" i="7"/>
  <c r="S254" i="7"/>
  <c r="S253" i="7"/>
  <c r="S252" i="7"/>
  <c r="S251" i="7"/>
  <c r="S250" i="7"/>
  <c r="S249" i="7"/>
  <c r="S248" i="7"/>
  <c r="S247" i="7"/>
  <c r="S246" i="7"/>
  <c r="S245" i="7"/>
  <c r="S244" i="7"/>
  <c r="S243" i="7"/>
  <c r="S242" i="7"/>
  <c r="O255" i="7"/>
  <c r="O254" i="7"/>
  <c r="O253" i="7"/>
  <c r="O252" i="7"/>
  <c r="O251" i="7"/>
  <c r="O250" i="7"/>
  <c r="O249" i="7"/>
  <c r="O248" i="7"/>
  <c r="O247" i="7"/>
  <c r="O246" i="7"/>
  <c r="O245" i="7"/>
  <c r="O244" i="7"/>
  <c r="O243" i="7"/>
  <c r="O242" i="7"/>
  <c r="AY198" i="7"/>
  <c r="AY197" i="7"/>
  <c r="AY196" i="7"/>
  <c r="AY195" i="7"/>
  <c r="AY194" i="7"/>
  <c r="AU198" i="7"/>
  <c r="AU197" i="7"/>
  <c r="AU196" i="7"/>
  <c r="AU195" i="7"/>
  <c r="AU194" i="7"/>
  <c r="AQ197" i="7"/>
  <c r="AQ196" i="7"/>
  <c r="AQ195" i="7"/>
  <c r="AQ194" i="7"/>
  <c r="AM200" i="7"/>
  <c r="AM199" i="7"/>
  <c r="AM198" i="7"/>
  <c r="AM197" i="7"/>
  <c r="AM196" i="7"/>
  <c r="AM195" i="7"/>
  <c r="AM194" i="7"/>
  <c r="AI197" i="7"/>
  <c r="AI196" i="7"/>
  <c r="AI195" i="7"/>
  <c r="AI194" i="7"/>
  <c r="AE197" i="7"/>
  <c r="AE196" i="7"/>
  <c r="AE195" i="7"/>
  <c r="AE194" i="7"/>
  <c r="AA204" i="7"/>
  <c r="AA203" i="7"/>
  <c r="AA202" i="7"/>
  <c r="AA201" i="7"/>
  <c r="AA200" i="7"/>
  <c r="AA199" i="7"/>
  <c r="AA198" i="7"/>
  <c r="AA197" i="7"/>
  <c r="AA196" i="7"/>
  <c r="AA195" i="7"/>
  <c r="AA194" i="7"/>
  <c r="W203" i="7"/>
  <c r="W202" i="7"/>
  <c r="W201" i="7"/>
  <c r="W200" i="7"/>
  <c r="W199" i="7"/>
  <c r="W198" i="7"/>
  <c r="W197" i="7"/>
  <c r="W196" i="7"/>
  <c r="W195" i="7"/>
  <c r="W194" i="7"/>
  <c r="S200" i="7"/>
  <c r="S199" i="7"/>
  <c r="S198" i="7"/>
  <c r="S197" i="7"/>
  <c r="S196" i="7"/>
  <c r="S195" i="7"/>
  <c r="S194" i="7"/>
  <c r="O200" i="7"/>
  <c r="O199" i="7"/>
  <c r="O198" i="7"/>
  <c r="O197" i="7"/>
  <c r="O196" i="7"/>
  <c r="O195" i="7"/>
  <c r="O194" i="7"/>
  <c r="AU172" i="7"/>
  <c r="AU171" i="7"/>
  <c r="AU170" i="7"/>
  <c r="AU169" i="7"/>
  <c r="AU168" i="7"/>
  <c r="AQ175" i="7"/>
  <c r="AQ174" i="7"/>
  <c r="AQ173" i="7"/>
  <c r="AQ172" i="7"/>
  <c r="AQ171" i="7"/>
  <c r="AQ170" i="7"/>
  <c r="AQ169" i="7"/>
  <c r="AQ168" i="7"/>
  <c r="AM176" i="7"/>
  <c r="AM175" i="7"/>
  <c r="AM174" i="7"/>
  <c r="AM173" i="7"/>
  <c r="AM172" i="7"/>
  <c r="AM171" i="7"/>
  <c r="AM170" i="7"/>
  <c r="AM169" i="7"/>
  <c r="AI178" i="7"/>
  <c r="AI177" i="7"/>
  <c r="AI176" i="7"/>
  <c r="AI175" i="7"/>
  <c r="AI174" i="7"/>
  <c r="AI173" i="7"/>
  <c r="AI172" i="7"/>
  <c r="AI171" i="7"/>
  <c r="AI170" i="7"/>
  <c r="AI169" i="7"/>
  <c r="AI168" i="7"/>
  <c r="AE177" i="7"/>
  <c r="AE176" i="7"/>
  <c r="AE175" i="7"/>
  <c r="AE174" i="7"/>
  <c r="AE173" i="7"/>
  <c r="AE172" i="7"/>
  <c r="AE171" i="7"/>
  <c r="AE170" i="7"/>
  <c r="AE169" i="7"/>
  <c r="AE168" i="7"/>
  <c r="AA187" i="7"/>
  <c r="AA186" i="7"/>
  <c r="AA185" i="7"/>
  <c r="AA184" i="7"/>
  <c r="AA183" i="7"/>
  <c r="AA182" i="7"/>
  <c r="AA181" i="7"/>
  <c r="AA180" i="7"/>
  <c r="AA179" i="7"/>
  <c r="AA178" i="7"/>
  <c r="AA177" i="7"/>
  <c r="AA176" i="7"/>
  <c r="AA175" i="7"/>
  <c r="AA174" i="7"/>
  <c r="AA173" i="7"/>
  <c r="AA172" i="7"/>
  <c r="AA171" i="7"/>
  <c r="AA170" i="7"/>
  <c r="AA169" i="7"/>
  <c r="AA168" i="7"/>
  <c r="W188" i="7"/>
  <c r="W187" i="7"/>
  <c r="W186" i="7"/>
  <c r="W185" i="7"/>
  <c r="W184" i="7"/>
  <c r="W183" i="7"/>
  <c r="W182" i="7"/>
  <c r="W181" i="7"/>
  <c r="W180" i="7"/>
  <c r="W179" i="7"/>
  <c r="W178" i="7"/>
  <c r="W177" i="7"/>
  <c r="W176" i="7"/>
  <c r="W175" i="7"/>
  <c r="W174" i="7"/>
  <c r="W173" i="7"/>
  <c r="W172" i="7"/>
  <c r="W171" i="7"/>
  <c r="W170" i="7"/>
  <c r="W169" i="7"/>
  <c r="W168" i="7"/>
  <c r="S184" i="7"/>
  <c r="S183" i="7"/>
  <c r="S182" i="7"/>
  <c r="S181" i="7"/>
  <c r="S180" i="7"/>
  <c r="S179" i="7"/>
  <c r="S178" i="7"/>
  <c r="S177" i="7"/>
  <c r="S176" i="7"/>
  <c r="S175" i="7"/>
  <c r="S174" i="7"/>
  <c r="S173" i="7"/>
  <c r="S172" i="7"/>
  <c r="S171" i="7"/>
  <c r="S170" i="7"/>
  <c r="S169" i="7"/>
  <c r="S168" i="7"/>
  <c r="O181" i="7"/>
  <c r="O180" i="7"/>
  <c r="O179" i="7"/>
  <c r="O178" i="7"/>
  <c r="O177" i="7"/>
  <c r="O176" i="7"/>
  <c r="O175" i="7"/>
  <c r="O174" i="7"/>
  <c r="O173" i="7"/>
  <c r="O172" i="7"/>
  <c r="O171" i="7"/>
  <c r="O170" i="7"/>
  <c r="O169" i="7"/>
  <c r="O168" i="7"/>
  <c r="AE120" i="7"/>
  <c r="AE119" i="7"/>
  <c r="AA123" i="7"/>
  <c r="AA121" i="7"/>
  <c r="AA120" i="7"/>
  <c r="AA119" i="7"/>
  <c r="W127" i="7"/>
  <c r="W126" i="7"/>
  <c r="W125" i="7"/>
  <c r="W124" i="7"/>
  <c r="W123" i="7"/>
  <c r="W122" i="7"/>
  <c r="W121" i="7"/>
  <c r="W120" i="7"/>
  <c r="W119" i="7"/>
  <c r="S129" i="7"/>
  <c r="S128" i="7"/>
  <c r="S127" i="7"/>
  <c r="S126" i="7"/>
  <c r="S125" i="7"/>
  <c r="S124" i="7"/>
  <c r="S123" i="7"/>
  <c r="S122" i="7"/>
  <c r="S121" i="7"/>
  <c r="S120" i="7"/>
  <c r="S119" i="7"/>
  <c r="O129" i="7"/>
  <c r="O128" i="7"/>
  <c r="O127" i="7"/>
  <c r="O126" i="7"/>
  <c r="O125" i="7"/>
  <c r="O124" i="7"/>
  <c r="O123" i="7"/>
  <c r="O122" i="7"/>
  <c r="O121" i="7"/>
  <c r="O120" i="7"/>
  <c r="O119" i="7"/>
  <c r="AE99" i="7"/>
  <c r="AE98" i="7"/>
  <c r="AE97" i="7"/>
  <c r="AA99" i="7"/>
  <c r="AA98" i="7"/>
  <c r="AA97" i="7"/>
  <c r="W102" i="7"/>
  <c r="W101" i="7"/>
  <c r="W100" i="7"/>
  <c r="W99" i="7"/>
  <c r="W98" i="7"/>
  <c r="W97" i="7"/>
  <c r="S104" i="7"/>
  <c r="S103" i="7"/>
  <c r="S102" i="7"/>
  <c r="S101" i="7"/>
  <c r="S100" i="7"/>
  <c r="S99" i="7"/>
  <c r="S98" i="7"/>
  <c r="S97" i="7"/>
  <c r="O107" i="7"/>
  <c r="O106" i="7"/>
  <c r="O105" i="7"/>
  <c r="O104" i="7"/>
  <c r="O103" i="7"/>
  <c r="O102" i="7"/>
  <c r="O101" i="7"/>
  <c r="O100" i="7"/>
  <c r="O99" i="7"/>
  <c r="O98" i="7"/>
  <c r="O97" i="7"/>
  <c r="AY51" i="7"/>
  <c r="AY50" i="7"/>
  <c r="AY49" i="7"/>
  <c r="AY48" i="7"/>
  <c r="AU53" i="7"/>
  <c r="AU52" i="7"/>
  <c r="AU51" i="7"/>
  <c r="AU50" i="7"/>
  <c r="AU49" i="7"/>
  <c r="AU48" i="7"/>
  <c r="AQ52" i="7"/>
  <c r="AQ51" i="7"/>
  <c r="AQ50" i="7"/>
  <c r="AQ49" i="7"/>
  <c r="AQ48" i="7"/>
  <c r="AM56" i="7"/>
  <c r="AM55" i="7"/>
  <c r="AM54" i="7"/>
  <c r="AM53" i="7"/>
  <c r="AM52" i="7"/>
  <c r="AM51" i="7"/>
  <c r="AM50" i="7"/>
  <c r="AM49" i="7"/>
  <c r="AM48" i="7"/>
  <c r="AI61" i="7"/>
  <c r="AI60" i="7"/>
  <c r="AI59" i="7"/>
  <c r="AI58" i="7"/>
  <c r="AI57" i="7"/>
  <c r="AI56" i="7"/>
  <c r="AI55" i="7"/>
  <c r="AI54" i="7"/>
  <c r="AI53" i="7"/>
  <c r="AI52" i="7"/>
  <c r="AI51" i="7"/>
  <c r="AI50" i="7"/>
  <c r="AI49" i="7"/>
  <c r="AI48" i="7"/>
  <c r="AE62" i="7"/>
  <c r="AE61" i="7"/>
  <c r="AE60" i="7"/>
  <c r="AE59" i="7"/>
  <c r="AE58" i="7"/>
  <c r="AE57" i="7"/>
  <c r="AE56" i="7"/>
  <c r="AE55" i="7"/>
  <c r="AE54" i="7"/>
  <c r="AE53" i="7"/>
  <c r="AE52" i="7"/>
  <c r="AE51" i="7"/>
  <c r="AE50" i="7"/>
  <c r="AE49" i="7"/>
  <c r="AE48" i="7"/>
  <c r="AA59" i="7"/>
  <c r="AA58" i="7"/>
  <c r="AA57" i="7"/>
  <c r="AA56" i="7"/>
  <c r="AA55" i="7"/>
  <c r="AA54" i="7"/>
  <c r="AA53" i="7"/>
  <c r="AA52" i="7"/>
  <c r="AA51" i="7"/>
  <c r="AA50" i="7"/>
  <c r="AA49" i="7"/>
  <c r="AA48" i="7"/>
  <c r="W64" i="7"/>
  <c r="W63" i="7"/>
  <c r="W62" i="7"/>
  <c r="W61" i="7"/>
  <c r="W60" i="7"/>
  <c r="W59" i="7"/>
  <c r="W58" i="7"/>
  <c r="W57" i="7"/>
  <c r="W56" i="7"/>
  <c r="W55" i="7"/>
  <c r="W54" i="7"/>
  <c r="W53" i="7"/>
  <c r="W52" i="7"/>
  <c r="W51" i="7"/>
  <c r="W50" i="7"/>
  <c r="W49" i="7"/>
  <c r="W48" i="7"/>
  <c r="S63" i="7"/>
  <c r="S62" i="7"/>
  <c r="S61" i="7"/>
  <c r="S60" i="7"/>
  <c r="S59" i="7"/>
  <c r="S58" i="7"/>
  <c r="S57" i="7"/>
  <c r="S56" i="7"/>
  <c r="S55" i="7"/>
  <c r="S54" i="7"/>
  <c r="S53" i="7"/>
  <c r="S52" i="7"/>
  <c r="S51" i="7"/>
  <c r="S50" i="7"/>
  <c r="S49" i="7"/>
  <c r="S48" i="7"/>
  <c r="O54" i="7"/>
  <c r="O53" i="7"/>
  <c r="O52" i="7"/>
  <c r="O51" i="7"/>
  <c r="O50" i="7"/>
  <c r="O49" i="7"/>
  <c r="O48" i="7"/>
  <c r="AO47" i="27" l="1"/>
  <c r="AO46" i="27"/>
  <c r="AO45" i="23"/>
  <c r="T89" i="30"/>
  <c r="AO57" i="27"/>
  <c r="AO45" i="27"/>
  <c r="AO48" i="27"/>
  <c r="R199" i="24"/>
  <c r="AO59" i="24"/>
  <c r="R200" i="24"/>
  <c r="T89" i="25"/>
  <c r="R201" i="24"/>
  <c r="R202" i="24"/>
  <c r="R268" i="25"/>
  <c r="AO57" i="28"/>
  <c r="AO56" i="28"/>
  <c r="AO54" i="28"/>
  <c r="AO59" i="28"/>
  <c r="R269" i="25"/>
  <c r="R270" i="25"/>
  <c r="AO45" i="28"/>
  <c r="AO45" i="22"/>
  <c r="AO56" i="23"/>
  <c r="AO49" i="23"/>
  <c r="AO46" i="23"/>
  <c r="AO57" i="23"/>
  <c r="AO53" i="23"/>
  <c r="AO48" i="23"/>
  <c r="AO47" i="23"/>
  <c r="AO54" i="23"/>
  <c r="AO58" i="23"/>
  <c r="AO55" i="27"/>
  <c r="AO58" i="27"/>
  <c r="AO52" i="27"/>
  <c r="AO54" i="29"/>
  <c r="R270" i="23"/>
  <c r="R269" i="23"/>
  <c r="R268" i="23"/>
  <c r="R271" i="23"/>
  <c r="T89" i="22"/>
  <c r="AO53" i="27"/>
  <c r="AO51" i="27"/>
  <c r="T89" i="27"/>
  <c r="T89" i="28"/>
  <c r="AO52" i="23"/>
  <c r="AO51" i="23"/>
  <c r="AO55" i="23"/>
  <c r="B93" i="30"/>
  <c r="B92" i="30"/>
  <c r="B94" i="30"/>
  <c r="T89" i="23"/>
  <c r="T89" i="29"/>
  <c r="T89" i="26"/>
  <c r="T89" i="24"/>
  <c r="R201" i="21"/>
  <c r="R202" i="21"/>
  <c r="T89" i="21"/>
  <c r="AO49" i="28"/>
  <c r="R199" i="21"/>
  <c r="R200" i="21"/>
  <c r="AO55" i="28"/>
  <c r="AO58" i="28"/>
  <c r="AO57" i="24"/>
  <c r="AO54" i="24"/>
  <c r="R271" i="27"/>
  <c r="R267" i="27"/>
  <c r="R269" i="27"/>
  <c r="R270" i="27"/>
  <c r="R268" i="27"/>
  <c r="AO53" i="28"/>
  <c r="AO47" i="28"/>
  <c r="AO51" i="28"/>
  <c r="AO52" i="28"/>
  <c r="AO46" i="28"/>
  <c r="AO48" i="28"/>
  <c r="R271" i="24"/>
  <c r="R267" i="24"/>
  <c r="AO47" i="22"/>
  <c r="R269" i="24"/>
  <c r="R268" i="24"/>
  <c r="AO49" i="22"/>
  <c r="AO48" i="22"/>
  <c r="AO53" i="24"/>
  <c r="AO45" i="29"/>
  <c r="AO47" i="24"/>
  <c r="AO46" i="24"/>
  <c r="AO58" i="24"/>
  <c r="AO51" i="24"/>
  <c r="AO52" i="24"/>
  <c r="AO57" i="29"/>
  <c r="AO59" i="29"/>
  <c r="AO48" i="29"/>
  <c r="AO49" i="29"/>
  <c r="AO48" i="24"/>
  <c r="AO49" i="24"/>
  <c r="AO53" i="22"/>
  <c r="AO55" i="24"/>
  <c r="AO59" i="22"/>
  <c r="AO58" i="2"/>
  <c r="AO56" i="29"/>
  <c r="AO56" i="24"/>
  <c r="R202" i="25"/>
  <c r="AO54" i="26"/>
  <c r="AO46" i="2"/>
  <c r="AO55" i="2"/>
  <c r="AO49" i="2"/>
  <c r="AO51" i="29"/>
  <c r="AO53" i="29"/>
  <c r="AO55" i="29"/>
  <c r="AO46" i="29"/>
  <c r="AO58" i="29"/>
  <c r="AO52" i="29"/>
  <c r="AO47" i="29"/>
  <c r="R201" i="25"/>
  <c r="R199" i="25"/>
  <c r="R200" i="25"/>
  <c r="AO56" i="22"/>
  <c r="AO57" i="22"/>
  <c r="AO54" i="22"/>
  <c r="AO47" i="2"/>
  <c r="AO48" i="2"/>
  <c r="AO59" i="2"/>
  <c r="AO45" i="2"/>
  <c r="AO52" i="2"/>
  <c r="AO57" i="2"/>
  <c r="AO54" i="2"/>
  <c r="AO50" i="2"/>
  <c r="AO51" i="2"/>
  <c r="AO53" i="2"/>
  <c r="AO46" i="22"/>
  <c r="AO55" i="22"/>
  <c r="AO52" i="22"/>
  <c r="AO50" i="22"/>
  <c r="AO58" i="22"/>
  <c r="T89" i="2"/>
  <c r="AO45" i="21"/>
  <c r="R146" i="21"/>
  <c r="AO45" i="26"/>
  <c r="AO57" i="26"/>
  <c r="AO59" i="26"/>
  <c r="AO56" i="26"/>
  <c r="AO49" i="26"/>
  <c r="AO47" i="26"/>
  <c r="AO52" i="26"/>
  <c r="AO53" i="26"/>
  <c r="AO58" i="26"/>
  <c r="AO50" i="21"/>
  <c r="AO49" i="21"/>
  <c r="AO47" i="21"/>
  <c r="AO46" i="21"/>
  <c r="AO48" i="21"/>
  <c r="AO50" i="26"/>
  <c r="AO55" i="26"/>
  <c r="AO51" i="26"/>
  <c r="AO46" i="26"/>
  <c r="AO48" i="26"/>
  <c r="AO48" i="25"/>
  <c r="AO53" i="21"/>
  <c r="AO57" i="21"/>
  <c r="AO52" i="21"/>
  <c r="AO54" i="21"/>
  <c r="AO58" i="21"/>
  <c r="AO56" i="21"/>
  <c r="AO59" i="21"/>
  <c r="AO55" i="21"/>
  <c r="AO51" i="21"/>
  <c r="AO49" i="25"/>
  <c r="AO46" i="25"/>
  <c r="AO47" i="25"/>
  <c r="AO45" i="25"/>
  <c r="AO55" i="25"/>
  <c r="AO57" i="25"/>
  <c r="AO59" i="25"/>
  <c r="AO58" i="25"/>
  <c r="AO56" i="25"/>
  <c r="AO54" i="25"/>
  <c r="AO53" i="25"/>
  <c r="AO51" i="25"/>
  <c r="AO52" i="25"/>
  <c r="AO50" i="25"/>
  <c r="AH198" i="7"/>
  <c r="AH199" i="7"/>
  <c r="AH195" i="7"/>
  <c r="AH196" i="7"/>
  <c r="AH197" i="7"/>
  <c r="Z197" i="7"/>
  <c r="Z201" i="7"/>
  <c r="AH194" i="7"/>
  <c r="Z206" i="7"/>
  <c r="AD195" i="7"/>
  <c r="AD196" i="7"/>
  <c r="AD194" i="7"/>
  <c r="AD198" i="7"/>
  <c r="AD199" i="7"/>
  <c r="AD197" i="7"/>
  <c r="Z194" i="7"/>
  <c r="Z205" i="7"/>
  <c r="Z198" i="7"/>
  <c r="Z202" i="7"/>
  <c r="Z195" i="7"/>
  <c r="Z199" i="7"/>
  <c r="Z203" i="7"/>
  <c r="Z196" i="7"/>
  <c r="Z200" i="7"/>
  <c r="Z204" i="7"/>
  <c r="V197" i="7"/>
  <c r="V201" i="7"/>
  <c r="V206" i="7"/>
  <c r="V207" i="7"/>
  <c r="V198" i="7"/>
  <c r="V202" i="7"/>
  <c r="V195" i="7"/>
  <c r="V199" i="7"/>
  <c r="V203" i="7"/>
  <c r="V204" i="7"/>
  <c r="V196" i="7"/>
  <c r="V200" i="7"/>
  <c r="V205" i="7"/>
  <c r="R201" i="7"/>
  <c r="R198" i="7"/>
  <c r="V194" i="7"/>
  <c r="R202" i="7"/>
  <c r="R195" i="7"/>
  <c r="R199" i="7"/>
  <c r="R206" i="7"/>
  <c r="R205" i="7"/>
  <c r="R196" i="7"/>
  <c r="R200" i="7"/>
  <c r="R203" i="7"/>
  <c r="R197" i="7"/>
  <c r="R204" i="7"/>
  <c r="R194" i="7"/>
  <c r="N168" i="7"/>
  <c r="P267" i="22" s="1"/>
  <c r="AL195" i="7"/>
  <c r="AL199" i="7"/>
  <c r="AL196" i="7"/>
  <c r="AL200" i="7"/>
  <c r="AL197" i="7"/>
  <c r="AL194" i="7"/>
  <c r="AL198" i="7"/>
  <c r="AL201" i="7"/>
  <c r="N201" i="7"/>
  <c r="N198" i="7"/>
  <c r="N195" i="7"/>
  <c r="N199" i="7"/>
  <c r="N196" i="7"/>
  <c r="N200" i="7"/>
  <c r="N197" i="7"/>
  <c r="N194" i="7"/>
  <c r="AL170" i="7"/>
  <c r="AL177" i="7"/>
  <c r="AL174" i="7"/>
  <c r="AL175" i="7"/>
  <c r="AL172" i="7"/>
  <c r="AL176" i="7"/>
  <c r="AL171" i="7"/>
  <c r="AL169" i="7"/>
  <c r="AL173" i="7"/>
  <c r="AL168" i="7"/>
  <c r="V190" i="7"/>
  <c r="V169" i="7"/>
  <c r="V173" i="7"/>
  <c r="V185" i="7"/>
  <c r="V170" i="7"/>
  <c r="V174" i="7"/>
  <c r="V178" i="7"/>
  <c r="V182" i="7"/>
  <c r="V186" i="7"/>
  <c r="V189" i="7"/>
  <c r="V177" i="7"/>
  <c r="V171" i="7"/>
  <c r="V175" i="7"/>
  <c r="V179" i="7"/>
  <c r="V183" i="7"/>
  <c r="V187" i="7"/>
  <c r="V181" i="7"/>
  <c r="V168" i="7"/>
  <c r="V172" i="7"/>
  <c r="V176" i="7"/>
  <c r="V180" i="7"/>
  <c r="V184" i="7"/>
  <c r="V188" i="7"/>
  <c r="V191" i="7"/>
  <c r="R185" i="7"/>
  <c r="R170" i="7"/>
  <c r="R174" i="7"/>
  <c r="R178" i="7"/>
  <c r="R171" i="7"/>
  <c r="R175" i="7"/>
  <c r="R179" i="7"/>
  <c r="R183" i="7"/>
  <c r="R182" i="7"/>
  <c r="R168" i="7"/>
  <c r="R172" i="7"/>
  <c r="R176" i="7"/>
  <c r="R180" i="7"/>
  <c r="R184" i="7"/>
  <c r="R186" i="7"/>
  <c r="R169" i="7"/>
  <c r="R173" i="7"/>
  <c r="R177" i="7"/>
  <c r="R181" i="7"/>
  <c r="R187" i="7"/>
  <c r="N170" i="7"/>
  <c r="N174" i="7"/>
  <c r="N171" i="7"/>
  <c r="N175" i="7"/>
  <c r="N179" i="7"/>
  <c r="N178" i="7"/>
  <c r="N183" i="7"/>
  <c r="N172" i="7"/>
  <c r="N176" i="7"/>
  <c r="N180" i="7"/>
  <c r="N169" i="7"/>
  <c r="N173" i="7"/>
  <c r="N177" i="7"/>
  <c r="N181" i="7"/>
  <c r="N182" i="7"/>
  <c r="AD120" i="7"/>
  <c r="AD121" i="7"/>
  <c r="AD119" i="7"/>
  <c r="AD122" i="7"/>
  <c r="Z122" i="7"/>
  <c r="Z120" i="7"/>
  <c r="Z121" i="7"/>
  <c r="V129" i="7"/>
  <c r="Z123" i="7"/>
  <c r="Z119" i="7"/>
  <c r="V121" i="7"/>
  <c r="V125" i="7"/>
  <c r="V122" i="7"/>
  <c r="V126" i="7"/>
  <c r="V123" i="7"/>
  <c r="V127" i="7"/>
  <c r="V128" i="7"/>
  <c r="V120" i="7"/>
  <c r="V124" i="7"/>
  <c r="V119" i="7"/>
  <c r="R123" i="7"/>
  <c r="R120" i="7"/>
  <c r="R124" i="7"/>
  <c r="R128" i="7"/>
  <c r="R121" i="7"/>
  <c r="R125" i="7"/>
  <c r="R129" i="7"/>
  <c r="R119" i="7"/>
  <c r="R131" i="7"/>
  <c r="R127" i="7"/>
  <c r="R122" i="7"/>
  <c r="R126" i="7"/>
  <c r="R130" i="7"/>
  <c r="N122" i="7"/>
  <c r="N126" i="7"/>
  <c r="N131" i="7"/>
  <c r="N123" i="7"/>
  <c r="N127" i="7"/>
  <c r="N120" i="7"/>
  <c r="N124" i="7"/>
  <c r="N128" i="7"/>
  <c r="N121" i="7"/>
  <c r="N125" i="7"/>
  <c r="N129" i="7"/>
  <c r="N130" i="7"/>
  <c r="N119" i="7"/>
  <c r="AD99" i="7"/>
  <c r="AD97" i="7"/>
  <c r="AD100" i="7"/>
  <c r="AD98" i="7"/>
  <c r="AD101" i="7"/>
  <c r="AD102" i="7"/>
  <c r="Z99" i="7"/>
  <c r="Z97" i="7"/>
  <c r="Z101" i="7"/>
  <c r="Z100" i="7"/>
  <c r="Z98" i="7"/>
  <c r="Z102" i="7"/>
  <c r="V104" i="7"/>
  <c r="V98" i="7"/>
  <c r="V102" i="7"/>
  <c r="V99" i="7"/>
  <c r="V103" i="7"/>
  <c r="V100" i="7"/>
  <c r="V97" i="7"/>
  <c r="V105" i="7"/>
  <c r="V101" i="7"/>
  <c r="V106" i="7"/>
  <c r="N98" i="7"/>
  <c r="N102" i="7"/>
  <c r="N106" i="7"/>
  <c r="N111" i="7"/>
  <c r="N108" i="7"/>
  <c r="N99" i="7"/>
  <c r="N103" i="7"/>
  <c r="N107" i="7"/>
  <c r="N109" i="7"/>
  <c r="N100" i="7"/>
  <c r="N104" i="7"/>
  <c r="N110" i="7"/>
  <c r="N101" i="7"/>
  <c r="N105" i="7"/>
  <c r="N97" i="7"/>
  <c r="AT48" i="7"/>
  <c r="AT52" i="7"/>
  <c r="AT49" i="7"/>
  <c r="AT53" i="7"/>
  <c r="AT50" i="7"/>
  <c r="AT51" i="7"/>
  <c r="AT54" i="7"/>
  <c r="AD51" i="7"/>
  <c r="AD63" i="7"/>
  <c r="AD55" i="7"/>
  <c r="AD52" i="7"/>
  <c r="AD60" i="7"/>
  <c r="AD49" i="7"/>
  <c r="AD53" i="7"/>
  <c r="AD57" i="7"/>
  <c r="AD61" i="7"/>
  <c r="AD59" i="7"/>
  <c r="AD56" i="7"/>
  <c r="AD50" i="7"/>
  <c r="AD54" i="7"/>
  <c r="AD58" i="7"/>
  <c r="AD62" i="7"/>
  <c r="AD48" i="7"/>
  <c r="Z51" i="7"/>
  <c r="Z48" i="7"/>
  <c r="Z52" i="7"/>
  <c r="Z56" i="7"/>
  <c r="Z59" i="7"/>
  <c r="Z49" i="7"/>
  <c r="Z53" i="7"/>
  <c r="Z57" i="7"/>
  <c r="Z55" i="7"/>
  <c r="Z50" i="7"/>
  <c r="Z54" i="7"/>
  <c r="Z58" i="7"/>
  <c r="Z60" i="7"/>
  <c r="V48" i="7"/>
  <c r="V52" i="7"/>
  <c r="V64" i="7"/>
  <c r="V49" i="7"/>
  <c r="V53" i="7"/>
  <c r="V57" i="7"/>
  <c r="V61" i="7"/>
  <c r="V60" i="7"/>
  <c r="V50" i="7"/>
  <c r="V54" i="7"/>
  <c r="V58" i="7"/>
  <c r="V62" i="7"/>
  <c r="V56" i="7"/>
  <c r="V51" i="7"/>
  <c r="V55" i="7"/>
  <c r="V59" i="7"/>
  <c r="V63" i="7"/>
  <c r="V65" i="7"/>
  <c r="N51" i="7"/>
  <c r="N48" i="7"/>
  <c r="N52" i="7"/>
  <c r="N49" i="7"/>
  <c r="N53" i="7"/>
  <c r="N50" i="7"/>
  <c r="N54" i="7"/>
  <c r="N55" i="7"/>
  <c r="AT242" i="7"/>
  <c r="AT254" i="7"/>
  <c r="AT243" i="7"/>
  <c r="AT247" i="7"/>
  <c r="AT251" i="7"/>
  <c r="AT250" i="7"/>
  <c r="AT244" i="7"/>
  <c r="AT248" i="7"/>
  <c r="AT252" i="7"/>
  <c r="AT246" i="7"/>
  <c r="AT245" i="7"/>
  <c r="AT249" i="7"/>
  <c r="AT253" i="7"/>
  <c r="AT255" i="7"/>
  <c r="Z242" i="7"/>
  <c r="Z246" i="7"/>
  <c r="Z255" i="7"/>
  <c r="Z264" i="7"/>
  <c r="Z243" i="7"/>
  <c r="Z247" i="7"/>
  <c r="Z257" i="7"/>
  <c r="Z261" i="7"/>
  <c r="Z265" i="7"/>
  <c r="Z268" i="7"/>
  <c r="Z244" i="7"/>
  <c r="Z248" i="7"/>
  <c r="Z253" i="7"/>
  <c r="Z258" i="7"/>
  <c r="Z262" i="7"/>
  <c r="Z266" i="7"/>
  <c r="Z269" i="7"/>
  <c r="Z251" i="7"/>
  <c r="Z260" i="7"/>
  <c r="Z256" i="7"/>
  <c r="Z252" i="7"/>
  <c r="Z245" i="7"/>
  <c r="Z250" i="7"/>
  <c r="Z254" i="7"/>
  <c r="Z259" i="7"/>
  <c r="Z263" i="7"/>
  <c r="Z267" i="7"/>
  <c r="Z270" i="7"/>
  <c r="Z249" i="7"/>
  <c r="V242" i="7"/>
  <c r="V251" i="7"/>
  <c r="V246" i="7"/>
  <c r="V248" i="7"/>
  <c r="V259" i="7"/>
  <c r="V274" i="7"/>
  <c r="V243" i="7"/>
  <c r="V247" i="7"/>
  <c r="V252" i="7"/>
  <c r="V256" i="7"/>
  <c r="V260" i="7"/>
  <c r="V265" i="7"/>
  <c r="V271" i="7"/>
  <c r="V275" i="7"/>
  <c r="V267" i="7"/>
  <c r="V264" i="7"/>
  <c r="V244" i="7"/>
  <c r="V249" i="7"/>
  <c r="V253" i="7"/>
  <c r="V257" i="7"/>
  <c r="V261" i="7"/>
  <c r="V268" i="7"/>
  <c r="V272" i="7"/>
  <c r="V266" i="7"/>
  <c r="V255" i="7"/>
  <c r="V270" i="7"/>
  <c r="V245" i="7"/>
  <c r="V250" i="7"/>
  <c r="V254" i="7"/>
  <c r="V258" i="7"/>
  <c r="V262" i="7"/>
  <c r="V269" i="7"/>
  <c r="V273" i="7"/>
  <c r="V263" i="7"/>
  <c r="R244" i="7"/>
  <c r="R248" i="7"/>
  <c r="R256" i="7"/>
  <c r="R268" i="7"/>
  <c r="R245" i="7"/>
  <c r="R253" i="7"/>
  <c r="R261" i="7"/>
  <c r="R269" i="7"/>
  <c r="R242" i="7"/>
  <c r="R270" i="7"/>
  <c r="R266" i="7"/>
  <c r="R246" i="7"/>
  <c r="R250" i="7"/>
  <c r="R254" i="7"/>
  <c r="R258" i="7"/>
  <c r="R262" i="7"/>
  <c r="R267" i="7"/>
  <c r="R265" i="7"/>
  <c r="R252" i="7"/>
  <c r="R260" i="7"/>
  <c r="R249" i="7"/>
  <c r="R257" i="7"/>
  <c r="R271" i="7"/>
  <c r="R243" i="7"/>
  <c r="R247" i="7"/>
  <c r="R251" i="7"/>
  <c r="R255" i="7"/>
  <c r="R259" i="7"/>
  <c r="R263" i="7"/>
  <c r="R264" i="7"/>
  <c r="N256" i="7"/>
  <c r="N250" i="7"/>
  <c r="N244" i="7"/>
  <c r="N248" i="7"/>
  <c r="N252" i="7"/>
  <c r="N246" i="7"/>
  <c r="N254" i="7"/>
  <c r="N243" i="7"/>
  <c r="N247" i="7"/>
  <c r="N251" i="7"/>
  <c r="N255" i="7"/>
  <c r="N245" i="7"/>
  <c r="N249" i="7"/>
  <c r="N253" i="7"/>
  <c r="N257" i="7"/>
  <c r="N242" i="7"/>
  <c r="R49" i="7"/>
  <c r="R55" i="7"/>
  <c r="R63" i="7"/>
  <c r="R50" i="7"/>
  <c r="R51" i="7"/>
  <c r="R59" i="7"/>
  <c r="R53" i="7"/>
  <c r="R57" i="7"/>
  <c r="R61" i="7"/>
  <c r="R54" i="7"/>
  <c r="R58" i="7"/>
  <c r="R62" i="7"/>
  <c r="R52" i="7"/>
  <c r="R60" i="7"/>
  <c r="R56" i="7"/>
  <c r="R48" i="7"/>
  <c r="AH56" i="7"/>
  <c r="AH55" i="7"/>
  <c r="AH59" i="7"/>
  <c r="AH49" i="7"/>
  <c r="AH53" i="7"/>
  <c r="AH57" i="7"/>
  <c r="AH61" i="7"/>
  <c r="AH50" i="7"/>
  <c r="AH54" i="7"/>
  <c r="AH58" i="7"/>
  <c r="AH52" i="7"/>
  <c r="AH48" i="7"/>
  <c r="AH51" i="7"/>
  <c r="AH60" i="7"/>
  <c r="AL48" i="7"/>
  <c r="AP52" i="7"/>
  <c r="AL49" i="7"/>
  <c r="AL53" i="7"/>
  <c r="AL50" i="7"/>
  <c r="AL54" i="7"/>
  <c r="AL51" i="7"/>
  <c r="AL55" i="7"/>
  <c r="AL52" i="7"/>
  <c r="AL56" i="7"/>
  <c r="AP49" i="7"/>
  <c r="AP50" i="7"/>
  <c r="AP48" i="7"/>
  <c r="AP51" i="7"/>
  <c r="AX51" i="7"/>
  <c r="AX49" i="7"/>
  <c r="AX50" i="7"/>
  <c r="AX48" i="7"/>
  <c r="R103" i="7"/>
  <c r="R99" i="7"/>
  <c r="R100" i="7"/>
  <c r="R104" i="7"/>
  <c r="R97" i="7"/>
  <c r="R101" i="7"/>
  <c r="R98" i="7"/>
  <c r="R102" i="7"/>
  <c r="AX170" i="7"/>
  <c r="AX172" i="7"/>
  <c r="AX171" i="7"/>
  <c r="AX169" i="7"/>
  <c r="AX168" i="7"/>
  <c r="AT169" i="7"/>
  <c r="AT170" i="7"/>
  <c r="AT172" i="7"/>
  <c r="AT168" i="7"/>
  <c r="AT171" i="7"/>
  <c r="AP169" i="7"/>
  <c r="AP173" i="7"/>
  <c r="AP170" i="7"/>
  <c r="AP174" i="7"/>
  <c r="AP171" i="7"/>
  <c r="AP175" i="7"/>
  <c r="AP172" i="7"/>
  <c r="AP168" i="7"/>
  <c r="AH169" i="7"/>
  <c r="AH168" i="7"/>
  <c r="AH172" i="7"/>
  <c r="AH176" i="7"/>
  <c r="AH173" i="7"/>
  <c r="AH177" i="7"/>
  <c r="AH170" i="7"/>
  <c r="AH174" i="7"/>
  <c r="AH178" i="7"/>
  <c r="AH175" i="7"/>
  <c r="AH171" i="7"/>
  <c r="AD169" i="7"/>
  <c r="AD173" i="7"/>
  <c r="AD177" i="7"/>
  <c r="AD170" i="7"/>
  <c r="AD174" i="7"/>
  <c r="AD171" i="7"/>
  <c r="AD175" i="7"/>
  <c r="AD172" i="7"/>
  <c r="Z180" i="7"/>
  <c r="AD176" i="7"/>
  <c r="AD168" i="7"/>
  <c r="Z169" i="7"/>
  <c r="Z173" i="7"/>
  <c r="Z177" i="7"/>
  <c r="Z181" i="7"/>
  <c r="Z185" i="7"/>
  <c r="Z170" i="7"/>
  <c r="Z174" i="7"/>
  <c r="Z178" i="7"/>
  <c r="Z182" i="7"/>
  <c r="Z186" i="7"/>
  <c r="Z175" i="7"/>
  <c r="Z179" i="7"/>
  <c r="Z183" i="7"/>
  <c r="Z187" i="7"/>
  <c r="Z184" i="7"/>
  <c r="Z172" i="7"/>
  <c r="Z168" i="7"/>
  <c r="Z171" i="7"/>
  <c r="Z176" i="7"/>
  <c r="AX195" i="7"/>
  <c r="AX196" i="7"/>
  <c r="AX197" i="7"/>
  <c r="AX198" i="7"/>
  <c r="AT195" i="7"/>
  <c r="AX194" i="7"/>
  <c r="AT197" i="7"/>
  <c r="AT196" i="7"/>
  <c r="AT198" i="7"/>
  <c r="AP197" i="7"/>
  <c r="AT194" i="7"/>
  <c r="AP196" i="7"/>
  <c r="AP195" i="7"/>
  <c r="AP194" i="7"/>
  <c r="AX252" i="7"/>
  <c r="AX244" i="7"/>
  <c r="AX243" i="7"/>
  <c r="AX247" i="7"/>
  <c r="AX251" i="7"/>
  <c r="AX248" i="7"/>
  <c r="AX250" i="7"/>
  <c r="AX249" i="7"/>
  <c r="AX253" i="7"/>
  <c r="AX246" i="7"/>
  <c r="AX242" i="7"/>
  <c r="AX245" i="7"/>
  <c r="AP243" i="7"/>
  <c r="AP247" i="7"/>
  <c r="AP251" i="7"/>
  <c r="AP255" i="7"/>
  <c r="AP248" i="7"/>
  <c r="AP252" i="7"/>
  <c r="AP256" i="7"/>
  <c r="AP245" i="7"/>
  <c r="AP249" i="7"/>
  <c r="AP253" i="7"/>
  <c r="AP246" i="7"/>
  <c r="AP242" i="7"/>
  <c r="AP254" i="7"/>
  <c r="AL245" i="7"/>
  <c r="AP244" i="7"/>
  <c r="AP250" i="7"/>
  <c r="AL255" i="7"/>
  <c r="AL247" i="7"/>
  <c r="AL250" i="7"/>
  <c r="AL252" i="7"/>
  <c r="AL258" i="7"/>
  <c r="AL248" i="7"/>
  <c r="AL251" i="7"/>
  <c r="AL253" i="7"/>
  <c r="AL259" i="7"/>
  <c r="AL249" i="7"/>
  <c r="AL242" i="7"/>
  <c r="AL254" i="7"/>
  <c r="AL260" i="7"/>
  <c r="AL243" i="7"/>
  <c r="AL256" i="7"/>
  <c r="AL246" i="7"/>
  <c r="AL257" i="7"/>
  <c r="AL244" i="7"/>
  <c r="AH244" i="7"/>
  <c r="AH248" i="7"/>
  <c r="AH252" i="7"/>
  <c r="AH256" i="7"/>
  <c r="AH260" i="7"/>
  <c r="AH264" i="7"/>
  <c r="AH250" i="7"/>
  <c r="AH249" i="7"/>
  <c r="AH253" i="7"/>
  <c r="AH257" i="7"/>
  <c r="AH261" i="7"/>
  <c r="AH247" i="7"/>
  <c r="AH251" i="7"/>
  <c r="AH255" i="7"/>
  <c r="AH259" i="7"/>
  <c r="AH263" i="7"/>
  <c r="AH258" i="7"/>
  <c r="AH246" i="7"/>
  <c r="AH245" i="7"/>
  <c r="AH262" i="7"/>
  <c r="AH254" i="7"/>
  <c r="AH242" i="7"/>
  <c r="AH243" i="7"/>
  <c r="AD243" i="7"/>
  <c r="AD246" i="7"/>
  <c r="AD257" i="7"/>
  <c r="AD263" i="7"/>
  <c r="AD250" i="7"/>
  <c r="AD247" i="7"/>
  <c r="AD251" i="7"/>
  <c r="AD256" i="7"/>
  <c r="AD259" i="7"/>
  <c r="AD264" i="7"/>
  <c r="AD254" i="7"/>
  <c r="AD244" i="7"/>
  <c r="AD248" i="7"/>
  <c r="AD252" i="7"/>
  <c r="AD260" i="7"/>
  <c r="AD255" i="7"/>
  <c r="AD258" i="7"/>
  <c r="AD262" i="7"/>
  <c r="AD261" i="7"/>
  <c r="AD245" i="7"/>
  <c r="AD253" i="7"/>
  <c r="AD242" i="7"/>
  <c r="AD249" i="7"/>
  <c r="S40" i="7"/>
  <c r="S39" i="7"/>
  <c r="S38" i="7"/>
  <c r="S37" i="7"/>
  <c r="S36" i="7"/>
  <c r="S35" i="7"/>
  <c r="S34" i="7"/>
  <c r="S33" i="7"/>
  <c r="S32" i="7"/>
  <c r="S31" i="7"/>
  <c r="S30" i="7"/>
  <c r="S29" i="7"/>
  <c r="S28" i="7"/>
  <c r="S27" i="7"/>
  <c r="S26" i="7"/>
  <c r="W42" i="7"/>
  <c r="W41" i="7"/>
  <c r="W40" i="7"/>
  <c r="W39" i="7"/>
  <c r="W38" i="7"/>
  <c r="W37" i="7"/>
  <c r="W36" i="7"/>
  <c r="W35" i="7"/>
  <c r="W34" i="7"/>
  <c r="W33" i="7"/>
  <c r="W32" i="7"/>
  <c r="W31" i="7"/>
  <c r="W30" i="7"/>
  <c r="W29" i="7"/>
  <c r="W28" i="7"/>
  <c r="W27" i="7"/>
  <c r="W26" i="7"/>
  <c r="AA44" i="7"/>
  <c r="AA43" i="7"/>
  <c r="AA42" i="7"/>
  <c r="AA41" i="7"/>
  <c r="AA40" i="7"/>
  <c r="AA39" i="7"/>
  <c r="AA38" i="7"/>
  <c r="AA37" i="7"/>
  <c r="AA36" i="7"/>
  <c r="AA35" i="7"/>
  <c r="AA34" i="7"/>
  <c r="AA33" i="7"/>
  <c r="AA32" i="7"/>
  <c r="AA31" i="7"/>
  <c r="AA30" i="7"/>
  <c r="AA29" i="7"/>
  <c r="AA28" i="7"/>
  <c r="AA27" i="7"/>
  <c r="AA26" i="7"/>
  <c r="AE33" i="7"/>
  <c r="AE32" i="7"/>
  <c r="AE31" i="7"/>
  <c r="AE30" i="7"/>
  <c r="AE29" i="7"/>
  <c r="AE28" i="7"/>
  <c r="AE27" i="7"/>
  <c r="AE26" i="7"/>
  <c r="AI38" i="7"/>
  <c r="AI37" i="7"/>
  <c r="AI36" i="7"/>
  <c r="AI35" i="7"/>
  <c r="AI34" i="7"/>
  <c r="AI33" i="7"/>
  <c r="AI32" i="7"/>
  <c r="AI31" i="7"/>
  <c r="AI30" i="7"/>
  <c r="AI29" i="7"/>
  <c r="AI28" i="7"/>
  <c r="AI27" i="7"/>
  <c r="AI26" i="7"/>
  <c r="AM35" i="7"/>
  <c r="AM34" i="7"/>
  <c r="AM33" i="7"/>
  <c r="AM32" i="7"/>
  <c r="AM31" i="7"/>
  <c r="AM30" i="7"/>
  <c r="AM29" i="7"/>
  <c r="AM28" i="7"/>
  <c r="AM27" i="7"/>
  <c r="AM26" i="7"/>
  <c r="AQ33" i="7"/>
  <c r="AQ32" i="7"/>
  <c r="AQ31" i="7"/>
  <c r="AQ30" i="7"/>
  <c r="AQ29" i="7"/>
  <c r="AQ28" i="7"/>
  <c r="AQ27" i="7"/>
  <c r="AQ26" i="7"/>
  <c r="AU29" i="7"/>
  <c r="AU28" i="7"/>
  <c r="AU27" i="7"/>
  <c r="AU26" i="7"/>
  <c r="AY29" i="7"/>
  <c r="AY28" i="7"/>
  <c r="AY27" i="7"/>
  <c r="AY26" i="7"/>
  <c r="O27" i="7"/>
  <c r="O28" i="7"/>
  <c r="O29" i="7"/>
  <c r="O30" i="7"/>
  <c r="O31" i="7"/>
  <c r="O32" i="7"/>
  <c r="O26" i="7"/>
  <c r="E34" i="5"/>
  <c r="E33" i="5"/>
  <c r="E32" i="5"/>
  <c r="E31" i="5"/>
  <c r="E30" i="5"/>
  <c r="E29" i="5"/>
  <c r="E28" i="5"/>
  <c r="E27" i="5"/>
  <c r="E26" i="5"/>
  <c r="E25" i="5"/>
  <c r="AY4" i="7"/>
  <c r="AY3" i="7"/>
  <c r="AY2" i="7"/>
  <c r="AU6" i="7"/>
  <c r="AU5" i="7"/>
  <c r="AU4" i="7"/>
  <c r="AU3" i="7"/>
  <c r="AU2" i="7"/>
  <c r="AQ11" i="7"/>
  <c r="AQ10" i="7"/>
  <c r="AQ9" i="7"/>
  <c r="AQ8" i="7"/>
  <c r="AQ7" i="7"/>
  <c r="AQ6" i="7"/>
  <c r="AQ5" i="7"/>
  <c r="AQ4" i="7"/>
  <c r="AQ3" i="7"/>
  <c r="AQ2" i="7"/>
  <c r="AM8" i="7"/>
  <c r="AM7" i="7"/>
  <c r="AM6" i="7"/>
  <c r="AM5" i="7"/>
  <c r="AM4" i="7"/>
  <c r="AM3" i="7"/>
  <c r="AM2" i="7"/>
  <c r="AI17" i="7"/>
  <c r="AI16" i="7"/>
  <c r="AI15" i="7"/>
  <c r="AI14" i="7"/>
  <c r="AI13" i="7"/>
  <c r="AI12" i="7"/>
  <c r="AI11" i="7"/>
  <c r="AI10" i="7"/>
  <c r="AI9" i="7"/>
  <c r="AI8" i="7"/>
  <c r="AI7" i="7"/>
  <c r="AI6" i="7"/>
  <c r="AI5" i="7"/>
  <c r="AI4" i="7"/>
  <c r="AI3" i="7"/>
  <c r="AI2" i="7"/>
  <c r="AE9" i="7"/>
  <c r="AE8" i="7"/>
  <c r="AE7" i="7"/>
  <c r="AE6" i="7"/>
  <c r="AE5" i="7"/>
  <c r="AE4" i="7"/>
  <c r="AE3" i="7"/>
  <c r="AE2" i="7"/>
  <c r="AA17" i="7"/>
  <c r="AA9" i="7"/>
  <c r="AA16" i="7"/>
  <c r="AA15" i="7"/>
  <c r="AA14" i="7"/>
  <c r="AA13" i="7"/>
  <c r="AA12" i="7"/>
  <c r="AA11" i="7"/>
  <c r="AA10" i="7"/>
  <c r="AA8" i="7"/>
  <c r="AA7" i="7"/>
  <c r="AA5" i="7"/>
  <c r="AA4" i="7"/>
  <c r="AA3" i="7"/>
  <c r="AA2" i="7"/>
  <c r="W23" i="7"/>
  <c r="W22" i="7"/>
  <c r="W21" i="7"/>
  <c r="W20" i="7"/>
  <c r="W19" i="7"/>
  <c r="W17" i="7"/>
  <c r="W16" i="7"/>
  <c r="W15" i="7"/>
  <c r="W14" i="7"/>
  <c r="W13" i="7"/>
  <c r="W12" i="7"/>
  <c r="W11" i="7"/>
  <c r="W10" i="7"/>
  <c r="W9" i="7"/>
  <c r="W8" i="7"/>
  <c r="W7" i="7"/>
  <c r="W4" i="7"/>
  <c r="W3" i="7"/>
  <c r="W2" i="7"/>
  <c r="S22" i="7"/>
  <c r="S21" i="7"/>
  <c r="S19" i="7"/>
  <c r="S18" i="7"/>
  <c r="S17" i="7"/>
  <c r="S16" i="7"/>
  <c r="S15" i="7"/>
  <c r="S14" i="7"/>
  <c r="S20" i="7"/>
  <c r="S13" i="7"/>
  <c r="S12" i="7"/>
  <c r="S11" i="7"/>
  <c r="S10" i="7"/>
  <c r="S8" i="7"/>
  <c r="S7" i="7"/>
  <c r="S6" i="7"/>
  <c r="S5" i="7"/>
  <c r="S4" i="7"/>
  <c r="S3" i="7"/>
  <c r="S2" i="7"/>
  <c r="O11" i="7"/>
  <c r="O10" i="7"/>
  <c r="O9" i="7"/>
  <c r="O8" i="7"/>
  <c r="O7" i="7"/>
  <c r="O6" i="7"/>
  <c r="O5" i="7"/>
  <c r="O3" i="7"/>
  <c r="O2" i="7"/>
  <c r="P113" i="30" l="1"/>
  <c r="P267" i="2"/>
  <c r="R339" i="24"/>
  <c r="AL121" i="24" s="1"/>
  <c r="AK121" i="24" s="1"/>
  <c r="S337" i="2"/>
  <c r="AL131" i="2" s="1"/>
  <c r="AK131" i="2" s="1"/>
  <c r="Q198" i="29"/>
  <c r="Q198" i="25"/>
  <c r="B92" i="27"/>
  <c r="P92" i="27" s="1"/>
  <c r="R264" i="30"/>
  <c r="B93" i="27"/>
  <c r="R98" i="27" s="1"/>
  <c r="B94" i="23"/>
  <c r="B99" i="23" s="1"/>
  <c r="B94" i="27"/>
  <c r="B99" i="27" s="1"/>
  <c r="B93" i="23"/>
  <c r="P93" i="23" s="1"/>
  <c r="B92" i="23"/>
  <c r="R97" i="23" s="1"/>
  <c r="B92" i="28"/>
  <c r="P92" i="28" s="1"/>
  <c r="Q94" i="30"/>
  <c r="P99" i="30"/>
  <c r="P94" i="30"/>
  <c r="B99" i="30"/>
  <c r="O99" i="30"/>
  <c r="O94" i="30"/>
  <c r="R99" i="30"/>
  <c r="Q92" i="30"/>
  <c r="P92" i="30"/>
  <c r="R97" i="30"/>
  <c r="B97" i="30"/>
  <c r="O97" i="30"/>
  <c r="O92" i="30"/>
  <c r="O98" i="30"/>
  <c r="Q93" i="30"/>
  <c r="R98" i="30"/>
  <c r="B98" i="30"/>
  <c r="P93" i="30"/>
  <c r="O93" i="30"/>
  <c r="B94" i="29"/>
  <c r="B92" i="29"/>
  <c r="B93" i="29"/>
  <c r="T133" i="27"/>
  <c r="B94" i="22"/>
  <c r="O99" i="22" s="1"/>
  <c r="B93" i="28"/>
  <c r="B94" i="28"/>
  <c r="O98" i="27"/>
  <c r="B93" i="26"/>
  <c r="B94" i="26"/>
  <c r="B92" i="26"/>
  <c r="B92" i="25"/>
  <c r="B94" i="25"/>
  <c r="B93" i="25"/>
  <c r="B93" i="24"/>
  <c r="O98" i="24" s="1"/>
  <c r="B92" i="22"/>
  <c r="B93" i="22"/>
  <c r="B92" i="24"/>
  <c r="B94" i="24"/>
  <c r="B94" i="21"/>
  <c r="B93" i="21"/>
  <c r="B92" i="21"/>
  <c r="T264" i="23"/>
  <c r="B94" i="2"/>
  <c r="P94" i="2" s="1"/>
  <c r="S337" i="26"/>
  <c r="AL131" i="26" s="1"/>
  <c r="AK131" i="26" s="1"/>
  <c r="T336" i="26"/>
  <c r="AL142" i="26" s="1"/>
  <c r="AK142" i="26" s="1"/>
  <c r="T337" i="26"/>
  <c r="AL143" i="26" s="1"/>
  <c r="AK143" i="26" s="1"/>
  <c r="P267" i="29"/>
  <c r="R199" i="2"/>
  <c r="S336" i="2"/>
  <c r="AL130" i="2" s="1"/>
  <c r="AK130" i="2" s="1"/>
  <c r="Q339" i="23"/>
  <c r="AL109" i="23" s="1"/>
  <c r="AK109" i="23" s="1"/>
  <c r="S337" i="23"/>
  <c r="AL131" i="23" s="1"/>
  <c r="AK131" i="23" s="1"/>
  <c r="Q315" i="23"/>
  <c r="AL44" i="23" s="1"/>
  <c r="AK44" i="23" s="1"/>
  <c r="R339" i="28"/>
  <c r="AL121" i="28" s="1"/>
  <c r="AK121" i="28" s="1"/>
  <c r="R338" i="28"/>
  <c r="AL120" i="28" s="1"/>
  <c r="AK120" i="28" s="1"/>
  <c r="T133" i="26"/>
  <c r="T133" i="25"/>
  <c r="T337" i="29"/>
  <c r="AL143" i="29" s="1"/>
  <c r="AK143" i="29" s="1"/>
  <c r="T336" i="29"/>
  <c r="AL142" i="29" s="1"/>
  <c r="AK142" i="29" s="1"/>
  <c r="T336" i="22"/>
  <c r="AL142" i="22" s="1"/>
  <c r="AK142" i="22" s="1"/>
  <c r="T337" i="22"/>
  <c r="AL143" i="22" s="1"/>
  <c r="AK143" i="22" s="1"/>
  <c r="T334" i="22"/>
  <c r="AL140" i="22" s="1"/>
  <c r="AK140" i="22" s="1"/>
  <c r="T335" i="22"/>
  <c r="AL141" i="22" s="1"/>
  <c r="AK141" i="22" s="1"/>
  <c r="S336" i="22"/>
  <c r="AL130" i="22" s="1"/>
  <c r="AK130" i="22" s="1"/>
  <c r="S337" i="22"/>
  <c r="AL131" i="22" s="1"/>
  <c r="AK131" i="22" s="1"/>
  <c r="R133" i="26"/>
  <c r="P146" i="21"/>
  <c r="R199" i="23"/>
  <c r="S337" i="24"/>
  <c r="AL131" i="24" s="1"/>
  <c r="AK131" i="24" s="1"/>
  <c r="R337" i="24"/>
  <c r="AL119" i="24" s="1"/>
  <c r="AK119" i="24" s="1"/>
  <c r="R338" i="24"/>
  <c r="AL120" i="24" s="1"/>
  <c r="AK120" i="24" s="1"/>
  <c r="Q339" i="24"/>
  <c r="AL109" i="24" s="1"/>
  <c r="AK109" i="24" s="1"/>
  <c r="Q339" i="29"/>
  <c r="AL109" i="29" s="1"/>
  <c r="AK109" i="29" s="1"/>
  <c r="Q339" i="27"/>
  <c r="AL109" i="27" s="1"/>
  <c r="AK109" i="27" s="1"/>
  <c r="S337" i="27"/>
  <c r="AL131" i="27" s="1"/>
  <c r="AK131" i="27" s="1"/>
  <c r="R339" i="21"/>
  <c r="AL121" i="21" s="1"/>
  <c r="AK121" i="21" s="1"/>
  <c r="Q315" i="22"/>
  <c r="AL44" i="22" s="1"/>
  <c r="AK44" i="22" s="1"/>
  <c r="R338" i="27"/>
  <c r="AL120" i="27" s="1"/>
  <c r="AK120" i="27" s="1"/>
  <c r="R339" i="27"/>
  <c r="AL121" i="27" s="1"/>
  <c r="AK121" i="27" s="1"/>
  <c r="Q338" i="24"/>
  <c r="AL108" i="24" s="1"/>
  <c r="AK108" i="24" s="1"/>
  <c r="T334" i="24"/>
  <c r="AL140" i="24" s="1"/>
  <c r="AK140" i="24" s="1"/>
  <c r="T335" i="24"/>
  <c r="AL141" i="24" s="1"/>
  <c r="AK141" i="24" s="1"/>
  <c r="T336" i="24"/>
  <c r="AL142" i="24" s="1"/>
  <c r="AK142" i="24" s="1"/>
  <c r="T337" i="24"/>
  <c r="AL143" i="24" s="1"/>
  <c r="AK143" i="24" s="1"/>
  <c r="S336" i="24"/>
  <c r="AL130" i="24" s="1"/>
  <c r="AK130" i="24" s="1"/>
  <c r="S334" i="24"/>
  <c r="AL128" i="24" s="1"/>
  <c r="AK128" i="24" s="1"/>
  <c r="S335" i="24"/>
  <c r="AL129" i="24" s="1"/>
  <c r="AK129" i="24" s="1"/>
  <c r="R336" i="24"/>
  <c r="AL118" i="24" s="1"/>
  <c r="AK118" i="24" s="1"/>
  <c r="Q315" i="25"/>
  <c r="AL44" i="25" s="1"/>
  <c r="AK44" i="25" s="1"/>
  <c r="T320" i="21"/>
  <c r="AL85" i="21" s="1"/>
  <c r="AK85" i="21" s="1"/>
  <c r="T320" i="22"/>
  <c r="AL85" i="22" s="1"/>
  <c r="AK85" i="22" s="1"/>
  <c r="R338" i="2"/>
  <c r="AL120" i="2" s="1"/>
  <c r="AK120" i="2" s="1"/>
  <c r="R337" i="2"/>
  <c r="AL119" i="2" s="1"/>
  <c r="AK119" i="2" s="1"/>
  <c r="R339" i="2"/>
  <c r="AL121" i="2" s="1"/>
  <c r="AK121" i="2" s="1"/>
  <c r="R337" i="23"/>
  <c r="AL119" i="23" s="1"/>
  <c r="AK119" i="23" s="1"/>
  <c r="R339" i="23"/>
  <c r="AL121" i="23" s="1"/>
  <c r="AK121" i="23" s="1"/>
  <c r="R336" i="23"/>
  <c r="AL118" i="23" s="1"/>
  <c r="AK118" i="23" s="1"/>
  <c r="R338" i="23"/>
  <c r="AL120" i="23" s="1"/>
  <c r="AK120" i="23" s="1"/>
  <c r="T335" i="23"/>
  <c r="AL141" i="23" s="1"/>
  <c r="AK141" i="23" s="1"/>
  <c r="T337" i="23"/>
  <c r="AL143" i="23" s="1"/>
  <c r="AK143" i="23" s="1"/>
  <c r="T336" i="23"/>
  <c r="AL142" i="23" s="1"/>
  <c r="AK142" i="23" s="1"/>
  <c r="T334" i="23"/>
  <c r="AL140" i="23" s="1"/>
  <c r="AK140" i="23" s="1"/>
  <c r="S336" i="23"/>
  <c r="AL130" i="23" s="1"/>
  <c r="AK130" i="23" s="1"/>
  <c r="S335" i="23"/>
  <c r="AL129" i="23" s="1"/>
  <c r="AK129" i="23" s="1"/>
  <c r="S334" i="23"/>
  <c r="AL128" i="23" s="1"/>
  <c r="AK128" i="23" s="1"/>
  <c r="P267" i="27"/>
  <c r="P266" i="22"/>
  <c r="Q133" i="26"/>
  <c r="S133" i="26"/>
  <c r="Q339" i="22"/>
  <c r="AL109" i="22" s="1"/>
  <c r="AK109" i="22" s="1"/>
  <c r="S336" i="25"/>
  <c r="AL130" i="25" s="1"/>
  <c r="AK130" i="25" s="1"/>
  <c r="S336" i="29"/>
  <c r="AL130" i="29" s="1"/>
  <c r="AK130" i="29" s="1"/>
  <c r="S337" i="25"/>
  <c r="AL131" i="25" s="1"/>
  <c r="AK131" i="25" s="1"/>
  <c r="S337" i="29"/>
  <c r="AL131" i="29" s="1"/>
  <c r="AK131" i="29" s="1"/>
  <c r="R339" i="29"/>
  <c r="AL121" i="29" s="1"/>
  <c r="AK121" i="29" s="1"/>
  <c r="R338" i="29"/>
  <c r="AL120" i="29" s="1"/>
  <c r="AK120" i="29" s="1"/>
  <c r="Q338" i="29"/>
  <c r="AL108" i="29" s="1"/>
  <c r="AK108" i="29" s="1"/>
  <c r="T334" i="29"/>
  <c r="AL140" i="29" s="1"/>
  <c r="AK140" i="29" s="1"/>
  <c r="T335" i="29"/>
  <c r="AL141" i="29" s="1"/>
  <c r="AK141" i="29" s="1"/>
  <c r="S133" i="27"/>
  <c r="R133" i="2"/>
  <c r="R133" i="27"/>
  <c r="P146" i="2"/>
  <c r="P338" i="23"/>
  <c r="AL96" i="23" s="1"/>
  <c r="AK96" i="23" s="1"/>
  <c r="P339" i="23"/>
  <c r="AL97" i="23" s="1"/>
  <c r="AK97" i="23" s="1"/>
  <c r="T320" i="23"/>
  <c r="AL85" i="23" s="1"/>
  <c r="AK85" i="23" s="1"/>
  <c r="B92" i="2"/>
  <c r="P92" i="2" s="1"/>
  <c r="B93" i="2"/>
  <c r="P93" i="2" s="1"/>
  <c r="P338" i="24"/>
  <c r="AL96" i="24" s="1"/>
  <c r="AK96" i="24" s="1"/>
  <c r="P339" i="24"/>
  <c r="AL97" i="24" s="1"/>
  <c r="AK97" i="24" s="1"/>
  <c r="R334" i="24"/>
  <c r="AL116" i="24" s="1"/>
  <c r="AK116" i="24" s="1"/>
  <c r="R335" i="24"/>
  <c r="AL117" i="24" s="1"/>
  <c r="AK117" i="24" s="1"/>
  <c r="T133" i="2"/>
  <c r="T133" i="22"/>
  <c r="R320" i="24"/>
  <c r="AL61" i="24" s="1"/>
  <c r="AK61" i="24" s="1"/>
  <c r="Q339" i="26"/>
  <c r="AL109" i="26" s="1"/>
  <c r="AK109" i="26" s="1"/>
  <c r="Q336" i="24"/>
  <c r="AL106" i="24" s="1"/>
  <c r="AK106" i="24" s="1"/>
  <c r="Q337" i="24"/>
  <c r="AL107" i="24" s="1"/>
  <c r="AK107" i="24" s="1"/>
  <c r="T336" i="21"/>
  <c r="AL142" i="21" s="1"/>
  <c r="AK142" i="21" s="1"/>
  <c r="T337" i="21"/>
  <c r="AL143" i="21" s="1"/>
  <c r="AK143" i="21" s="1"/>
  <c r="S337" i="28"/>
  <c r="AL131" i="28" s="1"/>
  <c r="AK131" i="28" s="1"/>
  <c r="S337" i="21"/>
  <c r="AL131" i="21" s="1"/>
  <c r="AK131" i="21" s="1"/>
  <c r="R337" i="28"/>
  <c r="AL119" i="28" s="1"/>
  <c r="AK119" i="28" s="1"/>
  <c r="P198" i="23"/>
  <c r="S133" i="2"/>
  <c r="S133" i="22"/>
  <c r="P146" i="22"/>
  <c r="Q339" i="25"/>
  <c r="AL109" i="25" s="1"/>
  <c r="AK109" i="25" s="1"/>
  <c r="P267" i="28"/>
  <c r="P146" i="28"/>
  <c r="T320" i="28"/>
  <c r="AL85" i="28" s="1"/>
  <c r="AK85" i="28" s="1"/>
  <c r="T319" i="24"/>
  <c r="AL84" i="24" s="1"/>
  <c r="AK84" i="24" s="1"/>
  <c r="T320" i="24"/>
  <c r="AL85" i="24" s="1"/>
  <c r="AK85" i="24" s="1"/>
  <c r="Q315" i="24"/>
  <c r="AL44" i="24" s="1"/>
  <c r="AK44" i="24" s="1"/>
  <c r="Q133" i="2"/>
  <c r="Q315" i="2"/>
  <c r="AL44" i="2" s="1"/>
  <c r="AK44" i="2" s="1"/>
  <c r="Q315" i="26"/>
  <c r="AL44" i="26" s="1"/>
  <c r="AK44" i="26" s="1"/>
  <c r="P339" i="21"/>
  <c r="AL97" i="21" s="1"/>
  <c r="AK97" i="21" s="1"/>
  <c r="Q133" i="27"/>
  <c r="S336" i="21"/>
  <c r="AL130" i="21" s="1"/>
  <c r="AK130" i="21" s="1"/>
  <c r="P113" i="21"/>
  <c r="P267" i="23"/>
  <c r="P267" i="21"/>
  <c r="Q315" i="21"/>
  <c r="AL44" i="21" s="1"/>
  <c r="AK44" i="21" s="1"/>
  <c r="T320" i="25"/>
  <c r="AL85" i="25" s="1"/>
  <c r="AK85" i="25" s="1"/>
  <c r="T318" i="24"/>
  <c r="AL83" i="24" s="1"/>
  <c r="AK83" i="24" s="1"/>
  <c r="R338" i="22"/>
  <c r="AL120" i="22" s="1"/>
  <c r="AK120" i="22" s="1"/>
  <c r="R337" i="22"/>
  <c r="AL119" i="22" s="1"/>
  <c r="AK119" i="22" s="1"/>
  <c r="R339" i="22"/>
  <c r="AL121" i="22" s="1"/>
  <c r="AK121" i="22" s="1"/>
  <c r="P198" i="21"/>
  <c r="P198" i="28"/>
  <c r="R320" i="28"/>
  <c r="AL61" i="28" s="1"/>
  <c r="AK61" i="28" s="1"/>
  <c r="Q315" i="28"/>
  <c r="AL44" i="28" s="1"/>
  <c r="AK44" i="28" s="1"/>
  <c r="Q337" i="23"/>
  <c r="AL107" i="23" s="1"/>
  <c r="AK107" i="23" s="1"/>
  <c r="Q338" i="23"/>
  <c r="AL108" i="23" s="1"/>
  <c r="AK108" i="23" s="1"/>
  <c r="R334" i="23"/>
  <c r="AL116" i="23" s="1"/>
  <c r="AK116" i="23" s="1"/>
  <c r="R335" i="23"/>
  <c r="AL117" i="23" s="1"/>
  <c r="AK117" i="23" s="1"/>
  <c r="R320" i="23"/>
  <c r="AL61" i="23" s="1"/>
  <c r="AK61" i="23" s="1"/>
  <c r="R320" i="21"/>
  <c r="AL61" i="21" s="1"/>
  <c r="AK61" i="21" s="1"/>
  <c r="Q336" i="25"/>
  <c r="AL106" i="25" s="1"/>
  <c r="AK106" i="25" s="1"/>
  <c r="Q338" i="25"/>
  <c r="AL108" i="25" s="1"/>
  <c r="AK108" i="25" s="1"/>
  <c r="Q337" i="25"/>
  <c r="AL107" i="25" s="1"/>
  <c r="AK107" i="25" s="1"/>
  <c r="T335" i="25"/>
  <c r="AL141" i="25" s="1"/>
  <c r="AK141" i="25" s="1"/>
  <c r="T337" i="25"/>
  <c r="AL143" i="25" s="1"/>
  <c r="AK143" i="25" s="1"/>
  <c r="T336" i="25"/>
  <c r="AL142" i="25" s="1"/>
  <c r="AK142" i="25" s="1"/>
  <c r="T334" i="25"/>
  <c r="AL140" i="25" s="1"/>
  <c r="AK140" i="25" s="1"/>
  <c r="S334" i="25"/>
  <c r="AL128" i="25" s="1"/>
  <c r="AK128" i="25" s="1"/>
  <c r="S335" i="25"/>
  <c r="AL129" i="25" s="1"/>
  <c r="AK129" i="25" s="1"/>
  <c r="R337" i="25"/>
  <c r="AL119" i="25" s="1"/>
  <c r="AK119" i="25" s="1"/>
  <c r="R338" i="25"/>
  <c r="AL120" i="25" s="1"/>
  <c r="AK120" i="25" s="1"/>
  <c r="R339" i="25"/>
  <c r="AL121" i="25" s="1"/>
  <c r="AK121" i="25" s="1"/>
  <c r="R133" i="22"/>
  <c r="Q133" i="22"/>
  <c r="P113" i="25"/>
  <c r="S133" i="21"/>
  <c r="S133" i="23"/>
  <c r="R133" i="21"/>
  <c r="R133" i="23"/>
  <c r="T133" i="21"/>
  <c r="T133" i="23"/>
  <c r="Q133" i="21"/>
  <c r="Q133" i="23"/>
  <c r="P146" i="27"/>
  <c r="S270" i="25"/>
  <c r="P120" i="27"/>
  <c r="P113" i="26"/>
  <c r="T334" i="26"/>
  <c r="AL140" i="26" s="1"/>
  <c r="AK140" i="26" s="1"/>
  <c r="T335" i="26"/>
  <c r="AL141" i="26" s="1"/>
  <c r="AK141" i="26" s="1"/>
  <c r="P120" i="22"/>
  <c r="P120" i="24"/>
  <c r="P120" i="21"/>
  <c r="P267" i="25"/>
  <c r="P337" i="25"/>
  <c r="AL95" i="25" s="1"/>
  <c r="AK95" i="25" s="1"/>
  <c r="P338" i="25"/>
  <c r="AL96" i="25" s="1"/>
  <c r="AK96" i="25" s="1"/>
  <c r="P339" i="25"/>
  <c r="AL97" i="25" s="1"/>
  <c r="AK97" i="25" s="1"/>
  <c r="R334" i="25"/>
  <c r="AL116" i="25" s="1"/>
  <c r="AK116" i="25" s="1"/>
  <c r="R335" i="25"/>
  <c r="AL117" i="25" s="1"/>
  <c r="AK117" i="25" s="1"/>
  <c r="R336" i="25"/>
  <c r="AL118" i="25" s="1"/>
  <c r="AK118" i="25" s="1"/>
  <c r="P336" i="24"/>
  <c r="AL94" i="24" s="1"/>
  <c r="AK94" i="24" s="1"/>
  <c r="P334" i="24"/>
  <c r="AL92" i="24" s="1"/>
  <c r="AK92" i="24" s="1"/>
  <c r="P335" i="24"/>
  <c r="AL93" i="24" s="1"/>
  <c r="AK93" i="24" s="1"/>
  <c r="P337" i="24"/>
  <c r="AL95" i="24" s="1"/>
  <c r="AK95" i="24" s="1"/>
  <c r="R315" i="24"/>
  <c r="AL56" i="24" s="1"/>
  <c r="AK56" i="24" s="1"/>
  <c r="R316" i="24"/>
  <c r="AL57" i="24" s="1"/>
  <c r="AK57" i="24" s="1"/>
  <c r="R317" i="24"/>
  <c r="AL58" i="24" s="1"/>
  <c r="AK58" i="24" s="1"/>
  <c r="R319" i="24"/>
  <c r="AL60" i="24" s="1"/>
  <c r="AK60" i="24" s="1"/>
  <c r="R318" i="24"/>
  <c r="AL59" i="24" s="1"/>
  <c r="AK59" i="24" s="1"/>
  <c r="T315" i="24"/>
  <c r="T317" i="24"/>
  <c r="AL82" i="24" s="1"/>
  <c r="AK82" i="24" s="1"/>
  <c r="T316" i="24"/>
  <c r="AL81" i="24" s="1"/>
  <c r="AK81" i="24" s="1"/>
  <c r="Q335" i="24"/>
  <c r="AL105" i="24" s="1"/>
  <c r="AK105" i="24" s="1"/>
  <c r="Q334" i="24"/>
  <c r="AL104" i="24" s="1"/>
  <c r="AK104" i="24" s="1"/>
  <c r="S324" i="24"/>
  <c r="AL77" i="24" s="1"/>
  <c r="AK77" i="24" s="1"/>
  <c r="S315" i="24"/>
  <c r="S319" i="24"/>
  <c r="AL72" i="24" s="1"/>
  <c r="AK72" i="24" s="1"/>
  <c r="S320" i="24"/>
  <c r="AL73" i="24" s="1"/>
  <c r="AK73" i="24" s="1"/>
  <c r="S323" i="24"/>
  <c r="AL76" i="24" s="1"/>
  <c r="AK76" i="24" s="1"/>
  <c r="S317" i="24"/>
  <c r="AL70" i="24" s="1"/>
  <c r="AK70" i="24" s="1"/>
  <c r="S322" i="24"/>
  <c r="AL75" i="24" s="1"/>
  <c r="AK75" i="24" s="1"/>
  <c r="S318" i="24"/>
  <c r="AL71" i="24" s="1"/>
  <c r="AK71" i="24" s="1"/>
  <c r="S316" i="24"/>
  <c r="AL69" i="24" s="1"/>
  <c r="AK69" i="24" s="1"/>
  <c r="S321" i="24"/>
  <c r="AL74" i="24" s="1"/>
  <c r="AK74" i="24" s="1"/>
  <c r="Q317" i="24"/>
  <c r="AL46" i="24" s="1"/>
  <c r="AK46" i="24" s="1"/>
  <c r="Q316" i="24"/>
  <c r="AL45" i="24" s="1"/>
  <c r="AK45" i="24" s="1"/>
  <c r="Q321" i="24"/>
  <c r="AL50" i="24" s="1"/>
  <c r="AK50" i="24" s="1"/>
  <c r="Q319" i="24"/>
  <c r="AL48" i="24" s="1"/>
  <c r="AK48" i="24" s="1"/>
  <c r="Q320" i="24"/>
  <c r="AL49" i="24" s="1"/>
  <c r="AK49" i="24" s="1"/>
  <c r="Q323" i="24"/>
  <c r="AL52" i="24" s="1"/>
  <c r="AK52" i="24" s="1"/>
  <c r="Q318" i="24"/>
  <c r="AL47" i="24" s="1"/>
  <c r="AK47" i="24" s="1"/>
  <c r="Q324" i="24"/>
  <c r="AL53" i="24" s="1"/>
  <c r="AK53" i="24" s="1"/>
  <c r="Q322" i="24"/>
  <c r="AL51" i="24" s="1"/>
  <c r="AK51" i="24" s="1"/>
  <c r="P198" i="22"/>
  <c r="P320" i="22" s="1"/>
  <c r="S335" i="22"/>
  <c r="AL129" i="22" s="1"/>
  <c r="AK129" i="22" s="1"/>
  <c r="S334" i="22"/>
  <c r="AL128" i="22" s="1"/>
  <c r="AK128" i="22" s="1"/>
  <c r="P339" i="22"/>
  <c r="AL97" i="22" s="1"/>
  <c r="AK97" i="22" s="1"/>
  <c r="P338" i="22"/>
  <c r="AL96" i="22" s="1"/>
  <c r="AK96" i="22" s="1"/>
  <c r="R336" i="22"/>
  <c r="AL118" i="22" s="1"/>
  <c r="AK118" i="22" s="1"/>
  <c r="R334" i="22"/>
  <c r="AL116" i="22" s="1"/>
  <c r="AK116" i="22" s="1"/>
  <c r="R335" i="22"/>
  <c r="AL117" i="22" s="1"/>
  <c r="AK117" i="22" s="1"/>
  <c r="T318" i="22"/>
  <c r="AL83" i="22" s="1"/>
  <c r="AK83" i="22" s="1"/>
  <c r="T319" i="22"/>
  <c r="AL84" i="22" s="1"/>
  <c r="AK84" i="22" s="1"/>
  <c r="Q337" i="22"/>
  <c r="AL107" i="22" s="1"/>
  <c r="AK107" i="22" s="1"/>
  <c r="Q334" i="22"/>
  <c r="AL104" i="22" s="1"/>
  <c r="AK104" i="22" s="1"/>
  <c r="Q338" i="22"/>
  <c r="AL108" i="22" s="1"/>
  <c r="AK108" i="22" s="1"/>
  <c r="Q336" i="22"/>
  <c r="AL106" i="22" s="1"/>
  <c r="AK106" i="22" s="1"/>
  <c r="Q335" i="22"/>
  <c r="AL105" i="22" s="1"/>
  <c r="AK105" i="22" s="1"/>
  <c r="S324" i="22"/>
  <c r="AL77" i="22" s="1"/>
  <c r="AK77" i="22" s="1"/>
  <c r="P335" i="28"/>
  <c r="AL93" i="28" s="1"/>
  <c r="AK93" i="28" s="1"/>
  <c r="P334" i="28"/>
  <c r="AL92" i="28" s="1"/>
  <c r="AK92" i="28" s="1"/>
  <c r="P337" i="28"/>
  <c r="AL95" i="28" s="1"/>
  <c r="AK95" i="28" s="1"/>
  <c r="P338" i="28"/>
  <c r="AL96" i="28" s="1"/>
  <c r="AK96" i="28" s="1"/>
  <c r="P336" i="28"/>
  <c r="AL94" i="28" s="1"/>
  <c r="AK94" i="28" s="1"/>
  <c r="P339" i="28"/>
  <c r="AL97" i="28" s="1"/>
  <c r="AK97" i="28" s="1"/>
  <c r="T315" i="28"/>
  <c r="T316" i="28"/>
  <c r="AL81" i="28" s="1"/>
  <c r="AK81" i="28" s="1"/>
  <c r="T317" i="28"/>
  <c r="AL82" i="28" s="1"/>
  <c r="AK82" i="28" s="1"/>
  <c r="T320" i="26"/>
  <c r="AL85" i="26" s="1"/>
  <c r="AK85" i="26" s="1"/>
  <c r="T318" i="28"/>
  <c r="AL83" i="28" s="1"/>
  <c r="AK83" i="28" s="1"/>
  <c r="T319" i="28"/>
  <c r="AL84" i="28" s="1"/>
  <c r="AK84" i="28" s="1"/>
  <c r="Q337" i="26"/>
  <c r="AL107" i="26" s="1"/>
  <c r="AK107" i="26" s="1"/>
  <c r="Q338" i="26"/>
  <c r="AL108" i="26" s="1"/>
  <c r="AK108" i="26" s="1"/>
  <c r="Q336" i="26"/>
  <c r="AL106" i="26" s="1"/>
  <c r="AK106" i="26" s="1"/>
  <c r="Q334" i="28"/>
  <c r="AL104" i="28" s="1"/>
  <c r="AK104" i="28" s="1"/>
  <c r="Q338" i="28"/>
  <c r="AL108" i="28" s="1"/>
  <c r="AK108" i="28" s="1"/>
  <c r="Q336" i="28"/>
  <c r="AL106" i="28" s="1"/>
  <c r="AK106" i="28" s="1"/>
  <c r="Q339" i="28"/>
  <c r="AL109" i="28" s="1"/>
  <c r="AK109" i="28" s="1"/>
  <c r="Q337" i="28"/>
  <c r="AL107" i="28" s="1"/>
  <c r="AK107" i="28" s="1"/>
  <c r="Q335" i="28"/>
  <c r="AL105" i="28" s="1"/>
  <c r="AK105" i="28" s="1"/>
  <c r="T336" i="28"/>
  <c r="AL142" i="28" s="1"/>
  <c r="AK142" i="28" s="1"/>
  <c r="T335" i="28"/>
  <c r="AL141" i="28" s="1"/>
  <c r="AK141" i="28" s="1"/>
  <c r="T337" i="28"/>
  <c r="AL143" i="28" s="1"/>
  <c r="AK143" i="28" s="1"/>
  <c r="T334" i="28"/>
  <c r="AL140" i="28" s="1"/>
  <c r="AK140" i="28" s="1"/>
  <c r="S317" i="28"/>
  <c r="AL70" i="28" s="1"/>
  <c r="AK70" i="28" s="1"/>
  <c r="S316" i="28"/>
  <c r="AL69" i="28" s="1"/>
  <c r="AK69" i="28" s="1"/>
  <c r="S315" i="28"/>
  <c r="S324" i="28"/>
  <c r="AL77" i="28" s="1"/>
  <c r="AK77" i="28" s="1"/>
  <c r="S318" i="28"/>
  <c r="AL71" i="28" s="1"/>
  <c r="AK71" i="28" s="1"/>
  <c r="S323" i="28"/>
  <c r="AL76" i="28" s="1"/>
  <c r="AK76" i="28" s="1"/>
  <c r="S321" i="28"/>
  <c r="AL74" i="28" s="1"/>
  <c r="AK74" i="28" s="1"/>
  <c r="S322" i="28"/>
  <c r="AL75" i="28" s="1"/>
  <c r="AK75" i="28" s="1"/>
  <c r="S319" i="28"/>
  <c r="AL72" i="28" s="1"/>
  <c r="AK72" i="28" s="1"/>
  <c r="S320" i="28"/>
  <c r="AL73" i="28" s="1"/>
  <c r="AK73" i="28" s="1"/>
  <c r="R336" i="26"/>
  <c r="AL118" i="26" s="1"/>
  <c r="AK118" i="26" s="1"/>
  <c r="R334" i="26"/>
  <c r="AL116" i="26" s="1"/>
  <c r="AK116" i="26" s="1"/>
  <c r="R337" i="26"/>
  <c r="AL119" i="26" s="1"/>
  <c r="AK119" i="26" s="1"/>
  <c r="R339" i="26"/>
  <c r="AL121" i="26" s="1"/>
  <c r="AK121" i="26" s="1"/>
  <c r="R338" i="26"/>
  <c r="AL120" i="26" s="1"/>
  <c r="AK120" i="26" s="1"/>
  <c r="R335" i="26"/>
  <c r="AL117" i="26" s="1"/>
  <c r="AK117" i="26" s="1"/>
  <c r="R334" i="28"/>
  <c r="AL116" i="28" s="1"/>
  <c r="AK116" i="28" s="1"/>
  <c r="R335" i="28"/>
  <c r="AL117" i="28" s="1"/>
  <c r="AK117" i="28" s="1"/>
  <c r="R336" i="28"/>
  <c r="AL118" i="28" s="1"/>
  <c r="AK118" i="28" s="1"/>
  <c r="Q322" i="28"/>
  <c r="AL51" i="28" s="1"/>
  <c r="AK51" i="28" s="1"/>
  <c r="Q316" i="28"/>
  <c r="AL45" i="28" s="1"/>
  <c r="AK45" i="28" s="1"/>
  <c r="Q320" i="28"/>
  <c r="AL49" i="28" s="1"/>
  <c r="AK49" i="28" s="1"/>
  <c r="Q319" i="28"/>
  <c r="AL48" i="28" s="1"/>
  <c r="AK48" i="28" s="1"/>
  <c r="Q321" i="28"/>
  <c r="AL50" i="28" s="1"/>
  <c r="AK50" i="28" s="1"/>
  <c r="Q323" i="28"/>
  <c r="AL52" i="28" s="1"/>
  <c r="AK52" i="28" s="1"/>
  <c r="Q318" i="28"/>
  <c r="AL47" i="28" s="1"/>
  <c r="AK47" i="28" s="1"/>
  <c r="Q317" i="28"/>
  <c r="AL46" i="28" s="1"/>
  <c r="AK46" i="28" s="1"/>
  <c r="Q324" i="28"/>
  <c r="AL53" i="28" s="1"/>
  <c r="AK53" i="28" s="1"/>
  <c r="R319" i="28"/>
  <c r="AL60" i="28" s="1"/>
  <c r="AK60" i="28" s="1"/>
  <c r="R317" i="28"/>
  <c r="AL58" i="28" s="1"/>
  <c r="AK58" i="28" s="1"/>
  <c r="R318" i="28"/>
  <c r="AL59" i="28" s="1"/>
  <c r="AK59" i="28" s="1"/>
  <c r="R315" i="28"/>
  <c r="AL56" i="28" s="1"/>
  <c r="AK56" i="28" s="1"/>
  <c r="R316" i="28"/>
  <c r="AL57" i="28" s="1"/>
  <c r="AK57" i="28" s="1"/>
  <c r="S334" i="26"/>
  <c r="AL128" i="26" s="1"/>
  <c r="AK128" i="26" s="1"/>
  <c r="S335" i="26"/>
  <c r="AL129" i="26" s="1"/>
  <c r="AK129" i="26" s="1"/>
  <c r="S335" i="28"/>
  <c r="AL129" i="28" s="1"/>
  <c r="AK129" i="28" s="1"/>
  <c r="S334" i="28"/>
  <c r="AL128" i="28" s="1"/>
  <c r="AK128" i="28" s="1"/>
  <c r="S336" i="26"/>
  <c r="AL130" i="26" s="1"/>
  <c r="AK130" i="26" s="1"/>
  <c r="S336" i="28"/>
  <c r="AL130" i="28" s="1"/>
  <c r="AK130" i="28" s="1"/>
  <c r="T316" i="25"/>
  <c r="AL81" i="25" s="1"/>
  <c r="AK81" i="25" s="1"/>
  <c r="T317" i="25"/>
  <c r="AL82" i="25" s="1"/>
  <c r="AK82" i="25" s="1"/>
  <c r="T315" i="25"/>
  <c r="T318" i="25"/>
  <c r="AL83" i="25" s="1"/>
  <c r="AK83" i="25" s="1"/>
  <c r="T319" i="25"/>
  <c r="AL84" i="25" s="1"/>
  <c r="AK84" i="25" s="1"/>
  <c r="Q334" i="25"/>
  <c r="AL104" i="25" s="1"/>
  <c r="AK104" i="25" s="1"/>
  <c r="Q335" i="25"/>
  <c r="AL105" i="25" s="1"/>
  <c r="AK105" i="25" s="1"/>
  <c r="P113" i="27"/>
  <c r="S324" i="25"/>
  <c r="AL77" i="25" s="1"/>
  <c r="AK77" i="25" s="1"/>
  <c r="S315" i="25"/>
  <c r="S319" i="25"/>
  <c r="AL72" i="25" s="1"/>
  <c r="AK72" i="25" s="1"/>
  <c r="S317" i="25"/>
  <c r="AL70" i="25" s="1"/>
  <c r="AK70" i="25" s="1"/>
  <c r="S323" i="25"/>
  <c r="AL76" i="25" s="1"/>
  <c r="AK76" i="25" s="1"/>
  <c r="S321" i="25"/>
  <c r="AL74" i="25" s="1"/>
  <c r="AK74" i="25" s="1"/>
  <c r="S322" i="25"/>
  <c r="AL75" i="25" s="1"/>
  <c r="AK75" i="25" s="1"/>
  <c r="S318" i="25"/>
  <c r="AL71" i="25" s="1"/>
  <c r="AK71" i="25" s="1"/>
  <c r="S316" i="25"/>
  <c r="AL69" i="25" s="1"/>
  <c r="AK69" i="25" s="1"/>
  <c r="S320" i="25"/>
  <c r="AL73" i="25" s="1"/>
  <c r="AK73" i="25" s="1"/>
  <c r="P334" i="25"/>
  <c r="AL92" i="25" s="1"/>
  <c r="AK92" i="25" s="1"/>
  <c r="P336" i="25"/>
  <c r="AL94" i="25" s="1"/>
  <c r="AK94" i="25" s="1"/>
  <c r="P335" i="25"/>
  <c r="AL93" i="25" s="1"/>
  <c r="AK93" i="25" s="1"/>
  <c r="R320" i="25"/>
  <c r="AL61" i="25" s="1"/>
  <c r="AK61" i="25" s="1"/>
  <c r="R315" i="25"/>
  <c r="AL56" i="25" s="1"/>
  <c r="AK56" i="25" s="1"/>
  <c r="R316" i="25"/>
  <c r="AL57" i="25" s="1"/>
  <c r="AK57" i="25" s="1"/>
  <c r="R318" i="25"/>
  <c r="AL59" i="25" s="1"/>
  <c r="AK59" i="25" s="1"/>
  <c r="R319" i="25"/>
  <c r="AL60" i="25" s="1"/>
  <c r="AK60" i="25" s="1"/>
  <c r="R317" i="25"/>
  <c r="AL58" i="25" s="1"/>
  <c r="AK58" i="25" s="1"/>
  <c r="Q321" i="25"/>
  <c r="AL50" i="25" s="1"/>
  <c r="AK50" i="25" s="1"/>
  <c r="Q320" i="25"/>
  <c r="AL49" i="25" s="1"/>
  <c r="AK49" i="25" s="1"/>
  <c r="Q322" i="25"/>
  <c r="AL51" i="25" s="1"/>
  <c r="AK51" i="25" s="1"/>
  <c r="Q324" i="25"/>
  <c r="AL53" i="25" s="1"/>
  <c r="AK53" i="25" s="1"/>
  <c r="Q319" i="25"/>
  <c r="AL48" i="25" s="1"/>
  <c r="AK48" i="25" s="1"/>
  <c r="Q323" i="25"/>
  <c r="AL52" i="25" s="1"/>
  <c r="AK52" i="25" s="1"/>
  <c r="Q316" i="25"/>
  <c r="AL45" i="25" s="1"/>
  <c r="AK45" i="25" s="1"/>
  <c r="Q318" i="25"/>
  <c r="AL47" i="25" s="1"/>
  <c r="AK47" i="25" s="1"/>
  <c r="Q317" i="25"/>
  <c r="AL46" i="25" s="1"/>
  <c r="AK46" i="25" s="1"/>
  <c r="Q322" i="23"/>
  <c r="AL51" i="23" s="1"/>
  <c r="AK51" i="23" s="1"/>
  <c r="Q321" i="23"/>
  <c r="AL50" i="23" s="1"/>
  <c r="AK50" i="23" s="1"/>
  <c r="Q324" i="23"/>
  <c r="AL53" i="23" s="1"/>
  <c r="AK53" i="23" s="1"/>
  <c r="Q320" i="23"/>
  <c r="AL49" i="23" s="1"/>
  <c r="AK49" i="23" s="1"/>
  <c r="Q318" i="23"/>
  <c r="AL47" i="23" s="1"/>
  <c r="AK47" i="23" s="1"/>
  <c r="Q316" i="23"/>
  <c r="AL45" i="23" s="1"/>
  <c r="AK45" i="23" s="1"/>
  <c r="Q319" i="23"/>
  <c r="AL48" i="23" s="1"/>
  <c r="AK48" i="23" s="1"/>
  <c r="Q317" i="23"/>
  <c r="AL46" i="23" s="1"/>
  <c r="AK46" i="23" s="1"/>
  <c r="Q323" i="23"/>
  <c r="AL52" i="23" s="1"/>
  <c r="AK52" i="23" s="1"/>
  <c r="P198" i="29"/>
  <c r="P337" i="23"/>
  <c r="AL95" i="23" s="1"/>
  <c r="AK95" i="23" s="1"/>
  <c r="P334" i="23"/>
  <c r="AL92" i="23" s="1"/>
  <c r="AK92" i="23" s="1"/>
  <c r="P336" i="23"/>
  <c r="AL94" i="23" s="1"/>
  <c r="AK94" i="23" s="1"/>
  <c r="P335" i="23"/>
  <c r="AL93" i="23" s="1"/>
  <c r="AK93" i="23" s="1"/>
  <c r="R315" i="23"/>
  <c r="AL56" i="23" s="1"/>
  <c r="AK56" i="23" s="1"/>
  <c r="R317" i="23"/>
  <c r="AL58" i="23" s="1"/>
  <c r="AK58" i="23" s="1"/>
  <c r="R316" i="23"/>
  <c r="AL57" i="23" s="1"/>
  <c r="AK57" i="23" s="1"/>
  <c r="R318" i="23"/>
  <c r="AL59" i="23" s="1"/>
  <c r="AK59" i="23" s="1"/>
  <c r="R319" i="23"/>
  <c r="AL60" i="23" s="1"/>
  <c r="AK60" i="23" s="1"/>
  <c r="T318" i="23"/>
  <c r="AL83" i="23" s="1"/>
  <c r="AK83" i="23" s="1"/>
  <c r="T319" i="23"/>
  <c r="AL84" i="23" s="1"/>
  <c r="AK84" i="23" s="1"/>
  <c r="T316" i="23"/>
  <c r="AL81" i="23" s="1"/>
  <c r="AK81" i="23" s="1"/>
  <c r="T317" i="23"/>
  <c r="AL82" i="23" s="1"/>
  <c r="AK82" i="23" s="1"/>
  <c r="T315" i="23"/>
  <c r="Q335" i="23"/>
  <c r="AL105" i="23" s="1"/>
  <c r="AK105" i="23" s="1"/>
  <c r="Q334" i="23"/>
  <c r="AL104" i="23" s="1"/>
  <c r="AK104" i="23" s="1"/>
  <c r="Q336" i="23"/>
  <c r="AL106" i="23" s="1"/>
  <c r="AK106" i="23" s="1"/>
  <c r="S320" i="23"/>
  <c r="AL73" i="23" s="1"/>
  <c r="AK73" i="23" s="1"/>
  <c r="S324" i="23"/>
  <c r="AL77" i="23" s="1"/>
  <c r="AK77" i="23" s="1"/>
  <c r="S321" i="23"/>
  <c r="AL74" i="23" s="1"/>
  <c r="AK74" i="23" s="1"/>
  <c r="S315" i="23"/>
  <c r="S323" i="23"/>
  <c r="AL76" i="23" s="1"/>
  <c r="AK76" i="23" s="1"/>
  <c r="S322" i="23"/>
  <c r="AL75" i="23" s="1"/>
  <c r="AK75" i="23" s="1"/>
  <c r="S319" i="23"/>
  <c r="AL72" i="23" s="1"/>
  <c r="AK72" i="23" s="1"/>
  <c r="S317" i="23"/>
  <c r="AL70" i="23" s="1"/>
  <c r="AK70" i="23" s="1"/>
  <c r="S318" i="23"/>
  <c r="AL71" i="23" s="1"/>
  <c r="AK71" i="23" s="1"/>
  <c r="S316" i="23"/>
  <c r="AL69" i="23" s="1"/>
  <c r="AK69" i="23" s="1"/>
  <c r="Q315" i="27"/>
  <c r="AL44" i="27" s="1"/>
  <c r="AK44" i="27" s="1"/>
  <c r="R320" i="2"/>
  <c r="AL61" i="2" s="1"/>
  <c r="AK61" i="2" s="1"/>
  <c r="S133" i="24"/>
  <c r="R133" i="28"/>
  <c r="R133" i="24"/>
  <c r="T133" i="24"/>
  <c r="Q133" i="24"/>
  <c r="R318" i="22"/>
  <c r="AL59" i="22" s="1"/>
  <c r="AK59" i="22" s="1"/>
  <c r="R317" i="22"/>
  <c r="AL58" i="22" s="1"/>
  <c r="AK58" i="22" s="1"/>
  <c r="R319" i="22"/>
  <c r="AL60" i="22" s="1"/>
  <c r="AK60" i="22" s="1"/>
  <c r="R320" i="22"/>
  <c r="AL61" i="22" s="1"/>
  <c r="AK61" i="22" s="1"/>
  <c r="R315" i="22"/>
  <c r="AL56" i="22" s="1"/>
  <c r="AK56" i="22" s="1"/>
  <c r="R316" i="22"/>
  <c r="AL57" i="22" s="1"/>
  <c r="AK57" i="22" s="1"/>
  <c r="T317" i="22"/>
  <c r="AL82" i="22" s="1"/>
  <c r="AK82" i="22" s="1"/>
  <c r="T315" i="22"/>
  <c r="T316" i="22"/>
  <c r="AL81" i="22" s="1"/>
  <c r="AK81" i="22" s="1"/>
  <c r="S322" i="22"/>
  <c r="AL75" i="22" s="1"/>
  <c r="AK75" i="22" s="1"/>
  <c r="S319" i="22"/>
  <c r="AL72" i="22" s="1"/>
  <c r="AK72" i="22" s="1"/>
  <c r="S318" i="22"/>
  <c r="AL71" i="22" s="1"/>
  <c r="AK71" i="22" s="1"/>
  <c r="S323" i="22"/>
  <c r="AL76" i="22" s="1"/>
  <c r="AK76" i="22" s="1"/>
  <c r="S317" i="22"/>
  <c r="AL70" i="22" s="1"/>
  <c r="AK70" i="22" s="1"/>
  <c r="S320" i="22"/>
  <c r="AL73" i="22" s="1"/>
  <c r="AK73" i="22" s="1"/>
  <c r="S321" i="22"/>
  <c r="AL74" i="22" s="1"/>
  <c r="AK74" i="22" s="1"/>
  <c r="S316" i="22"/>
  <c r="AL69" i="22" s="1"/>
  <c r="AK69" i="22" s="1"/>
  <c r="S315" i="22"/>
  <c r="P337" i="22"/>
  <c r="AL95" i="22" s="1"/>
  <c r="AK95" i="22" s="1"/>
  <c r="P336" i="22"/>
  <c r="AL94" i="22" s="1"/>
  <c r="AK94" i="22" s="1"/>
  <c r="P335" i="22"/>
  <c r="AL93" i="22" s="1"/>
  <c r="AK93" i="22" s="1"/>
  <c r="P334" i="22"/>
  <c r="AL92" i="22" s="1"/>
  <c r="AK92" i="22" s="1"/>
  <c r="Q321" i="22"/>
  <c r="AL50" i="22" s="1"/>
  <c r="AK50" i="22" s="1"/>
  <c r="Q323" i="22"/>
  <c r="AL52" i="22" s="1"/>
  <c r="AK52" i="22" s="1"/>
  <c r="Q324" i="22"/>
  <c r="AL53" i="22" s="1"/>
  <c r="AK53" i="22" s="1"/>
  <c r="Q317" i="22"/>
  <c r="AL46" i="22" s="1"/>
  <c r="AK46" i="22" s="1"/>
  <c r="Q318" i="22"/>
  <c r="AL47" i="22" s="1"/>
  <c r="AK47" i="22" s="1"/>
  <c r="Q319" i="22"/>
  <c r="AL48" i="22" s="1"/>
  <c r="AK48" i="22" s="1"/>
  <c r="Q316" i="22"/>
  <c r="AL45" i="22" s="1"/>
  <c r="AK45" i="22" s="1"/>
  <c r="Q320" i="22"/>
  <c r="AL49" i="22" s="1"/>
  <c r="AK49" i="22" s="1"/>
  <c r="Q322" i="22"/>
  <c r="AL51" i="22" s="1"/>
  <c r="AK51" i="22" s="1"/>
  <c r="P120" i="25"/>
  <c r="Q337" i="21"/>
  <c r="AL107" i="21" s="1"/>
  <c r="AK107" i="21" s="1"/>
  <c r="Q339" i="21"/>
  <c r="AL109" i="21" s="1"/>
  <c r="AK109" i="21" s="1"/>
  <c r="Q338" i="21"/>
  <c r="AL108" i="21" s="1"/>
  <c r="AK108" i="21" s="1"/>
  <c r="Q335" i="21"/>
  <c r="AL105" i="21" s="1"/>
  <c r="AK105" i="21" s="1"/>
  <c r="Q334" i="21"/>
  <c r="AL104" i="21" s="1"/>
  <c r="AK104" i="21" s="1"/>
  <c r="Q336" i="21"/>
  <c r="AL106" i="21" s="1"/>
  <c r="AK106" i="21" s="1"/>
  <c r="T335" i="21"/>
  <c r="AL141" i="21" s="1"/>
  <c r="AK141" i="21" s="1"/>
  <c r="T334" i="21"/>
  <c r="AL140" i="21" s="1"/>
  <c r="AK140" i="21" s="1"/>
  <c r="P113" i="22"/>
  <c r="S323" i="21"/>
  <c r="AL76" i="21" s="1"/>
  <c r="AK76" i="21" s="1"/>
  <c r="S318" i="21"/>
  <c r="AL71" i="21" s="1"/>
  <c r="AK71" i="21" s="1"/>
  <c r="S320" i="21"/>
  <c r="AL73" i="21" s="1"/>
  <c r="AK73" i="21" s="1"/>
  <c r="S319" i="21"/>
  <c r="AL72" i="21" s="1"/>
  <c r="AK72" i="21" s="1"/>
  <c r="S321" i="21"/>
  <c r="AL74" i="21" s="1"/>
  <c r="AK74" i="21" s="1"/>
  <c r="S316" i="21"/>
  <c r="AL69" i="21" s="1"/>
  <c r="AK69" i="21" s="1"/>
  <c r="S315" i="21"/>
  <c r="S317" i="21"/>
  <c r="AL70" i="21" s="1"/>
  <c r="AK70" i="21" s="1"/>
  <c r="S322" i="21"/>
  <c r="AL75" i="21" s="1"/>
  <c r="AK75" i="21" s="1"/>
  <c r="S324" i="21"/>
  <c r="AL77" i="21" s="1"/>
  <c r="AK77" i="21" s="1"/>
  <c r="P338" i="21"/>
  <c r="AL96" i="21" s="1"/>
  <c r="AK96" i="21" s="1"/>
  <c r="P337" i="21"/>
  <c r="AL95" i="21" s="1"/>
  <c r="AK95" i="21" s="1"/>
  <c r="P334" i="21"/>
  <c r="AL92" i="21" s="1"/>
  <c r="AK92" i="21" s="1"/>
  <c r="P336" i="21"/>
  <c r="AL94" i="21" s="1"/>
  <c r="AK94" i="21" s="1"/>
  <c r="P335" i="21"/>
  <c r="AL93" i="21" s="1"/>
  <c r="AK93" i="21" s="1"/>
  <c r="R337" i="21"/>
  <c r="AL119" i="21" s="1"/>
  <c r="AK119" i="21" s="1"/>
  <c r="R334" i="21"/>
  <c r="AL116" i="21" s="1"/>
  <c r="AK116" i="21" s="1"/>
  <c r="R335" i="21"/>
  <c r="AL117" i="21" s="1"/>
  <c r="AK117" i="21" s="1"/>
  <c r="R338" i="21"/>
  <c r="AL120" i="21" s="1"/>
  <c r="AK120" i="21" s="1"/>
  <c r="R336" i="21"/>
  <c r="AL118" i="21" s="1"/>
  <c r="AK118" i="21" s="1"/>
  <c r="T133" i="29"/>
  <c r="T133" i="28"/>
  <c r="R316" i="21"/>
  <c r="AL57" i="21" s="1"/>
  <c r="AK57" i="21" s="1"/>
  <c r="R318" i="21"/>
  <c r="AL59" i="21" s="1"/>
  <c r="AK59" i="21" s="1"/>
  <c r="R319" i="21"/>
  <c r="AL60" i="21" s="1"/>
  <c r="AK60" i="21" s="1"/>
  <c r="R315" i="21"/>
  <c r="AL56" i="21" s="1"/>
  <c r="AK56" i="21" s="1"/>
  <c r="R317" i="21"/>
  <c r="AL58" i="21" s="1"/>
  <c r="AK58" i="21" s="1"/>
  <c r="T320" i="29"/>
  <c r="AL85" i="29" s="1"/>
  <c r="AK85" i="29" s="1"/>
  <c r="T317" i="21"/>
  <c r="AL82" i="21" s="1"/>
  <c r="AK82" i="21" s="1"/>
  <c r="T318" i="21"/>
  <c r="AL83" i="21" s="1"/>
  <c r="AK83" i="21" s="1"/>
  <c r="T319" i="21"/>
  <c r="AL84" i="21" s="1"/>
  <c r="AK84" i="21" s="1"/>
  <c r="T315" i="21"/>
  <c r="T316" i="21"/>
  <c r="AL81" i="21" s="1"/>
  <c r="AK81" i="21" s="1"/>
  <c r="Q317" i="21"/>
  <c r="AL46" i="21" s="1"/>
  <c r="AK46" i="21" s="1"/>
  <c r="Q323" i="21"/>
  <c r="AL52" i="21" s="1"/>
  <c r="AK52" i="21" s="1"/>
  <c r="Q316" i="21"/>
  <c r="AL45" i="21" s="1"/>
  <c r="AK45" i="21" s="1"/>
  <c r="Q322" i="21"/>
  <c r="AL51" i="21" s="1"/>
  <c r="AK51" i="21" s="1"/>
  <c r="Q319" i="21"/>
  <c r="AL48" i="21" s="1"/>
  <c r="AK48" i="21" s="1"/>
  <c r="Q321" i="21"/>
  <c r="AL50" i="21" s="1"/>
  <c r="AK50" i="21" s="1"/>
  <c r="Q320" i="21"/>
  <c r="AL49" i="21" s="1"/>
  <c r="AK49" i="21" s="1"/>
  <c r="Q324" i="21"/>
  <c r="AL53" i="21" s="1"/>
  <c r="AK53" i="21" s="1"/>
  <c r="Q318" i="21"/>
  <c r="AL47" i="21" s="1"/>
  <c r="AK47" i="21" s="1"/>
  <c r="S133" i="28"/>
  <c r="S335" i="21"/>
  <c r="AL129" i="21" s="1"/>
  <c r="AK129" i="21" s="1"/>
  <c r="S334" i="21"/>
  <c r="AL128" i="21" s="1"/>
  <c r="AK128" i="21" s="1"/>
  <c r="Q335" i="26"/>
  <c r="AL105" i="26" s="1"/>
  <c r="AK105" i="26" s="1"/>
  <c r="Q334" i="26"/>
  <c r="AL104" i="26" s="1"/>
  <c r="AK104" i="26" s="1"/>
  <c r="S324" i="26"/>
  <c r="AL77" i="26" s="1"/>
  <c r="AK77" i="26" s="1"/>
  <c r="P146" i="23"/>
  <c r="P120" i="23"/>
  <c r="P339" i="26"/>
  <c r="AL97" i="26" s="1"/>
  <c r="AK97" i="26" s="1"/>
  <c r="P338" i="26"/>
  <c r="AL96" i="26" s="1"/>
  <c r="AK96" i="26" s="1"/>
  <c r="P337" i="26"/>
  <c r="AL95" i="26" s="1"/>
  <c r="AK95" i="26" s="1"/>
  <c r="P113" i="24"/>
  <c r="P113" i="23"/>
  <c r="P198" i="24"/>
  <c r="P320" i="24" s="1"/>
  <c r="Q315" i="29"/>
  <c r="AL44" i="29" s="1"/>
  <c r="AK44" i="29" s="1"/>
  <c r="P146" i="24"/>
  <c r="P120" i="28"/>
  <c r="P198" i="26"/>
  <c r="P320" i="26" s="1"/>
  <c r="Q133" i="25"/>
  <c r="Q133" i="28"/>
  <c r="P146" i="25"/>
  <c r="P146" i="26"/>
  <c r="R133" i="29"/>
  <c r="R133" i="25"/>
  <c r="S133" i="29"/>
  <c r="S133" i="25"/>
  <c r="R320" i="26"/>
  <c r="AL61" i="26" s="1"/>
  <c r="AK61" i="26" s="1"/>
  <c r="R315" i="26"/>
  <c r="AL56" i="26" s="1"/>
  <c r="AK56" i="26" s="1"/>
  <c r="R317" i="26"/>
  <c r="AL58" i="26" s="1"/>
  <c r="AK58" i="26" s="1"/>
  <c r="R316" i="26"/>
  <c r="AL57" i="26" s="1"/>
  <c r="AK57" i="26" s="1"/>
  <c r="R318" i="26"/>
  <c r="AL59" i="26" s="1"/>
  <c r="AK59" i="26" s="1"/>
  <c r="R319" i="26"/>
  <c r="AL60" i="26" s="1"/>
  <c r="AK60" i="26" s="1"/>
  <c r="P335" i="26"/>
  <c r="AL93" i="26" s="1"/>
  <c r="AK93" i="26" s="1"/>
  <c r="P334" i="26"/>
  <c r="AL92" i="26" s="1"/>
  <c r="AK92" i="26" s="1"/>
  <c r="P336" i="26"/>
  <c r="AL94" i="26" s="1"/>
  <c r="AK94" i="26" s="1"/>
  <c r="T316" i="26"/>
  <c r="AL81" i="26" s="1"/>
  <c r="AK81" i="26" s="1"/>
  <c r="T317" i="26"/>
  <c r="AL82" i="26" s="1"/>
  <c r="AK82" i="26" s="1"/>
  <c r="T315" i="26"/>
  <c r="T318" i="26"/>
  <c r="AL83" i="26" s="1"/>
  <c r="AK83" i="26" s="1"/>
  <c r="T319" i="26"/>
  <c r="AL84" i="26" s="1"/>
  <c r="AK84" i="26" s="1"/>
  <c r="S322" i="26"/>
  <c r="AL75" i="26" s="1"/>
  <c r="AK75" i="26" s="1"/>
  <c r="S316" i="26"/>
  <c r="AL69" i="26" s="1"/>
  <c r="AK69" i="26" s="1"/>
  <c r="S315" i="26"/>
  <c r="S319" i="26"/>
  <c r="AL72" i="26" s="1"/>
  <c r="AK72" i="26" s="1"/>
  <c r="S317" i="26"/>
  <c r="AL70" i="26" s="1"/>
  <c r="AK70" i="26" s="1"/>
  <c r="S323" i="26"/>
  <c r="AL76" i="26" s="1"/>
  <c r="AK76" i="26" s="1"/>
  <c r="S321" i="26"/>
  <c r="AL74" i="26" s="1"/>
  <c r="AK74" i="26" s="1"/>
  <c r="S318" i="26"/>
  <c r="AL71" i="26" s="1"/>
  <c r="AK71" i="26" s="1"/>
  <c r="S320" i="26"/>
  <c r="AL73" i="26" s="1"/>
  <c r="AK73" i="26" s="1"/>
  <c r="Q322" i="26"/>
  <c r="AL51" i="26" s="1"/>
  <c r="AK51" i="26" s="1"/>
  <c r="Q316" i="26"/>
  <c r="AL45" i="26" s="1"/>
  <c r="AK45" i="26" s="1"/>
  <c r="Q321" i="26"/>
  <c r="AL50" i="26" s="1"/>
  <c r="AK50" i="26" s="1"/>
  <c r="Q318" i="26"/>
  <c r="AL47" i="26" s="1"/>
  <c r="AK47" i="26" s="1"/>
  <c r="Q323" i="26"/>
  <c r="AL52" i="26" s="1"/>
  <c r="AK52" i="26" s="1"/>
  <c r="Q319" i="26"/>
  <c r="AL48" i="26" s="1"/>
  <c r="AK48" i="26" s="1"/>
  <c r="Q317" i="26"/>
  <c r="AL46" i="26" s="1"/>
  <c r="AK46" i="26" s="1"/>
  <c r="Q324" i="26"/>
  <c r="AL53" i="26" s="1"/>
  <c r="AK53" i="26" s="1"/>
  <c r="Q320" i="26"/>
  <c r="AL49" i="26" s="1"/>
  <c r="AK49" i="26" s="1"/>
  <c r="P120" i="26"/>
  <c r="P146" i="29"/>
  <c r="P198" i="25"/>
  <c r="P198" i="27"/>
  <c r="Q133" i="29"/>
  <c r="P113" i="29"/>
  <c r="Q316" i="27"/>
  <c r="AL45" i="27" s="1"/>
  <c r="AK45" i="27" s="1"/>
  <c r="Q321" i="27"/>
  <c r="AL50" i="27" s="1"/>
  <c r="AK50" i="27" s="1"/>
  <c r="Q319" i="27"/>
  <c r="AL48" i="27" s="1"/>
  <c r="AK48" i="27" s="1"/>
  <c r="Q324" i="27"/>
  <c r="AL53" i="27" s="1"/>
  <c r="AK53" i="27" s="1"/>
  <c r="Q318" i="27"/>
  <c r="AL47" i="27" s="1"/>
  <c r="AK47" i="27" s="1"/>
  <c r="Q323" i="27"/>
  <c r="AL52" i="27" s="1"/>
  <c r="AK52" i="27" s="1"/>
  <c r="Q317" i="27"/>
  <c r="AL46" i="27" s="1"/>
  <c r="AK46" i="27" s="1"/>
  <c r="Q322" i="27"/>
  <c r="AL51" i="27" s="1"/>
  <c r="AK51" i="27" s="1"/>
  <c r="Q320" i="27"/>
  <c r="AL49" i="27" s="1"/>
  <c r="AK49" i="27" s="1"/>
  <c r="S334" i="27"/>
  <c r="AL128" i="27" s="1"/>
  <c r="AK128" i="27" s="1"/>
  <c r="S335" i="27"/>
  <c r="AL129" i="27" s="1"/>
  <c r="AK129" i="27" s="1"/>
  <c r="S336" i="27"/>
  <c r="AL130" i="27" s="1"/>
  <c r="AK130" i="27" s="1"/>
  <c r="P339" i="27"/>
  <c r="AL97" i="27" s="1"/>
  <c r="AK97" i="27" s="1"/>
  <c r="P334" i="27"/>
  <c r="AL92" i="27" s="1"/>
  <c r="AK92" i="27" s="1"/>
  <c r="P336" i="27"/>
  <c r="AL94" i="27" s="1"/>
  <c r="AK94" i="27" s="1"/>
  <c r="P338" i="27"/>
  <c r="AL96" i="27" s="1"/>
  <c r="AK96" i="27" s="1"/>
  <c r="P335" i="27"/>
  <c r="AL93" i="27" s="1"/>
  <c r="AK93" i="27" s="1"/>
  <c r="P337" i="27"/>
  <c r="AL95" i="27" s="1"/>
  <c r="AK95" i="27" s="1"/>
  <c r="R335" i="27"/>
  <c r="AL117" i="27" s="1"/>
  <c r="AK117" i="27" s="1"/>
  <c r="R336" i="27"/>
  <c r="AL118" i="27" s="1"/>
  <c r="AK118" i="27" s="1"/>
  <c r="R337" i="27"/>
  <c r="AL119" i="27" s="1"/>
  <c r="AK119" i="27" s="1"/>
  <c r="R334" i="27"/>
  <c r="AL116" i="27" s="1"/>
  <c r="AK116" i="27" s="1"/>
  <c r="R316" i="27"/>
  <c r="AL57" i="27" s="1"/>
  <c r="AK57" i="27" s="1"/>
  <c r="R320" i="27"/>
  <c r="AL61" i="27" s="1"/>
  <c r="AK61" i="27" s="1"/>
  <c r="R315" i="27"/>
  <c r="AL56" i="27" s="1"/>
  <c r="AK56" i="27" s="1"/>
  <c r="R318" i="27"/>
  <c r="AL59" i="27" s="1"/>
  <c r="AK59" i="27" s="1"/>
  <c r="R319" i="27"/>
  <c r="AL60" i="27" s="1"/>
  <c r="AK60" i="27" s="1"/>
  <c r="R317" i="27"/>
  <c r="AL58" i="27" s="1"/>
  <c r="AK58" i="27" s="1"/>
  <c r="T320" i="2"/>
  <c r="AL85" i="2" s="1"/>
  <c r="AK85" i="2" s="1"/>
  <c r="T316" i="27"/>
  <c r="AL81" i="27" s="1"/>
  <c r="AK81" i="27" s="1"/>
  <c r="T318" i="27"/>
  <c r="AL83" i="27" s="1"/>
  <c r="AK83" i="27" s="1"/>
  <c r="T319" i="27"/>
  <c r="AL84" i="27" s="1"/>
  <c r="AK84" i="27" s="1"/>
  <c r="T317" i="27"/>
  <c r="AL82" i="27" s="1"/>
  <c r="AK82" i="27" s="1"/>
  <c r="T315" i="27"/>
  <c r="T320" i="27"/>
  <c r="AL85" i="27" s="1"/>
  <c r="AK85" i="27" s="1"/>
  <c r="Q339" i="2"/>
  <c r="AL109" i="2" s="1"/>
  <c r="AK109" i="2" s="1"/>
  <c r="Q337" i="27"/>
  <c r="AL107" i="27" s="1"/>
  <c r="AK107" i="27" s="1"/>
  <c r="Q338" i="27"/>
  <c r="AL108" i="27" s="1"/>
  <c r="AK108" i="27" s="1"/>
  <c r="Q335" i="27"/>
  <c r="AL105" i="27" s="1"/>
  <c r="AK105" i="27" s="1"/>
  <c r="Q334" i="27"/>
  <c r="AL104" i="27" s="1"/>
  <c r="AK104" i="27" s="1"/>
  <c r="Q336" i="27"/>
  <c r="AL106" i="27" s="1"/>
  <c r="AK106" i="27" s="1"/>
  <c r="T334" i="27"/>
  <c r="AL140" i="27" s="1"/>
  <c r="AK140" i="27" s="1"/>
  <c r="T336" i="27"/>
  <c r="AL142" i="27" s="1"/>
  <c r="AK142" i="27" s="1"/>
  <c r="T335" i="27"/>
  <c r="AL141" i="27" s="1"/>
  <c r="AK141" i="27" s="1"/>
  <c r="T337" i="27"/>
  <c r="AL143" i="27" s="1"/>
  <c r="AK143" i="27" s="1"/>
  <c r="P113" i="28"/>
  <c r="S320" i="27"/>
  <c r="AL73" i="27" s="1"/>
  <c r="AK73" i="27" s="1"/>
  <c r="S322" i="27"/>
  <c r="AL75" i="27" s="1"/>
  <c r="AK75" i="27" s="1"/>
  <c r="S319" i="27"/>
  <c r="AL72" i="27" s="1"/>
  <c r="AK72" i="27" s="1"/>
  <c r="S324" i="27"/>
  <c r="AL77" i="27" s="1"/>
  <c r="AK77" i="27" s="1"/>
  <c r="S323" i="27"/>
  <c r="AL76" i="27" s="1"/>
  <c r="AK76" i="27" s="1"/>
  <c r="S321" i="27"/>
  <c r="AL74" i="27" s="1"/>
  <c r="AK74" i="27" s="1"/>
  <c r="S315" i="27"/>
  <c r="S318" i="27"/>
  <c r="AL71" i="27" s="1"/>
  <c r="AK71" i="27" s="1"/>
  <c r="S316" i="27"/>
  <c r="AL69" i="27" s="1"/>
  <c r="AK69" i="27" s="1"/>
  <c r="S317" i="27"/>
  <c r="AL70" i="27" s="1"/>
  <c r="AK70" i="27" s="1"/>
  <c r="P198" i="2"/>
  <c r="P320" i="2" s="1"/>
  <c r="P120" i="29"/>
  <c r="P120" i="2"/>
  <c r="R320" i="29"/>
  <c r="AL61" i="29" s="1"/>
  <c r="AK61" i="29" s="1"/>
  <c r="T316" i="29"/>
  <c r="AL81" i="29" s="1"/>
  <c r="AK81" i="29" s="1"/>
  <c r="T317" i="29"/>
  <c r="AL82" i="29" s="1"/>
  <c r="AK82" i="29" s="1"/>
  <c r="T315" i="29"/>
  <c r="T318" i="29"/>
  <c r="AL83" i="29" s="1"/>
  <c r="AK83" i="29" s="1"/>
  <c r="T319" i="29"/>
  <c r="AL84" i="29" s="1"/>
  <c r="AK84" i="29" s="1"/>
  <c r="Q334" i="29"/>
  <c r="AL104" i="29" s="1"/>
  <c r="AK104" i="29" s="1"/>
  <c r="Q336" i="29"/>
  <c r="AL106" i="29" s="1"/>
  <c r="AK106" i="29" s="1"/>
  <c r="Q337" i="29"/>
  <c r="AL107" i="29" s="1"/>
  <c r="AK107" i="29" s="1"/>
  <c r="Q335" i="29"/>
  <c r="AL105" i="29" s="1"/>
  <c r="AK105" i="29" s="1"/>
  <c r="S323" i="29"/>
  <c r="AL76" i="29" s="1"/>
  <c r="AK76" i="29" s="1"/>
  <c r="S321" i="29"/>
  <c r="AL74" i="29" s="1"/>
  <c r="AK74" i="29" s="1"/>
  <c r="S322" i="29"/>
  <c r="AL75" i="29" s="1"/>
  <c r="AK75" i="29" s="1"/>
  <c r="S318" i="29"/>
  <c r="AL71" i="29" s="1"/>
  <c r="AK71" i="29" s="1"/>
  <c r="S316" i="29"/>
  <c r="AL69" i="29" s="1"/>
  <c r="AK69" i="29" s="1"/>
  <c r="S324" i="29"/>
  <c r="AL77" i="29" s="1"/>
  <c r="AK77" i="29" s="1"/>
  <c r="S320" i="29"/>
  <c r="AL73" i="29" s="1"/>
  <c r="AK73" i="29" s="1"/>
  <c r="S315" i="29"/>
  <c r="S319" i="29"/>
  <c r="AL72" i="29" s="1"/>
  <c r="AK72" i="29" s="1"/>
  <c r="S317" i="29"/>
  <c r="AL70" i="29" s="1"/>
  <c r="AK70" i="29" s="1"/>
  <c r="Q316" i="29"/>
  <c r="AL45" i="29" s="1"/>
  <c r="AK45" i="29" s="1"/>
  <c r="Q324" i="29"/>
  <c r="AL53" i="29" s="1"/>
  <c r="AK53" i="29" s="1"/>
  <c r="Q320" i="29"/>
  <c r="AL49" i="29" s="1"/>
  <c r="AK49" i="29" s="1"/>
  <c r="Q323" i="29"/>
  <c r="AL52" i="29" s="1"/>
  <c r="AK52" i="29" s="1"/>
  <c r="Q319" i="29"/>
  <c r="AL48" i="29" s="1"/>
  <c r="AK48" i="29" s="1"/>
  <c r="Q317" i="29"/>
  <c r="AL46" i="29" s="1"/>
  <c r="AK46" i="29" s="1"/>
  <c r="Q321" i="29"/>
  <c r="AL50" i="29" s="1"/>
  <c r="AK50" i="29" s="1"/>
  <c r="Q318" i="29"/>
  <c r="AL47" i="29" s="1"/>
  <c r="AK47" i="29" s="1"/>
  <c r="Q322" i="29"/>
  <c r="AL51" i="29" s="1"/>
  <c r="AK51" i="29" s="1"/>
  <c r="S334" i="29"/>
  <c r="AL128" i="29" s="1"/>
  <c r="AK128" i="29" s="1"/>
  <c r="S335" i="29"/>
  <c r="AL129" i="29" s="1"/>
  <c r="AK129" i="29" s="1"/>
  <c r="P338" i="29"/>
  <c r="AL96" i="29" s="1"/>
  <c r="AK96" i="29" s="1"/>
  <c r="P336" i="29"/>
  <c r="AL94" i="29" s="1"/>
  <c r="AK94" i="29" s="1"/>
  <c r="P339" i="29"/>
  <c r="AL97" i="29" s="1"/>
  <c r="AK97" i="29" s="1"/>
  <c r="P334" i="29"/>
  <c r="AL92" i="29" s="1"/>
  <c r="AK92" i="29" s="1"/>
  <c r="P335" i="29"/>
  <c r="AL93" i="29" s="1"/>
  <c r="AK93" i="29" s="1"/>
  <c r="P337" i="29"/>
  <c r="AL95" i="29" s="1"/>
  <c r="AK95" i="29" s="1"/>
  <c r="R335" i="29"/>
  <c r="AL117" i="29" s="1"/>
  <c r="AK117" i="29" s="1"/>
  <c r="R336" i="29"/>
  <c r="AL118" i="29" s="1"/>
  <c r="AK118" i="29" s="1"/>
  <c r="R337" i="29"/>
  <c r="AL119" i="29" s="1"/>
  <c r="AK119" i="29" s="1"/>
  <c r="R334" i="29"/>
  <c r="AL116" i="29" s="1"/>
  <c r="AK116" i="29" s="1"/>
  <c r="R316" i="29"/>
  <c r="AL57" i="29" s="1"/>
  <c r="AK57" i="29" s="1"/>
  <c r="R318" i="29"/>
  <c r="AL59" i="29" s="1"/>
  <c r="AK59" i="29" s="1"/>
  <c r="R319" i="29"/>
  <c r="AL60" i="29" s="1"/>
  <c r="AK60" i="29" s="1"/>
  <c r="R315" i="29"/>
  <c r="AL56" i="29" s="1"/>
  <c r="AK56" i="29" s="1"/>
  <c r="R317" i="29"/>
  <c r="AL58" i="29" s="1"/>
  <c r="AK58" i="29" s="1"/>
  <c r="Q323" i="2"/>
  <c r="AL52" i="2" s="1"/>
  <c r="AK52" i="2" s="1"/>
  <c r="Q324" i="2"/>
  <c r="AL53" i="2" s="1"/>
  <c r="AK53" i="2" s="1"/>
  <c r="Q320" i="2"/>
  <c r="AL49" i="2" s="1"/>
  <c r="AK49" i="2" s="1"/>
  <c r="Q316" i="2"/>
  <c r="AL45" i="2" s="1"/>
  <c r="AK45" i="2" s="1"/>
  <c r="Q318" i="2"/>
  <c r="AL47" i="2" s="1"/>
  <c r="AK47" i="2" s="1"/>
  <c r="Q319" i="2"/>
  <c r="AL48" i="2" s="1"/>
  <c r="AK48" i="2" s="1"/>
  <c r="Q322" i="2"/>
  <c r="AL51" i="2" s="1"/>
  <c r="AK51" i="2" s="1"/>
  <c r="Q321" i="2"/>
  <c r="AL50" i="2" s="1"/>
  <c r="AK50" i="2" s="1"/>
  <c r="Q317" i="2"/>
  <c r="AL46" i="2" s="1"/>
  <c r="AK46" i="2" s="1"/>
  <c r="S335" i="2"/>
  <c r="AL129" i="2" s="1"/>
  <c r="AK129" i="2" s="1"/>
  <c r="S334" i="2"/>
  <c r="AL128" i="2" s="1"/>
  <c r="AK128" i="2" s="1"/>
  <c r="P338" i="2"/>
  <c r="AL96" i="2" s="1"/>
  <c r="AK96" i="2" s="1"/>
  <c r="P339" i="2"/>
  <c r="AL97" i="2" s="1"/>
  <c r="AK97" i="2" s="1"/>
  <c r="P334" i="2"/>
  <c r="AL92" i="2" s="1"/>
  <c r="AK92" i="2" s="1"/>
  <c r="P336" i="2"/>
  <c r="AL94" i="2" s="1"/>
  <c r="AK94" i="2" s="1"/>
  <c r="P335" i="2"/>
  <c r="AL93" i="2" s="1"/>
  <c r="AK93" i="2" s="1"/>
  <c r="P337" i="2"/>
  <c r="AL95" i="2" s="1"/>
  <c r="AK95" i="2" s="1"/>
  <c r="R335" i="2"/>
  <c r="AL117" i="2" s="1"/>
  <c r="AK117" i="2" s="1"/>
  <c r="R334" i="2"/>
  <c r="AL116" i="2" s="1"/>
  <c r="AK116" i="2" s="1"/>
  <c r="R336" i="2"/>
  <c r="AL118" i="2" s="1"/>
  <c r="AK118" i="2" s="1"/>
  <c r="R317" i="2"/>
  <c r="AL58" i="2" s="1"/>
  <c r="AK58" i="2" s="1"/>
  <c r="R319" i="2"/>
  <c r="AL60" i="2" s="1"/>
  <c r="AK60" i="2" s="1"/>
  <c r="R316" i="2"/>
  <c r="AL57" i="2" s="1"/>
  <c r="AK57" i="2" s="1"/>
  <c r="R315" i="2"/>
  <c r="AL56" i="2" s="1"/>
  <c r="AK56" i="2" s="1"/>
  <c r="R318" i="2"/>
  <c r="AL59" i="2" s="1"/>
  <c r="AK59" i="2" s="1"/>
  <c r="T318" i="2"/>
  <c r="AL83" i="2" s="1"/>
  <c r="AK83" i="2" s="1"/>
  <c r="T319" i="2"/>
  <c r="AL84" i="2" s="1"/>
  <c r="AK84" i="2" s="1"/>
  <c r="T317" i="2"/>
  <c r="AL82" i="2" s="1"/>
  <c r="AK82" i="2" s="1"/>
  <c r="T316" i="2"/>
  <c r="AL81" i="2" s="1"/>
  <c r="AK81" i="2" s="1"/>
  <c r="T315" i="2"/>
  <c r="Q335" i="2"/>
  <c r="AL105" i="2" s="1"/>
  <c r="AK105" i="2" s="1"/>
  <c r="Q337" i="2"/>
  <c r="AL107" i="2" s="1"/>
  <c r="AK107" i="2" s="1"/>
  <c r="Q336" i="2"/>
  <c r="AL106" i="2" s="1"/>
  <c r="AK106" i="2" s="1"/>
  <c r="Q338" i="2"/>
  <c r="AL108" i="2" s="1"/>
  <c r="AK108" i="2" s="1"/>
  <c r="Q334" i="2"/>
  <c r="AL104" i="2" s="1"/>
  <c r="AK104" i="2" s="1"/>
  <c r="T337" i="2"/>
  <c r="AL143" i="2" s="1"/>
  <c r="AK143" i="2" s="1"/>
  <c r="T334" i="2"/>
  <c r="AL140" i="2" s="1"/>
  <c r="AK140" i="2" s="1"/>
  <c r="T335" i="2"/>
  <c r="AL141" i="2" s="1"/>
  <c r="AK141" i="2" s="1"/>
  <c r="T336" i="2"/>
  <c r="AL142" i="2" s="1"/>
  <c r="AK142" i="2" s="1"/>
  <c r="AJ142" i="2" s="1"/>
  <c r="S322" i="2"/>
  <c r="AL75" i="2" s="1"/>
  <c r="AK75" i="2" s="1"/>
  <c r="S323" i="2"/>
  <c r="AL76" i="2" s="1"/>
  <c r="AK76" i="2" s="1"/>
  <c r="S319" i="2"/>
  <c r="AL72" i="2" s="1"/>
  <c r="AK72" i="2" s="1"/>
  <c r="S315" i="2"/>
  <c r="S317" i="2"/>
  <c r="AL70" i="2" s="1"/>
  <c r="AK70" i="2" s="1"/>
  <c r="S316" i="2"/>
  <c r="AL69" i="2" s="1"/>
  <c r="AK69" i="2" s="1"/>
  <c r="S318" i="2"/>
  <c r="AL71" i="2" s="1"/>
  <c r="AK71" i="2" s="1"/>
  <c r="S321" i="2"/>
  <c r="AL74" i="2" s="1"/>
  <c r="AK74" i="2" s="1"/>
  <c r="S324" i="2"/>
  <c r="AL77" i="2" s="1"/>
  <c r="AK77" i="2" s="1"/>
  <c r="S320" i="2"/>
  <c r="AL73" i="2" s="1"/>
  <c r="AK73" i="2" s="1"/>
  <c r="T195" i="30"/>
  <c r="P113" i="2"/>
  <c r="R196" i="30"/>
  <c r="Q339" i="30"/>
  <c r="AL109" i="30" s="1"/>
  <c r="AK109" i="30" s="1"/>
  <c r="S324" i="30"/>
  <c r="AL77" i="30" s="1"/>
  <c r="AK77" i="30" s="1"/>
  <c r="S323" i="30"/>
  <c r="AL76" i="30" s="1"/>
  <c r="AK76" i="30" s="1"/>
  <c r="S337" i="30"/>
  <c r="AL131" i="30" s="1"/>
  <c r="AK131" i="30" s="1"/>
  <c r="Q336" i="30"/>
  <c r="AL106" i="30" s="1"/>
  <c r="AK106" i="30" s="1"/>
  <c r="Q337" i="30"/>
  <c r="AL107" i="30" s="1"/>
  <c r="AK107" i="30" s="1"/>
  <c r="Q338" i="30"/>
  <c r="AL108" i="30" s="1"/>
  <c r="AK108" i="30" s="1"/>
  <c r="T334" i="30"/>
  <c r="AL140" i="30" s="1"/>
  <c r="AK140" i="30" s="1"/>
  <c r="T336" i="30"/>
  <c r="AL142" i="30" s="1"/>
  <c r="AK142" i="30" s="1"/>
  <c r="T337" i="30"/>
  <c r="AL143" i="30" s="1"/>
  <c r="AK143" i="30" s="1"/>
  <c r="T335" i="30"/>
  <c r="AL141" i="30" s="1"/>
  <c r="AK141" i="30" s="1"/>
  <c r="S321" i="30"/>
  <c r="AL74" i="30" s="1"/>
  <c r="AK74" i="30" s="1"/>
  <c r="S320" i="30"/>
  <c r="AL73" i="30" s="1"/>
  <c r="AK73" i="30" s="1"/>
  <c r="S322" i="30"/>
  <c r="AL75" i="30" s="1"/>
  <c r="AK75" i="30" s="1"/>
  <c r="Q323" i="30"/>
  <c r="AL52" i="30" s="1"/>
  <c r="AK52" i="30" s="1"/>
  <c r="Q324" i="30"/>
  <c r="AL53" i="30" s="1"/>
  <c r="AK53" i="30" s="1"/>
  <c r="S335" i="30"/>
  <c r="AL129" i="30" s="1"/>
  <c r="AK129" i="30" s="1"/>
  <c r="S336" i="30"/>
  <c r="AL130" i="30" s="1"/>
  <c r="AK130" i="30" s="1"/>
  <c r="S334" i="30"/>
  <c r="AL128" i="30" s="1"/>
  <c r="AK128" i="30" s="1"/>
  <c r="P339" i="30"/>
  <c r="AL97" i="30" s="1"/>
  <c r="AK97" i="30" s="1"/>
  <c r="P337" i="30"/>
  <c r="AL95" i="30" s="1"/>
  <c r="AK95" i="30" s="1"/>
  <c r="P338" i="30"/>
  <c r="AL96" i="30" s="1"/>
  <c r="AK96" i="30" s="1"/>
  <c r="R338" i="30"/>
  <c r="AL120" i="30" s="1"/>
  <c r="AK120" i="30" s="1"/>
  <c r="R339" i="30"/>
  <c r="AL121" i="30" s="1"/>
  <c r="AK121" i="30" s="1"/>
  <c r="R335" i="30"/>
  <c r="AL117" i="30" s="1"/>
  <c r="AK117" i="30" s="1"/>
  <c r="R336" i="30"/>
  <c r="AL118" i="30" s="1"/>
  <c r="AK118" i="30" s="1"/>
  <c r="R337" i="30"/>
  <c r="AL119" i="30" s="1"/>
  <c r="AK119" i="30" s="1"/>
  <c r="R334" i="30"/>
  <c r="AL116" i="30" s="1"/>
  <c r="AK116" i="30" s="1"/>
  <c r="R105" i="30"/>
  <c r="R106" i="30"/>
  <c r="R107" i="30"/>
  <c r="R104" i="30"/>
  <c r="R195" i="30"/>
  <c r="R133" i="30"/>
  <c r="Q133" i="30"/>
  <c r="Q315" i="30"/>
  <c r="AL44" i="30" s="1"/>
  <c r="AK44" i="30" s="1"/>
  <c r="P264" i="30"/>
  <c r="P265" i="30"/>
  <c r="P263" i="30"/>
  <c r="P262" i="30"/>
  <c r="P334" i="30"/>
  <c r="AL92" i="30" s="1"/>
  <c r="AK92" i="30" s="1"/>
  <c r="P335" i="30"/>
  <c r="AL93" i="30" s="1"/>
  <c r="AK93" i="30" s="1"/>
  <c r="P336" i="30"/>
  <c r="AL94" i="30" s="1"/>
  <c r="AK94" i="30" s="1"/>
  <c r="R319" i="30"/>
  <c r="AL60" i="30" s="1"/>
  <c r="AK60" i="30" s="1"/>
  <c r="R320" i="30"/>
  <c r="AL61" i="30" s="1"/>
  <c r="AK61" i="30" s="1"/>
  <c r="R317" i="30"/>
  <c r="AL58" i="30" s="1"/>
  <c r="AK58" i="30" s="1"/>
  <c r="R318" i="30"/>
  <c r="AL59" i="30" s="1"/>
  <c r="AK59" i="30" s="1"/>
  <c r="R315" i="30"/>
  <c r="AL56" i="30" s="1"/>
  <c r="AK56" i="30" s="1"/>
  <c r="R316" i="30"/>
  <c r="AL57" i="30" s="1"/>
  <c r="AK57" i="30" s="1"/>
  <c r="Q319" i="30"/>
  <c r="AL48" i="30" s="1"/>
  <c r="AK48" i="30" s="1"/>
  <c r="Q321" i="30"/>
  <c r="AL50" i="30" s="1"/>
  <c r="AK50" i="30" s="1"/>
  <c r="Q322" i="30"/>
  <c r="AL51" i="30" s="1"/>
  <c r="AK51" i="30" s="1"/>
  <c r="Q318" i="30"/>
  <c r="AL47" i="30" s="1"/>
  <c r="AK47" i="30" s="1"/>
  <c r="Q316" i="30"/>
  <c r="AL45" i="30" s="1"/>
  <c r="AK45" i="30" s="1"/>
  <c r="Q317" i="30"/>
  <c r="AL46" i="30" s="1"/>
  <c r="AK46" i="30" s="1"/>
  <c r="Q320" i="30"/>
  <c r="AL49" i="30" s="1"/>
  <c r="AK49" i="30" s="1"/>
  <c r="T316" i="30"/>
  <c r="AL81" i="30" s="1"/>
  <c r="AK81" i="30" s="1"/>
  <c r="T319" i="30"/>
  <c r="AL84" i="30" s="1"/>
  <c r="AK84" i="30" s="1"/>
  <c r="T320" i="30"/>
  <c r="AL85" i="30" s="1"/>
  <c r="AK85" i="30" s="1"/>
  <c r="T315" i="30"/>
  <c r="T317" i="30"/>
  <c r="AL82" i="30" s="1"/>
  <c r="AK82" i="30" s="1"/>
  <c r="T318" i="30"/>
  <c r="AL83" i="30" s="1"/>
  <c r="AK83" i="30" s="1"/>
  <c r="Q335" i="30"/>
  <c r="AL105" i="30" s="1"/>
  <c r="AK105" i="30" s="1"/>
  <c r="Q334" i="30"/>
  <c r="AL104" i="30" s="1"/>
  <c r="AK104" i="30" s="1"/>
  <c r="S315" i="30"/>
  <c r="S316" i="30"/>
  <c r="AL69" i="30" s="1"/>
  <c r="AK69" i="30" s="1"/>
  <c r="S318" i="30"/>
  <c r="AL71" i="30" s="1"/>
  <c r="AK71" i="30" s="1"/>
  <c r="S319" i="30"/>
  <c r="AL72" i="30" s="1"/>
  <c r="AK72" i="30" s="1"/>
  <c r="S317" i="30"/>
  <c r="AL70" i="30" s="1"/>
  <c r="AK70" i="30" s="1"/>
  <c r="Z28" i="7"/>
  <c r="Z32" i="7"/>
  <c r="Z44" i="7"/>
  <c r="Z29" i="7"/>
  <c r="Z33" i="7"/>
  <c r="Z37" i="7"/>
  <c r="Z41" i="7"/>
  <c r="Z40" i="7"/>
  <c r="Z26" i="7"/>
  <c r="Z45" i="7"/>
  <c r="Z30" i="7"/>
  <c r="Z34" i="7"/>
  <c r="Z38" i="7"/>
  <c r="Z42" i="7"/>
  <c r="Z36" i="7"/>
  <c r="Z27" i="7"/>
  <c r="Z31" i="7"/>
  <c r="Z35" i="7"/>
  <c r="Z39" i="7"/>
  <c r="Z43" i="7"/>
  <c r="AX4" i="7"/>
  <c r="AX5" i="7"/>
  <c r="AX3" i="7"/>
  <c r="AX2" i="7"/>
  <c r="Z6" i="7"/>
  <c r="V7" i="7"/>
  <c r="Z3" i="7"/>
  <c r="Z8" i="7"/>
  <c r="Z13" i="7"/>
  <c r="Z9" i="7"/>
  <c r="Z7" i="7"/>
  <c r="Z12" i="7"/>
  <c r="Z4" i="7"/>
  <c r="Z10" i="7"/>
  <c r="Z14" i="7"/>
  <c r="Z17" i="7"/>
  <c r="Z16" i="7"/>
  <c r="Z5" i="7"/>
  <c r="Z11" i="7"/>
  <c r="Z15" i="7"/>
  <c r="Z2" i="7"/>
  <c r="V11" i="7"/>
  <c r="V2" i="7"/>
  <c r="R198" i="2" s="1"/>
  <c r="V6" i="7"/>
  <c r="V5" i="7"/>
  <c r="V18" i="7"/>
  <c r="V8" i="7"/>
  <c r="V12" i="7"/>
  <c r="V16" i="7"/>
  <c r="V21" i="7"/>
  <c r="V15" i="7"/>
  <c r="V3" i="7"/>
  <c r="V9" i="7"/>
  <c r="V13" i="7"/>
  <c r="V17" i="7"/>
  <c r="V22" i="7"/>
  <c r="V20" i="7"/>
  <c r="V4" i="7"/>
  <c r="R198" i="25" s="1"/>
  <c r="V10" i="7"/>
  <c r="V14" i="7"/>
  <c r="V19" i="7"/>
  <c r="V23" i="7"/>
  <c r="R5" i="7"/>
  <c r="R10" i="7"/>
  <c r="R20" i="7"/>
  <c r="R17" i="7"/>
  <c r="R2" i="7"/>
  <c r="Q197" i="21" s="1"/>
  <c r="R9" i="7"/>
  <c r="R6" i="7"/>
  <c r="R11" i="7"/>
  <c r="R14" i="7"/>
  <c r="R18" i="7"/>
  <c r="R3" i="7"/>
  <c r="R7" i="7"/>
  <c r="R12" i="7"/>
  <c r="R15" i="7"/>
  <c r="R19" i="7"/>
  <c r="R22" i="7"/>
  <c r="R4" i="7"/>
  <c r="R8" i="7"/>
  <c r="Q264" i="25" s="1"/>
  <c r="R13" i="7"/>
  <c r="R16" i="7"/>
  <c r="R21" i="7"/>
  <c r="N7" i="7"/>
  <c r="N11" i="7"/>
  <c r="N3" i="7"/>
  <c r="N8" i="7"/>
  <c r="N5" i="7"/>
  <c r="N9" i="7"/>
  <c r="N2" i="7"/>
  <c r="N12" i="7"/>
  <c r="N4" i="7"/>
  <c r="N6" i="7"/>
  <c r="N10" i="7"/>
  <c r="R27" i="7"/>
  <c r="R31" i="7"/>
  <c r="R35" i="7"/>
  <c r="R39" i="7"/>
  <c r="R28" i="7"/>
  <c r="R32" i="7"/>
  <c r="R36" i="7"/>
  <c r="R40" i="7"/>
  <c r="R29" i="7"/>
  <c r="R33" i="7"/>
  <c r="R37" i="7"/>
  <c r="R38" i="7"/>
  <c r="R30" i="7"/>
  <c r="V26" i="7"/>
  <c r="R34" i="7"/>
  <c r="R26" i="7"/>
  <c r="V28" i="7"/>
  <c r="V29" i="7"/>
  <c r="V27" i="7"/>
  <c r="V31" i="7"/>
  <c r="V35" i="7"/>
  <c r="V39" i="7"/>
  <c r="V32" i="7"/>
  <c r="V36" i="7"/>
  <c r="V40" i="7"/>
  <c r="V33" i="7"/>
  <c r="V37" i="7"/>
  <c r="V41" i="7"/>
  <c r="V30" i="7"/>
  <c r="V34" i="7"/>
  <c r="V38" i="7"/>
  <c r="V42" i="7"/>
  <c r="AD29" i="7"/>
  <c r="AD27" i="7"/>
  <c r="AD31" i="7"/>
  <c r="AD26" i="7"/>
  <c r="AD32" i="7"/>
  <c r="AD33" i="7"/>
  <c r="AD30" i="7"/>
  <c r="AD28" i="7"/>
  <c r="AH27" i="7"/>
  <c r="AH31" i="7"/>
  <c r="AH35" i="7"/>
  <c r="AH28" i="7"/>
  <c r="AH32" i="7"/>
  <c r="AH36" i="7"/>
  <c r="AH26" i="7"/>
  <c r="AH30" i="7"/>
  <c r="AH34" i="7"/>
  <c r="AH38" i="7"/>
  <c r="AH29" i="7"/>
  <c r="AH37" i="7"/>
  <c r="AH33" i="7"/>
  <c r="AL34" i="7"/>
  <c r="AL33" i="7"/>
  <c r="AL31" i="7"/>
  <c r="AL35" i="7"/>
  <c r="AL28" i="7"/>
  <c r="AL32" i="7"/>
  <c r="AL30" i="7"/>
  <c r="AL29" i="7"/>
  <c r="AL26" i="7"/>
  <c r="AL27" i="7"/>
  <c r="AP27" i="7"/>
  <c r="AP31" i="7"/>
  <c r="AP28" i="7"/>
  <c r="AP32" i="7"/>
  <c r="AP30" i="7"/>
  <c r="AP29" i="7"/>
  <c r="AP33" i="7"/>
  <c r="AP26" i="7"/>
  <c r="AT29" i="7"/>
  <c r="AT27" i="7"/>
  <c r="AT28" i="7"/>
  <c r="AX29" i="7"/>
  <c r="AT26" i="7"/>
  <c r="AX27" i="7"/>
  <c r="AX28" i="7"/>
  <c r="AX26" i="7"/>
  <c r="N30" i="7"/>
  <c r="N29" i="7"/>
  <c r="N32" i="7"/>
  <c r="N28" i="7"/>
  <c r="N31" i="7"/>
  <c r="N27" i="7"/>
  <c r="N26" i="7"/>
  <c r="P266" i="23" s="1"/>
  <c r="D28" i="5"/>
  <c r="D32" i="5"/>
  <c r="D27" i="5"/>
  <c r="D29" i="5"/>
  <c r="D33" i="5"/>
  <c r="D26" i="5"/>
  <c r="D30" i="5"/>
  <c r="D34" i="5"/>
  <c r="D31" i="5"/>
  <c r="D25" i="5"/>
  <c r="AT2" i="7"/>
  <c r="AT6" i="7"/>
  <c r="AT4" i="7"/>
  <c r="AT3" i="7"/>
  <c r="AT5" i="7"/>
  <c r="AP6" i="7"/>
  <c r="AP10" i="7"/>
  <c r="AP5" i="7"/>
  <c r="AP9" i="7"/>
  <c r="AP3" i="7"/>
  <c r="AP7" i="7"/>
  <c r="AP11" i="7"/>
  <c r="AP4" i="7"/>
  <c r="AP8" i="7"/>
  <c r="AP2" i="7"/>
  <c r="AL3" i="7"/>
  <c r="AL7" i="7"/>
  <c r="AL4" i="7"/>
  <c r="AL8" i="7"/>
  <c r="AL5" i="7"/>
  <c r="AL6" i="7"/>
  <c r="AL2" i="7"/>
  <c r="AH3" i="7"/>
  <c r="AH12" i="7"/>
  <c r="AH16" i="7"/>
  <c r="AH5" i="7"/>
  <c r="AH9" i="7"/>
  <c r="AH13" i="7"/>
  <c r="AH17" i="7"/>
  <c r="AH7" i="7"/>
  <c r="AH11" i="7"/>
  <c r="AH15" i="7"/>
  <c r="AH4" i="7"/>
  <c r="AH8" i="7"/>
  <c r="AH2" i="7"/>
  <c r="AH6" i="7"/>
  <c r="AH10" i="7"/>
  <c r="AH14" i="7"/>
  <c r="AD2" i="7"/>
  <c r="AD7" i="7"/>
  <c r="AD4" i="7"/>
  <c r="AD8" i="7"/>
  <c r="AD5" i="7"/>
  <c r="AD9" i="7"/>
  <c r="AD6" i="7"/>
  <c r="AD3" i="7"/>
  <c r="E53" i="4"/>
  <c r="E52" i="4"/>
  <c r="E51" i="4"/>
  <c r="E50" i="4"/>
  <c r="E49" i="4"/>
  <c r="E48" i="4"/>
  <c r="E47" i="4"/>
  <c r="E46" i="4"/>
  <c r="E45" i="4"/>
  <c r="E44" i="4"/>
  <c r="E43" i="4"/>
  <c r="E42" i="4"/>
  <c r="E41" i="4"/>
  <c r="E40" i="4"/>
  <c r="E39" i="4"/>
  <c r="E38" i="4"/>
  <c r="E37" i="4"/>
  <c r="E36" i="4"/>
  <c r="C5" i="14"/>
  <c r="Q197" i="2" l="1"/>
  <c r="S271" i="26"/>
  <c r="R198" i="23"/>
  <c r="AJ121" i="24"/>
  <c r="AJ130" i="24"/>
  <c r="AJ131" i="2"/>
  <c r="S268" i="25"/>
  <c r="S271" i="22"/>
  <c r="R97" i="27"/>
  <c r="B97" i="27"/>
  <c r="O92" i="27"/>
  <c r="Q92" i="27"/>
  <c r="O97" i="27"/>
  <c r="P93" i="27"/>
  <c r="O93" i="27"/>
  <c r="Q93" i="27"/>
  <c r="B98" i="27"/>
  <c r="O94" i="23"/>
  <c r="P94" i="23"/>
  <c r="P99" i="23"/>
  <c r="R99" i="23"/>
  <c r="O99" i="23"/>
  <c r="Q94" i="23"/>
  <c r="R265" i="21"/>
  <c r="R266" i="21"/>
  <c r="R267" i="21"/>
  <c r="P320" i="29"/>
  <c r="R106" i="27"/>
  <c r="Q94" i="27"/>
  <c r="R107" i="27"/>
  <c r="R104" i="27"/>
  <c r="R105" i="27"/>
  <c r="R99" i="27"/>
  <c r="P94" i="27"/>
  <c r="O94" i="27"/>
  <c r="P99" i="27"/>
  <c r="O99" i="27"/>
  <c r="R107" i="23"/>
  <c r="P92" i="23"/>
  <c r="B97" i="23"/>
  <c r="P265" i="27"/>
  <c r="R104" i="23"/>
  <c r="R98" i="23"/>
  <c r="R105" i="23"/>
  <c r="R106" i="23"/>
  <c r="B98" i="23"/>
  <c r="O93" i="23"/>
  <c r="O98" i="23"/>
  <c r="Q93" i="23"/>
  <c r="O97" i="23"/>
  <c r="O92" i="23"/>
  <c r="Q92" i="23"/>
  <c r="P94" i="22"/>
  <c r="P320" i="27"/>
  <c r="B99" i="22"/>
  <c r="O92" i="28"/>
  <c r="AJ128" i="2"/>
  <c r="S228" i="2" s="1"/>
  <c r="P99" i="22"/>
  <c r="Q94" i="22"/>
  <c r="B97" i="28"/>
  <c r="O97" i="28"/>
  <c r="O94" i="22"/>
  <c r="R97" i="28"/>
  <c r="Q92" i="28"/>
  <c r="R99" i="22"/>
  <c r="P266" i="26"/>
  <c r="Q266" i="27"/>
  <c r="Q266" i="26"/>
  <c r="B98" i="29"/>
  <c r="O98" i="29"/>
  <c r="P93" i="29"/>
  <c r="Q93" i="29"/>
  <c r="O93" i="29"/>
  <c r="R98" i="29"/>
  <c r="B97" i="29"/>
  <c r="P92" i="29"/>
  <c r="Q92" i="29"/>
  <c r="O97" i="29"/>
  <c r="R97" i="29"/>
  <c r="O92" i="29"/>
  <c r="P94" i="29"/>
  <c r="Q94" i="29"/>
  <c r="O99" i="29"/>
  <c r="B99" i="29"/>
  <c r="O94" i="29"/>
  <c r="P99" i="29"/>
  <c r="R99" i="29"/>
  <c r="B98" i="24"/>
  <c r="P94" i="28"/>
  <c r="Q94" i="28"/>
  <c r="B99" i="28"/>
  <c r="R99" i="28"/>
  <c r="O99" i="28"/>
  <c r="P99" i="28"/>
  <c r="O94" i="28"/>
  <c r="Q93" i="28"/>
  <c r="O93" i="28"/>
  <c r="R98" i="28"/>
  <c r="B98" i="28"/>
  <c r="O98" i="28"/>
  <c r="P93" i="28"/>
  <c r="R267" i="26"/>
  <c r="R266" i="22"/>
  <c r="R265" i="22"/>
  <c r="R264" i="22"/>
  <c r="R98" i="24"/>
  <c r="O93" i="24"/>
  <c r="Q93" i="24"/>
  <c r="P93" i="24"/>
  <c r="Q92" i="26"/>
  <c r="R97" i="26"/>
  <c r="P92" i="26"/>
  <c r="B97" i="26"/>
  <c r="O97" i="26"/>
  <c r="O92" i="26"/>
  <c r="P94" i="26"/>
  <c r="B99" i="26"/>
  <c r="O94" i="26"/>
  <c r="Q94" i="26"/>
  <c r="R99" i="26"/>
  <c r="P99" i="26"/>
  <c r="O99" i="26"/>
  <c r="O93" i="26"/>
  <c r="R98" i="26"/>
  <c r="O98" i="26"/>
  <c r="B98" i="26"/>
  <c r="Q93" i="26"/>
  <c r="P93" i="26"/>
  <c r="R98" i="25"/>
  <c r="B98" i="25"/>
  <c r="O98" i="25"/>
  <c r="P93" i="25"/>
  <c r="Q93" i="25"/>
  <c r="O93" i="25"/>
  <c r="Q94" i="25"/>
  <c r="O99" i="25"/>
  <c r="P99" i="25"/>
  <c r="O94" i="25"/>
  <c r="P94" i="25"/>
  <c r="R99" i="25"/>
  <c r="B99" i="25"/>
  <c r="Q92" i="25"/>
  <c r="O92" i="25"/>
  <c r="P92" i="25"/>
  <c r="B97" i="25"/>
  <c r="R97" i="25"/>
  <c r="O97" i="25"/>
  <c r="P266" i="25"/>
  <c r="Q92" i="22"/>
  <c r="O92" i="22"/>
  <c r="B97" i="22"/>
  <c r="R97" i="22"/>
  <c r="P92" i="22"/>
  <c r="O97" i="22"/>
  <c r="R98" i="22"/>
  <c r="B98" i="22"/>
  <c r="O98" i="22"/>
  <c r="P93" i="22"/>
  <c r="Q93" i="22"/>
  <c r="O93" i="22"/>
  <c r="Q92" i="24"/>
  <c r="P92" i="24"/>
  <c r="R97" i="24"/>
  <c r="O97" i="24"/>
  <c r="O92" i="24"/>
  <c r="B97" i="24"/>
  <c r="Q94" i="24"/>
  <c r="B99" i="24"/>
  <c r="P99" i="24"/>
  <c r="P94" i="24"/>
  <c r="O99" i="24"/>
  <c r="O94" i="24"/>
  <c r="R99" i="24"/>
  <c r="P266" i="2"/>
  <c r="Q266" i="2"/>
  <c r="Q92" i="21"/>
  <c r="P92" i="21"/>
  <c r="R97" i="21"/>
  <c r="B97" i="21"/>
  <c r="O97" i="21"/>
  <c r="O92" i="21"/>
  <c r="O98" i="21"/>
  <c r="Q93" i="21"/>
  <c r="R98" i="21"/>
  <c r="B98" i="21"/>
  <c r="P93" i="21"/>
  <c r="O93" i="21"/>
  <c r="Q266" i="28"/>
  <c r="Q94" i="21"/>
  <c r="B99" i="21"/>
  <c r="P99" i="21"/>
  <c r="P94" i="21"/>
  <c r="R99" i="21"/>
  <c r="O99" i="21"/>
  <c r="O94" i="21"/>
  <c r="R267" i="29"/>
  <c r="T264" i="21"/>
  <c r="R266" i="29"/>
  <c r="P297" i="25"/>
  <c r="R265" i="29"/>
  <c r="R266" i="27"/>
  <c r="Q197" i="22"/>
  <c r="P320" i="25"/>
  <c r="P297" i="27"/>
  <c r="S269" i="25"/>
  <c r="S270" i="27"/>
  <c r="AJ142" i="26"/>
  <c r="AJ143" i="26"/>
  <c r="AJ131" i="26"/>
  <c r="P266" i="27"/>
  <c r="R107" i="28"/>
  <c r="R105" i="28"/>
  <c r="R104" i="28"/>
  <c r="R106" i="28"/>
  <c r="R198" i="29"/>
  <c r="R267" i="25"/>
  <c r="AJ143" i="22"/>
  <c r="AJ142" i="22"/>
  <c r="AJ140" i="24"/>
  <c r="S271" i="21"/>
  <c r="S271" i="25"/>
  <c r="O98" i="2"/>
  <c r="P320" i="28"/>
  <c r="O97" i="2"/>
  <c r="P265" i="25"/>
  <c r="R264" i="27"/>
  <c r="R265" i="27"/>
  <c r="R197" i="29"/>
  <c r="O99" i="2"/>
  <c r="R99" i="2"/>
  <c r="Q265" i="28"/>
  <c r="Q264" i="28"/>
  <c r="Q266" i="25"/>
  <c r="Q265" i="25"/>
  <c r="AJ130" i="2"/>
  <c r="AJ131" i="23"/>
  <c r="Q264" i="29"/>
  <c r="Q266" i="29"/>
  <c r="R267" i="23"/>
  <c r="R266" i="23"/>
  <c r="R265" i="23"/>
  <c r="R264" i="25"/>
  <c r="P320" i="23"/>
  <c r="Q264" i="2"/>
  <c r="Q265" i="29"/>
  <c r="P297" i="22"/>
  <c r="AJ120" i="28"/>
  <c r="AJ121" i="28"/>
  <c r="R197" i="23"/>
  <c r="S270" i="22"/>
  <c r="S270" i="23"/>
  <c r="Q265" i="2"/>
  <c r="R104" i="24"/>
  <c r="AJ109" i="23"/>
  <c r="R266" i="24"/>
  <c r="R266" i="25"/>
  <c r="R265" i="25"/>
  <c r="T264" i="28"/>
  <c r="R196" i="23"/>
  <c r="AJ143" i="29"/>
  <c r="R265" i="24"/>
  <c r="AJ141" i="22"/>
  <c r="AJ130" i="27"/>
  <c r="AJ140" i="22"/>
  <c r="AJ97" i="29"/>
  <c r="P266" i="28"/>
  <c r="AJ129" i="22"/>
  <c r="R198" i="26"/>
  <c r="R197" i="25"/>
  <c r="AJ131" i="22"/>
  <c r="AJ130" i="22"/>
  <c r="P264" i="25"/>
  <c r="P263" i="25"/>
  <c r="R106" i="24"/>
  <c r="R107" i="24"/>
  <c r="R105" i="24"/>
  <c r="P262" i="25"/>
  <c r="AJ140" i="26"/>
  <c r="AJ109" i="24"/>
  <c r="AJ143" i="24"/>
  <c r="AJ120" i="24"/>
  <c r="AJ119" i="24"/>
  <c r="AJ117" i="24"/>
  <c r="AJ141" i="24"/>
  <c r="AJ131" i="24"/>
  <c r="AJ109" i="29"/>
  <c r="Q265" i="27"/>
  <c r="Q264" i="27"/>
  <c r="AJ131" i="27"/>
  <c r="AJ109" i="27"/>
  <c r="AJ142" i="27"/>
  <c r="Q93" i="2"/>
  <c r="P99" i="2"/>
  <c r="R198" i="27"/>
  <c r="R266" i="26"/>
  <c r="R265" i="26"/>
  <c r="O92" i="2"/>
  <c r="P197" i="21"/>
  <c r="AJ121" i="21"/>
  <c r="AJ140" i="29"/>
  <c r="AJ142" i="29"/>
  <c r="R199" i="22"/>
  <c r="AJ121" i="27"/>
  <c r="AJ120" i="27"/>
  <c r="AJ129" i="24"/>
  <c r="AJ142" i="24"/>
  <c r="T229" i="24" s="1"/>
  <c r="AJ128" i="24"/>
  <c r="S228" i="24" s="1"/>
  <c r="AJ118" i="24"/>
  <c r="AJ108" i="24"/>
  <c r="S269" i="21"/>
  <c r="S270" i="24"/>
  <c r="S271" i="24"/>
  <c r="R197" i="27"/>
  <c r="AJ140" i="23"/>
  <c r="Q92" i="2"/>
  <c r="AJ129" i="23"/>
  <c r="P265" i="2"/>
  <c r="AJ121" i="2"/>
  <c r="AJ129" i="2"/>
  <c r="R107" i="29"/>
  <c r="AJ119" i="2"/>
  <c r="AJ120" i="2"/>
  <c r="AJ120" i="23"/>
  <c r="AJ117" i="23"/>
  <c r="AJ108" i="23"/>
  <c r="AJ128" i="23"/>
  <c r="AJ142" i="23"/>
  <c r="AJ118" i="23"/>
  <c r="AJ143" i="23"/>
  <c r="AJ121" i="23"/>
  <c r="AJ130" i="23"/>
  <c r="AJ141" i="23"/>
  <c r="AJ119" i="23"/>
  <c r="R105" i="29"/>
  <c r="R104" i="29"/>
  <c r="R266" i="2"/>
  <c r="R265" i="2"/>
  <c r="R106" i="29"/>
  <c r="B97" i="2"/>
  <c r="AJ128" i="22"/>
  <c r="AJ109" i="22"/>
  <c r="Q196" i="28"/>
  <c r="Q197" i="28"/>
  <c r="R106" i="22"/>
  <c r="AJ105" i="24"/>
  <c r="AJ94" i="24"/>
  <c r="AJ131" i="29"/>
  <c r="R97" i="2"/>
  <c r="AJ108" i="29"/>
  <c r="AJ131" i="25"/>
  <c r="AJ130" i="25"/>
  <c r="AJ120" i="29"/>
  <c r="AJ130" i="29"/>
  <c r="AJ129" i="29"/>
  <c r="P320" i="21"/>
  <c r="AJ141" i="29"/>
  <c r="AJ121" i="29"/>
  <c r="AJ129" i="21"/>
  <c r="AJ118" i="21"/>
  <c r="AJ140" i="21"/>
  <c r="S270" i="21"/>
  <c r="AJ97" i="23"/>
  <c r="AJ96" i="23"/>
  <c r="B98" i="2"/>
  <c r="R104" i="2"/>
  <c r="R105" i="2"/>
  <c r="O94" i="2"/>
  <c r="R106" i="2"/>
  <c r="O93" i="2"/>
  <c r="R105" i="22"/>
  <c r="Q94" i="2"/>
  <c r="R107" i="2"/>
  <c r="R98" i="2"/>
  <c r="B99" i="2"/>
  <c r="R107" i="22"/>
  <c r="R104" i="22"/>
  <c r="AJ129" i="25"/>
  <c r="AJ143" i="25"/>
  <c r="AJ60" i="23"/>
  <c r="AJ131" i="28"/>
  <c r="P297" i="21"/>
  <c r="Q266" i="21"/>
  <c r="Q265" i="21"/>
  <c r="Q264" i="21"/>
  <c r="AJ119" i="28"/>
  <c r="AJ109" i="26"/>
  <c r="AJ95" i="24"/>
  <c r="AJ61" i="24"/>
  <c r="AJ116" i="24"/>
  <c r="AJ93" i="24"/>
  <c r="AJ107" i="24"/>
  <c r="AJ97" i="24"/>
  <c r="AJ92" i="24"/>
  <c r="P296" i="24" s="1"/>
  <c r="AJ106" i="24"/>
  <c r="AJ96" i="24"/>
  <c r="AJ130" i="26"/>
  <c r="AJ131" i="21"/>
  <c r="AJ95" i="21"/>
  <c r="AJ143" i="21"/>
  <c r="AJ142" i="21"/>
  <c r="AJ117" i="28"/>
  <c r="S269" i="23"/>
  <c r="Q197" i="26"/>
  <c r="AJ119" i="25"/>
  <c r="AJ95" i="28"/>
  <c r="AJ108" i="22"/>
  <c r="AJ105" i="25"/>
  <c r="AJ109" i="25"/>
  <c r="P297" i="26"/>
  <c r="AJ117" i="27"/>
  <c r="Q198" i="27"/>
  <c r="Q197" i="27"/>
  <c r="Q264" i="24"/>
  <c r="Q265" i="24"/>
  <c r="Q266" i="24"/>
  <c r="R265" i="28"/>
  <c r="R267" i="28"/>
  <c r="R266" i="28"/>
  <c r="AJ130" i="21"/>
  <c r="AJ105" i="21"/>
  <c r="AJ97" i="21"/>
  <c r="P197" i="24"/>
  <c r="P265" i="22"/>
  <c r="P197" i="27"/>
  <c r="S270" i="2"/>
  <c r="AJ128" i="28"/>
  <c r="AJ143" i="28"/>
  <c r="AJ107" i="28"/>
  <c r="AJ104" i="28"/>
  <c r="Q265" i="23"/>
  <c r="Q264" i="23"/>
  <c r="Q266" i="23"/>
  <c r="AJ47" i="24"/>
  <c r="AJ59" i="24"/>
  <c r="AJ61" i="22"/>
  <c r="AJ121" i="22"/>
  <c r="AJ119" i="22"/>
  <c r="AJ116" i="22"/>
  <c r="AJ120" i="22"/>
  <c r="S269" i="26"/>
  <c r="S270" i="26"/>
  <c r="S268" i="26"/>
  <c r="Q265" i="26"/>
  <c r="AJ58" i="28"/>
  <c r="AJ49" i="28"/>
  <c r="AJ61" i="28"/>
  <c r="Q264" i="26"/>
  <c r="AJ49" i="21"/>
  <c r="AJ59" i="21"/>
  <c r="AJ116" i="23"/>
  <c r="AJ107" i="23"/>
  <c r="AJ61" i="21"/>
  <c r="AJ105" i="23"/>
  <c r="AJ61" i="23"/>
  <c r="AJ106" i="25"/>
  <c r="AJ118" i="25"/>
  <c r="AJ128" i="25"/>
  <c r="AJ141" i="25"/>
  <c r="AJ121" i="25"/>
  <c r="AJ140" i="25"/>
  <c r="AJ107" i="25"/>
  <c r="AJ120" i="25"/>
  <c r="AJ142" i="25"/>
  <c r="AJ108" i="25"/>
  <c r="P265" i="24"/>
  <c r="P266" i="24"/>
  <c r="P262" i="21"/>
  <c r="P265" i="21"/>
  <c r="P263" i="21"/>
  <c r="P266" i="21"/>
  <c r="P264" i="21"/>
  <c r="Q197" i="24"/>
  <c r="Q264" i="22"/>
  <c r="Q265" i="22"/>
  <c r="P196" i="22"/>
  <c r="O78" i="22"/>
  <c r="P195" i="22"/>
  <c r="P263" i="27"/>
  <c r="S270" i="28"/>
  <c r="P262" i="27"/>
  <c r="P264" i="27"/>
  <c r="AJ121" i="26"/>
  <c r="AJ141" i="26"/>
  <c r="T229" i="26" s="1"/>
  <c r="AJ59" i="23"/>
  <c r="AJ93" i="23"/>
  <c r="AJ52" i="23"/>
  <c r="AJ48" i="23"/>
  <c r="R104" i="26"/>
  <c r="R105" i="26"/>
  <c r="R106" i="26"/>
  <c r="R107" i="26"/>
  <c r="P197" i="2"/>
  <c r="AJ50" i="25"/>
  <c r="AJ57" i="25"/>
  <c r="AJ94" i="25"/>
  <c r="AJ116" i="25"/>
  <c r="AJ97" i="25"/>
  <c r="AJ104" i="25"/>
  <c r="AJ96" i="25"/>
  <c r="AJ117" i="25"/>
  <c r="AJ95" i="25"/>
  <c r="R264" i="23"/>
  <c r="P262" i="23"/>
  <c r="P264" i="23"/>
  <c r="P265" i="23"/>
  <c r="P263" i="23"/>
  <c r="P196" i="24"/>
  <c r="O79" i="22"/>
  <c r="P194" i="24"/>
  <c r="P262" i="22"/>
  <c r="P263" i="22"/>
  <c r="P264" i="22"/>
  <c r="AJ51" i="24"/>
  <c r="AJ49" i="24"/>
  <c r="AJ46" i="24"/>
  <c r="AJ60" i="24"/>
  <c r="P296" i="22"/>
  <c r="S268" i="22"/>
  <c r="S269" i="22"/>
  <c r="AJ53" i="24"/>
  <c r="AJ48" i="24"/>
  <c r="AJ58" i="24"/>
  <c r="AJ50" i="24"/>
  <c r="AJ104" i="24"/>
  <c r="AL80" i="24"/>
  <c r="AK80" i="24" s="1"/>
  <c r="AJ80" i="24" s="1"/>
  <c r="T155" i="24"/>
  <c r="T129" i="24"/>
  <c r="AJ57" i="24"/>
  <c r="AJ52" i="24"/>
  <c r="AJ45" i="24"/>
  <c r="AJ44" i="24"/>
  <c r="Q196" i="24" s="1"/>
  <c r="S155" i="24"/>
  <c r="AL68" i="24"/>
  <c r="AK68" i="24" s="1"/>
  <c r="AJ68" i="24" s="1"/>
  <c r="S129" i="24"/>
  <c r="AJ56" i="24"/>
  <c r="R197" i="24" s="1"/>
  <c r="AJ51" i="22"/>
  <c r="AJ95" i="22"/>
  <c r="AJ104" i="22"/>
  <c r="AJ118" i="22"/>
  <c r="AJ105" i="22"/>
  <c r="AJ107" i="22"/>
  <c r="AJ96" i="22"/>
  <c r="AJ106" i="22"/>
  <c r="AJ117" i="22"/>
  <c r="AJ97" i="22"/>
  <c r="P262" i="24"/>
  <c r="O78" i="27"/>
  <c r="O79" i="27"/>
  <c r="O77" i="27"/>
  <c r="P264" i="24"/>
  <c r="P263" i="24"/>
  <c r="AJ57" i="28"/>
  <c r="AJ60" i="28"/>
  <c r="AJ52" i="28"/>
  <c r="AJ45" i="28"/>
  <c r="AJ44" i="28"/>
  <c r="AJ116" i="28"/>
  <c r="AJ119" i="26"/>
  <c r="AJ141" i="28"/>
  <c r="T229" i="28" s="1"/>
  <c r="AJ109" i="28"/>
  <c r="AJ106" i="26"/>
  <c r="AL80" i="28"/>
  <c r="AK80" i="28" s="1"/>
  <c r="AJ83" i="28" s="1"/>
  <c r="T155" i="28"/>
  <c r="T129" i="28"/>
  <c r="AJ97" i="28"/>
  <c r="AJ92" i="28"/>
  <c r="R107" i="21"/>
  <c r="AJ128" i="26"/>
  <c r="AJ47" i="28"/>
  <c r="AL68" i="28"/>
  <c r="AK68" i="28" s="1"/>
  <c r="AJ68" i="28" s="1"/>
  <c r="S155" i="28"/>
  <c r="S129" i="28"/>
  <c r="AJ129" i="28"/>
  <c r="AJ56" i="28"/>
  <c r="AJ53" i="28"/>
  <c r="AJ50" i="28"/>
  <c r="AJ51" i="28"/>
  <c r="AJ117" i="26"/>
  <c r="AJ116" i="26"/>
  <c r="AJ142" i="28"/>
  <c r="AJ106" i="28"/>
  <c r="AJ108" i="26"/>
  <c r="AJ94" i="28"/>
  <c r="AJ93" i="28"/>
  <c r="R105" i="21"/>
  <c r="R104" i="21"/>
  <c r="AJ92" i="26"/>
  <c r="AJ104" i="26"/>
  <c r="AJ130" i="28"/>
  <c r="AJ129" i="26"/>
  <c r="AJ59" i="28"/>
  <c r="AJ46" i="28"/>
  <c r="AJ48" i="28"/>
  <c r="AJ118" i="28"/>
  <c r="AJ120" i="26"/>
  <c r="AJ118" i="26"/>
  <c r="AJ140" i="28"/>
  <c r="AJ105" i="28"/>
  <c r="AJ108" i="28"/>
  <c r="AJ107" i="26"/>
  <c r="AJ96" i="28"/>
  <c r="R106" i="21"/>
  <c r="AJ47" i="25"/>
  <c r="AJ53" i="25"/>
  <c r="AJ58" i="25"/>
  <c r="AJ56" i="25"/>
  <c r="R195" i="25" s="1"/>
  <c r="AJ92" i="25"/>
  <c r="P296" i="25" s="1"/>
  <c r="AL80" i="25"/>
  <c r="AK80" i="25" s="1"/>
  <c r="AJ82" i="25" s="1"/>
  <c r="T155" i="25"/>
  <c r="T129" i="25"/>
  <c r="AJ46" i="25"/>
  <c r="O85" i="22"/>
  <c r="AJ45" i="25"/>
  <c r="AJ44" i="25"/>
  <c r="AJ51" i="25"/>
  <c r="AJ60" i="25"/>
  <c r="AJ61" i="25"/>
  <c r="AL68" i="25"/>
  <c r="AK68" i="25" s="1"/>
  <c r="AJ68" i="25" s="1"/>
  <c r="S155" i="25"/>
  <c r="S129" i="25"/>
  <c r="AJ48" i="25"/>
  <c r="AJ52" i="25"/>
  <c r="AJ49" i="25"/>
  <c r="AJ59" i="25"/>
  <c r="AJ93" i="25"/>
  <c r="P197" i="22"/>
  <c r="P319" i="22" s="1"/>
  <c r="R198" i="21"/>
  <c r="P194" i="22"/>
  <c r="O85" i="23"/>
  <c r="O78" i="24"/>
  <c r="O79" i="24"/>
  <c r="O85" i="21"/>
  <c r="O77" i="24"/>
  <c r="P195" i="24"/>
  <c r="P193" i="24"/>
  <c r="AL68" i="23"/>
  <c r="AK68" i="23" s="1"/>
  <c r="AJ68" i="23" s="1"/>
  <c r="S129" i="23"/>
  <c r="S155" i="23"/>
  <c r="AJ106" i="23"/>
  <c r="AJ58" i="23"/>
  <c r="AJ95" i="23"/>
  <c r="AJ46" i="23"/>
  <c r="AJ49" i="23"/>
  <c r="P266" i="29"/>
  <c r="AJ104" i="23"/>
  <c r="AJ56" i="23"/>
  <c r="AJ53" i="23"/>
  <c r="AJ94" i="23"/>
  <c r="AJ45" i="23"/>
  <c r="AJ44" i="23"/>
  <c r="Q197" i="23" s="1"/>
  <c r="AJ50" i="23"/>
  <c r="AJ71" i="23"/>
  <c r="AL80" i="23"/>
  <c r="AK80" i="23" s="1"/>
  <c r="AJ80" i="23" s="1"/>
  <c r="T129" i="23"/>
  <c r="T155" i="23"/>
  <c r="AJ57" i="23"/>
  <c r="AJ92" i="23"/>
  <c r="P297" i="23" s="1"/>
  <c r="AJ47" i="23"/>
  <c r="AJ51" i="23"/>
  <c r="O77" i="22"/>
  <c r="O78" i="21"/>
  <c r="O79" i="21"/>
  <c r="O77" i="21"/>
  <c r="O85" i="24"/>
  <c r="P196" i="21"/>
  <c r="P318" i="21" s="1"/>
  <c r="AJ61" i="2"/>
  <c r="P195" i="21"/>
  <c r="P193" i="21"/>
  <c r="P194" i="21"/>
  <c r="Q196" i="22"/>
  <c r="P193" i="22"/>
  <c r="AJ47" i="22"/>
  <c r="AJ50" i="22"/>
  <c r="AL80" i="22"/>
  <c r="AK80" i="22" s="1"/>
  <c r="AJ80" i="22" s="1"/>
  <c r="T155" i="22"/>
  <c r="T129" i="22"/>
  <c r="AJ49" i="22"/>
  <c r="AJ46" i="22"/>
  <c r="AJ92" i="22"/>
  <c r="P295" i="22" s="1"/>
  <c r="AL68" i="22"/>
  <c r="AK68" i="22" s="1"/>
  <c r="AJ68" i="22" s="1"/>
  <c r="S155" i="22"/>
  <c r="S129" i="22"/>
  <c r="AJ60" i="22"/>
  <c r="AJ45" i="22"/>
  <c r="AJ44" i="22"/>
  <c r="AJ53" i="22"/>
  <c r="AJ93" i="22"/>
  <c r="AJ57" i="22"/>
  <c r="AJ58" i="22"/>
  <c r="AJ105" i="27"/>
  <c r="AJ48" i="22"/>
  <c r="AJ52" i="22"/>
  <c r="AJ94" i="22"/>
  <c r="AJ56" i="22"/>
  <c r="R197" i="22" s="1"/>
  <c r="AJ59" i="22"/>
  <c r="P265" i="26"/>
  <c r="P264" i="26"/>
  <c r="AJ45" i="21"/>
  <c r="AJ44" i="21"/>
  <c r="AL80" i="21"/>
  <c r="AK80" i="21" s="1"/>
  <c r="T155" i="21"/>
  <c r="T129" i="21"/>
  <c r="AJ119" i="21"/>
  <c r="P262" i="26"/>
  <c r="AJ50" i="21"/>
  <c r="AJ52" i="21"/>
  <c r="AJ58" i="21"/>
  <c r="AJ57" i="21"/>
  <c r="AJ120" i="21"/>
  <c r="AJ93" i="21"/>
  <c r="AJ96" i="21"/>
  <c r="AJ141" i="21"/>
  <c r="T229" i="21" s="1"/>
  <c r="AJ108" i="21"/>
  <c r="O85" i="25"/>
  <c r="O78" i="25"/>
  <c r="O79" i="25"/>
  <c r="P263" i="26"/>
  <c r="AJ47" i="21"/>
  <c r="AJ48" i="21"/>
  <c r="AJ46" i="21"/>
  <c r="AJ56" i="21"/>
  <c r="R197" i="21" s="1"/>
  <c r="AJ117" i="21"/>
  <c r="AJ94" i="21"/>
  <c r="AJ106" i="21"/>
  <c r="AJ109" i="21"/>
  <c r="AJ128" i="21"/>
  <c r="AJ53" i="21"/>
  <c r="AJ51" i="21"/>
  <c r="AJ60" i="21"/>
  <c r="AJ116" i="21"/>
  <c r="AJ92" i="21"/>
  <c r="P295" i="21" s="1"/>
  <c r="AL68" i="21"/>
  <c r="AK68" i="21" s="1"/>
  <c r="AJ68" i="21" s="1"/>
  <c r="S155" i="21"/>
  <c r="S129" i="21"/>
  <c r="AJ104" i="21"/>
  <c r="AJ107" i="21"/>
  <c r="AJ97" i="26"/>
  <c r="AJ57" i="26"/>
  <c r="AJ95" i="26"/>
  <c r="AJ53" i="26"/>
  <c r="AJ96" i="26"/>
  <c r="AJ105" i="26"/>
  <c r="R104" i="25"/>
  <c r="R106" i="25"/>
  <c r="R107" i="25"/>
  <c r="R105" i="25"/>
  <c r="P195" i="27"/>
  <c r="P196" i="23"/>
  <c r="P197" i="23"/>
  <c r="P319" i="23" s="1"/>
  <c r="P193" i="27"/>
  <c r="P196" i="27"/>
  <c r="P318" i="27" s="1"/>
  <c r="P194" i="27"/>
  <c r="O78" i="26"/>
  <c r="O79" i="26"/>
  <c r="O77" i="26"/>
  <c r="P195" i="23"/>
  <c r="P193" i="23"/>
  <c r="P194" i="23"/>
  <c r="P316" i="23" s="1"/>
  <c r="O78" i="23"/>
  <c r="O79" i="23"/>
  <c r="O77" i="23"/>
  <c r="AJ51" i="27"/>
  <c r="AJ53" i="27"/>
  <c r="AJ60" i="27"/>
  <c r="AJ94" i="27"/>
  <c r="O85" i="26"/>
  <c r="O85" i="27"/>
  <c r="R197" i="2"/>
  <c r="R196" i="2"/>
  <c r="R195" i="2"/>
  <c r="AJ57" i="27"/>
  <c r="O85" i="28"/>
  <c r="O77" i="25"/>
  <c r="P265" i="28"/>
  <c r="R264" i="28"/>
  <c r="AJ47" i="26"/>
  <c r="AL80" i="26"/>
  <c r="AK80" i="26" s="1"/>
  <c r="AJ80" i="26" s="1"/>
  <c r="T129" i="26"/>
  <c r="T155" i="26"/>
  <c r="AJ46" i="26"/>
  <c r="AJ50" i="26"/>
  <c r="AJ93" i="26"/>
  <c r="AJ58" i="26"/>
  <c r="AJ48" i="26"/>
  <c r="AJ45" i="26"/>
  <c r="AJ44" i="26"/>
  <c r="Q196" i="26" s="1"/>
  <c r="AJ60" i="26"/>
  <c r="AJ56" i="26"/>
  <c r="R264" i="26" s="1"/>
  <c r="AJ49" i="26"/>
  <c r="AJ52" i="26"/>
  <c r="AJ51" i="26"/>
  <c r="AL68" i="26"/>
  <c r="AK68" i="26" s="1"/>
  <c r="AJ68" i="26" s="1"/>
  <c r="S155" i="26"/>
  <c r="S129" i="26"/>
  <c r="AJ94" i="26"/>
  <c r="AJ59" i="26"/>
  <c r="AJ61" i="26"/>
  <c r="P196" i="28"/>
  <c r="P197" i="28"/>
  <c r="P319" i="28" s="1"/>
  <c r="P194" i="25"/>
  <c r="P195" i="25"/>
  <c r="P193" i="25"/>
  <c r="P197" i="25"/>
  <c r="P196" i="25"/>
  <c r="P197" i="29"/>
  <c r="P196" i="26"/>
  <c r="P193" i="26"/>
  <c r="P195" i="26"/>
  <c r="P197" i="26"/>
  <c r="P319" i="26" s="1"/>
  <c r="P194" i="26"/>
  <c r="P195" i="28"/>
  <c r="P263" i="28"/>
  <c r="P264" i="28"/>
  <c r="P262" i="28"/>
  <c r="P194" i="28"/>
  <c r="P193" i="28"/>
  <c r="O78" i="28"/>
  <c r="O79" i="28"/>
  <c r="O77" i="28"/>
  <c r="R198" i="28"/>
  <c r="R196" i="28"/>
  <c r="R197" i="28"/>
  <c r="R195" i="28"/>
  <c r="AL68" i="27"/>
  <c r="AK68" i="27" s="1"/>
  <c r="AJ68" i="27" s="1"/>
  <c r="S129" i="27"/>
  <c r="S155" i="27"/>
  <c r="AJ140" i="27"/>
  <c r="AJ108" i="27"/>
  <c r="T129" i="27"/>
  <c r="AL80" i="27"/>
  <c r="AK80" i="27" s="1"/>
  <c r="AJ80" i="27" s="1"/>
  <c r="T155" i="27"/>
  <c r="AJ59" i="27"/>
  <c r="AJ116" i="27"/>
  <c r="AJ95" i="27"/>
  <c r="AJ92" i="27"/>
  <c r="AJ129" i="27"/>
  <c r="AJ46" i="27"/>
  <c r="AJ48" i="27"/>
  <c r="AJ143" i="27"/>
  <c r="AJ106" i="27"/>
  <c r="AJ107" i="27"/>
  <c r="AJ56" i="27"/>
  <c r="AJ119" i="27"/>
  <c r="AJ93" i="27"/>
  <c r="AJ97" i="27"/>
  <c r="AJ128" i="27"/>
  <c r="AJ52" i="27"/>
  <c r="AJ50" i="27"/>
  <c r="AJ141" i="27"/>
  <c r="AJ104" i="27"/>
  <c r="AJ58" i="27"/>
  <c r="AJ61" i="27"/>
  <c r="AJ118" i="27"/>
  <c r="AJ96" i="27"/>
  <c r="AJ49" i="27"/>
  <c r="AJ47" i="27"/>
  <c r="AJ45" i="27"/>
  <c r="AJ44" i="27"/>
  <c r="Q196" i="27" s="1"/>
  <c r="S270" i="29"/>
  <c r="S271" i="29"/>
  <c r="P263" i="29"/>
  <c r="P265" i="29"/>
  <c r="P262" i="29"/>
  <c r="P264" i="29"/>
  <c r="P196" i="29"/>
  <c r="T228" i="29"/>
  <c r="T229" i="29"/>
  <c r="AJ60" i="2"/>
  <c r="AJ117" i="2"/>
  <c r="AJ92" i="2"/>
  <c r="P297" i="2" s="1"/>
  <c r="AJ104" i="2"/>
  <c r="AJ57" i="2"/>
  <c r="AJ116" i="2"/>
  <c r="AJ94" i="2"/>
  <c r="AJ51" i="2"/>
  <c r="AJ109" i="2"/>
  <c r="AJ105" i="29"/>
  <c r="AJ56" i="29"/>
  <c r="R264" i="29" s="1"/>
  <c r="AJ117" i="29"/>
  <c r="AJ51" i="29"/>
  <c r="AJ61" i="29"/>
  <c r="AJ46" i="2"/>
  <c r="AJ48" i="2"/>
  <c r="AJ58" i="29"/>
  <c r="AJ57" i="29"/>
  <c r="AJ118" i="29"/>
  <c r="AJ92" i="29"/>
  <c r="AJ50" i="29"/>
  <c r="AJ49" i="29"/>
  <c r="AJ107" i="29"/>
  <c r="AJ128" i="29"/>
  <c r="AJ46" i="29"/>
  <c r="AJ53" i="29"/>
  <c r="S129" i="29"/>
  <c r="AL68" i="29"/>
  <c r="AK68" i="29" s="1"/>
  <c r="AJ68" i="29" s="1"/>
  <c r="S155" i="29"/>
  <c r="AJ106" i="29"/>
  <c r="T129" i="29"/>
  <c r="AL80" i="29"/>
  <c r="AK80" i="29" s="1"/>
  <c r="AJ81" i="29" s="1"/>
  <c r="T155" i="29"/>
  <c r="AJ60" i="29"/>
  <c r="AJ116" i="29"/>
  <c r="AJ95" i="29"/>
  <c r="AJ94" i="29"/>
  <c r="P297" i="29" s="1"/>
  <c r="AJ48" i="29"/>
  <c r="AJ45" i="29"/>
  <c r="AJ44" i="29"/>
  <c r="AJ104" i="29"/>
  <c r="AJ59" i="29"/>
  <c r="AJ119" i="29"/>
  <c r="AJ93" i="29"/>
  <c r="AJ96" i="29"/>
  <c r="AJ47" i="29"/>
  <c r="AJ52" i="29"/>
  <c r="AJ77" i="29"/>
  <c r="P262" i="2"/>
  <c r="P263" i="2"/>
  <c r="P264" i="2"/>
  <c r="P193" i="29"/>
  <c r="AJ143" i="2"/>
  <c r="AJ107" i="2"/>
  <c r="AJ56" i="2"/>
  <c r="R264" i="2" s="1"/>
  <c r="AJ118" i="2"/>
  <c r="AJ93" i="2"/>
  <c r="AJ96" i="2"/>
  <c r="AJ50" i="2"/>
  <c r="AJ45" i="2"/>
  <c r="AJ44" i="2"/>
  <c r="P195" i="29"/>
  <c r="S129" i="2"/>
  <c r="AL68" i="2"/>
  <c r="AK68" i="2" s="1"/>
  <c r="AJ68" i="2" s="1"/>
  <c r="S155" i="2"/>
  <c r="AJ105" i="2"/>
  <c r="AJ49" i="2"/>
  <c r="P194" i="29"/>
  <c r="AJ141" i="2"/>
  <c r="AJ108" i="2"/>
  <c r="T129" i="2"/>
  <c r="AL80" i="2"/>
  <c r="AK80" i="2" s="1"/>
  <c r="T155" i="2"/>
  <c r="AJ53" i="2"/>
  <c r="O78" i="29"/>
  <c r="O79" i="29"/>
  <c r="O77" i="29"/>
  <c r="AJ140" i="2"/>
  <c r="AJ106" i="2"/>
  <c r="AJ59" i="2"/>
  <c r="AJ58" i="2"/>
  <c r="AJ95" i="2"/>
  <c r="AJ97" i="2"/>
  <c r="AJ47" i="2"/>
  <c r="AJ52" i="2"/>
  <c r="P196" i="2"/>
  <c r="P318" i="2" s="1"/>
  <c r="O78" i="2"/>
  <c r="O79" i="2"/>
  <c r="O77" i="2"/>
  <c r="O85" i="29"/>
  <c r="P195" i="2"/>
  <c r="P193" i="2"/>
  <c r="P194" i="2"/>
  <c r="O85" i="2"/>
  <c r="P193" i="30"/>
  <c r="P315" i="30" s="1"/>
  <c r="O78" i="30"/>
  <c r="O79" i="30"/>
  <c r="O77" i="30"/>
  <c r="P194" i="30"/>
  <c r="P316" i="30" s="1"/>
  <c r="P195" i="30"/>
  <c r="P317" i="30" s="1"/>
  <c r="P197" i="30"/>
  <c r="P319" i="30" s="1"/>
  <c r="P196" i="30"/>
  <c r="P318" i="30" s="1"/>
  <c r="AJ130" i="30"/>
  <c r="AJ116" i="30"/>
  <c r="AJ141" i="30"/>
  <c r="AJ109" i="30"/>
  <c r="AJ93" i="30"/>
  <c r="AJ128" i="30"/>
  <c r="AJ131" i="30"/>
  <c r="AJ140" i="30"/>
  <c r="AJ117" i="30"/>
  <c r="AJ95" i="30"/>
  <c r="AJ53" i="30"/>
  <c r="AJ121" i="30"/>
  <c r="AJ97" i="30"/>
  <c r="AJ52" i="30"/>
  <c r="AJ108" i="30"/>
  <c r="AJ119" i="30"/>
  <c r="AJ120" i="30"/>
  <c r="AJ129" i="30"/>
  <c r="AJ143" i="30"/>
  <c r="AJ107" i="30"/>
  <c r="AJ104" i="30"/>
  <c r="AJ49" i="30"/>
  <c r="AJ56" i="30"/>
  <c r="AJ118" i="30"/>
  <c r="AJ96" i="30"/>
  <c r="AJ142" i="30"/>
  <c r="AJ106" i="30"/>
  <c r="O85" i="30"/>
  <c r="AL80" i="30"/>
  <c r="AK80" i="30" s="1"/>
  <c r="AJ80" i="30" s="1"/>
  <c r="T129" i="30"/>
  <c r="T155" i="30"/>
  <c r="AJ51" i="30"/>
  <c r="AJ60" i="30"/>
  <c r="AJ105" i="30"/>
  <c r="AJ46" i="30"/>
  <c r="AJ50" i="30"/>
  <c r="AJ59" i="30"/>
  <c r="AJ94" i="30"/>
  <c r="AL68" i="30"/>
  <c r="AK68" i="30" s="1"/>
  <c r="AJ68" i="30" s="1"/>
  <c r="S129" i="30"/>
  <c r="S155" i="30"/>
  <c r="AJ45" i="30"/>
  <c r="AJ44" i="30"/>
  <c r="AJ48" i="30"/>
  <c r="AJ58" i="30"/>
  <c r="AJ47" i="30"/>
  <c r="AJ57" i="30"/>
  <c r="R263" i="30" s="1"/>
  <c r="AJ61" i="30"/>
  <c r="AJ92" i="30"/>
  <c r="D38" i="4"/>
  <c r="D42" i="4"/>
  <c r="D46" i="4"/>
  <c r="D50" i="4"/>
  <c r="D39" i="4"/>
  <c r="D43" i="4"/>
  <c r="D47" i="4"/>
  <c r="D51" i="4"/>
  <c r="D36" i="4"/>
  <c r="D40" i="4"/>
  <c r="D44" i="4"/>
  <c r="D48" i="4"/>
  <c r="D52" i="4"/>
  <c r="D37" i="4"/>
  <c r="D41" i="4"/>
  <c r="D45" i="4"/>
  <c r="D49" i="4"/>
  <c r="D53" i="4"/>
  <c r="R263" i="28" l="1"/>
  <c r="S229" i="2"/>
  <c r="P316" i="25"/>
  <c r="Q195" i="30"/>
  <c r="Q196" i="30"/>
  <c r="S229" i="28"/>
  <c r="R197" i="26"/>
  <c r="Q195" i="28"/>
  <c r="P295" i="25"/>
  <c r="P315" i="23"/>
  <c r="Q195" i="25"/>
  <c r="T228" i="22"/>
  <c r="P296" i="29"/>
  <c r="T228" i="28"/>
  <c r="P230" i="24"/>
  <c r="P295" i="24"/>
  <c r="S229" i="24"/>
  <c r="P315" i="21"/>
  <c r="R229" i="2"/>
  <c r="P296" i="26"/>
  <c r="Q196" i="29"/>
  <c r="Q197" i="29"/>
  <c r="R196" i="26"/>
  <c r="T229" i="22"/>
  <c r="R229" i="22"/>
  <c r="R195" i="24"/>
  <c r="R196" i="24"/>
  <c r="R198" i="24"/>
  <c r="R263" i="22"/>
  <c r="P295" i="2"/>
  <c r="P296" i="2"/>
  <c r="Q196" i="21"/>
  <c r="P319" i="2"/>
  <c r="S229" i="22"/>
  <c r="Q195" i="29"/>
  <c r="S229" i="23"/>
  <c r="R263" i="27"/>
  <c r="P319" i="25"/>
  <c r="P230" i="28"/>
  <c r="P297" i="28"/>
  <c r="Q196" i="23"/>
  <c r="Q195" i="23"/>
  <c r="R263" i="24"/>
  <c r="R264" i="24"/>
  <c r="R263" i="2"/>
  <c r="P317" i="23"/>
  <c r="Q263" i="23"/>
  <c r="P318" i="23"/>
  <c r="P296" i="23"/>
  <c r="R195" i="26"/>
  <c r="P318" i="24"/>
  <c r="Q229" i="23"/>
  <c r="T228" i="23"/>
  <c r="S228" i="23"/>
  <c r="Q195" i="22"/>
  <c r="Q196" i="25"/>
  <c r="Q263" i="28"/>
  <c r="Q197" i="25"/>
  <c r="P319" i="27"/>
  <c r="R263" i="23"/>
  <c r="P295" i="23"/>
  <c r="P317" i="21"/>
  <c r="Q230" i="28"/>
  <c r="T228" i="26"/>
  <c r="P315" i="25"/>
  <c r="P317" i="25"/>
  <c r="P318" i="25"/>
  <c r="P230" i="26"/>
  <c r="P295" i="26"/>
  <c r="Q195" i="24"/>
  <c r="R263" i="21"/>
  <c r="Q195" i="21"/>
  <c r="R196" i="22"/>
  <c r="R195" i="22"/>
  <c r="R198" i="22"/>
  <c r="R262" i="28"/>
  <c r="P315" i="27"/>
  <c r="P316" i="21"/>
  <c r="Q228" i="28"/>
  <c r="R228" i="28"/>
  <c r="S228" i="28"/>
  <c r="P317" i="24"/>
  <c r="R228" i="24"/>
  <c r="R229" i="24"/>
  <c r="R229" i="23"/>
  <c r="T229" i="23"/>
  <c r="P228" i="28"/>
  <c r="R194" i="28"/>
  <c r="P315" i="22"/>
  <c r="P318" i="22"/>
  <c r="Q262" i="23"/>
  <c r="S229" i="25"/>
  <c r="Q229" i="25"/>
  <c r="Q196" i="2"/>
  <c r="Q195" i="2"/>
  <c r="R196" i="25"/>
  <c r="AJ82" i="28"/>
  <c r="P230" i="2"/>
  <c r="Q230" i="21"/>
  <c r="Q229" i="26"/>
  <c r="R262" i="22"/>
  <c r="P230" i="29"/>
  <c r="P316" i="27"/>
  <c r="R262" i="26"/>
  <c r="S228" i="22"/>
  <c r="P230" i="23"/>
  <c r="Q230" i="22"/>
  <c r="Q229" i="29"/>
  <c r="R228" i="2"/>
  <c r="P319" i="29"/>
  <c r="P316" i="26"/>
  <c r="P318" i="26"/>
  <c r="R262" i="23"/>
  <c r="R195" i="23"/>
  <c r="Q262" i="22"/>
  <c r="P316" i="22"/>
  <c r="R262" i="2"/>
  <c r="P229" i="28"/>
  <c r="T228" i="24"/>
  <c r="Q230" i="24"/>
  <c r="Q195" i="26"/>
  <c r="Q262" i="2"/>
  <c r="P316" i="2"/>
  <c r="Q262" i="24"/>
  <c r="R229" i="26"/>
  <c r="AJ75" i="28"/>
  <c r="AJ77" i="28"/>
  <c r="AJ84" i="28"/>
  <c r="P319" i="21"/>
  <c r="Q194" i="28"/>
  <c r="P317" i="27"/>
  <c r="Q228" i="29"/>
  <c r="P230" i="21"/>
  <c r="R195" i="27"/>
  <c r="R196" i="27"/>
  <c r="Q263" i="24"/>
  <c r="P228" i="24"/>
  <c r="P297" i="24"/>
  <c r="P316" i="28"/>
  <c r="R195" i="21"/>
  <c r="R196" i="21"/>
  <c r="S228" i="25"/>
  <c r="AJ85" i="27"/>
  <c r="P317" i="22"/>
  <c r="Q263" i="22"/>
  <c r="R229" i="27"/>
  <c r="P229" i="24"/>
  <c r="Q193" i="23"/>
  <c r="R194" i="23"/>
  <c r="P317" i="26"/>
  <c r="Q262" i="26"/>
  <c r="R263" i="26"/>
  <c r="P315" i="26"/>
  <c r="P230" i="25"/>
  <c r="Q263" i="21"/>
  <c r="P228" i="23"/>
  <c r="P229" i="23"/>
  <c r="Q262" i="25"/>
  <c r="Q263" i="25"/>
  <c r="R262" i="25"/>
  <c r="R263" i="25"/>
  <c r="AJ85" i="22"/>
  <c r="Q230" i="2"/>
  <c r="Q230" i="23"/>
  <c r="AJ76" i="23"/>
  <c r="Q194" i="25"/>
  <c r="AJ75" i="22"/>
  <c r="P230" i="22"/>
  <c r="R229" i="29"/>
  <c r="Q230" i="29"/>
  <c r="Q193" i="28"/>
  <c r="O18" i="28" s="1"/>
  <c r="R262" i="21"/>
  <c r="R264" i="21"/>
  <c r="P229" i="25"/>
  <c r="T228" i="25"/>
  <c r="R228" i="25"/>
  <c r="Q228" i="25"/>
  <c r="P315" i="28"/>
  <c r="P317" i="28"/>
  <c r="P295" i="28"/>
  <c r="P296" i="28"/>
  <c r="AJ80" i="21"/>
  <c r="AJ85" i="21"/>
  <c r="R193" i="23"/>
  <c r="AJ85" i="23"/>
  <c r="Q194" i="26"/>
  <c r="P228" i="29"/>
  <c r="AJ74" i="29"/>
  <c r="AJ81" i="26"/>
  <c r="T195" i="26" s="1"/>
  <c r="AJ74" i="28"/>
  <c r="Q230" i="25"/>
  <c r="R262" i="24"/>
  <c r="Q228" i="23"/>
  <c r="AJ77" i="23"/>
  <c r="AJ74" i="23"/>
  <c r="AJ72" i="23"/>
  <c r="R194" i="24"/>
  <c r="R193" i="24"/>
  <c r="Q228" i="26"/>
  <c r="Q195" i="27"/>
  <c r="AJ81" i="28"/>
  <c r="AJ70" i="28"/>
  <c r="AJ71" i="28"/>
  <c r="AJ72" i="28"/>
  <c r="R193" i="28"/>
  <c r="O19" i="28" s="1"/>
  <c r="AJ84" i="27"/>
  <c r="AJ83" i="27"/>
  <c r="AJ82" i="27"/>
  <c r="T229" i="25"/>
  <c r="P317" i="2"/>
  <c r="Q263" i="2"/>
  <c r="P315" i="2"/>
  <c r="R229" i="25"/>
  <c r="P228" i="25"/>
  <c r="P317" i="29"/>
  <c r="P228" i="2"/>
  <c r="AJ84" i="24"/>
  <c r="P316" i="24"/>
  <c r="P319" i="24"/>
  <c r="AJ85" i="24"/>
  <c r="Q263" i="26"/>
  <c r="S228" i="21"/>
  <c r="S229" i="21"/>
  <c r="T228" i="21"/>
  <c r="Q194" i="24"/>
  <c r="AJ82" i="21"/>
  <c r="AJ80" i="28"/>
  <c r="AJ85" i="28"/>
  <c r="AJ69" i="28"/>
  <c r="S269" i="28" s="1"/>
  <c r="R229" i="28"/>
  <c r="Q262" i="21"/>
  <c r="P296" i="21"/>
  <c r="AJ83" i="24"/>
  <c r="AJ77" i="22"/>
  <c r="AJ76" i="22"/>
  <c r="R228" i="22"/>
  <c r="P318" i="28"/>
  <c r="Q262" i="28"/>
  <c r="AJ73" i="21"/>
  <c r="AJ81" i="21"/>
  <c r="AJ83" i="21"/>
  <c r="AJ84" i="21"/>
  <c r="AJ73" i="23"/>
  <c r="Q194" i="23"/>
  <c r="AJ75" i="23"/>
  <c r="R228" i="23"/>
  <c r="P315" i="29"/>
  <c r="AJ82" i="29"/>
  <c r="R262" i="29"/>
  <c r="AJ70" i="29"/>
  <c r="P295" i="29"/>
  <c r="AJ73" i="29"/>
  <c r="AJ73" i="27"/>
  <c r="AJ80" i="25"/>
  <c r="AJ85" i="25"/>
  <c r="AJ69" i="25"/>
  <c r="O19" i="24"/>
  <c r="AJ70" i="26"/>
  <c r="AJ73" i="2"/>
  <c r="P228" i="26"/>
  <c r="R194" i="26"/>
  <c r="R193" i="26"/>
  <c r="AJ85" i="26"/>
  <c r="R228" i="26"/>
  <c r="R193" i="25"/>
  <c r="O19" i="25" s="1"/>
  <c r="AJ69" i="23"/>
  <c r="AJ74" i="22"/>
  <c r="AJ69" i="22"/>
  <c r="AJ70" i="25"/>
  <c r="AJ77" i="25"/>
  <c r="AJ74" i="25"/>
  <c r="AJ71" i="25"/>
  <c r="R194" i="25"/>
  <c r="AJ76" i="25"/>
  <c r="Q193" i="25"/>
  <c r="AJ73" i="25"/>
  <c r="AJ72" i="25"/>
  <c r="AJ71" i="22"/>
  <c r="AJ70" i="24"/>
  <c r="AJ72" i="24"/>
  <c r="AJ82" i="24"/>
  <c r="AJ81" i="24"/>
  <c r="O20" i="24"/>
  <c r="P315" i="24"/>
  <c r="AJ74" i="24"/>
  <c r="AJ75" i="24"/>
  <c r="AJ73" i="24"/>
  <c r="AJ77" i="24"/>
  <c r="Q193" i="24"/>
  <c r="O18" i="24" s="1"/>
  <c r="AJ71" i="24"/>
  <c r="AJ76" i="24"/>
  <c r="Q229" i="24"/>
  <c r="Q228" i="24"/>
  <c r="AJ69" i="24"/>
  <c r="S269" i="24" s="1"/>
  <c r="AJ81" i="22"/>
  <c r="T195" i="22" s="1"/>
  <c r="AJ82" i="22"/>
  <c r="AJ84" i="22"/>
  <c r="Q228" i="22"/>
  <c r="Q229" i="22"/>
  <c r="AJ83" i="22"/>
  <c r="Q230" i="26"/>
  <c r="P229" i="26"/>
  <c r="Q229" i="28"/>
  <c r="S229" i="26"/>
  <c r="S228" i="26"/>
  <c r="AJ76" i="28"/>
  <c r="Q193" i="26"/>
  <c r="O18" i="26" s="1"/>
  <c r="AJ73" i="28"/>
  <c r="O20" i="22"/>
  <c r="AJ81" i="25"/>
  <c r="AJ84" i="25"/>
  <c r="AJ83" i="25"/>
  <c r="AJ75" i="25"/>
  <c r="O20" i="21"/>
  <c r="Q263" i="27"/>
  <c r="AJ81" i="23"/>
  <c r="T195" i="23" s="1"/>
  <c r="AJ84" i="23"/>
  <c r="AJ82" i="23"/>
  <c r="AJ83" i="23"/>
  <c r="AJ70" i="23"/>
  <c r="Q194" i="2"/>
  <c r="P229" i="2"/>
  <c r="Q262" i="27"/>
  <c r="R262" i="27"/>
  <c r="P230" i="27"/>
  <c r="P295" i="27"/>
  <c r="P296" i="27"/>
  <c r="AJ70" i="22"/>
  <c r="P228" i="22"/>
  <c r="P229" i="22"/>
  <c r="AJ72" i="22"/>
  <c r="AJ73" i="22"/>
  <c r="R194" i="22"/>
  <c r="R193" i="22"/>
  <c r="O19" i="22" s="1"/>
  <c r="Q193" i="22"/>
  <c r="O18" i="22" s="1"/>
  <c r="Q194" i="22"/>
  <c r="R229" i="21"/>
  <c r="R228" i="21"/>
  <c r="AJ75" i="21"/>
  <c r="Q194" i="21"/>
  <c r="Q193" i="21"/>
  <c r="O18" i="21" s="1"/>
  <c r="AJ72" i="21"/>
  <c r="R194" i="21"/>
  <c r="R193" i="21"/>
  <c r="O19" i="21" s="1"/>
  <c r="AJ71" i="21"/>
  <c r="AJ69" i="2"/>
  <c r="S269" i="2" s="1"/>
  <c r="AJ72" i="2"/>
  <c r="Q229" i="21"/>
  <c r="Q228" i="21"/>
  <c r="AJ70" i="21"/>
  <c r="AJ76" i="21"/>
  <c r="AJ69" i="21"/>
  <c r="S262" i="21" s="1"/>
  <c r="P229" i="21"/>
  <c r="P228" i="21"/>
  <c r="AJ74" i="21"/>
  <c r="AJ77" i="21"/>
  <c r="AJ77" i="26"/>
  <c r="O20" i="27"/>
  <c r="R228" i="29"/>
  <c r="AJ80" i="29"/>
  <c r="AJ85" i="29"/>
  <c r="Q263" i="29"/>
  <c r="P318" i="29"/>
  <c r="Q262" i="29"/>
  <c r="O18" i="23"/>
  <c r="O19" i="23"/>
  <c r="O20" i="23"/>
  <c r="R263" i="29"/>
  <c r="AJ76" i="27"/>
  <c r="AJ75" i="27"/>
  <c r="AJ71" i="27"/>
  <c r="R193" i="29"/>
  <c r="R195" i="29"/>
  <c r="R196" i="29"/>
  <c r="AJ69" i="27"/>
  <c r="AJ74" i="27"/>
  <c r="AJ70" i="27"/>
  <c r="AJ81" i="27"/>
  <c r="R194" i="29"/>
  <c r="Q193" i="29"/>
  <c r="AJ84" i="26"/>
  <c r="AJ73" i="26"/>
  <c r="AJ69" i="26"/>
  <c r="AJ83" i="26"/>
  <c r="AJ74" i="26"/>
  <c r="AJ72" i="26"/>
  <c r="AJ82" i="26"/>
  <c r="AJ76" i="26"/>
  <c r="AJ71" i="26"/>
  <c r="AJ75" i="26"/>
  <c r="O20" i="25"/>
  <c r="O18" i="25"/>
  <c r="O20" i="28"/>
  <c r="O20" i="26"/>
  <c r="O19" i="26"/>
  <c r="S229" i="27"/>
  <c r="S228" i="27"/>
  <c r="R193" i="27"/>
  <c r="O19" i="27" s="1"/>
  <c r="R194" i="27"/>
  <c r="Q193" i="27"/>
  <c r="O18" i="27" s="1"/>
  <c r="Q194" i="27"/>
  <c r="P229" i="27"/>
  <c r="P228" i="27"/>
  <c r="Q230" i="27"/>
  <c r="Q228" i="27"/>
  <c r="Q229" i="27"/>
  <c r="T228" i="27"/>
  <c r="T229" i="27"/>
  <c r="R228" i="27"/>
  <c r="AJ72" i="27"/>
  <c r="AJ77" i="27"/>
  <c r="AJ80" i="2"/>
  <c r="AJ85" i="2"/>
  <c r="AJ71" i="2"/>
  <c r="Q228" i="2"/>
  <c r="AJ76" i="2"/>
  <c r="Q229" i="2"/>
  <c r="AJ74" i="2"/>
  <c r="AJ77" i="2"/>
  <c r="P229" i="29"/>
  <c r="AJ84" i="29"/>
  <c r="AJ75" i="29"/>
  <c r="R193" i="2"/>
  <c r="Q193" i="2"/>
  <c r="AJ70" i="2"/>
  <c r="O19" i="29"/>
  <c r="AJ83" i="29"/>
  <c r="AJ72" i="29"/>
  <c r="Q194" i="29"/>
  <c r="AJ71" i="29"/>
  <c r="O20" i="29"/>
  <c r="P316" i="29"/>
  <c r="AJ76" i="29"/>
  <c r="S228" i="29"/>
  <c r="S229" i="29"/>
  <c r="AJ69" i="29"/>
  <c r="S268" i="29" s="1"/>
  <c r="AJ75" i="2"/>
  <c r="T228" i="2"/>
  <c r="T229" i="2"/>
  <c r="AJ82" i="2"/>
  <c r="O18" i="29"/>
  <c r="R194" i="2"/>
  <c r="AJ81" i="2"/>
  <c r="AJ83" i="2"/>
  <c r="AJ84" i="2"/>
  <c r="O20" i="2"/>
  <c r="O19" i="2"/>
  <c r="O18" i="2"/>
  <c r="Q100" i="2" s="1"/>
  <c r="O20" i="30"/>
  <c r="R228" i="30"/>
  <c r="T229" i="30"/>
  <c r="AJ81" i="30"/>
  <c r="R229" i="30"/>
  <c r="AJ82" i="30"/>
  <c r="T228" i="30"/>
  <c r="AJ84" i="30"/>
  <c r="AJ83" i="30"/>
  <c r="AJ77" i="30"/>
  <c r="S228" i="30"/>
  <c r="AJ76" i="30"/>
  <c r="Q194" i="30"/>
  <c r="Q229" i="30"/>
  <c r="Q230" i="30"/>
  <c r="S229" i="30"/>
  <c r="Q228" i="30"/>
  <c r="R193" i="30"/>
  <c r="O19" i="30" s="1"/>
  <c r="R194" i="30"/>
  <c r="AJ74" i="30"/>
  <c r="AJ73" i="30"/>
  <c r="AJ75" i="30"/>
  <c r="R262" i="30"/>
  <c r="Q262" i="30"/>
  <c r="Q263" i="30"/>
  <c r="AJ69" i="30"/>
  <c r="P228" i="30"/>
  <c r="P230" i="30"/>
  <c r="P229" i="30"/>
  <c r="AJ70" i="30"/>
  <c r="Q193" i="30"/>
  <c r="O18" i="30" s="1"/>
  <c r="AJ85" i="30"/>
  <c r="P155" i="30"/>
  <c r="B155" i="30" s="1"/>
  <c r="P129" i="30"/>
  <c r="B129" i="30" s="1"/>
  <c r="AJ72" i="30"/>
  <c r="AJ71" i="30"/>
  <c r="B4" i="14"/>
  <c r="E34" i="14"/>
  <c r="S267" i="25" l="1"/>
  <c r="T262" i="27"/>
  <c r="T195" i="27"/>
  <c r="S269" i="29"/>
  <c r="S266" i="26"/>
  <c r="T264" i="26"/>
  <c r="S268" i="2"/>
  <c r="T264" i="29"/>
  <c r="T195" i="29"/>
  <c r="S264" i="25"/>
  <c r="T263" i="24"/>
  <c r="T195" i="21"/>
  <c r="T264" i="24"/>
  <c r="T264" i="22"/>
  <c r="T264" i="27"/>
  <c r="P129" i="23"/>
  <c r="B129" i="23" s="1"/>
  <c r="P155" i="23"/>
  <c r="B155" i="23" s="1"/>
  <c r="Q100" i="30"/>
  <c r="Q99" i="30"/>
  <c r="Q97" i="30"/>
  <c r="Q98" i="30"/>
  <c r="Q100" i="29"/>
  <c r="Q98" i="29"/>
  <c r="Q97" i="29"/>
  <c r="Q99" i="29"/>
  <c r="Q100" i="28"/>
  <c r="Q97" i="28"/>
  <c r="Q98" i="28"/>
  <c r="Q99" i="28"/>
  <c r="Q100" i="27"/>
  <c r="Q98" i="27"/>
  <c r="Q99" i="27"/>
  <c r="Q97" i="27"/>
  <c r="S265" i="23"/>
  <c r="T263" i="23"/>
  <c r="Q100" i="26"/>
  <c r="Q98" i="26"/>
  <c r="Q99" i="26"/>
  <c r="Q97" i="26"/>
  <c r="Q100" i="25"/>
  <c r="Q99" i="25"/>
  <c r="Q97" i="25"/>
  <c r="Q98" i="25"/>
  <c r="Q100" i="24"/>
  <c r="Q98" i="24"/>
  <c r="Q97" i="24"/>
  <c r="Q99" i="24"/>
  <c r="Q100" i="23"/>
  <c r="Q99" i="23"/>
  <c r="Q97" i="23"/>
  <c r="Q98" i="23"/>
  <c r="Q100" i="22"/>
  <c r="Q97" i="22"/>
  <c r="Q98" i="22"/>
  <c r="Q99" i="22"/>
  <c r="Q100" i="21"/>
  <c r="Q97" i="21"/>
  <c r="Q98" i="21"/>
  <c r="Q99" i="21"/>
  <c r="T262" i="21"/>
  <c r="T263" i="21"/>
  <c r="T264" i="2"/>
  <c r="T195" i="2"/>
  <c r="S266" i="25"/>
  <c r="T264" i="25"/>
  <c r="T263" i="25"/>
  <c r="T262" i="25"/>
  <c r="S263" i="25"/>
  <c r="S265" i="25"/>
  <c r="S267" i="23"/>
  <c r="S268" i="23"/>
  <c r="S263" i="23"/>
  <c r="S266" i="23"/>
  <c r="T262" i="23"/>
  <c r="P155" i="25"/>
  <c r="B155" i="25" s="1"/>
  <c r="P129" i="25"/>
  <c r="B129" i="25" s="1"/>
  <c r="T263" i="26"/>
  <c r="T194" i="27"/>
  <c r="S267" i="27"/>
  <c r="P155" i="21"/>
  <c r="B155" i="21" s="1"/>
  <c r="S265" i="28"/>
  <c r="T195" i="28"/>
  <c r="T263" i="28"/>
  <c r="S268" i="28"/>
  <c r="P155" i="27"/>
  <c r="B155" i="27" s="1"/>
  <c r="S262" i="25"/>
  <c r="S202" i="28"/>
  <c r="S264" i="22"/>
  <c r="T263" i="22"/>
  <c r="S268" i="24"/>
  <c r="S264" i="2"/>
  <c r="S265" i="2"/>
  <c r="T193" i="22"/>
  <c r="T262" i="22"/>
  <c r="S263" i="22"/>
  <c r="S263" i="26"/>
  <c r="S265" i="26"/>
  <c r="S267" i="26"/>
  <c r="P155" i="22"/>
  <c r="B155" i="22" s="1"/>
  <c r="P129" i="27"/>
  <c r="B129" i="27" s="1"/>
  <c r="P129" i="21"/>
  <c r="B129" i="21" s="1"/>
  <c r="S201" i="22"/>
  <c r="T194" i="21"/>
  <c r="S262" i="27"/>
  <c r="T263" i="27"/>
  <c r="T193" i="29"/>
  <c r="S199" i="27"/>
  <c r="T193" i="21"/>
  <c r="P129" i="22"/>
  <c r="B129" i="22" s="1"/>
  <c r="S264" i="23"/>
  <c r="S262" i="23"/>
  <c r="S262" i="24"/>
  <c r="T193" i="26"/>
  <c r="S262" i="22"/>
  <c r="S266" i="22"/>
  <c r="S265" i="22"/>
  <c r="S267" i="22"/>
  <c r="P155" i="26"/>
  <c r="B155" i="26" s="1"/>
  <c r="T262" i="26"/>
  <c r="S262" i="26"/>
  <c r="P129" i="26"/>
  <c r="B129" i="26" s="1"/>
  <c r="S264" i="26"/>
  <c r="P155" i="28"/>
  <c r="B155" i="28" s="1"/>
  <c r="S202" i="24"/>
  <c r="S194" i="25"/>
  <c r="S199" i="29"/>
  <c r="S266" i="28"/>
  <c r="S263" i="28"/>
  <c r="S267" i="28"/>
  <c r="S264" i="28"/>
  <c r="S196" i="28"/>
  <c r="S200" i="23"/>
  <c r="T194" i="24"/>
  <c r="S200" i="21"/>
  <c r="S194" i="28"/>
  <c r="P129" i="2"/>
  <c r="B129" i="2" s="1"/>
  <c r="T262" i="28"/>
  <c r="T194" i="28"/>
  <c r="T193" i="28"/>
  <c r="P155" i="2"/>
  <c r="B155" i="2" s="1"/>
  <c r="T195" i="24"/>
  <c r="S193" i="28"/>
  <c r="S201" i="28"/>
  <c r="S199" i="28"/>
  <c r="S200" i="25"/>
  <c r="T193" i="27"/>
  <c r="S264" i="29"/>
  <c r="T262" i="29"/>
  <c r="T263" i="29"/>
  <c r="P129" i="28"/>
  <c r="B129" i="28" s="1"/>
  <c r="S201" i="24"/>
  <c r="S263" i="24"/>
  <c r="S267" i="24"/>
  <c r="S264" i="24"/>
  <c r="S265" i="24"/>
  <c r="S266" i="24"/>
  <c r="T262" i="24"/>
  <c r="S199" i="21"/>
  <c r="S262" i="2"/>
  <c r="T262" i="2"/>
  <c r="T263" i="2"/>
  <c r="S266" i="2"/>
  <c r="S267" i="2"/>
  <c r="S263" i="2"/>
  <c r="T194" i="25"/>
  <c r="T195" i="25"/>
  <c r="S198" i="28"/>
  <c r="S200" i="28"/>
  <c r="S263" i="21"/>
  <c r="S267" i="21"/>
  <c r="S268" i="21"/>
  <c r="S266" i="21"/>
  <c r="S265" i="21"/>
  <c r="S264" i="21"/>
  <c r="T194" i="22"/>
  <c r="S262" i="28"/>
  <c r="S196" i="2"/>
  <c r="S267" i="29"/>
  <c r="S262" i="29"/>
  <c r="S263" i="29"/>
  <c r="S265" i="29"/>
  <c r="S266" i="29"/>
  <c r="S201" i="25"/>
  <c r="S198" i="25"/>
  <c r="S201" i="2"/>
  <c r="T123" i="24"/>
  <c r="P133" i="24"/>
  <c r="S198" i="22"/>
  <c r="S195" i="22"/>
  <c r="Q125" i="22"/>
  <c r="Q128" i="24"/>
  <c r="T193" i="23"/>
  <c r="S195" i="23"/>
  <c r="T194" i="23"/>
  <c r="AT31" i="22"/>
  <c r="S196" i="25"/>
  <c r="T193" i="25"/>
  <c r="S199" i="25"/>
  <c r="S195" i="25"/>
  <c r="S202" i="25"/>
  <c r="S193" i="22"/>
  <c r="P155" i="24"/>
  <c r="B155" i="24" s="1"/>
  <c r="P129" i="24"/>
  <c r="B129" i="24" s="1"/>
  <c r="Q122" i="24"/>
  <c r="P134" i="24"/>
  <c r="Q121" i="24"/>
  <c r="S120" i="24"/>
  <c r="Q127" i="24"/>
  <c r="S198" i="24"/>
  <c r="S195" i="24"/>
  <c r="S194" i="24"/>
  <c r="S199" i="24"/>
  <c r="S193" i="24"/>
  <c r="S196" i="24"/>
  <c r="S197" i="24"/>
  <c r="T193" i="24"/>
  <c r="Q120" i="24"/>
  <c r="AT31" i="24"/>
  <c r="T122" i="24"/>
  <c r="S121" i="22"/>
  <c r="S200" i="24"/>
  <c r="S202" i="22"/>
  <c r="Q120" i="22"/>
  <c r="S199" i="22"/>
  <c r="S120" i="22"/>
  <c r="S197" i="22"/>
  <c r="S196" i="22"/>
  <c r="Q123" i="22"/>
  <c r="R121" i="22"/>
  <c r="Q124" i="22"/>
  <c r="Q129" i="22"/>
  <c r="T121" i="22"/>
  <c r="Q122" i="22"/>
  <c r="S122" i="22"/>
  <c r="T120" i="22"/>
  <c r="Q127" i="22"/>
  <c r="T122" i="22"/>
  <c r="P134" i="22"/>
  <c r="Q121" i="22"/>
  <c r="T123" i="22"/>
  <c r="S197" i="28"/>
  <c r="Q128" i="22"/>
  <c r="R120" i="22"/>
  <c r="Q126" i="22"/>
  <c r="AT30" i="22"/>
  <c r="P133" i="22"/>
  <c r="S195" i="28"/>
  <c r="P155" i="29"/>
  <c r="B155" i="29" s="1"/>
  <c r="R120" i="24"/>
  <c r="R121" i="24"/>
  <c r="Q124" i="24"/>
  <c r="Q129" i="24"/>
  <c r="S121" i="24"/>
  <c r="Q126" i="24"/>
  <c r="AT30" i="24"/>
  <c r="T121" i="24"/>
  <c r="Q123" i="24"/>
  <c r="S122" i="24"/>
  <c r="T120" i="24"/>
  <c r="Q125" i="24"/>
  <c r="S197" i="25"/>
  <c r="S193" i="25"/>
  <c r="S201" i="23"/>
  <c r="S193" i="23"/>
  <c r="S197" i="23"/>
  <c r="S196" i="23"/>
  <c r="S202" i="23"/>
  <c r="S198" i="23"/>
  <c r="S194" i="23"/>
  <c r="S199" i="23"/>
  <c r="S199" i="2"/>
  <c r="S264" i="27"/>
  <c r="S268" i="27"/>
  <c r="S265" i="27"/>
  <c r="S269" i="27"/>
  <c r="S263" i="27"/>
  <c r="S266" i="27"/>
  <c r="S194" i="22"/>
  <c r="S197" i="27"/>
  <c r="S200" i="22"/>
  <c r="S202" i="21"/>
  <c r="S198" i="21"/>
  <c r="S193" i="21"/>
  <c r="S197" i="2"/>
  <c r="S195" i="21"/>
  <c r="S122" i="21"/>
  <c r="Q125" i="21"/>
  <c r="Q127" i="21"/>
  <c r="T123" i="21"/>
  <c r="Q122" i="21"/>
  <c r="Q126" i="21"/>
  <c r="Q124" i="21"/>
  <c r="Q123" i="21"/>
  <c r="AT31" i="21"/>
  <c r="T122" i="21"/>
  <c r="AT30" i="21"/>
  <c r="Q129" i="21"/>
  <c r="Q128" i="21"/>
  <c r="R120" i="21"/>
  <c r="T120" i="21"/>
  <c r="T121" i="21"/>
  <c r="P133" i="21"/>
  <c r="S120" i="21"/>
  <c r="Q120" i="21"/>
  <c r="P134" i="21"/>
  <c r="Q121" i="21"/>
  <c r="S121" i="21"/>
  <c r="R121" i="21"/>
  <c r="S195" i="2"/>
  <c r="S197" i="21"/>
  <c r="S196" i="21"/>
  <c r="T194" i="2"/>
  <c r="S194" i="21"/>
  <c r="S201" i="21"/>
  <c r="T194" i="26"/>
  <c r="S202" i="26"/>
  <c r="S198" i="26"/>
  <c r="T194" i="29"/>
  <c r="Q127" i="23"/>
  <c r="Q124" i="23"/>
  <c r="AT30" i="23"/>
  <c r="S121" i="23"/>
  <c r="P133" i="23"/>
  <c r="S120" i="23"/>
  <c r="AT31" i="23"/>
  <c r="Q123" i="23"/>
  <c r="Q125" i="23"/>
  <c r="T122" i="23"/>
  <c r="P134" i="23"/>
  <c r="Q120" i="23"/>
  <c r="R120" i="23"/>
  <c r="Q122" i="23"/>
  <c r="T123" i="23"/>
  <c r="Q128" i="23"/>
  <c r="T121" i="23"/>
  <c r="R121" i="23"/>
  <c r="S122" i="23"/>
  <c r="T120" i="23"/>
  <c r="Q126" i="23"/>
  <c r="Q129" i="23"/>
  <c r="Q121" i="23"/>
  <c r="T123" i="28"/>
  <c r="S122" i="28"/>
  <c r="S195" i="27"/>
  <c r="S202" i="27"/>
  <c r="S200" i="27"/>
  <c r="Q124" i="28"/>
  <c r="S194" i="27"/>
  <c r="S196" i="27"/>
  <c r="Q121" i="28"/>
  <c r="Q129" i="28"/>
  <c r="R120" i="28"/>
  <c r="R121" i="28"/>
  <c r="S199" i="26"/>
  <c r="S197" i="26"/>
  <c r="S196" i="26"/>
  <c r="S194" i="26"/>
  <c r="S201" i="26"/>
  <c r="S195" i="26"/>
  <c r="S200" i="26"/>
  <c r="S193" i="26"/>
  <c r="Q126" i="28"/>
  <c r="AT31" i="28"/>
  <c r="S120" i="28"/>
  <c r="P134" i="28"/>
  <c r="P133" i="28"/>
  <c r="Q127" i="28"/>
  <c r="T121" i="28"/>
  <c r="T122" i="28"/>
  <c r="Q122" i="28"/>
  <c r="S122" i="25"/>
  <c r="Q124" i="25"/>
  <c r="Q127" i="25"/>
  <c r="Q125" i="25"/>
  <c r="Q123" i="25"/>
  <c r="T122" i="25"/>
  <c r="AT31" i="25"/>
  <c r="AT30" i="25"/>
  <c r="Q122" i="25"/>
  <c r="T123" i="25"/>
  <c r="Q126" i="25"/>
  <c r="Q129" i="25"/>
  <c r="Q128" i="25"/>
  <c r="Q120" i="25"/>
  <c r="R121" i="25"/>
  <c r="P133" i="25"/>
  <c r="T120" i="25"/>
  <c r="P134" i="25"/>
  <c r="S121" i="25"/>
  <c r="S120" i="25"/>
  <c r="T121" i="25"/>
  <c r="R120" i="25"/>
  <c r="Q121" i="25"/>
  <c r="T120" i="28"/>
  <c r="Q125" i="28"/>
  <c r="Q120" i="28"/>
  <c r="AT30" i="28"/>
  <c r="Q128" i="28"/>
  <c r="S121" i="28"/>
  <c r="Q123" i="28"/>
  <c r="Q127" i="26"/>
  <c r="Q123" i="26"/>
  <c r="Q122" i="26"/>
  <c r="Q126" i="26"/>
  <c r="Q125" i="26"/>
  <c r="Q124" i="26"/>
  <c r="T123" i="26"/>
  <c r="T122" i="26"/>
  <c r="S122" i="26"/>
  <c r="AT30" i="26"/>
  <c r="AT31" i="26"/>
  <c r="Q128" i="26"/>
  <c r="Q129" i="26"/>
  <c r="R121" i="26"/>
  <c r="T121" i="26"/>
  <c r="T120" i="26"/>
  <c r="S120" i="26"/>
  <c r="Q120" i="26"/>
  <c r="S121" i="26"/>
  <c r="P133" i="26"/>
  <c r="Q121" i="26"/>
  <c r="P134" i="26"/>
  <c r="R120" i="26"/>
  <c r="S193" i="27"/>
  <c r="S201" i="27"/>
  <c r="T193" i="2"/>
  <c r="S198" i="27"/>
  <c r="Q126" i="27"/>
  <c r="T122" i="27"/>
  <c r="Q129" i="27"/>
  <c r="P133" i="27"/>
  <c r="S121" i="27"/>
  <c r="T123" i="27"/>
  <c r="T121" i="27"/>
  <c r="Q127" i="27"/>
  <c r="Q125" i="27"/>
  <c r="AT30" i="27"/>
  <c r="Q128" i="27"/>
  <c r="S120" i="27"/>
  <c r="P134" i="27"/>
  <c r="Q122" i="27"/>
  <c r="Q121" i="27"/>
  <c r="T120" i="27"/>
  <c r="Q123" i="27"/>
  <c r="Q124" i="27"/>
  <c r="AT31" i="27"/>
  <c r="R121" i="27"/>
  <c r="R120" i="27"/>
  <c r="Q120" i="27"/>
  <c r="S122" i="27"/>
  <c r="S202" i="2"/>
  <c r="S198" i="2"/>
  <c r="Q125" i="29"/>
  <c r="S200" i="2"/>
  <c r="S193" i="2"/>
  <c r="S194" i="2"/>
  <c r="S121" i="29"/>
  <c r="R121" i="29"/>
  <c r="Q121" i="29"/>
  <c r="R120" i="29"/>
  <c r="P129" i="29"/>
  <c r="B129" i="29" s="1"/>
  <c r="S196" i="29"/>
  <c r="S194" i="29"/>
  <c r="S193" i="29"/>
  <c r="S201" i="29"/>
  <c r="S197" i="29"/>
  <c r="S202" i="29"/>
  <c r="S200" i="29"/>
  <c r="S198" i="29"/>
  <c r="S195" i="29"/>
  <c r="T123" i="29"/>
  <c r="Q128" i="29"/>
  <c r="Q120" i="29"/>
  <c r="Q122" i="29"/>
  <c r="AT30" i="29"/>
  <c r="S120" i="29"/>
  <c r="T122" i="29"/>
  <c r="P133" i="29"/>
  <c r="P134" i="29"/>
  <c r="Q124" i="29"/>
  <c r="S122" i="29"/>
  <c r="Q126" i="29"/>
  <c r="AT31" i="29"/>
  <c r="T121" i="29"/>
  <c r="T120" i="29"/>
  <c r="Q127" i="29"/>
  <c r="Q123" i="29"/>
  <c r="Q129" i="29"/>
  <c r="Q125" i="2"/>
  <c r="T120" i="2"/>
  <c r="Q123" i="2"/>
  <c r="T123" i="2"/>
  <c r="Q120" i="2"/>
  <c r="Q129" i="2"/>
  <c r="Q98" i="2"/>
  <c r="S122" i="2"/>
  <c r="Q121" i="2"/>
  <c r="S121" i="2"/>
  <c r="Q122" i="2"/>
  <c r="Q126" i="2"/>
  <c r="T121" i="2"/>
  <c r="Q97" i="2"/>
  <c r="AT31" i="2"/>
  <c r="Q124" i="2"/>
  <c r="P133" i="2"/>
  <c r="Q128" i="2"/>
  <c r="T122" i="2"/>
  <c r="S120" i="2"/>
  <c r="R120" i="2"/>
  <c r="AT30" i="2"/>
  <c r="R121" i="2"/>
  <c r="P134" i="2"/>
  <c r="Q127" i="2"/>
  <c r="Q99" i="2"/>
  <c r="S120" i="30"/>
  <c r="S121" i="30"/>
  <c r="T194" i="30"/>
  <c r="T193" i="30"/>
  <c r="S197" i="30"/>
  <c r="Q126" i="30"/>
  <c r="S202" i="30"/>
  <c r="S194" i="30"/>
  <c r="S201" i="30"/>
  <c r="Q128" i="30"/>
  <c r="Q124" i="30"/>
  <c r="Q122" i="30"/>
  <c r="R120" i="30"/>
  <c r="R121" i="30"/>
  <c r="Q129" i="30"/>
  <c r="Q127" i="30"/>
  <c r="S122" i="30"/>
  <c r="S193" i="30"/>
  <c r="S199" i="30"/>
  <c r="S200" i="30"/>
  <c r="P134" i="30"/>
  <c r="AT30" i="30"/>
  <c r="T120" i="30"/>
  <c r="T121" i="30"/>
  <c r="AT31" i="30"/>
  <c r="Q123" i="30"/>
  <c r="T123" i="30"/>
  <c r="S195" i="30"/>
  <c r="Q120" i="30"/>
  <c r="P133" i="30"/>
  <c r="Q121" i="30"/>
  <c r="T122" i="30"/>
  <c r="Q125" i="30"/>
  <c r="S198" i="30"/>
  <c r="S196" i="30"/>
  <c r="E42" i="14"/>
  <c r="E18" i="14"/>
  <c r="E26" i="14"/>
  <c r="E10" i="14"/>
  <c r="E30" i="14"/>
  <c r="E38" i="14"/>
  <c r="E22" i="14"/>
  <c r="E14" i="14"/>
  <c r="E6" i="14"/>
  <c r="AT13" i="24" l="1"/>
  <c r="AV13" i="24" s="1"/>
  <c r="BN13" i="24" s="1"/>
  <c r="AT15" i="22"/>
  <c r="AV15" i="22" s="1"/>
  <c r="BN15" i="22" s="1"/>
  <c r="AT20" i="24"/>
  <c r="AV20" i="24" s="1"/>
  <c r="BN20" i="24" s="1"/>
  <c r="AT8" i="24"/>
  <c r="AV8" i="24" s="1"/>
  <c r="BP28" i="24" s="1"/>
  <c r="BO28" i="24" s="1"/>
  <c r="AT10" i="24"/>
  <c r="AV10" i="24" s="1"/>
  <c r="BN10" i="24" s="1"/>
  <c r="AT17" i="24"/>
  <c r="AV17" i="24" s="1"/>
  <c r="BN17" i="24" s="1"/>
  <c r="AT6" i="24"/>
  <c r="AV6" i="24" s="1"/>
  <c r="BP26" i="24" s="1"/>
  <c r="BO26" i="24" s="1"/>
  <c r="AT11" i="24"/>
  <c r="AV11" i="24" s="1"/>
  <c r="BP11" i="24" s="1"/>
  <c r="AT16" i="24"/>
  <c r="AV16" i="24" s="1"/>
  <c r="BP16" i="24" s="1"/>
  <c r="AT14" i="24"/>
  <c r="AV14" i="24" s="1"/>
  <c r="BP14" i="24" s="1"/>
  <c r="AT23" i="24"/>
  <c r="AV23" i="24" s="1"/>
  <c r="BN23" i="24" s="1"/>
  <c r="AT18" i="24"/>
  <c r="AV18" i="24" s="1"/>
  <c r="BP18" i="24" s="1"/>
  <c r="AT15" i="24"/>
  <c r="AV15" i="24" s="1"/>
  <c r="BP35" i="24" s="1"/>
  <c r="BO35" i="24" s="1"/>
  <c r="AT22" i="24"/>
  <c r="AV22" i="24" s="1"/>
  <c r="BP42" i="24" s="1"/>
  <c r="BO42" i="24" s="1"/>
  <c r="AT12" i="24"/>
  <c r="AV12" i="24" s="1"/>
  <c r="BP12" i="24" s="1"/>
  <c r="AT7" i="24"/>
  <c r="AV7" i="24" s="1"/>
  <c r="BP27" i="24" s="1"/>
  <c r="BO27" i="24" s="1"/>
  <c r="AT21" i="24"/>
  <c r="AV21" i="24" s="1"/>
  <c r="BP21" i="24" s="1"/>
  <c r="AT9" i="24"/>
  <c r="AV9" i="24" s="1"/>
  <c r="BN9" i="24" s="1"/>
  <c r="AT19" i="24"/>
  <c r="AV19" i="24" s="1"/>
  <c r="BN19" i="24" s="1"/>
  <c r="AT16" i="22"/>
  <c r="AV16" i="22" s="1"/>
  <c r="BP16" i="22" s="1"/>
  <c r="AT9" i="22"/>
  <c r="AV9" i="22" s="1"/>
  <c r="BP29" i="22" s="1"/>
  <c r="BO29" i="22" s="1"/>
  <c r="AT20" i="22"/>
  <c r="AV20" i="22" s="1"/>
  <c r="BN20" i="22" s="1"/>
  <c r="AT10" i="22"/>
  <c r="AV10" i="22" s="1"/>
  <c r="BP30" i="22" s="1"/>
  <c r="BO30" i="22" s="1"/>
  <c r="AT6" i="22"/>
  <c r="AV6" i="22" s="1"/>
  <c r="BP6" i="22" s="1"/>
  <c r="AT7" i="22"/>
  <c r="AV7" i="22" s="1"/>
  <c r="BP27" i="22" s="1"/>
  <c r="BO27" i="22" s="1"/>
  <c r="AT12" i="22"/>
  <c r="AV12" i="22" s="1"/>
  <c r="BP12" i="22" s="1"/>
  <c r="AT21" i="22"/>
  <c r="AV21" i="22" s="1"/>
  <c r="BP41" i="22" s="1"/>
  <c r="BO41" i="22" s="1"/>
  <c r="AT17" i="22"/>
  <c r="AV17" i="22" s="1"/>
  <c r="BP37" i="22" s="1"/>
  <c r="BO37" i="22" s="1"/>
  <c r="AT18" i="22"/>
  <c r="AV18" i="22" s="1"/>
  <c r="BN18" i="22" s="1"/>
  <c r="AT11" i="22"/>
  <c r="AV11" i="22" s="1"/>
  <c r="BP31" i="22" s="1"/>
  <c r="BO31" i="22" s="1"/>
  <c r="AT13" i="22"/>
  <c r="AV13" i="22" s="1"/>
  <c r="BP33" i="22" s="1"/>
  <c r="BO33" i="22" s="1"/>
  <c r="AT8" i="22"/>
  <c r="AV8" i="22" s="1"/>
  <c r="BP28" i="22" s="1"/>
  <c r="BO28" i="22" s="1"/>
  <c r="AT22" i="22"/>
  <c r="AV22" i="22" s="1"/>
  <c r="BP42" i="22" s="1"/>
  <c r="BO42" i="22" s="1"/>
  <c r="AT23" i="22"/>
  <c r="AV23" i="22" s="1"/>
  <c r="BN23" i="22" s="1"/>
  <c r="AT19" i="22"/>
  <c r="AV19" i="22" s="1"/>
  <c r="BP39" i="22" s="1"/>
  <c r="BO39" i="22" s="1"/>
  <c r="AT14" i="22"/>
  <c r="AV14" i="22" s="1"/>
  <c r="BP14" i="22" s="1"/>
  <c r="AT22" i="21"/>
  <c r="AV22" i="21" s="1"/>
  <c r="AT18" i="21"/>
  <c r="AV18" i="21" s="1"/>
  <c r="AT12" i="21"/>
  <c r="AV12" i="21" s="1"/>
  <c r="AT15" i="21"/>
  <c r="AV15" i="21" s="1"/>
  <c r="AT6" i="21"/>
  <c r="AV6" i="21" s="1"/>
  <c r="AT21" i="21"/>
  <c r="AV21" i="21" s="1"/>
  <c r="AT20" i="21"/>
  <c r="AV20" i="21" s="1"/>
  <c r="AT13" i="21"/>
  <c r="AV13" i="21" s="1"/>
  <c r="AT9" i="21"/>
  <c r="AV9" i="21" s="1"/>
  <c r="AT7" i="21"/>
  <c r="AV7" i="21" s="1"/>
  <c r="AT19" i="21"/>
  <c r="AV19" i="21" s="1"/>
  <c r="AT17" i="21"/>
  <c r="AV17" i="21" s="1"/>
  <c r="AT11" i="21"/>
  <c r="AV11" i="21" s="1"/>
  <c r="AT8" i="21"/>
  <c r="AV8" i="21" s="1"/>
  <c r="AT14" i="21"/>
  <c r="AV14" i="21" s="1"/>
  <c r="AT10" i="21"/>
  <c r="AV10" i="21" s="1"/>
  <c r="AT16" i="21"/>
  <c r="AV16" i="21" s="1"/>
  <c r="AT23" i="21"/>
  <c r="AV23" i="21" s="1"/>
  <c r="AT19" i="28"/>
  <c r="AV19" i="28" s="1"/>
  <c r="BN19" i="28" s="1"/>
  <c r="AT21" i="28"/>
  <c r="AV21" i="28" s="1"/>
  <c r="BP21" i="28" s="1"/>
  <c r="AT11" i="28"/>
  <c r="AV11" i="28" s="1"/>
  <c r="BP11" i="28" s="1"/>
  <c r="AT6" i="28"/>
  <c r="AV6" i="28" s="1"/>
  <c r="BN6" i="28" s="1"/>
  <c r="AT13" i="28"/>
  <c r="AV13" i="28" s="1"/>
  <c r="BP33" i="28" s="1"/>
  <c r="BO33" i="28" s="1"/>
  <c r="AT12" i="28"/>
  <c r="AV12" i="28" s="1"/>
  <c r="BP32" i="28" s="1"/>
  <c r="BO32" i="28" s="1"/>
  <c r="AT10" i="28"/>
  <c r="AV10" i="28" s="1"/>
  <c r="BN10" i="28" s="1"/>
  <c r="AT16" i="28"/>
  <c r="AV16" i="28" s="1"/>
  <c r="BN16" i="28" s="1"/>
  <c r="AT14" i="28"/>
  <c r="AV14" i="28" s="1"/>
  <c r="BN14" i="28" s="1"/>
  <c r="AT20" i="28"/>
  <c r="AV20" i="28" s="1"/>
  <c r="BN20" i="28" s="1"/>
  <c r="AT16" i="23"/>
  <c r="AV16" i="23" s="1"/>
  <c r="AT19" i="23"/>
  <c r="AV19" i="23" s="1"/>
  <c r="AT22" i="23"/>
  <c r="AV22" i="23" s="1"/>
  <c r="AT21" i="23"/>
  <c r="AV21" i="23" s="1"/>
  <c r="AT13" i="23"/>
  <c r="AV13" i="23" s="1"/>
  <c r="AT8" i="23"/>
  <c r="AV8" i="23" s="1"/>
  <c r="AT6" i="23"/>
  <c r="AV6" i="23" s="1"/>
  <c r="AT11" i="23"/>
  <c r="AV11" i="23" s="1"/>
  <c r="AT18" i="23"/>
  <c r="AV18" i="23" s="1"/>
  <c r="AT7" i="23"/>
  <c r="AV7" i="23" s="1"/>
  <c r="AT17" i="23"/>
  <c r="AV17" i="23" s="1"/>
  <c r="AT23" i="23"/>
  <c r="AV23" i="23" s="1"/>
  <c r="AT15" i="23"/>
  <c r="AV15" i="23" s="1"/>
  <c r="AT14" i="23"/>
  <c r="AV14" i="23" s="1"/>
  <c r="AT20" i="23"/>
  <c r="AV20" i="23" s="1"/>
  <c r="AT12" i="23"/>
  <c r="AV12" i="23" s="1"/>
  <c r="AT9" i="23"/>
  <c r="AV9" i="23" s="1"/>
  <c r="AT10" i="23"/>
  <c r="AV10" i="23" s="1"/>
  <c r="AT8" i="28"/>
  <c r="AV8" i="28" s="1"/>
  <c r="BN8" i="28" s="1"/>
  <c r="AT18" i="28"/>
  <c r="AV18" i="28" s="1"/>
  <c r="BP18" i="28" s="1"/>
  <c r="AT23" i="28"/>
  <c r="AV23" i="28" s="1"/>
  <c r="BP23" i="28" s="1"/>
  <c r="AT9" i="28"/>
  <c r="AV9" i="28" s="1"/>
  <c r="BP9" i="28" s="1"/>
  <c r="AT7" i="28"/>
  <c r="AV7" i="28" s="1"/>
  <c r="BP7" i="28" s="1"/>
  <c r="AT15" i="28"/>
  <c r="AV15" i="28" s="1"/>
  <c r="BP35" i="28" s="1"/>
  <c r="BO35" i="28" s="1"/>
  <c r="AT17" i="28"/>
  <c r="AV17" i="28" s="1"/>
  <c r="BP17" i="28" s="1"/>
  <c r="AT22" i="28"/>
  <c r="AV22" i="28" s="1"/>
  <c r="BP22" i="28" s="1"/>
  <c r="AT14" i="25"/>
  <c r="AV14" i="25" s="1"/>
  <c r="AT22" i="25"/>
  <c r="AV22" i="25" s="1"/>
  <c r="AT11" i="25"/>
  <c r="AV11" i="25" s="1"/>
  <c r="AT9" i="25"/>
  <c r="AV9" i="25" s="1"/>
  <c r="AT21" i="25"/>
  <c r="AV21" i="25" s="1"/>
  <c r="AT10" i="25"/>
  <c r="AV10" i="25" s="1"/>
  <c r="AT20" i="25"/>
  <c r="AV20" i="25" s="1"/>
  <c r="AT6" i="25"/>
  <c r="AV6" i="25" s="1"/>
  <c r="AT7" i="25"/>
  <c r="AV7" i="25" s="1"/>
  <c r="AT13" i="25"/>
  <c r="AV13" i="25" s="1"/>
  <c r="AT19" i="25"/>
  <c r="AV19" i="25" s="1"/>
  <c r="AT18" i="25"/>
  <c r="AV18" i="25" s="1"/>
  <c r="AT17" i="25"/>
  <c r="AV17" i="25" s="1"/>
  <c r="AT23" i="25"/>
  <c r="AV23" i="25" s="1"/>
  <c r="AT15" i="25"/>
  <c r="AV15" i="25" s="1"/>
  <c r="AT16" i="25"/>
  <c r="AV16" i="25" s="1"/>
  <c r="AT8" i="25"/>
  <c r="AV8" i="25" s="1"/>
  <c r="AT12" i="25"/>
  <c r="AV12" i="25" s="1"/>
  <c r="AT16" i="26"/>
  <c r="AV16" i="26" s="1"/>
  <c r="AT23" i="26"/>
  <c r="AV23" i="26" s="1"/>
  <c r="AT11" i="26"/>
  <c r="AV11" i="26" s="1"/>
  <c r="AT17" i="26"/>
  <c r="AV17" i="26" s="1"/>
  <c r="AT14" i="26"/>
  <c r="AV14" i="26" s="1"/>
  <c r="AT13" i="26"/>
  <c r="AV13" i="26" s="1"/>
  <c r="AT15" i="26"/>
  <c r="AV15" i="26" s="1"/>
  <c r="AT7" i="26"/>
  <c r="AV7" i="26" s="1"/>
  <c r="AT18" i="26"/>
  <c r="AV18" i="26" s="1"/>
  <c r="AT20" i="26"/>
  <c r="AV20" i="26" s="1"/>
  <c r="AT19" i="26"/>
  <c r="AV19" i="26" s="1"/>
  <c r="AT22" i="26"/>
  <c r="AV22" i="26" s="1"/>
  <c r="AT8" i="26"/>
  <c r="AV8" i="26" s="1"/>
  <c r="AT6" i="26"/>
  <c r="AV6" i="26" s="1"/>
  <c r="AT12" i="26"/>
  <c r="AV12" i="26" s="1"/>
  <c r="AT10" i="26"/>
  <c r="AV10" i="26" s="1"/>
  <c r="AT21" i="26"/>
  <c r="AV21" i="26" s="1"/>
  <c r="AT9" i="26"/>
  <c r="AV9" i="26" s="1"/>
  <c r="AT18" i="27"/>
  <c r="AV18" i="27" s="1"/>
  <c r="AT16" i="27"/>
  <c r="AV16" i="27" s="1"/>
  <c r="AT7" i="27"/>
  <c r="AV7" i="27" s="1"/>
  <c r="AT6" i="27"/>
  <c r="AV6" i="27" s="1"/>
  <c r="AT15" i="27"/>
  <c r="AV15" i="27" s="1"/>
  <c r="AT21" i="27"/>
  <c r="AV21" i="27" s="1"/>
  <c r="AT10" i="27"/>
  <c r="AV10" i="27" s="1"/>
  <c r="AT9" i="27"/>
  <c r="AV9" i="27" s="1"/>
  <c r="AT23" i="27"/>
  <c r="AV23" i="27" s="1"/>
  <c r="AT14" i="27"/>
  <c r="AV14" i="27" s="1"/>
  <c r="AT11" i="27"/>
  <c r="AV11" i="27" s="1"/>
  <c r="AT22" i="27"/>
  <c r="AV22" i="27" s="1"/>
  <c r="AT19" i="27"/>
  <c r="AV19" i="27" s="1"/>
  <c r="AT13" i="27"/>
  <c r="AV13" i="27" s="1"/>
  <c r="AT17" i="27"/>
  <c r="AV17" i="27" s="1"/>
  <c r="AT12" i="27"/>
  <c r="AV12" i="27" s="1"/>
  <c r="AT20" i="27"/>
  <c r="AV20" i="27" s="1"/>
  <c r="AT8" i="27"/>
  <c r="AV8" i="27" s="1"/>
  <c r="AT21" i="29"/>
  <c r="AV21" i="29" s="1"/>
  <c r="BN21" i="29" s="1"/>
  <c r="AT16" i="29"/>
  <c r="AV16" i="29" s="1"/>
  <c r="BN16" i="29" s="1"/>
  <c r="AT12" i="29"/>
  <c r="AV12" i="29" s="1"/>
  <c r="BP12" i="29" s="1"/>
  <c r="AT10" i="29"/>
  <c r="AV10" i="29" s="1"/>
  <c r="BP30" i="29" s="1"/>
  <c r="BO30" i="29" s="1"/>
  <c r="AT17" i="29"/>
  <c r="AV17" i="29" s="1"/>
  <c r="BP17" i="29" s="1"/>
  <c r="AT8" i="29"/>
  <c r="AV8" i="29" s="1"/>
  <c r="BP8" i="29" s="1"/>
  <c r="AT11" i="29"/>
  <c r="AV11" i="29" s="1"/>
  <c r="BP11" i="29" s="1"/>
  <c r="AT18" i="29"/>
  <c r="AV18" i="29" s="1"/>
  <c r="BN18" i="29" s="1"/>
  <c r="AT20" i="29"/>
  <c r="AV20" i="29" s="1"/>
  <c r="BN20" i="29" s="1"/>
  <c r="AT14" i="29"/>
  <c r="AV14" i="29" s="1"/>
  <c r="BP14" i="29" s="1"/>
  <c r="AT19" i="29"/>
  <c r="AV19" i="29" s="1"/>
  <c r="BP39" i="29" s="1"/>
  <c r="BO39" i="29" s="1"/>
  <c r="AT13" i="29"/>
  <c r="AV13" i="29" s="1"/>
  <c r="BP13" i="29" s="1"/>
  <c r="AT9" i="29"/>
  <c r="AV9" i="29" s="1"/>
  <c r="BP29" i="29" s="1"/>
  <c r="BO29" i="29" s="1"/>
  <c r="AT15" i="29"/>
  <c r="AV15" i="29" s="1"/>
  <c r="BP35" i="29" s="1"/>
  <c r="BO35" i="29" s="1"/>
  <c r="AT22" i="29"/>
  <c r="AV22" i="29" s="1"/>
  <c r="BP22" i="29" s="1"/>
  <c r="AT6" i="29"/>
  <c r="AV6" i="29" s="1"/>
  <c r="BP26" i="29" s="1"/>
  <c r="BO26" i="29" s="1"/>
  <c r="AT7" i="29"/>
  <c r="AV7" i="29" s="1"/>
  <c r="BP27" i="29" s="1"/>
  <c r="BO27" i="29" s="1"/>
  <c r="AT23" i="29"/>
  <c r="AV23" i="29" s="1"/>
  <c r="BP23" i="29" s="1"/>
  <c r="AT23" i="2"/>
  <c r="AV23" i="2" s="1"/>
  <c r="AT12" i="2"/>
  <c r="AV12" i="2" s="1"/>
  <c r="AT19" i="2"/>
  <c r="AV19" i="2" s="1"/>
  <c r="AT9" i="2"/>
  <c r="AV9" i="2" s="1"/>
  <c r="AT13" i="2"/>
  <c r="AV13" i="2" s="1"/>
  <c r="AT6" i="2"/>
  <c r="AV6" i="2" s="1"/>
  <c r="AT22" i="2"/>
  <c r="AV22" i="2" s="1"/>
  <c r="AT16" i="2"/>
  <c r="AV16" i="2" s="1"/>
  <c r="AT10" i="2"/>
  <c r="AV10" i="2" s="1"/>
  <c r="AT21" i="2"/>
  <c r="AV21" i="2" s="1"/>
  <c r="AT18" i="2"/>
  <c r="AV18" i="2" s="1"/>
  <c r="AT20" i="2"/>
  <c r="AV20" i="2" s="1"/>
  <c r="AT8" i="2"/>
  <c r="AV8" i="2" s="1"/>
  <c r="AT17" i="2"/>
  <c r="AV17" i="2" s="1"/>
  <c r="AT11" i="2"/>
  <c r="AV11" i="2" s="1"/>
  <c r="AT14" i="2"/>
  <c r="AV14" i="2" s="1"/>
  <c r="AT15" i="2"/>
  <c r="AV15" i="2" s="1"/>
  <c r="AT7" i="2"/>
  <c r="AV7" i="2" s="1"/>
  <c r="AT12" i="30"/>
  <c r="AV12" i="30" s="1"/>
  <c r="BP32" i="30" s="1"/>
  <c r="BO32" i="30" s="1"/>
  <c r="AT13" i="30"/>
  <c r="AV13" i="30" s="1"/>
  <c r="BP13" i="30" s="1"/>
  <c r="AT23" i="30"/>
  <c r="AV23" i="30" s="1"/>
  <c r="BP23" i="30" s="1"/>
  <c r="AT19" i="30"/>
  <c r="AV19" i="30" s="1"/>
  <c r="BP19" i="30" s="1"/>
  <c r="AT20" i="30"/>
  <c r="AV20" i="30" s="1"/>
  <c r="BN20" i="30" s="1"/>
  <c r="AT14" i="30"/>
  <c r="AV14" i="30" s="1"/>
  <c r="BN14" i="30" s="1"/>
  <c r="AT8" i="30"/>
  <c r="AV8" i="30" s="1"/>
  <c r="BP8" i="30" s="1"/>
  <c r="AT22" i="30"/>
  <c r="AV22" i="30" s="1"/>
  <c r="BP42" i="30" s="1"/>
  <c r="BO42" i="30" s="1"/>
  <c r="AT15" i="30"/>
  <c r="AV15" i="30" s="1"/>
  <c r="BN15" i="30" s="1"/>
  <c r="AT6" i="30"/>
  <c r="AV6" i="30" s="1"/>
  <c r="BN6" i="30" s="1"/>
  <c r="AT11" i="30"/>
  <c r="AV11" i="30" s="1"/>
  <c r="BP11" i="30" s="1"/>
  <c r="AT21" i="30"/>
  <c r="AV21" i="30" s="1"/>
  <c r="BN21" i="30" s="1"/>
  <c r="AT17" i="30"/>
  <c r="AV17" i="30" s="1"/>
  <c r="BP17" i="30" s="1"/>
  <c r="AT18" i="30"/>
  <c r="AV18" i="30" s="1"/>
  <c r="BN18" i="30" s="1"/>
  <c r="AT7" i="30"/>
  <c r="AV7" i="30" s="1"/>
  <c r="BN7" i="30" s="1"/>
  <c r="AT10" i="30"/>
  <c r="AV10" i="30" s="1"/>
  <c r="BN10" i="30" s="1"/>
  <c r="AT16" i="30"/>
  <c r="AV16" i="30" s="1"/>
  <c r="BP16" i="30" s="1"/>
  <c r="AT9" i="30"/>
  <c r="AV9" i="30" s="1"/>
  <c r="BN9" i="30" s="1"/>
  <c r="BP35" i="22" l="1"/>
  <c r="BO35" i="22" s="1"/>
  <c r="BS35" i="22" s="1"/>
  <c r="BN21" i="24"/>
  <c r="BP32" i="24"/>
  <c r="BO32" i="24" s="1"/>
  <c r="BS32" i="24" s="1"/>
  <c r="BN7" i="24"/>
  <c r="BP36" i="22"/>
  <c r="BO36" i="22" s="1"/>
  <c r="BS36" i="22" s="1"/>
  <c r="BP15" i="22"/>
  <c r="BP20" i="24"/>
  <c r="BP13" i="24"/>
  <c r="BP33" i="24"/>
  <c r="BO33" i="24" s="1"/>
  <c r="BS33" i="24" s="1"/>
  <c r="BP40" i="24"/>
  <c r="BO40" i="24" s="1"/>
  <c r="BS40" i="24" s="1"/>
  <c r="BN6" i="24"/>
  <c r="BP23" i="24"/>
  <c r="BP38" i="24"/>
  <c r="BO38" i="24" s="1"/>
  <c r="BS38" i="24" s="1"/>
  <c r="BP31" i="24"/>
  <c r="BO31" i="24" s="1"/>
  <c r="BS31" i="24" s="1"/>
  <c r="BN18" i="24"/>
  <c r="BN11" i="24"/>
  <c r="BN8" i="24"/>
  <c r="BP8" i="24"/>
  <c r="BP7" i="24"/>
  <c r="BP17" i="22"/>
  <c r="BP36" i="24"/>
  <c r="BO36" i="24" s="1"/>
  <c r="BS36" i="24" s="1"/>
  <c r="BP30" i="24"/>
  <c r="BO30" i="24" s="1"/>
  <c r="BS30" i="24" s="1"/>
  <c r="BN22" i="22"/>
  <c r="BP39" i="28"/>
  <c r="BO39" i="28" s="1"/>
  <c r="BS39" i="28" s="1"/>
  <c r="BP37" i="24"/>
  <c r="BO37" i="24" s="1"/>
  <c r="BS37" i="24" s="1"/>
  <c r="BP18" i="22"/>
  <c r="BN6" i="22"/>
  <c r="BN16" i="22"/>
  <c r="BP17" i="24"/>
  <c r="BP10" i="24"/>
  <c r="BP41" i="24"/>
  <c r="BO41" i="24" s="1"/>
  <c r="BS41" i="24" s="1"/>
  <c r="BN15" i="24"/>
  <c r="BP38" i="22"/>
  <c r="BO38" i="22" s="1"/>
  <c r="BS38" i="22" s="1"/>
  <c r="BP22" i="22"/>
  <c r="BN7" i="22"/>
  <c r="BN9" i="22"/>
  <c r="BN16" i="24"/>
  <c r="BP15" i="24"/>
  <c r="BP7" i="22"/>
  <c r="BP9" i="22"/>
  <c r="BP39" i="24"/>
  <c r="BO39" i="24" s="1"/>
  <c r="BS39" i="24" s="1"/>
  <c r="BP21" i="22"/>
  <c r="BP6" i="24"/>
  <c r="BP10" i="22"/>
  <c r="BP28" i="29"/>
  <c r="BO28" i="29" s="1"/>
  <c r="BS28" i="29" s="1"/>
  <c r="BP40" i="22"/>
  <c r="BO40" i="22" s="1"/>
  <c r="BS40" i="22" s="1"/>
  <c r="BN11" i="22"/>
  <c r="BP31" i="29"/>
  <c r="BO31" i="29" s="1"/>
  <c r="BS31" i="29" s="1"/>
  <c r="BN12" i="22"/>
  <c r="BP22" i="24"/>
  <c r="BP28" i="28"/>
  <c r="BO28" i="28" s="1"/>
  <c r="BS28" i="28" s="1"/>
  <c r="BP34" i="24"/>
  <c r="BO34" i="24" s="1"/>
  <c r="BS34" i="24" s="1"/>
  <c r="BP9" i="24"/>
  <c r="BN22" i="24"/>
  <c r="BP11" i="22"/>
  <c r="BN13" i="28"/>
  <c r="BN14" i="24"/>
  <c r="BP29" i="24"/>
  <c r="BO29" i="24" s="1"/>
  <c r="BP32" i="22"/>
  <c r="BO32" i="22" s="1"/>
  <c r="BS32" i="22" s="1"/>
  <c r="BP20" i="22"/>
  <c r="BP43" i="24"/>
  <c r="BO43" i="24" s="1"/>
  <c r="BP13" i="22"/>
  <c r="BN10" i="22"/>
  <c r="BP30" i="28"/>
  <c r="BO30" i="28" s="1"/>
  <c r="BS30" i="28" s="1"/>
  <c r="BP19" i="24"/>
  <c r="BN12" i="24"/>
  <c r="BN22" i="29"/>
  <c r="BP23" i="22"/>
  <c r="BP31" i="28"/>
  <c r="BO31" i="28" s="1"/>
  <c r="BS31" i="28" s="1"/>
  <c r="BN8" i="22"/>
  <c r="BN17" i="22"/>
  <c r="BP26" i="22"/>
  <c r="BO26" i="22" s="1"/>
  <c r="BP8" i="22"/>
  <c r="BP34" i="22"/>
  <c r="BO34" i="22" s="1"/>
  <c r="BS34" i="22" s="1"/>
  <c r="BP43" i="22"/>
  <c r="BO43" i="22" s="1"/>
  <c r="BS43" i="22" s="1"/>
  <c r="BN14" i="22"/>
  <c r="BP43" i="28"/>
  <c r="BO43" i="28" s="1"/>
  <c r="BS43" i="28" s="1"/>
  <c r="BP10" i="28"/>
  <c r="BN11" i="28"/>
  <c r="BN13" i="22"/>
  <c r="BN21" i="22"/>
  <c r="BN19" i="22"/>
  <c r="BP37" i="28"/>
  <c r="BO37" i="28" s="1"/>
  <c r="BS37" i="28" s="1"/>
  <c r="BN23" i="28"/>
  <c r="BP19" i="22"/>
  <c r="BN17" i="28"/>
  <c r="BN11" i="29"/>
  <c r="BP6" i="28"/>
  <c r="BN7" i="28"/>
  <c r="BP19" i="28"/>
  <c r="BP34" i="28"/>
  <c r="BO34" i="28" s="1"/>
  <c r="BS34" i="28" s="1"/>
  <c r="BP26" i="28"/>
  <c r="BO26" i="28" s="1"/>
  <c r="BS26" i="28" s="1"/>
  <c r="BP42" i="28"/>
  <c r="BO42" i="28" s="1"/>
  <c r="BS42" i="28" s="1"/>
  <c r="BN9" i="28"/>
  <c r="BN12" i="29"/>
  <c r="BP16" i="28"/>
  <c r="BN22" i="28"/>
  <c r="BP29" i="28"/>
  <c r="BO29" i="28" s="1"/>
  <c r="BS29" i="28" s="1"/>
  <c r="BP36" i="28"/>
  <c r="BO36" i="28" s="1"/>
  <c r="BS36" i="28" s="1"/>
  <c r="BN18" i="28"/>
  <c r="BS33" i="22"/>
  <c r="BS27" i="22"/>
  <c r="BS29" i="22"/>
  <c r="BS37" i="22"/>
  <c r="BS30" i="22"/>
  <c r="BP19" i="29"/>
  <c r="BP41" i="28"/>
  <c r="BO41" i="28" s="1"/>
  <c r="BS41" i="28" s="1"/>
  <c r="BS28" i="22"/>
  <c r="BS31" i="22"/>
  <c r="BS41" i="22"/>
  <c r="BS39" i="22"/>
  <c r="BN19" i="29"/>
  <c r="BP20" i="28"/>
  <c r="BS42" i="22"/>
  <c r="BN17" i="21"/>
  <c r="BP17" i="21"/>
  <c r="BP37" i="21"/>
  <c r="BO37" i="21" s="1"/>
  <c r="BN15" i="21"/>
  <c r="BP35" i="21"/>
  <c r="BO35" i="21" s="1"/>
  <c r="BP15" i="21"/>
  <c r="BN21" i="28"/>
  <c r="BP38" i="28"/>
  <c r="BO38" i="28" s="1"/>
  <c r="BS38" i="28" s="1"/>
  <c r="BP40" i="28"/>
  <c r="BO40" i="28" s="1"/>
  <c r="BN14" i="21"/>
  <c r="BP34" i="21"/>
  <c r="BO34" i="21" s="1"/>
  <c r="BP14" i="21"/>
  <c r="BN19" i="21"/>
  <c r="BP39" i="21"/>
  <c r="BO39" i="21" s="1"/>
  <c r="BP19" i="21"/>
  <c r="BN20" i="21"/>
  <c r="BP20" i="21"/>
  <c r="BP40" i="21"/>
  <c r="BO40" i="21" s="1"/>
  <c r="BN12" i="21"/>
  <c r="BP12" i="21"/>
  <c r="BP32" i="21"/>
  <c r="BO32" i="21" s="1"/>
  <c r="BN10" i="21"/>
  <c r="BP10" i="21"/>
  <c r="BP30" i="21"/>
  <c r="BO30" i="21" s="1"/>
  <c r="BN13" i="21"/>
  <c r="BP13" i="21"/>
  <c r="BP33" i="21"/>
  <c r="BO33" i="21" s="1"/>
  <c r="BN15" i="28"/>
  <c r="BP12" i="28"/>
  <c r="BN23" i="21"/>
  <c r="BP43" i="21"/>
  <c r="BO43" i="21" s="1"/>
  <c r="BP23" i="21"/>
  <c r="BN8" i="21"/>
  <c r="BP28" i="21"/>
  <c r="BO28" i="21" s="1"/>
  <c r="BP8" i="21"/>
  <c r="BN7" i="21"/>
  <c r="BP7" i="21"/>
  <c r="BP27" i="21"/>
  <c r="BO27" i="21" s="1"/>
  <c r="BN21" i="21"/>
  <c r="BP41" i="21"/>
  <c r="BO41" i="21" s="1"/>
  <c r="BP21" i="21"/>
  <c r="BN18" i="21"/>
  <c r="BP38" i="21"/>
  <c r="BO38" i="21" s="1"/>
  <c r="BP18" i="21"/>
  <c r="BN12" i="28"/>
  <c r="BN16" i="21"/>
  <c r="BP36" i="21"/>
  <c r="BO36" i="21" s="1"/>
  <c r="BP16" i="21"/>
  <c r="BN11" i="21"/>
  <c r="BP11" i="21"/>
  <c r="BP31" i="21"/>
  <c r="BO31" i="21" s="1"/>
  <c r="BN9" i="21"/>
  <c r="BP9" i="21"/>
  <c r="BP29" i="21"/>
  <c r="BO29" i="21" s="1"/>
  <c r="BN6" i="21"/>
  <c r="BP6" i="21"/>
  <c r="BP26" i="21"/>
  <c r="BO26" i="21" s="1"/>
  <c r="BN22" i="21"/>
  <c r="BP22" i="21"/>
  <c r="BP42" i="21"/>
  <c r="BO42" i="21" s="1"/>
  <c r="BP8" i="28"/>
  <c r="BP14" i="28"/>
  <c r="BP32" i="29"/>
  <c r="BO32" i="29" s="1"/>
  <c r="BS32" i="29" s="1"/>
  <c r="BP27" i="28"/>
  <c r="BO27" i="28" s="1"/>
  <c r="BP13" i="28"/>
  <c r="BP15" i="28"/>
  <c r="BP12" i="23"/>
  <c r="BN12" i="23"/>
  <c r="BP32" i="23"/>
  <c r="BO32" i="23" s="1"/>
  <c r="BP23" i="23"/>
  <c r="BN23" i="23"/>
  <c r="BP43" i="23"/>
  <c r="BO43" i="23" s="1"/>
  <c r="BN11" i="23"/>
  <c r="BP11" i="23"/>
  <c r="BP31" i="23"/>
  <c r="BO31" i="23" s="1"/>
  <c r="BP21" i="23"/>
  <c r="BN21" i="23"/>
  <c r="BP41" i="23"/>
  <c r="BO41" i="23" s="1"/>
  <c r="BP40" i="23"/>
  <c r="BO40" i="23" s="1"/>
  <c r="BP20" i="23"/>
  <c r="BN20" i="23"/>
  <c r="BP37" i="23"/>
  <c r="BO37" i="23" s="1"/>
  <c r="BN17" i="23"/>
  <c r="BP17" i="23"/>
  <c r="BP6" i="23"/>
  <c r="BN6" i="23"/>
  <c r="BP26" i="23"/>
  <c r="BO26" i="23" s="1"/>
  <c r="BP42" i="23"/>
  <c r="BO42" i="23" s="1"/>
  <c r="BP22" i="23"/>
  <c r="BN22" i="23"/>
  <c r="BP30" i="23"/>
  <c r="BO30" i="23" s="1"/>
  <c r="BN10" i="23"/>
  <c r="BP10" i="23"/>
  <c r="BN14" i="23"/>
  <c r="BP14" i="23"/>
  <c r="BP34" i="23"/>
  <c r="BO34" i="23" s="1"/>
  <c r="BP7" i="23"/>
  <c r="BN7" i="23"/>
  <c r="BP27" i="23"/>
  <c r="BO27" i="23" s="1"/>
  <c r="BP28" i="23"/>
  <c r="BO28" i="23" s="1"/>
  <c r="BP8" i="23"/>
  <c r="BN8" i="23"/>
  <c r="BN19" i="23"/>
  <c r="BP39" i="23"/>
  <c r="BO39" i="23" s="1"/>
  <c r="BP19" i="23"/>
  <c r="BN9" i="23"/>
  <c r="BP9" i="23"/>
  <c r="BP29" i="23"/>
  <c r="BO29" i="23" s="1"/>
  <c r="BP35" i="23"/>
  <c r="BO35" i="23" s="1"/>
  <c r="BN15" i="23"/>
  <c r="BP15" i="23"/>
  <c r="BP38" i="23"/>
  <c r="BO38" i="23" s="1"/>
  <c r="BP18" i="23"/>
  <c r="BN18" i="23"/>
  <c r="BP33" i="23"/>
  <c r="BO33" i="23" s="1"/>
  <c r="BN13" i="23"/>
  <c r="BP13" i="23"/>
  <c r="BP36" i="23"/>
  <c r="BO36" i="23" s="1"/>
  <c r="BN16" i="23"/>
  <c r="BP16" i="23"/>
  <c r="BS26" i="24"/>
  <c r="BS27" i="24"/>
  <c r="BS42" i="24"/>
  <c r="BS35" i="24"/>
  <c r="BS28" i="24"/>
  <c r="BN16" i="25"/>
  <c r="BP36" i="25"/>
  <c r="BO36" i="25" s="1"/>
  <c r="BP16" i="25"/>
  <c r="BN6" i="25"/>
  <c r="BP26" i="25"/>
  <c r="BO26" i="25" s="1"/>
  <c r="BP6" i="25"/>
  <c r="BN15" i="25"/>
  <c r="BP35" i="25"/>
  <c r="BO35" i="25" s="1"/>
  <c r="BP15" i="25"/>
  <c r="BN19" i="25"/>
  <c r="BP39" i="25"/>
  <c r="BO39" i="25" s="1"/>
  <c r="BP19" i="25"/>
  <c r="BN20" i="25"/>
  <c r="BP40" i="25"/>
  <c r="BO40" i="25" s="1"/>
  <c r="BP20" i="25"/>
  <c r="BN11" i="25"/>
  <c r="BP11" i="25"/>
  <c r="BP31" i="25"/>
  <c r="BO31" i="25" s="1"/>
  <c r="BN18" i="25"/>
  <c r="BP38" i="25"/>
  <c r="BO38" i="25" s="1"/>
  <c r="BP18" i="25"/>
  <c r="BN9" i="25"/>
  <c r="BP29" i="25"/>
  <c r="BO29" i="25" s="1"/>
  <c r="BP9" i="25"/>
  <c r="BN12" i="25"/>
  <c r="BP32" i="25"/>
  <c r="BO32" i="25" s="1"/>
  <c r="BP12" i="25"/>
  <c r="BN23" i="25"/>
  <c r="BP43" i="25"/>
  <c r="BO43" i="25" s="1"/>
  <c r="BP23" i="25"/>
  <c r="BN13" i="25"/>
  <c r="BP33" i="25"/>
  <c r="BO33" i="25" s="1"/>
  <c r="BP13" i="25"/>
  <c r="BN10" i="25"/>
  <c r="BP10" i="25"/>
  <c r="BP30" i="25"/>
  <c r="BO30" i="25" s="1"/>
  <c r="BN22" i="25"/>
  <c r="BP22" i="25"/>
  <c r="BP42" i="25"/>
  <c r="BO42" i="25" s="1"/>
  <c r="BN8" i="25"/>
  <c r="BP8" i="25"/>
  <c r="BP28" i="25"/>
  <c r="BO28" i="25" s="1"/>
  <c r="BN17" i="25"/>
  <c r="BP17" i="25"/>
  <c r="BP37" i="25"/>
  <c r="BO37" i="25" s="1"/>
  <c r="BN7" i="25"/>
  <c r="BP27" i="25"/>
  <c r="BO27" i="25" s="1"/>
  <c r="BP7" i="25"/>
  <c r="BN21" i="25"/>
  <c r="BP41" i="25"/>
  <c r="BO41" i="25" s="1"/>
  <c r="BP21" i="25"/>
  <c r="BN14" i="25"/>
  <c r="BP34" i="25"/>
  <c r="BO34" i="25" s="1"/>
  <c r="BP14" i="25"/>
  <c r="BN7" i="26"/>
  <c r="BP27" i="26"/>
  <c r="BO27" i="26" s="1"/>
  <c r="BP7" i="26"/>
  <c r="BP16" i="29"/>
  <c r="BN12" i="26"/>
  <c r="BP32" i="26"/>
  <c r="BO32" i="26" s="1"/>
  <c r="BP12" i="26"/>
  <c r="BN19" i="26"/>
  <c r="BP39" i="26"/>
  <c r="BO39" i="26" s="1"/>
  <c r="BP19" i="26"/>
  <c r="BN15" i="26"/>
  <c r="BP35" i="26"/>
  <c r="BO35" i="26" s="1"/>
  <c r="BP15" i="26"/>
  <c r="BN11" i="26"/>
  <c r="BP31" i="26"/>
  <c r="BO31" i="26" s="1"/>
  <c r="BP11" i="26"/>
  <c r="BN10" i="26"/>
  <c r="BP10" i="26"/>
  <c r="BP30" i="26"/>
  <c r="BO30" i="26" s="1"/>
  <c r="BN17" i="26"/>
  <c r="BP17" i="26"/>
  <c r="BP37" i="26"/>
  <c r="BO37" i="26" s="1"/>
  <c r="BN9" i="26"/>
  <c r="BP9" i="26"/>
  <c r="BP29" i="26"/>
  <c r="BO29" i="26" s="1"/>
  <c r="BN6" i="26"/>
  <c r="BP26" i="26"/>
  <c r="BO26" i="26" s="1"/>
  <c r="BP6" i="26"/>
  <c r="BN20" i="26"/>
  <c r="BP40" i="26"/>
  <c r="BO40" i="26" s="1"/>
  <c r="BP20" i="26"/>
  <c r="BN13" i="26"/>
  <c r="BP33" i="26"/>
  <c r="BO33" i="26" s="1"/>
  <c r="BP13" i="26"/>
  <c r="BN23" i="26"/>
  <c r="BP23" i="26"/>
  <c r="BP43" i="26"/>
  <c r="BO43" i="26" s="1"/>
  <c r="BN22" i="26"/>
  <c r="BP42" i="26"/>
  <c r="BO42" i="26" s="1"/>
  <c r="BP22" i="26"/>
  <c r="BN21" i="26"/>
  <c r="BP41" i="26"/>
  <c r="BO41" i="26" s="1"/>
  <c r="BP21" i="26"/>
  <c r="BN8" i="26"/>
  <c r="BP28" i="26"/>
  <c r="BO28" i="26" s="1"/>
  <c r="BP8" i="26"/>
  <c r="BN18" i="26"/>
  <c r="BP38" i="26"/>
  <c r="BO38" i="26" s="1"/>
  <c r="BP18" i="26"/>
  <c r="BN14" i="26"/>
  <c r="BP34" i="26"/>
  <c r="BO34" i="26" s="1"/>
  <c r="BP14" i="26"/>
  <c r="BN16" i="26"/>
  <c r="BP36" i="26"/>
  <c r="BO36" i="26" s="1"/>
  <c r="BP16" i="26"/>
  <c r="BP22" i="27"/>
  <c r="BN22" i="27"/>
  <c r="BP42" i="27"/>
  <c r="BO42" i="27" s="1"/>
  <c r="BP29" i="27"/>
  <c r="BO29" i="27" s="1"/>
  <c r="BN9" i="27"/>
  <c r="BP9" i="27"/>
  <c r="BP36" i="29"/>
  <c r="BO36" i="29" s="1"/>
  <c r="BS36" i="29" s="1"/>
  <c r="BP37" i="27"/>
  <c r="BO37" i="27" s="1"/>
  <c r="BN17" i="27"/>
  <c r="BP17" i="27"/>
  <c r="BN10" i="27"/>
  <c r="BP10" i="27"/>
  <c r="BP30" i="27"/>
  <c r="BO30" i="27" s="1"/>
  <c r="BN8" i="27"/>
  <c r="BP8" i="27"/>
  <c r="BP28" i="27"/>
  <c r="BO28" i="27" s="1"/>
  <c r="BN13" i="27"/>
  <c r="BP13" i="27"/>
  <c r="BP33" i="27"/>
  <c r="BO33" i="27" s="1"/>
  <c r="BP34" i="27"/>
  <c r="BO34" i="27" s="1"/>
  <c r="BN14" i="27"/>
  <c r="BP14" i="27"/>
  <c r="BP41" i="27"/>
  <c r="BO41" i="27" s="1"/>
  <c r="BN21" i="27"/>
  <c r="BP21" i="27"/>
  <c r="BN16" i="27"/>
  <c r="BP36" i="27"/>
  <c r="BO36" i="27" s="1"/>
  <c r="BP16" i="27"/>
  <c r="BP32" i="27"/>
  <c r="BO32" i="27" s="1"/>
  <c r="BP12" i="27"/>
  <c r="BN12" i="27"/>
  <c r="BP26" i="27"/>
  <c r="BO26" i="27" s="1"/>
  <c r="BP6" i="27"/>
  <c r="BN6" i="27"/>
  <c r="BN11" i="27"/>
  <c r="BP11" i="27"/>
  <c r="BP31" i="27"/>
  <c r="BO31" i="27" s="1"/>
  <c r="BP27" i="27"/>
  <c r="BO27" i="27" s="1"/>
  <c r="BN7" i="27"/>
  <c r="BP7" i="27"/>
  <c r="BP43" i="29"/>
  <c r="BO43" i="29" s="1"/>
  <c r="BS43" i="29" s="1"/>
  <c r="BP41" i="29"/>
  <c r="BO41" i="29" s="1"/>
  <c r="BS41" i="29" s="1"/>
  <c r="BP20" i="27"/>
  <c r="BN20" i="27"/>
  <c r="BP40" i="27"/>
  <c r="BO40" i="27" s="1"/>
  <c r="BN19" i="27"/>
  <c r="BP39" i="27"/>
  <c r="BO39" i="27" s="1"/>
  <c r="BP19" i="27"/>
  <c r="BP43" i="27"/>
  <c r="BO43" i="27" s="1"/>
  <c r="BP23" i="27"/>
  <c r="BN23" i="27"/>
  <c r="BP35" i="27"/>
  <c r="BO35" i="27" s="1"/>
  <c r="BP15" i="27"/>
  <c r="BN15" i="27"/>
  <c r="BP18" i="27"/>
  <c r="BP38" i="27"/>
  <c r="BO38" i="27" s="1"/>
  <c r="BN18" i="27"/>
  <c r="BS33" i="28"/>
  <c r="BP21" i="29"/>
  <c r="BS32" i="28"/>
  <c r="BS35" i="28"/>
  <c r="BN17" i="29"/>
  <c r="BP40" i="29"/>
  <c r="BO40" i="29" s="1"/>
  <c r="BS40" i="29" s="1"/>
  <c r="BP34" i="29"/>
  <c r="BO34" i="29" s="1"/>
  <c r="BS34" i="29" s="1"/>
  <c r="BN15" i="29"/>
  <c r="BP10" i="29"/>
  <c r="BP38" i="29"/>
  <c r="BO38" i="29" s="1"/>
  <c r="BS38" i="29" s="1"/>
  <c r="BP33" i="29"/>
  <c r="BO33" i="29" s="1"/>
  <c r="BS33" i="29" s="1"/>
  <c r="BN10" i="29"/>
  <c r="BP6" i="29"/>
  <c r="BN13" i="29"/>
  <c r="BP18" i="29"/>
  <c r="BN6" i="29"/>
  <c r="BP37" i="29"/>
  <c r="BO37" i="29" s="1"/>
  <c r="BS37" i="29" s="1"/>
  <c r="BP7" i="29"/>
  <c r="BP9" i="29"/>
  <c r="BP42" i="29"/>
  <c r="BO42" i="29" s="1"/>
  <c r="BN14" i="29"/>
  <c r="BN8" i="29"/>
  <c r="BN23" i="29"/>
  <c r="BP15" i="29"/>
  <c r="BN7" i="29"/>
  <c r="BN9" i="29"/>
  <c r="BP20" i="29"/>
  <c r="BS29" i="29"/>
  <c r="BS39" i="29"/>
  <c r="BP35" i="2"/>
  <c r="BO35" i="2" s="1"/>
  <c r="BP15" i="2"/>
  <c r="BN15" i="2"/>
  <c r="BP28" i="2"/>
  <c r="BO28" i="2" s="1"/>
  <c r="BP8" i="2"/>
  <c r="BN8" i="2"/>
  <c r="BP30" i="2"/>
  <c r="BO30" i="2" s="1"/>
  <c r="BN10" i="2"/>
  <c r="BP10" i="2"/>
  <c r="BN13" i="2"/>
  <c r="BP13" i="2"/>
  <c r="BP33" i="2"/>
  <c r="BO33" i="2" s="1"/>
  <c r="BN23" i="2"/>
  <c r="BP43" i="2"/>
  <c r="BO43" i="2" s="1"/>
  <c r="BP23" i="2"/>
  <c r="BS35" i="29"/>
  <c r="BP34" i="2"/>
  <c r="BO34" i="2" s="1"/>
  <c r="BP14" i="2"/>
  <c r="BN14" i="2"/>
  <c r="BP20" i="2"/>
  <c r="BN20" i="2"/>
  <c r="BP40" i="2"/>
  <c r="BO40" i="2" s="1"/>
  <c r="BP16" i="2"/>
  <c r="BN16" i="2"/>
  <c r="BP36" i="2"/>
  <c r="BO36" i="2" s="1"/>
  <c r="BN9" i="2"/>
  <c r="BP9" i="2"/>
  <c r="BP29" i="2"/>
  <c r="BO29" i="2" s="1"/>
  <c r="BS30" i="29"/>
  <c r="BP31" i="2"/>
  <c r="BO31" i="2" s="1"/>
  <c r="BP11" i="2"/>
  <c r="BN11" i="2"/>
  <c r="BP38" i="2"/>
  <c r="BO38" i="2" s="1"/>
  <c r="BP18" i="2"/>
  <c r="BN18" i="2"/>
  <c r="BN22" i="2"/>
  <c r="BP22" i="2"/>
  <c r="BP42" i="2"/>
  <c r="BO42" i="2" s="1"/>
  <c r="BP39" i="2"/>
  <c r="BO39" i="2" s="1"/>
  <c r="BN19" i="2"/>
  <c r="BP19" i="2"/>
  <c r="BS26" i="29"/>
  <c r="BS27" i="29"/>
  <c r="BP27" i="2"/>
  <c r="BO27" i="2" s="1"/>
  <c r="BN7" i="2"/>
  <c r="BP7" i="2"/>
  <c r="BP37" i="2"/>
  <c r="BO37" i="2" s="1"/>
  <c r="BN17" i="2"/>
  <c r="BP17" i="2"/>
  <c r="BN21" i="2"/>
  <c r="BP21" i="2"/>
  <c r="BP41" i="2"/>
  <c r="BO41" i="2" s="1"/>
  <c r="BN6" i="2"/>
  <c r="BP26" i="2"/>
  <c r="BO26" i="2" s="1"/>
  <c r="BP6" i="2"/>
  <c r="BP12" i="2"/>
  <c r="BN12" i="2"/>
  <c r="BP32" i="2"/>
  <c r="BO32" i="2" s="1"/>
  <c r="BP12" i="30"/>
  <c r="BN13" i="30"/>
  <c r="BN12" i="30"/>
  <c r="BP28" i="30"/>
  <c r="BO28" i="30" s="1"/>
  <c r="BS28" i="30" s="1"/>
  <c r="BN23" i="30"/>
  <c r="BP39" i="30"/>
  <c r="BO39" i="30" s="1"/>
  <c r="BS39" i="30" s="1"/>
  <c r="BP18" i="30"/>
  <c r="BP14" i="30"/>
  <c r="BP29" i="30"/>
  <c r="BO29" i="30" s="1"/>
  <c r="BS29" i="30" s="1"/>
  <c r="BP26" i="30"/>
  <c r="BO26" i="30" s="1"/>
  <c r="BS26" i="30" s="1"/>
  <c r="BP38" i="30"/>
  <c r="BO38" i="30" s="1"/>
  <c r="BS38" i="30" s="1"/>
  <c r="BP34" i="30"/>
  <c r="BO34" i="30" s="1"/>
  <c r="BS34" i="30" s="1"/>
  <c r="BP33" i="30"/>
  <c r="BO33" i="30" s="1"/>
  <c r="BS33" i="30" s="1"/>
  <c r="BP6" i="30"/>
  <c r="BP31" i="30"/>
  <c r="BO31" i="30" s="1"/>
  <c r="BS31" i="30" s="1"/>
  <c r="BN17" i="30"/>
  <c r="BP35" i="30"/>
  <c r="BO35" i="30" s="1"/>
  <c r="BS35" i="30" s="1"/>
  <c r="BP40" i="30"/>
  <c r="BO40" i="30" s="1"/>
  <c r="BS40" i="30" s="1"/>
  <c r="BP20" i="30"/>
  <c r="BN8" i="30"/>
  <c r="BN11" i="30"/>
  <c r="BP27" i="30"/>
  <c r="BO27" i="30" s="1"/>
  <c r="BS27" i="30" s="1"/>
  <c r="BP43" i="30"/>
  <c r="BO43" i="30" s="1"/>
  <c r="BS43" i="30" s="1"/>
  <c r="BP7" i="30"/>
  <c r="BN19" i="30"/>
  <c r="BP22" i="30"/>
  <c r="BN16" i="30"/>
  <c r="BP30" i="30"/>
  <c r="BO30" i="30" s="1"/>
  <c r="BS30" i="30" s="1"/>
  <c r="BN22" i="30"/>
  <c r="BP21" i="30"/>
  <c r="BP10" i="30"/>
  <c r="BP41" i="30"/>
  <c r="BO41" i="30" s="1"/>
  <c r="BS41" i="30" s="1"/>
  <c r="BP15" i="30"/>
  <c r="BP37" i="30"/>
  <c r="BO37" i="30" s="1"/>
  <c r="BS37" i="30" s="1"/>
  <c r="BP36" i="30"/>
  <c r="BO36" i="30" s="1"/>
  <c r="BP9" i="30"/>
  <c r="BS42" i="30"/>
  <c r="BS32" i="30"/>
  <c r="BN43" i="24" l="1"/>
  <c r="BO23" i="24" s="1"/>
  <c r="BS43" i="24"/>
  <c r="BN42" i="24"/>
  <c r="BO22" i="24" s="1"/>
  <c r="BN31" i="24"/>
  <c r="BO11" i="24" s="1"/>
  <c r="BN40" i="24"/>
  <c r="BO20" i="24" s="1"/>
  <c r="BN39" i="24"/>
  <c r="BO19" i="24" s="1"/>
  <c r="BN32" i="24"/>
  <c r="BQ12" i="24" s="1"/>
  <c r="BN29" i="24"/>
  <c r="BQ9" i="24" s="1"/>
  <c r="BN37" i="24"/>
  <c r="BO17" i="24" s="1"/>
  <c r="BN35" i="24"/>
  <c r="BO15" i="24" s="1"/>
  <c r="BN34" i="24"/>
  <c r="BO14" i="24" s="1"/>
  <c r="BN27" i="24"/>
  <c r="BQ7" i="24" s="1"/>
  <c r="BN26" i="24"/>
  <c r="BO6" i="24" s="1"/>
  <c r="BN33" i="24"/>
  <c r="BQ13" i="24" s="1"/>
  <c r="BS29" i="24"/>
  <c r="BN36" i="24"/>
  <c r="BO16" i="24" s="1"/>
  <c r="BN41" i="24"/>
  <c r="BO21" i="24" s="1"/>
  <c r="BN30" i="22"/>
  <c r="BO10" i="22" s="1"/>
  <c r="BN28" i="24"/>
  <c r="BQ8" i="24" s="1"/>
  <c r="BN30" i="24"/>
  <c r="BO10" i="24" s="1"/>
  <c r="BN38" i="24"/>
  <c r="BQ18" i="24" s="1"/>
  <c r="BN28" i="22"/>
  <c r="BO8" i="22" s="1"/>
  <c r="BN35" i="22"/>
  <c r="BQ15" i="22" s="1"/>
  <c r="BN42" i="22"/>
  <c r="BQ22" i="22" s="1"/>
  <c r="BN39" i="22"/>
  <c r="BQ19" i="22" s="1"/>
  <c r="BN38" i="22"/>
  <c r="BQ18" i="22" s="1"/>
  <c r="BN32" i="22"/>
  <c r="BO12" i="22" s="1"/>
  <c r="BN29" i="22"/>
  <c r="BO9" i="22" s="1"/>
  <c r="BN34" i="22"/>
  <c r="BQ14" i="22" s="1"/>
  <c r="BN36" i="22"/>
  <c r="BO16" i="22" s="1"/>
  <c r="BN43" i="22"/>
  <c r="BQ23" i="22" s="1"/>
  <c r="BN40" i="22"/>
  <c r="BO20" i="22" s="1"/>
  <c r="BN26" i="22"/>
  <c r="BQ6" i="22" s="1"/>
  <c r="BN41" i="22"/>
  <c r="BO21" i="22" s="1"/>
  <c r="BN27" i="22"/>
  <c r="BO7" i="22" s="1"/>
  <c r="BN33" i="22"/>
  <c r="BQ13" i="22" s="1"/>
  <c r="BS26" i="22"/>
  <c r="BR28" i="22" s="1"/>
  <c r="BR8" i="22" s="1"/>
  <c r="BW26" i="22" s="1"/>
  <c r="BV26" i="22" s="1"/>
  <c r="BN31" i="22"/>
  <c r="BQ11" i="22" s="1"/>
  <c r="BN37" i="22"/>
  <c r="BQ17" i="22" s="1"/>
  <c r="BN35" i="28"/>
  <c r="BQ15" i="28" s="1"/>
  <c r="BN30" i="28"/>
  <c r="BO10" i="28" s="1"/>
  <c r="BS40" i="28"/>
  <c r="BN33" i="28"/>
  <c r="BQ13" i="28" s="1"/>
  <c r="BN38" i="28"/>
  <c r="BO18" i="28" s="1"/>
  <c r="BN28" i="28"/>
  <c r="BQ8" i="28" s="1"/>
  <c r="BN32" i="28"/>
  <c r="BO12" i="28" s="1"/>
  <c r="BN26" i="28"/>
  <c r="BQ6" i="28" s="1"/>
  <c r="BN42" i="21"/>
  <c r="BS42" i="21"/>
  <c r="BS38" i="21"/>
  <c r="BN38" i="21"/>
  <c r="BS40" i="21"/>
  <c r="BN40" i="21"/>
  <c r="BS34" i="21"/>
  <c r="BN34" i="21"/>
  <c r="BS37" i="21"/>
  <c r="BN37" i="21"/>
  <c r="BS26" i="21"/>
  <c r="BN26" i="21"/>
  <c r="BS41" i="21"/>
  <c r="BN41" i="21"/>
  <c r="BN42" i="28"/>
  <c r="BO22" i="28" s="1"/>
  <c r="BN31" i="21"/>
  <c r="BS31" i="21"/>
  <c r="BS27" i="21"/>
  <c r="BN27" i="21"/>
  <c r="BS32" i="21"/>
  <c r="BN32" i="21"/>
  <c r="BS39" i="21"/>
  <c r="BN39" i="21"/>
  <c r="BS33" i="21"/>
  <c r="BN33" i="21"/>
  <c r="BS29" i="21"/>
  <c r="BN29" i="21"/>
  <c r="BN36" i="21"/>
  <c r="BS36" i="21"/>
  <c r="BS28" i="21"/>
  <c r="BN28" i="21"/>
  <c r="BS43" i="21"/>
  <c r="BN43" i="21"/>
  <c r="BS30" i="21"/>
  <c r="BN30" i="21"/>
  <c r="BS35" i="21"/>
  <c r="BN35" i="21"/>
  <c r="BS27" i="28"/>
  <c r="BN36" i="28"/>
  <c r="BQ16" i="28" s="1"/>
  <c r="BN37" i="28"/>
  <c r="BQ17" i="28" s="1"/>
  <c r="BN31" i="28"/>
  <c r="BO11" i="28" s="1"/>
  <c r="BN41" i="28"/>
  <c r="BO21" i="28" s="1"/>
  <c r="BN29" i="28"/>
  <c r="BO9" i="28" s="1"/>
  <c r="BN43" i="28"/>
  <c r="BQ23" i="28" s="1"/>
  <c r="BN27" i="28"/>
  <c r="BQ7" i="28" s="1"/>
  <c r="BN39" i="28"/>
  <c r="BO19" i="28" s="1"/>
  <c r="BN34" i="28"/>
  <c r="BQ14" i="28" s="1"/>
  <c r="BN40" i="28"/>
  <c r="BO20" i="28" s="1"/>
  <c r="BS36" i="23"/>
  <c r="BN36" i="23"/>
  <c r="BS37" i="23"/>
  <c r="BN37" i="23"/>
  <c r="BN41" i="23"/>
  <c r="BS41" i="23"/>
  <c r="BS35" i="23"/>
  <c r="BN35" i="23"/>
  <c r="BS32" i="23"/>
  <c r="BN32" i="23"/>
  <c r="BS38" i="23"/>
  <c r="BN38" i="23"/>
  <c r="BS29" i="23"/>
  <c r="BN29" i="23"/>
  <c r="BN39" i="23"/>
  <c r="BS39" i="23"/>
  <c r="BN28" i="23"/>
  <c r="BS28" i="23"/>
  <c r="BN34" i="23"/>
  <c r="BS34" i="23"/>
  <c r="BS42" i="23"/>
  <c r="BN42" i="23"/>
  <c r="BN43" i="23"/>
  <c r="BS43" i="23"/>
  <c r="BS33" i="23"/>
  <c r="BN33" i="23"/>
  <c r="BS27" i="23"/>
  <c r="BN27" i="23"/>
  <c r="BN30" i="23"/>
  <c r="BS30" i="23"/>
  <c r="BN26" i="23"/>
  <c r="BS26" i="23"/>
  <c r="BS40" i="23"/>
  <c r="BN40" i="23"/>
  <c r="BN31" i="23"/>
  <c r="BS31" i="23"/>
  <c r="BS42" i="25"/>
  <c r="BN42" i="25"/>
  <c r="BS36" i="25"/>
  <c r="BN36" i="25"/>
  <c r="BN37" i="25"/>
  <c r="BS37" i="25"/>
  <c r="BN29" i="25"/>
  <c r="BS29" i="25"/>
  <c r="BS26" i="25"/>
  <c r="BN26" i="25"/>
  <c r="BS34" i="25"/>
  <c r="BN34" i="25"/>
  <c r="BN38" i="25"/>
  <c r="BS38" i="25"/>
  <c r="BN27" i="25"/>
  <c r="BS27" i="25"/>
  <c r="BS43" i="25"/>
  <c r="BN43" i="25"/>
  <c r="BS32" i="25"/>
  <c r="BN32" i="25"/>
  <c r="BS31" i="25"/>
  <c r="BN31" i="25"/>
  <c r="BS35" i="25"/>
  <c r="BN35" i="25"/>
  <c r="BS28" i="25"/>
  <c r="BN28" i="25"/>
  <c r="BN41" i="25"/>
  <c r="BS41" i="25"/>
  <c r="BS30" i="25"/>
  <c r="BN30" i="25"/>
  <c r="BS33" i="25"/>
  <c r="BN33" i="25"/>
  <c r="BN40" i="25"/>
  <c r="BS40" i="25"/>
  <c r="BN39" i="25"/>
  <c r="BS39" i="25"/>
  <c r="BN42" i="26"/>
  <c r="BS42" i="26"/>
  <c r="BS29" i="26"/>
  <c r="BN29" i="26"/>
  <c r="BS32" i="26"/>
  <c r="BN32" i="26"/>
  <c r="BS27" i="26"/>
  <c r="BN27" i="26"/>
  <c r="BS34" i="26"/>
  <c r="BN34" i="26"/>
  <c r="BS37" i="26"/>
  <c r="BN37" i="26"/>
  <c r="BS28" i="26"/>
  <c r="BN28" i="26"/>
  <c r="BS41" i="26"/>
  <c r="BN41" i="26"/>
  <c r="BS39" i="26"/>
  <c r="BN39" i="26"/>
  <c r="BS33" i="26"/>
  <c r="BN33" i="26"/>
  <c r="BS36" i="26"/>
  <c r="BN36" i="26"/>
  <c r="BS38" i="26"/>
  <c r="BN38" i="26"/>
  <c r="BN43" i="26"/>
  <c r="BS43" i="26"/>
  <c r="BS40" i="26"/>
  <c r="BN40" i="26"/>
  <c r="BS26" i="26"/>
  <c r="BN26" i="26"/>
  <c r="BS30" i="26"/>
  <c r="BN30" i="26"/>
  <c r="BS31" i="26"/>
  <c r="BN31" i="26"/>
  <c r="BS35" i="26"/>
  <c r="BN35" i="26"/>
  <c r="BS35" i="27"/>
  <c r="BN35" i="27"/>
  <c r="BS26" i="27"/>
  <c r="BN26" i="27"/>
  <c r="BS28" i="27"/>
  <c r="BN28" i="27"/>
  <c r="BS37" i="27"/>
  <c r="BN37" i="27"/>
  <c r="BS39" i="27"/>
  <c r="BN39" i="27"/>
  <c r="BS36" i="27"/>
  <c r="BN36" i="27"/>
  <c r="BS41" i="27"/>
  <c r="BN41" i="27"/>
  <c r="BS33" i="27"/>
  <c r="BN33" i="27"/>
  <c r="BS42" i="27"/>
  <c r="BN42" i="27"/>
  <c r="BS38" i="27"/>
  <c r="BN38" i="27"/>
  <c r="BS34" i="27"/>
  <c r="BN34" i="27"/>
  <c r="BS29" i="27"/>
  <c r="BN29" i="27"/>
  <c r="BS27" i="27"/>
  <c r="BN27" i="27"/>
  <c r="BN38" i="29"/>
  <c r="BO18" i="29" s="1"/>
  <c r="BS43" i="27"/>
  <c r="BN43" i="27"/>
  <c r="BS40" i="27"/>
  <c r="BN40" i="27"/>
  <c r="BS31" i="27"/>
  <c r="BN31" i="27"/>
  <c r="BN32" i="27"/>
  <c r="BS32" i="27"/>
  <c r="BS30" i="27"/>
  <c r="BN30" i="27"/>
  <c r="BN43" i="29"/>
  <c r="BQ23" i="29" s="1"/>
  <c r="BN26" i="29"/>
  <c r="BQ6" i="29" s="1"/>
  <c r="BS42" i="29"/>
  <c r="BR27" i="29" s="1"/>
  <c r="BR7" i="29" s="1"/>
  <c r="BW30" i="29" s="1"/>
  <c r="BV30" i="29" s="1"/>
  <c r="BN27" i="29"/>
  <c r="BO7" i="29" s="1"/>
  <c r="BN30" i="29"/>
  <c r="BQ10" i="29" s="1"/>
  <c r="BN42" i="29"/>
  <c r="BQ22" i="29" s="1"/>
  <c r="BN35" i="29"/>
  <c r="BO15" i="29" s="1"/>
  <c r="BN28" i="29"/>
  <c r="BQ8" i="29" s="1"/>
  <c r="BN31" i="29"/>
  <c r="BQ11" i="29" s="1"/>
  <c r="BN36" i="29"/>
  <c r="BO16" i="29" s="1"/>
  <c r="BN34" i="29"/>
  <c r="BQ14" i="29" s="1"/>
  <c r="BN40" i="29"/>
  <c r="BQ20" i="29" s="1"/>
  <c r="BN33" i="29"/>
  <c r="BO13" i="29" s="1"/>
  <c r="BN32" i="29"/>
  <c r="BQ12" i="29" s="1"/>
  <c r="BN41" i="29"/>
  <c r="BQ21" i="29" s="1"/>
  <c r="BN37" i="29"/>
  <c r="BQ17" i="29" s="1"/>
  <c r="BN39" i="29"/>
  <c r="BQ19" i="29" s="1"/>
  <c r="BN29" i="29"/>
  <c r="BQ9" i="29" s="1"/>
  <c r="BR37" i="29"/>
  <c r="BR17" i="29" s="1"/>
  <c r="BS41" i="2"/>
  <c r="BN41" i="2"/>
  <c r="BS27" i="2"/>
  <c r="BN27" i="2"/>
  <c r="BS38" i="2"/>
  <c r="BN38" i="2"/>
  <c r="BS29" i="2"/>
  <c r="BN29" i="2"/>
  <c r="BN30" i="2"/>
  <c r="BS30" i="2"/>
  <c r="BS37" i="2"/>
  <c r="BN37" i="2"/>
  <c r="BS43" i="2"/>
  <c r="BN43" i="2"/>
  <c r="BN32" i="2"/>
  <c r="BS32" i="2"/>
  <c r="BS26" i="2"/>
  <c r="BN26" i="2"/>
  <c r="BS39" i="2"/>
  <c r="BN39" i="2"/>
  <c r="BS40" i="2"/>
  <c r="BN40" i="2"/>
  <c r="BS35" i="2"/>
  <c r="BN35" i="2"/>
  <c r="BS42" i="2"/>
  <c r="BN42" i="2"/>
  <c r="BN31" i="2"/>
  <c r="BS31" i="2"/>
  <c r="BN36" i="2"/>
  <c r="BS36" i="2"/>
  <c r="BS34" i="2"/>
  <c r="BN34" i="2"/>
  <c r="BS33" i="2"/>
  <c r="BN33" i="2"/>
  <c r="BN28" i="2"/>
  <c r="BS28" i="2"/>
  <c r="BN38" i="30"/>
  <c r="BQ18" i="30" s="1"/>
  <c r="BN26" i="30"/>
  <c r="BQ6" i="30" s="1"/>
  <c r="BN41" i="30"/>
  <c r="BQ21" i="30" s="1"/>
  <c r="BS36" i="30"/>
  <c r="BR34" i="30" s="1"/>
  <c r="BR14" i="30" s="1"/>
  <c r="BN40" i="30"/>
  <c r="BQ20" i="30" s="1"/>
  <c r="BN35" i="30"/>
  <c r="BO15" i="30" s="1"/>
  <c r="BN37" i="30"/>
  <c r="BQ17" i="30" s="1"/>
  <c r="BN36" i="30"/>
  <c r="BO16" i="30" s="1"/>
  <c r="BN34" i="30"/>
  <c r="BQ14" i="30" s="1"/>
  <c r="BN28" i="30"/>
  <c r="BO8" i="30" s="1"/>
  <c r="BN32" i="30"/>
  <c r="BQ12" i="30" s="1"/>
  <c r="BN30" i="30"/>
  <c r="BQ10" i="30" s="1"/>
  <c r="BN43" i="30"/>
  <c r="BQ23" i="30" s="1"/>
  <c r="BN33" i="30"/>
  <c r="BQ13" i="30" s="1"/>
  <c r="BN29" i="30"/>
  <c r="BO9" i="30" s="1"/>
  <c r="BN27" i="30"/>
  <c r="BQ7" i="30" s="1"/>
  <c r="BN39" i="30"/>
  <c r="BQ19" i="30" s="1"/>
  <c r="BN42" i="30"/>
  <c r="BQ22" i="30" s="1"/>
  <c r="BN31" i="30"/>
  <c r="BQ11" i="30" s="1"/>
  <c r="BQ7" i="29" l="1"/>
  <c r="BQ23" i="24"/>
  <c r="BQ22" i="24"/>
  <c r="BO13" i="24"/>
  <c r="BQ10" i="22"/>
  <c r="BQ8" i="22"/>
  <c r="BR26" i="22"/>
  <c r="BR6" i="22" s="1"/>
  <c r="BQ15" i="24"/>
  <c r="BQ19" i="24"/>
  <c r="BR36" i="24"/>
  <c r="BR16" i="24" s="1"/>
  <c r="BW31" i="24" s="1"/>
  <c r="BV31" i="24" s="1"/>
  <c r="BZ31" i="24" s="1"/>
  <c r="BQ16" i="22"/>
  <c r="BQ11" i="24"/>
  <c r="BO16" i="28"/>
  <c r="BQ21" i="24"/>
  <c r="BQ17" i="24"/>
  <c r="BQ6" i="24"/>
  <c r="BQ20" i="24"/>
  <c r="BO18" i="24"/>
  <c r="BR37" i="22"/>
  <c r="BR17" i="22" s="1"/>
  <c r="BO19" i="22"/>
  <c r="BR35" i="22"/>
  <c r="BR15" i="22" s="1"/>
  <c r="BR43" i="24"/>
  <c r="BR23" i="24" s="1"/>
  <c r="BW32" i="24" s="1"/>
  <c r="BV32" i="24" s="1"/>
  <c r="BZ32" i="24" s="1"/>
  <c r="BQ18" i="28"/>
  <c r="BR26" i="24"/>
  <c r="BR6" i="24" s="1"/>
  <c r="BQ14" i="24"/>
  <c r="BO12" i="24"/>
  <c r="BR39" i="24"/>
  <c r="BR19" i="24" s="1"/>
  <c r="BR32" i="24"/>
  <c r="BR12" i="24" s="1"/>
  <c r="BQ12" i="22"/>
  <c r="BO15" i="22"/>
  <c r="BO7" i="24"/>
  <c r="BO13" i="22"/>
  <c r="BO22" i="22"/>
  <c r="BQ16" i="24"/>
  <c r="BO9" i="24"/>
  <c r="BQ10" i="28"/>
  <c r="BQ9" i="22"/>
  <c r="BQ20" i="22"/>
  <c r="BO15" i="28"/>
  <c r="BQ10" i="24"/>
  <c r="BR27" i="24"/>
  <c r="BR7" i="24" s="1"/>
  <c r="BW30" i="24" s="1"/>
  <c r="BV30" i="24" s="1"/>
  <c r="BR42" i="24"/>
  <c r="BR22" i="24" s="1"/>
  <c r="BO8" i="24"/>
  <c r="BR31" i="24"/>
  <c r="BR11" i="24" s="1"/>
  <c r="BW27" i="24" s="1"/>
  <c r="BV27" i="24" s="1"/>
  <c r="BZ27" i="24" s="1"/>
  <c r="BR34" i="24"/>
  <c r="BR14" i="24" s="1"/>
  <c r="BR30" i="24"/>
  <c r="BR10" i="24" s="1"/>
  <c r="BR38" i="24"/>
  <c r="BR18" i="24" s="1"/>
  <c r="BR37" i="24"/>
  <c r="BR17" i="24" s="1"/>
  <c r="BR35" i="24"/>
  <c r="BR15" i="24" s="1"/>
  <c r="BR33" i="24"/>
  <c r="BR13" i="24" s="1"/>
  <c r="BR41" i="24"/>
  <c r="BR21" i="24" s="1"/>
  <c r="BR28" i="24"/>
  <c r="BR8" i="24" s="1"/>
  <c r="BW26" i="24" s="1"/>
  <c r="BV26" i="24" s="1"/>
  <c r="BZ26" i="24" s="1"/>
  <c r="BR40" i="24"/>
  <c r="BR20" i="24" s="1"/>
  <c r="BW29" i="24" s="1"/>
  <c r="BV29" i="24" s="1"/>
  <c r="BR29" i="24"/>
  <c r="BR9" i="24" s="1"/>
  <c r="BO11" i="22"/>
  <c r="BO14" i="22"/>
  <c r="BO6" i="22"/>
  <c r="BQ22" i="28"/>
  <c r="BR33" i="22"/>
  <c r="BR13" i="22" s="1"/>
  <c r="BR31" i="22"/>
  <c r="BR11" i="22" s="1"/>
  <c r="BW27" i="22" s="1"/>
  <c r="BV27" i="22" s="1"/>
  <c r="BZ27" i="22" s="1"/>
  <c r="BO13" i="28"/>
  <c r="BQ21" i="22"/>
  <c r="BO18" i="22"/>
  <c r="BR38" i="22"/>
  <c r="BR18" i="22" s="1"/>
  <c r="BQ7" i="22"/>
  <c r="BQ9" i="28"/>
  <c r="BO14" i="28"/>
  <c r="BO23" i="22"/>
  <c r="BO17" i="22"/>
  <c r="BO23" i="28"/>
  <c r="BR32" i="22"/>
  <c r="BR12" i="22" s="1"/>
  <c r="BR39" i="22"/>
  <c r="BR19" i="22" s="1"/>
  <c r="BR43" i="22"/>
  <c r="BR23" i="22" s="1"/>
  <c r="BW32" i="22" s="1"/>
  <c r="BV32" i="22" s="1"/>
  <c r="BZ32" i="22" s="1"/>
  <c r="BO6" i="28"/>
  <c r="BR29" i="22"/>
  <c r="BR9" i="22" s="1"/>
  <c r="BR42" i="22"/>
  <c r="BR22" i="22" s="1"/>
  <c r="BR30" i="22"/>
  <c r="BR10" i="22" s="1"/>
  <c r="BU10" i="22" s="1"/>
  <c r="O58" i="22" s="1"/>
  <c r="BR40" i="22"/>
  <c r="BR20" i="22" s="1"/>
  <c r="BW29" i="22" s="1"/>
  <c r="BV29" i="22" s="1"/>
  <c r="BZ29" i="22" s="1"/>
  <c r="BR34" i="22"/>
  <c r="BR14" i="22" s="1"/>
  <c r="BR41" i="22"/>
  <c r="BR21" i="22" s="1"/>
  <c r="BR36" i="22"/>
  <c r="BR16" i="22" s="1"/>
  <c r="BW31" i="22" s="1"/>
  <c r="BV31" i="22" s="1"/>
  <c r="BR27" i="22"/>
  <c r="BR7" i="22" s="1"/>
  <c r="BW30" i="22" s="1"/>
  <c r="BV30" i="22" s="1"/>
  <c r="BZ30" i="22" s="1"/>
  <c r="BO8" i="28"/>
  <c r="BR36" i="28"/>
  <c r="BR16" i="28" s="1"/>
  <c r="BW31" i="28" s="1"/>
  <c r="BV31" i="28" s="1"/>
  <c r="BR40" i="28"/>
  <c r="BR20" i="28" s="1"/>
  <c r="BW29" i="28" s="1"/>
  <c r="BV29" i="28" s="1"/>
  <c r="BZ29" i="28" s="1"/>
  <c r="BQ20" i="28"/>
  <c r="BR33" i="28"/>
  <c r="BR13" i="28" s="1"/>
  <c r="BR41" i="28"/>
  <c r="BR21" i="28" s="1"/>
  <c r="BR26" i="28"/>
  <c r="BR6" i="28" s="1"/>
  <c r="BO17" i="28"/>
  <c r="BR37" i="28"/>
  <c r="BR17" i="28" s="1"/>
  <c r="BR43" i="21"/>
  <c r="BR23" i="21" s="1"/>
  <c r="BW32" i="21" s="1"/>
  <c r="BV32" i="21" s="1"/>
  <c r="BZ32" i="21" s="1"/>
  <c r="BZ26" i="22"/>
  <c r="BQ16" i="21"/>
  <c r="BO16" i="21"/>
  <c r="BR33" i="21"/>
  <c r="BR13" i="21" s="1"/>
  <c r="BR39" i="21"/>
  <c r="BR19" i="21" s="1"/>
  <c r="BQ7" i="21"/>
  <c r="BO7" i="21"/>
  <c r="BQ11" i="21"/>
  <c r="BO11" i="21"/>
  <c r="BQ21" i="21"/>
  <c r="BO21" i="21"/>
  <c r="BR26" i="21"/>
  <c r="BR6" i="21" s="1"/>
  <c r="BR34" i="21"/>
  <c r="BR14" i="21" s="1"/>
  <c r="BQ21" i="28"/>
  <c r="BR35" i="28"/>
  <c r="BR15" i="28" s="1"/>
  <c r="BR30" i="28"/>
  <c r="BR10" i="28" s="1"/>
  <c r="BR42" i="28"/>
  <c r="BR22" i="28" s="1"/>
  <c r="BR31" i="28"/>
  <c r="BR11" i="28" s="1"/>
  <c r="BW27" i="28" s="1"/>
  <c r="BV27" i="28" s="1"/>
  <c r="BZ27" i="28" s="1"/>
  <c r="BR43" i="28"/>
  <c r="BR23" i="28" s="1"/>
  <c r="BW32" i="28" s="1"/>
  <c r="BV32" i="28" s="1"/>
  <c r="BZ32" i="28" s="1"/>
  <c r="BR31" i="23"/>
  <c r="BR11" i="23" s="1"/>
  <c r="BW27" i="23" s="1"/>
  <c r="BV27" i="23" s="1"/>
  <c r="BZ27" i="23" s="1"/>
  <c r="BQ10" i="21"/>
  <c r="BO10" i="21"/>
  <c r="BQ8" i="21"/>
  <c r="BO8" i="21"/>
  <c r="BQ9" i="21"/>
  <c r="BO9" i="21"/>
  <c r="BQ12" i="21"/>
  <c r="BO12" i="21"/>
  <c r="BR27" i="21"/>
  <c r="BR7" i="21" s="1"/>
  <c r="BW30" i="21" s="1"/>
  <c r="BV30" i="21" s="1"/>
  <c r="BR41" i="21"/>
  <c r="BR21" i="21" s="1"/>
  <c r="BQ17" i="21"/>
  <c r="BO17" i="21"/>
  <c r="BQ20" i="21"/>
  <c r="BO20" i="21"/>
  <c r="BR42" i="21"/>
  <c r="BR22" i="21" s="1"/>
  <c r="BR27" i="28"/>
  <c r="BR7" i="28" s="1"/>
  <c r="BW30" i="28" s="1"/>
  <c r="BV30" i="28" s="1"/>
  <c r="BZ30" i="28" s="1"/>
  <c r="BR28" i="28"/>
  <c r="BR8" i="28" s="1"/>
  <c r="BW26" i="28" s="1"/>
  <c r="BV26" i="28" s="1"/>
  <c r="BZ26" i="28" s="1"/>
  <c r="BR34" i="28"/>
  <c r="BR14" i="28" s="1"/>
  <c r="BQ12" i="28"/>
  <c r="BQ19" i="28"/>
  <c r="BR38" i="28"/>
  <c r="BR18" i="28" s="1"/>
  <c r="BQ15" i="21"/>
  <c r="BO15" i="21"/>
  <c r="BR30" i="21"/>
  <c r="BR10" i="21" s="1"/>
  <c r="BR28" i="21"/>
  <c r="BR8" i="21" s="1"/>
  <c r="BW26" i="21" s="1"/>
  <c r="BV26" i="21" s="1"/>
  <c r="BR29" i="21"/>
  <c r="BR9" i="21" s="1"/>
  <c r="BR32" i="21"/>
  <c r="BR12" i="21" s="1"/>
  <c r="BR37" i="21"/>
  <c r="BR17" i="21" s="1"/>
  <c r="BR40" i="21"/>
  <c r="BR20" i="21" s="1"/>
  <c r="BW29" i="21" s="1"/>
  <c r="BV29" i="21" s="1"/>
  <c r="BQ18" i="21"/>
  <c r="BO18" i="21"/>
  <c r="BQ22" i="21"/>
  <c r="BO22" i="21"/>
  <c r="BR32" i="28"/>
  <c r="BR12" i="28" s="1"/>
  <c r="BR39" i="28"/>
  <c r="BR19" i="28" s="1"/>
  <c r="BR29" i="28"/>
  <c r="BR9" i="28" s="1"/>
  <c r="BR35" i="21"/>
  <c r="BR15" i="21" s="1"/>
  <c r="BQ23" i="21"/>
  <c r="BO23" i="21"/>
  <c r="BR36" i="21"/>
  <c r="BR16" i="21" s="1"/>
  <c r="BQ13" i="21"/>
  <c r="BO13" i="21"/>
  <c r="BQ19" i="21"/>
  <c r="BO19" i="21"/>
  <c r="BR31" i="21"/>
  <c r="BR11" i="21" s="1"/>
  <c r="BW27" i="21" s="1"/>
  <c r="BV27" i="21" s="1"/>
  <c r="BQ6" i="21"/>
  <c r="BO6" i="21"/>
  <c r="BQ14" i="21"/>
  <c r="BO14" i="21"/>
  <c r="BR38" i="21"/>
  <c r="BR18" i="21" s="1"/>
  <c r="BQ11" i="28"/>
  <c r="BO7" i="28"/>
  <c r="BR43" i="29"/>
  <c r="BR23" i="29" s="1"/>
  <c r="BW32" i="29" s="1"/>
  <c r="BV32" i="29" s="1"/>
  <c r="BZ32" i="29" s="1"/>
  <c r="BR40" i="23"/>
  <c r="BR20" i="23" s="1"/>
  <c r="BW29" i="23" s="1"/>
  <c r="BV29" i="23" s="1"/>
  <c r="BZ29" i="23" s="1"/>
  <c r="BQ10" i="23"/>
  <c r="BO10" i="23"/>
  <c r="BQ13" i="23"/>
  <c r="BO13" i="23"/>
  <c r="BQ23" i="23"/>
  <c r="BO23" i="23"/>
  <c r="BR34" i="23"/>
  <c r="BR14" i="23" s="1"/>
  <c r="BR39" i="23"/>
  <c r="BR19" i="23" s="1"/>
  <c r="BO18" i="23"/>
  <c r="BQ18" i="23"/>
  <c r="BR32" i="23"/>
  <c r="BR12" i="23" s="1"/>
  <c r="BR41" i="23"/>
  <c r="BR21" i="23" s="1"/>
  <c r="BR26" i="23"/>
  <c r="BR6" i="23" s="1"/>
  <c r="BQ7" i="23"/>
  <c r="BO7" i="23"/>
  <c r="BR33" i="23"/>
  <c r="BR13" i="23" s="1"/>
  <c r="BQ22" i="23"/>
  <c r="BO22" i="23"/>
  <c r="BQ14" i="23"/>
  <c r="BO14" i="23"/>
  <c r="BQ19" i="23"/>
  <c r="BO19" i="23"/>
  <c r="BR38" i="23"/>
  <c r="BR18" i="23" s="1"/>
  <c r="BQ21" i="23"/>
  <c r="BO21" i="23"/>
  <c r="BO16" i="23"/>
  <c r="BQ16" i="23"/>
  <c r="BQ11" i="23"/>
  <c r="BO11" i="23"/>
  <c r="BO6" i="23"/>
  <c r="BQ6" i="23"/>
  <c r="BR27" i="23"/>
  <c r="BR7" i="23" s="1"/>
  <c r="BW30" i="23" s="1"/>
  <c r="BV30" i="23" s="1"/>
  <c r="BR42" i="23"/>
  <c r="BR22" i="23" s="1"/>
  <c r="BR28" i="23"/>
  <c r="BR8" i="23" s="1"/>
  <c r="BW26" i="23" s="1"/>
  <c r="BV26" i="23" s="1"/>
  <c r="BO9" i="23"/>
  <c r="BQ9" i="23"/>
  <c r="BO15" i="23"/>
  <c r="BQ15" i="23"/>
  <c r="BQ17" i="23"/>
  <c r="BO17" i="23"/>
  <c r="BR36" i="23"/>
  <c r="BR16" i="23" s="1"/>
  <c r="BO20" i="23"/>
  <c r="BQ20" i="23"/>
  <c r="BR30" i="23"/>
  <c r="BR10" i="23" s="1"/>
  <c r="BR43" i="23"/>
  <c r="BR23" i="23" s="1"/>
  <c r="BW32" i="23" s="1"/>
  <c r="BV32" i="23" s="1"/>
  <c r="BZ32" i="23" s="1"/>
  <c r="BQ8" i="23"/>
  <c r="BO8" i="23"/>
  <c r="BR29" i="23"/>
  <c r="BR9" i="23" s="1"/>
  <c r="BQ12" i="23"/>
  <c r="BO12" i="23"/>
  <c r="BR35" i="23"/>
  <c r="BR15" i="23" s="1"/>
  <c r="BR37" i="23"/>
  <c r="BR17" i="23" s="1"/>
  <c r="BQ18" i="29"/>
  <c r="BR30" i="25"/>
  <c r="BR10" i="25" s="1"/>
  <c r="BQ19" i="25"/>
  <c r="BO19" i="25"/>
  <c r="BR41" i="25"/>
  <c r="BR21" i="25" s="1"/>
  <c r="BQ8" i="25"/>
  <c r="BO8" i="25"/>
  <c r="BR35" i="25"/>
  <c r="BR15" i="25" s="1"/>
  <c r="BQ12" i="25"/>
  <c r="BO12" i="25"/>
  <c r="BR38" i="25"/>
  <c r="BR18" i="25" s="1"/>
  <c r="BR37" i="25"/>
  <c r="BR17" i="25" s="1"/>
  <c r="BR36" i="25"/>
  <c r="BR16" i="25" s="1"/>
  <c r="BR29" i="29"/>
  <c r="BR9" i="29" s="1"/>
  <c r="BR40" i="25"/>
  <c r="BR20" i="25" s="1"/>
  <c r="BW29" i="25" s="1"/>
  <c r="BV29" i="25" s="1"/>
  <c r="BQ13" i="25"/>
  <c r="BO13" i="25"/>
  <c r="BQ21" i="25"/>
  <c r="BO21" i="25"/>
  <c r="BR28" i="25"/>
  <c r="BR8" i="25" s="1"/>
  <c r="BW26" i="25" s="1"/>
  <c r="BV26" i="25" s="1"/>
  <c r="BQ11" i="25"/>
  <c r="BO11" i="25"/>
  <c r="BR32" i="25"/>
  <c r="BR12" i="25" s="1"/>
  <c r="BR27" i="25"/>
  <c r="BR7" i="25" s="1"/>
  <c r="BW30" i="25" s="1"/>
  <c r="BV30" i="25" s="1"/>
  <c r="BQ18" i="25"/>
  <c r="BO18" i="25"/>
  <c r="BQ6" i="25"/>
  <c r="BO6" i="25"/>
  <c r="BR29" i="25"/>
  <c r="BR9" i="25" s="1"/>
  <c r="BQ17" i="25"/>
  <c r="BO17" i="25"/>
  <c r="BQ22" i="25"/>
  <c r="BO22" i="25"/>
  <c r="BQ20" i="25"/>
  <c r="BO20" i="25"/>
  <c r="BR33" i="25"/>
  <c r="BR13" i="25" s="1"/>
  <c r="BR31" i="25"/>
  <c r="BR11" i="25" s="1"/>
  <c r="BW27" i="25" s="1"/>
  <c r="BV27" i="25" s="1"/>
  <c r="BQ23" i="25"/>
  <c r="BO23" i="25"/>
  <c r="BQ7" i="25"/>
  <c r="BO7" i="25"/>
  <c r="BQ14" i="25"/>
  <c r="BO14" i="25"/>
  <c r="BR26" i="25"/>
  <c r="BR6" i="25" s="1"/>
  <c r="BQ9" i="25"/>
  <c r="BO9" i="25"/>
  <c r="BR42" i="25"/>
  <c r="BR22" i="25" s="1"/>
  <c r="BR39" i="25"/>
  <c r="BR19" i="25" s="1"/>
  <c r="BQ10" i="25"/>
  <c r="BO10" i="25"/>
  <c r="BQ15" i="25"/>
  <c r="BO15" i="25"/>
  <c r="BR43" i="25"/>
  <c r="BR23" i="25" s="1"/>
  <c r="BW32" i="25" s="1"/>
  <c r="BV32" i="25" s="1"/>
  <c r="BR34" i="25"/>
  <c r="BR14" i="25" s="1"/>
  <c r="BQ16" i="25"/>
  <c r="BO16" i="25"/>
  <c r="BR40" i="26"/>
  <c r="BR20" i="26" s="1"/>
  <c r="BW29" i="26" s="1"/>
  <c r="BV29" i="26" s="1"/>
  <c r="BZ29" i="26" s="1"/>
  <c r="BR36" i="26"/>
  <c r="BR16" i="26" s="1"/>
  <c r="BW31" i="26" s="1"/>
  <c r="BV31" i="26" s="1"/>
  <c r="BR32" i="27"/>
  <c r="BR12" i="27" s="1"/>
  <c r="BR31" i="26"/>
  <c r="BR11" i="26" s="1"/>
  <c r="BW27" i="26" s="1"/>
  <c r="BV27" i="26" s="1"/>
  <c r="BQ6" i="26"/>
  <c r="BO6" i="26"/>
  <c r="BR43" i="26"/>
  <c r="BR23" i="26" s="1"/>
  <c r="BW32" i="26" s="1"/>
  <c r="BV32" i="26" s="1"/>
  <c r="BQ18" i="26"/>
  <c r="BO18" i="26"/>
  <c r="BQ13" i="26"/>
  <c r="BO13" i="26"/>
  <c r="BR28" i="26"/>
  <c r="BR8" i="26" s="1"/>
  <c r="BW26" i="26" s="1"/>
  <c r="BV26" i="26" s="1"/>
  <c r="BQ17" i="26"/>
  <c r="BO17" i="26"/>
  <c r="BQ7" i="26"/>
  <c r="BO7" i="26"/>
  <c r="BQ11" i="26"/>
  <c r="BO11" i="26"/>
  <c r="BQ8" i="26"/>
  <c r="BO8" i="26"/>
  <c r="BR34" i="26"/>
  <c r="BR14" i="26" s="1"/>
  <c r="BQ22" i="26"/>
  <c r="BO22" i="26"/>
  <c r="BQ15" i="29"/>
  <c r="BO21" i="29"/>
  <c r="BR42" i="29"/>
  <c r="BR22" i="29" s="1"/>
  <c r="BQ16" i="29"/>
  <c r="BR40" i="29"/>
  <c r="BR20" i="29" s="1"/>
  <c r="BW29" i="29" s="1"/>
  <c r="BV29" i="29" s="1"/>
  <c r="BZ29" i="29" s="1"/>
  <c r="BR28" i="29"/>
  <c r="BR8" i="29" s="1"/>
  <c r="BW26" i="29" s="1"/>
  <c r="BV26" i="29" s="1"/>
  <c r="BZ26" i="29" s="1"/>
  <c r="BO6" i="29"/>
  <c r="BQ15" i="26"/>
  <c r="BO15" i="26"/>
  <c r="BQ10" i="26"/>
  <c r="BO10" i="26"/>
  <c r="BR26" i="26"/>
  <c r="BR6" i="26" s="1"/>
  <c r="BQ23" i="26"/>
  <c r="BO23" i="26"/>
  <c r="BR38" i="26"/>
  <c r="BR18" i="26" s="1"/>
  <c r="BR33" i="26"/>
  <c r="BR13" i="26" s="1"/>
  <c r="BQ19" i="26"/>
  <c r="BO19" i="26"/>
  <c r="BQ21" i="26"/>
  <c r="BO21" i="26"/>
  <c r="BR37" i="26"/>
  <c r="BR17" i="26" s="1"/>
  <c r="BR27" i="26"/>
  <c r="BR7" i="26" s="1"/>
  <c r="BW30" i="26" s="1"/>
  <c r="BV30" i="26" s="1"/>
  <c r="BQ9" i="26"/>
  <c r="BO9" i="26"/>
  <c r="BR32" i="26"/>
  <c r="BR12" i="26" s="1"/>
  <c r="BR35" i="29"/>
  <c r="BR15" i="29" s="1"/>
  <c r="BR30" i="29"/>
  <c r="BR10" i="29" s="1"/>
  <c r="BR31" i="29"/>
  <c r="BR11" i="29" s="1"/>
  <c r="BW27" i="29" s="1"/>
  <c r="BV27" i="29" s="1"/>
  <c r="BZ27" i="29" s="1"/>
  <c r="BR38" i="29"/>
  <c r="BR18" i="29" s="1"/>
  <c r="BR35" i="26"/>
  <c r="BR15" i="26" s="1"/>
  <c r="BR30" i="26"/>
  <c r="BR10" i="26" s="1"/>
  <c r="BQ20" i="26"/>
  <c r="BO20" i="26"/>
  <c r="BQ16" i="26"/>
  <c r="BO16" i="26"/>
  <c r="BR39" i="26"/>
  <c r="BR19" i="26" s="1"/>
  <c r="BR41" i="26"/>
  <c r="BR21" i="26" s="1"/>
  <c r="BQ14" i="26"/>
  <c r="BO14" i="26"/>
  <c r="BQ12" i="26"/>
  <c r="BO12" i="26"/>
  <c r="BR29" i="26"/>
  <c r="BR9" i="26" s="1"/>
  <c r="BR42" i="26"/>
  <c r="BR22" i="26" s="1"/>
  <c r="BO22" i="29"/>
  <c r="BO18" i="27"/>
  <c r="BQ18" i="27"/>
  <c r="BQ6" i="27"/>
  <c r="BO6" i="27"/>
  <c r="BO12" i="29"/>
  <c r="BQ13" i="29"/>
  <c r="BO12" i="27"/>
  <c r="BQ12" i="27"/>
  <c r="BR40" i="27"/>
  <c r="BR20" i="27" s="1"/>
  <c r="BW29" i="27" s="1"/>
  <c r="BV29" i="27" s="1"/>
  <c r="BO7" i="27"/>
  <c r="BQ7" i="27"/>
  <c r="BR29" i="27"/>
  <c r="BR9" i="27" s="1"/>
  <c r="BR38" i="27"/>
  <c r="BR18" i="27" s="1"/>
  <c r="BR33" i="27"/>
  <c r="BR13" i="27" s="1"/>
  <c r="BR36" i="27"/>
  <c r="BR16" i="27" s="1"/>
  <c r="BR37" i="27"/>
  <c r="BR17" i="27" s="1"/>
  <c r="BR26" i="27"/>
  <c r="BR6" i="27" s="1"/>
  <c r="BO20" i="27"/>
  <c r="BQ20" i="27"/>
  <c r="BQ13" i="27"/>
  <c r="BO13" i="27"/>
  <c r="BO17" i="27"/>
  <c r="BQ17" i="27"/>
  <c r="BO23" i="29"/>
  <c r="BO10" i="27"/>
  <c r="BQ10" i="27"/>
  <c r="BO11" i="27"/>
  <c r="BQ11" i="27"/>
  <c r="BO23" i="27"/>
  <c r="BQ23" i="27"/>
  <c r="BR27" i="27"/>
  <c r="BR7" i="27" s="1"/>
  <c r="BW30" i="27" s="1"/>
  <c r="BV30" i="27" s="1"/>
  <c r="BQ14" i="27"/>
  <c r="BO14" i="27"/>
  <c r="BQ22" i="27"/>
  <c r="BO22" i="27"/>
  <c r="BO21" i="27"/>
  <c r="BQ21" i="27"/>
  <c r="BQ19" i="27"/>
  <c r="BO19" i="27"/>
  <c r="BO8" i="27"/>
  <c r="BQ8" i="27"/>
  <c r="BQ15" i="27"/>
  <c r="BO15" i="27"/>
  <c r="BO9" i="27"/>
  <c r="BQ9" i="27"/>
  <c r="BO16" i="27"/>
  <c r="BQ16" i="27"/>
  <c r="BR30" i="27"/>
  <c r="BR10" i="27" s="1"/>
  <c r="BR31" i="27"/>
  <c r="BR11" i="27" s="1"/>
  <c r="BW27" i="27" s="1"/>
  <c r="BV27" i="27" s="1"/>
  <c r="BR43" i="27"/>
  <c r="BR23" i="27" s="1"/>
  <c r="BW32" i="27" s="1"/>
  <c r="BV32" i="27" s="1"/>
  <c r="BR34" i="27"/>
  <c r="BR14" i="27" s="1"/>
  <c r="BR42" i="27"/>
  <c r="BR22" i="27" s="1"/>
  <c r="BR41" i="27"/>
  <c r="BR21" i="27" s="1"/>
  <c r="BR39" i="27"/>
  <c r="BR19" i="27" s="1"/>
  <c r="BR28" i="27"/>
  <c r="BR8" i="27" s="1"/>
  <c r="BW26" i="27" s="1"/>
  <c r="BV26" i="27" s="1"/>
  <c r="BR35" i="27"/>
  <c r="BR15" i="27" s="1"/>
  <c r="BO9" i="29"/>
  <c r="BR33" i="29"/>
  <c r="BR13" i="29" s="1"/>
  <c r="BR36" i="29"/>
  <c r="BR16" i="29" s="1"/>
  <c r="BW31" i="29" s="1"/>
  <c r="BV31" i="29" s="1"/>
  <c r="BR39" i="29"/>
  <c r="BR19" i="29" s="1"/>
  <c r="BO14" i="29"/>
  <c r="BR41" i="29"/>
  <c r="BR21" i="29" s="1"/>
  <c r="BR26" i="29"/>
  <c r="BR6" i="29" s="1"/>
  <c r="BR32" i="29"/>
  <c r="BR12" i="29" s="1"/>
  <c r="BR34" i="29"/>
  <c r="BR14" i="29" s="1"/>
  <c r="BO10" i="29"/>
  <c r="BO19" i="29"/>
  <c r="BO11" i="29"/>
  <c r="BO20" i="29"/>
  <c r="BO8" i="29"/>
  <c r="BO17" i="29"/>
  <c r="BU17" i="29" s="1"/>
  <c r="BR28" i="2"/>
  <c r="BR8" i="2" s="1"/>
  <c r="BW26" i="2" s="1"/>
  <c r="BV26" i="2" s="1"/>
  <c r="BZ26" i="2" s="1"/>
  <c r="BO8" i="2"/>
  <c r="BQ8" i="2"/>
  <c r="BQ16" i="2"/>
  <c r="BO16" i="2"/>
  <c r="BQ22" i="2"/>
  <c r="BO22" i="2"/>
  <c r="BO20" i="2"/>
  <c r="BQ20" i="2"/>
  <c r="BO6" i="2"/>
  <c r="BQ6" i="2"/>
  <c r="BO17" i="2"/>
  <c r="BQ17" i="2"/>
  <c r="BO7" i="2"/>
  <c r="BQ7" i="2"/>
  <c r="BQ13" i="2"/>
  <c r="BO13" i="2"/>
  <c r="BQ14" i="2"/>
  <c r="BO14" i="2"/>
  <c r="BR42" i="2"/>
  <c r="BR22" i="2" s="1"/>
  <c r="BO15" i="2"/>
  <c r="BQ15" i="2"/>
  <c r="BR40" i="2"/>
  <c r="BR20" i="2" s="1"/>
  <c r="BW29" i="2" s="1"/>
  <c r="BV29" i="2" s="1"/>
  <c r="BZ29" i="2" s="1"/>
  <c r="BR26" i="2"/>
  <c r="BR6" i="2" s="1"/>
  <c r="BZ30" i="29"/>
  <c r="BR37" i="2"/>
  <c r="BR17" i="2" s="1"/>
  <c r="BR27" i="2"/>
  <c r="BR7" i="2" s="1"/>
  <c r="BW30" i="2" s="1"/>
  <c r="BV30" i="2" s="1"/>
  <c r="BZ30" i="2" s="1"/>
  <c r="BR33" i="2"/>
  <c r="BR13" i="2" s="1"/>
  <c r="BR34" i="2"/>
  <c r="BR14" i="2" s="1"/>
  <c r="BR31" i="2"/>
  <c r="BR11" i="2" s="1"/>
  <c r="BW27" i="2" s="1"/>
  <c r="BV27" i="2" s="1"/>
  <c r="BZ27" i="2" s="1"/>
  <c r="BR35" i="2"/>
  <c r="BR15" i="2" s="1"/>
  <c r="BQ19" i="2"/>
  <c r="BO19" i="2"/>
  <c r="BR32" i="2"/>
  <c r="BR12" i="2" s="1"/>
  <c r="BO23" i="2"/>
  <c r="BQ23" i="2"/>
  <c r="BR30" i="2"/>
  <c r="BR10" i="2" s="1"/>
  <c r="BQ9" i="2"/>
  <c r="BO9" i="2"/>
  <c r="BQ18" i="2"/>
  <c r="BO18" i="2"/>
  <c r="BO21" i="2"/>
  <c r="BQ21" i="2"/>
  <c r="BR36" i="2"/>
  <c r="BR16" i="2" s="1"/>
  <c r="BQ11" i="2"/>
  <c r="BO11" i="2"/>
  <c r="BR39" i="2"/>
  <c r="BR19" i="2" s="1"/>
  <c r="BQ12" i="2"/>
  <c r="BO12" i="2"/>
  <c r="BR43" i="2"/>
  <c r="BR23" i="2" s="1"/>
  <c r="BW32" i="2" s="1"/>
  <c r="BV32" i="2" s="1"/>
  <c r="BZ32" i="2" s="1"/>
  <c r="BQ10" i="2"/>
  <c r="BO10" i="2"/>
  <c r="BR29" i="2"/>
  <c r="BR9" i="2" s="1"/>
  <c r="BR38" i="2"/>
  <c r="BR18" i="2" s="1"/>
  <c r="BR41" i="2"/>
  <c r="BR21" i="2" s="1"/>
  <c r="BQ15" i="30"/>
  <c r="BO6" i="30"/>
  <c r="BQ8" i="30"/>
  <c r="BO13" i="30"/>
  <c r="BR33" i="30"/>
  <c r="BR13" i="30" s="1"/>
  <c r="BO18" i="30"/>
  <c r="BO22" i="30"/>
  <c r="BO12" i="30"/>
  <c r="BO17" i="30"/>
  <c r="BQ9" i="30"/>
  <c r="BO11" i="30"/>
  <c r="BO21" i="30"/>
  <c r="BR29" i="30"/>
  <c r="BR9" i="30" s="1"/>
  <c r="BR39" i="30"/>
  <c r="BR19" i="30" s="1"/>
  <c r="BR38" i="30"/>
  <c r="BR18" i="30" s="1"/>
  <c r="BQ16" i="30"/>
  <c r="BO20" i="30"/>
  <c r="BR42" i="30"/>
  <c r="BR22" i="30" s="1"/>
  <c r="BO10" i="30"/>
  <c r="BR27" i="30"/>
  <c r="BR7" i="30" s="1"/>
  <c r="BW30" i="30" s="1"/>
  <c r="BV30" i="30" s="1"/>
  <c r="BZ30" i="30" s="1"/>
  <c r="BR36" i="30"/>
  <c r="BR16" i="30" s="1"/>
  <c r="BW31" i="30" s="1"/>
  <c r="BV31" i="30" s="1"/>
  <c r="BR28" i="30"/>
  <c r="BR8" i="30" s="1"/>
  <c r="BW26" i="30" s="1"/>
  <c r="BV26" i="30" s="1"/>
  <c r="BZ26" i="30" s="1"/>
  <c r="BR40" i="30"/>
  <c r="BR20" i="30" s="1"/>
  <c r="BW29" i="30" s="1"/>
  <c r="BV29" i="30" s="1"/>
  <c r="BZ29" i="30" s="1"/>
  <c r="BO7" i="30"/>
  <c r="BR41" i="30"/>
  <c r="BR21" i="30" s="1"/>
  <c r="BR35" i="30"/>
  <c r="BR15" i="30" s="1"/>
  <c r="BR30" i="30"/>
  <c r="BR10" i="30" s="1"/>
  <c r="BR37" i="30"/>
  <c r="BR17" i="30" s="1"/>
  <c r="BR32" i="30"/>
  <c r="BR12" i="30" s="1"/>
  <c r="BR26" i="30"/>
  <c r="BR6" i="30" s="1"/>
  <c r="BU6" i="30" s="1"/>
  <c r="BR31" i="30"/>
  <c r="BR11" i="30" s="1"/>
  <c r="BW27" i="30" s="1"/>
  <c r="BV27" i="30" s="1"/>
  <c r="BZ27" i="30" s="1"/>
  <c r="BR43" i="30"/>
  <c r="BR23" i="30" s="1"/>
  <c r="BW32" i="30" s="1"/>
  <c r="BV32" i="30" s="1"/>
  <c r="BZ32" i="30" s="1"/>
  <c r="BO19" i="30"/>
  <c r="BO23" i="30"/>
  <c r="BO14" i="30"/>
  <c r="BU14" i="30" s="1"/>
  <c r="P62" i="30" s="1"/>
  <c r="BU22" i="24" l="1"/>
  <c r="P70" i="24" s="1"/>
  <c r="BU13" i="24"/>
  <c r="O61" i="24" s="1"/>
  <c r="BU6" i="22"/>
  <c r="P54" i="22" s="1"/>
  <c r="BU9" i="22"/>
  <c r="O57" i="22" s="1"/>
  <c r="BU12" i="22"/>
  <c r="O60" i="22" s="1"/>
  <c r="BU19" i="24"/>
  <c r="P67" i="24" s="1"/>
  <c r="BU15" i="24"/>
  <c r="P63" i="24" s="1"/>
  <c r="BU10" i="24"/>
  <c r="O58" i="24" s="1"/>
  <c r="BW28" i="24"/>
  <c r="BV28" i="24" s="1"/>
  <c r="BZ28" i="24" s="1"/>
  <c r="BU21" i="24"/>
  <c r="O69" i="24" s="1"/>
  <c r="BU18" i="24"/>
  <c r="P66" i="24" s="1"/>
  <c r="BU17" i="22"/>
  <c r="P65" i="22" s="1"/>
  <c r="BU17" i="24"/>
  <c r="P65" i="24" s="1"/>
  <c r="BU15" i="28"/>
  <c r="P63" i="28" s="1"/>
  <c r="BU6" i="24"/>
  <c r="P54" i="24" s="1"/>
  <c r="BU10" i="28"/>
  <c r="P58" i="28" s="1"/>
  <c r="BU19" i="22"/>
  <c r="P67" i="22" s="1"/>
  <c r="BU12" i="24"/>
  <c r="P60" i="24" s="1"/>
  <c r="BU13" i="22"/>
  <c r="P61" i="22" s="1"/>
  <c r="BU14" i="24"/>
  <c r="P62" i="24" s="1"/>
  <c r="BU22" i="22"/>
  <c r="P70" i="22" s="1"/>
  <c r="BU15" i="22"/>
  <c r="O63" i="22" s="1"/>
  <c r="BU32" i="24"/>
  <c r="BU9" i="24"/>
  <c r="O57" i="24" s="1"/>
  <c r="BU13" i="28"/>
  <c r="P61" i="28" s="1"/>
  <c r="BU18" i="28"/>
  <c r="O66" i="28" s="1"/>
  <c r="BZ30" i="24"/>
  <c r="BY31" i="24" s="1"/>
  <c r="BT16" i="24" s="1"/>
  <c r="BU14" i="22"/>
  <c r="O62" i="22" s="1"/>
  <c r="BW28" i="28"/>
  <c r="BV28" i="28" s="1"/>
  <c r="BU28" i="28" s="1"/>
  <c r="BZ29" i="24"/>
  <c r="BU30" i="24"/>
  <c r="BU31" i="24"/>
  <c r="BW28" i="22"/>
  <c r="BV28" i="22" s="1"/>
  <c r="BU26" i="22" s="1"/>
  <c r="BU6" i="28"/>
  <c r="O54" i="28" s="1"/>
  <c r="BU9" i="28"/>
  <c r="O57" i="28" s="1"/>
  <c r="BU14" i="28"/>
  <c r="P62" i="28" s="1"/>
  <c r="BU22" i="28"/>
  <c r="P70" i="28" s="1"/>
  <c r="BU21" i="22"/>
  <c r="P69" i="22" s="1"/>
  <c r="BU18" i="22"/>
  <c r="O66" i="22" s="1"/>
  <c r="BU9" i="29"/>
  <c r="O57" i="29" s="1"/>
  <c r="P58" i="22"/>
  <c r="BU21" i="28"/>
  <c r="P69" i="28" s="1"/>
  <c r="BU17" i="28"/>
  <c r="O65" i="28" s="1"/>
  <c r="BU6" i="21"/>
  <c r="P54" i="21" s="1"/>
  <c r="BU19" i="28"/>
  <c r="O67" i="28" s="1"/>
  <c r="BU15" i="21"/>
  <c r="P63" i="21" s="1"/>
  <c r="BU30" i="29"/>
  <c r="BU18" i="21"/>
  <c r="P66" i="21" s="1"/>
  <c r="BU12" i="28"/>
  <c r="O60" i="28" s="1"/>
  <c r="BU21" i="21"/>
  <c r="P69" i="21" s="1"/>
  <c r="BU12" i="23"/>
  <c r="O60" i="23" s="1"/>
  <c r="BU19" i="23"/>
  <c r="P67" i="23" s="1"/>
  <c r="BU13" i="21"/>
  <c r="O61" i="21" s="1"/>
  <c r="BU32" i="22"/>
  <c r="BU31" i="22"/>
  <c r="BZ31" i="22"/>
  <c r="BY30" i="22" s="1"/>
  <c r="BT7" i="22" s="1"/>
  <c r="BU7" i="22" s="1"/>
  <c r="BU30" i="22"/>
  <c r="BU9" i="21"/>
  <c r="BU10" i="21"/>
  <c r="BU14" i="21"/>
  <c r="BZ27" i="21"/>
  <c r="BU22" i="21"/>
  <c r="BZ29" i="21"/>
  <c r="BZ26" i="21"/>
  <c r="BZ30" i="21"/>
  <c r="BU19" i="21"/>
  <c r="BW31" i="21"/>
  <c r="BV31" i="21" s="1"/>
  <c r="BW28" i="21"/>
  <c r="BV28" i="21" s="1"/>
  <c r="BU17" i="21"/>
  <c r="BU12" i="21"/>
  <c r="BU6" i="23"/>
  <c r="P54" i="23" s="1"/>
  <c r="BU21" i="29"/>
  <c r="P69" i="29" s="1"/>
  <c r="BU21" i="23"/>
  <c r="O69" i="23" s="1"/>
  <c r="BU9" i="23"/>
  <c r="BU10" i="23"/>
  <c r="BZ26" i="23"/>
  <c r="BU22" i="23"/>
  <c r="BU18" i="23"/>
  <c r="BW28" i="23"/>
  <c r="BV28" i="23" s="1"/>
  <c r="BU27" i="23" s="1"/>
  <c r="BW31" i="23"/>
  <c r="BV31" i="23" s="1"/>
  <c r="BU15" i="23"/>
  <c r="BU13" i="23"/>
  <c r="BU12" i="29"/>
  <c r="P60" i="29" s="1"/>
  <c r="BU17" i="23"/>
  <c r="BZ30" i="23"/>
  <c r="BU14" i="23"/>
  <c r="BU22" i="29"/>
  <c r="O70" i="29" s="1"/>
  <c r="BU18" i="29"/>
  <c r="O66" i="29" s="1"/>
  <c r="BU10" i="29"/>
  <c r="O58" i="29" s="1"/>
  <c r="BW28" i="26"/>
  <c r="BV28" i="26" s="1"/>
  <c r="BU28" i="26" s="1"/>
  <c r="BU17" i="25"/>
  <c r="O65" i="25" s="1"/>
  <c r="BU21" i="25"/>
  <c r="P69" i="25" s="1"/>
  <c r="BU18" i="25"/>
  <c r="O66" i="25" s="1"/>
  <c r="BU15" i="29"/>
  <c r="O63" i="29" s="1"/>
  <c r="BU12" i="26"/>
  <c r="P60" i="26" s="1"/>
  <c r="BU13" i="29"/>
  <c r="O61" i="29" s="1"/>
  <c r="BU10" i="25"/>
  <c r="BU9" i="25"/>
  <c r="BU12" i="25"/>
  <c r="BZ32" i="25"/>
  <c r="BZ27" i="25"/>
  <c r="BU22" i="25"/>
  <c r="BU13" i="25"/>
  <c r="BW31" i="25"/>
  <c r="BV31" i="25" s="1"/>
  <c r="BU32" i="25" s="1"/>
  <c r="BW28" i="25"/>
  <c r="BV28" i="25" s="1"/>
  <c r="BU26" i="25" s="1"/>
  <c r="BU15" i="25"/>
  <c r="BU6" i="25"/>
  <c r="BZ30" i="25"/>
  <c r="BZ26" i="25"/>
  <c r="BU19" i="25"/>
  <c r="BU14" i="25"/>
  <c r="BZ29" i="25"/>
  <c r="BU15" i="26"/>
  <c r="P63" i="26" s="1"/>
  <c r="BU10" i="26"/>
  <c r="O58" i="26" s="1"/>
  <c r="BU13" i="26"/>
  <c r="O61" i="26" s="1"/>
  <c r="BZ26" i="26"/>
  <c r="BU6" i="29"/>
  <c r="O54" i="29" s="1"/>
  <c r="BZ30" i="26"/>
  <c r="BU30" i="26"/>
  <c r="BU19" i="26"/>
  <c r="BZ31" i="26"/>
  <c r="BU31" i="26"/>
  <c r="BZ32" i="26"/>
  <c r="BU32" i="26"/>
  <c r="BU12" i="27"/>
  <c r="O60" i="27" s="1"/>
  <c r="BU14" i="26"/>
  <c r="BU17" i="26"/>
  <c r="BU6" i="26"/>
  <c r="BZ27" i="26"/>
  <c r="BU9" i="27"/>
  <c r="P57" i="27" s="1"/>
  <c r="BU17" i="27"/>
  <c r="O65" i="27" s="1"/>
  <c r="BU9" i="26"/>
  <c r="BU21" i="26"/>
  <c r="BU22" i="26"/>
  <c r="BU18" i="26"/>
  <c r="BU21" i="27"/>
  <c r="P69" i="27" s="1"/>
  <c r="BU6" i="27"/>
  <c r="P54" i="27" s="1"/>
  <c r="BZ32" i="27"/>
  <c r="BU15" i="27"/>
  <c r="BU19" i="27"/>
  <c r="BU22" i="27"/>
  <c r="BZ30" i="27"/>
  <c r="BU13" i="27"/>
  <c r="BZ29" i="27"/>
  <c r="BZ26" i="27"/>
  <c r="BW28" i="29"/>
  <c r="BV28" i="29" s="1"/>
  <c r="BU29" i="29" s="1"/>
  <c r="BZ27" i="27"/>
  <c r="BU14" i="27"/>
  <c r="BU10" i="27"/>
  <c r="BW28" i="27"/>
  <c r="BV28" i="27" s="1"/>
  <c r="BU26" i="27" s="1"/>
  <c r="BW31" i="27"/>
  <c r="BV31" i="27" s="1"/>
  <c r="BU18" i="27"/>
  <c r="BU31" i="28"/>
  <c r="BU30" i="28"/>
  <c r="BU32" i="28"/>
  <c r="BZ31" i="28"/>
  <c r="BU19" i="29"/>
  <c r="O67" i="29" s="1"/>
  <c r="BU14" i="29"/>
  <c r="O62" i="29" s="1"/>
  <c r="O65" i="29"/>
  <c r="P65" i="29"/>
  <c r="BU32" i="29"/>
  <c r="BU10" i="2"/>
  <c r="BU12" i="2"/>
  <c r="O60" i="2" s="1"/>
  <c r="BU21" i="2"/>
  <c r="BU14" i="2"/>
  <c r="BU6" i="2"/>
  <c r="BU18" i="2"/>
  <c r="BU17" i="2"/>
  <c r="BZ31" i="29"/>
  <c r="BY31" i="29" s="1"/>
  <c r="BT16" i="29" s="1"/>
  <c r="BU31" i="29"/>
  <c r="BU19" i="2"/>
  <c r="BU15" i="2"/>
  <c r="BU13" i="2"/>
  <c r="BU22" i="2"/>
  <c r="BW31" i="2"/>
  <c r="BV31" i="2" s="1"/>
  <c r="BW28" i="2"/>
  <c r="BV28" i="2" s="1"/>
  <c r="BU9" i="2"/>
  <c r="BU15" i="30"/>
  <c r="O63" i="30" s="1"/>
  <c r="BU13" i="30"/>
  <c r="P61" i="30" s="1"/>
  <c r="BU22" i="30"/>
  <c r="O70" i="30" s="1"/>
  <c r="BU18" i="30"/>
  <c r="O66" i="30" s="1"/>
  <c r="BU12" i="30"/>
  <c r="O60" i="30" s="1"/>
  <c r="BU21" i="30"/>
  <c r="P69" i="30" s="1"/>
  <c r="BU17" i="30"/>
  <c r="O65" i="30" s="1"/>
  <c r="BU10" i="30"/>
  <c r="O58" i="30" s="1"/>
  <c r="BU9" i="30"/>
  <c r="P57" i="30" s="1"/>
  <c r="BU19" i="30"/>
  <c r="O67" i="30" s="1"/>
  <c r="BW28" i="30"/>
  <c r="BV28" i="30" s="1"/>
  <c r="BU27" i="30" s="1"/>
  <c r="O62" i="30"/>
  <c r="BZ31" i="30"/>
  <c r="BY31" i="30" s="1"/>
  <c r="BT16" i="30" s="1"/>
  <c r="BU31" i="30"/>
  <c r="BU30" i="30"/>
  <c r="BU32" i="30"/>
  <c r="P54" i="30"/>
  <c r="O54" i="30"/>
  <c r="O70" i="24" l="1"/>
  <c r="P61" i="24"/>
  <c r="O54" i="22"/>
  <c r="O67" i="24"/>
  <c r="BY28" i="24"/>
  <c r="BS16" i="24" s="1"/>
  <c r="BU16" i="24" s="1"/>
  <c r="P64" i="24" s="1"/>
  <c r="P57" i="22"/>
  <c r="P58" i="24"/>
  <c r="P60" i="22"/>
  <c r="O70" i="22"/>
  <c r="O63" i="24"/>
  <c r="P69" i="24"/>
  <c r="BU26" i="24"/>
  <c r="O61" i="22"/>
  <c r="BU27" i="24"/>
  <c r="BU28" i="24"/>
  <c r="BU29" i="24"/>
  <c r="O66" i="24"/>
  <c r="O54" i="24"/>
  <c r="P66" i="22"/>
  <c r="O65" i="22"/>
  <c r="O65" i="24"/>
  <c r="O67" i="22"/>
  <c r="O63" i="28"/>
  <c r="O61" i="28"/>
  <c r="BZ28" i="28"/>
  <c r="BY28" i="28" s="1"/>
  <c r="BS16" i="28" s="1"/>
  <c r="O57" i="27"/>
  <c r="P57" i="24"/>
  <c r="O58" i="28"/>
  <c r="O62" i="24"/>
  <c r="BY27" i="24"/>
  <c r="BS11" i="24" s="1"/>
  <c r="BU11" i="24" s="1"/>
  <c r="P59" i="24" s="1"/>
  <c r="BY29" i="24"/>
  <c r="BS20" i="24" s="1"/>
  <c r="BU20" i="24" s="1"/>
  <c r="P68" i="24" s="1"/>
  <c r="O60" i="24"/>
  <c r="P57" i="29"/>
  <c r="P63" i="22"/>
  <c r="P66" i="28"/>
  <c r="BY32" i="24"/>
  <c r="BT23" i="24" s="1"/>
  <c r="BU23" i="24" s="1"/>
  <c r="P71" i="24" s="1"/>
  <c r="BY30" i="24"/>
  <c r="BT7" i="24" s="1"/>
  <c r="BU7" i="24" s="1"/>
  <c r="P55" i="24" s="1"/>
  <c r="BY26" i="24"/>
  <c r="BS8" i="24" s="1"/>
  <c r="BU8" i="24" s="1"/>
  <c r="O56" i="24" s="1"/>
  <c r="P60" i="23"/>
  <c r="P54" i="28"/>
  <c r="O62" i="28"/>
  <c r="BU29" i="22"/>
  <c r="P66" i="25"/>
  <c r="P62" i="22"/>
  <c r="P57" i="28"/>
  <c r="P63" i="30"/>
  <c r="P65" i="28"/>
  <c r="BU26" i="28"/>
  <c r="O69" i="28"/>
  <c r="BU27" i="22"/>
  <c r="BU27" i="28"/>
  <c r="BZ28" i="22"/>
  <c r="BY28" i="22" s="1"/>
  <c r="BS16" i="22" s="1"/>
  <c r="O69" i="22"/>
  <c r="BU29" i="28"/>
  <c r="BU28" i="22"/>
  <c r="P67" i="28"/>
  <c r="O70" i="28"/>
  <c r="O67" i="23"/>
  <c r="O69" i="21"/>
  <c r="P61" i="29"/>
  <c r="O54" i="21"/>
  <c r="O66" i="21"/>
  <c r="P66" i="29"/>
  <c r="P70" i="29"/>
  <c r="P61" i="21"/>
  <c r="P60" i="28"/>
  <c r="O63" i="21"/>
  <c r="P69" i="23"/>
  <c r="O69" i="29"/>
  <c r="O69" i="25"/>
  <c r="O54" i="23"/>
  <c r="O60" i="26"/>
  <c r="O55" i="22"/>
  <c r="P55" i="22"/>
  <c r="BY32" i="22"/>
  <c r="BT23" i="22" s="1"/>
  <c r="BU23" i="22" s="1"/>
  <c r="BY31" i="22"/>
  <c r="BT16" i="22" s="1"/>
  <c r="BZ28" i="26"/>
  <c r="BY29" i="26" s="1"/>
  <c r="BS20" i="26" s="1"/>
  <c r="BU20" i="26" s="1"/>
  <c r="P68" i="26" s="1"/>
  <c r="BZ28" i="21"/>
  <c r="BY28" i="21" s="1"/>
  <c r="BS16" i="21" s="1"/>
  <c r="BU28" i="21"/>
  <c r="BZ31" i="21"/>
  <c r="BY30" i="21" s="1"/>
  <c r="BT7" i="21" s="1"/>
  <c r="BU7" i="21" s="1"/>
  <c r="BU31" i="21"/>
  <c r="BU30" i="21"/>
  <c r="BU29" i="21"/>
  <c r="BU27" i="21"/>
  <c r="O60" i="21"/>
  <c r="P60" i="21"/>
  <c r="P67" i="21"/>
  <c r="O67" i="21"/>
  <c r="P62" i="21"/>
  <c r="O62" i="21"/>
  <c r="O58" i="21"/>
  <c r="P58" i="21"/>
  <c r="P65" i="21"/>
  <c r="O65" i="21"/>
  <c r="BU32" i="21"/>
  <c r="BU26" i="21"/>
  <c r="O70" i="21"/>
  <c r="P70" i="21"/>
  <c r="P57" i="21"/>
  <c r="O57" i="21"/>
  <c r="P60" i="27"/>
  <c r="P61" i="26"/>
  <c r="BY32" i="29"/>
  <c r="BT23" i="29" s="1"/>
  <c r="BU23" i="29" s="1"/>
  <c r="O71" i="29" s="1"/>
  <c r="O60" i="29"/>
  <c r="P58" i="29"/>
  <c r="BU32" i="23"/>
  <c r="BZ31" i="23"/>
  <c r="BY31" i="23" s="1"/>
  <c r="BT16" i="23" s="1"/>
  <c r="BU31" i="23"/>
  <c r="P70" i="23"/>
  <c r="O70" i="23"/>
  <c r="P63" i="29"/>
  <c r="O62" i="23"/>
  <c r="P62" i="23"/>
  <c r="BZ28" i="23"/>
  <c r="BY27" i="23" s="1"/>
  <c r="BS11" i="23" s="1"/>
  <c r="BU11" i="23" s="1"/>
  <c r="BU28" i="23"/>
  <c r="BU26" i="23"/>
  <c r="P58" i="23"/>
  <c r="O58" i="23"/>
  <c r="P65" i="23"/>
  <c r="O65" i="23"/>
  <c r="BU30" i="23"/>
  <c r="O61" i="23"/>
  <c r="P61" i="23"/>
  <c r="BU29" i="23"/>
  <c r="P63" i="23"/>
  <c r="O63" i="23"/>
  <c r="O66" i="23"/>
  <c r="P66" i="23"/>
  <c r="P57" i="23"/>
  <c r="O57" i="23"/>
  <c r="BU30" i="25"/>
  <c r="BU26" i="26"/>
  <c r="P65" i="25"/>
  <c r="BU27" i="26"/>
  <c r="BU29" i="26"/>
  <c r="O54" i="27"/>
  <c r="P54" i="29"/>
  <c r="BU28" i="29"/>
  <c r="BZ28" i="29"/>
  <c r="BY28" i="29" s="1"/>
  <c r="BS16" i="29" s="1"/>
  <c r="BU16" i="29" s="1"/>
  <c r="O64" i="29" s="1"/>
  <c r="O69" i="27"/>
  <c r="BU26" i="29"/>
  <c r="BU29" i="25"/>
  <c r="O63" i="26"/>
  <c r="P58" i="26"/>
  <c r="P62" i="25"/>
  <c r="O62" i="25"/>
  <c r="O70" i="25"/>
  <c r="P70" i="25"/>
  <c r="P67" i="25"/>
  <c r="O67" i="25"/>
  <c r="BU28" i="25"/>
  <c r="BZ28" i="25"/>
  <c r="BY28" i="25" s="1"/>
  <c r="BS16" i="25" s="1"/>
  <c r="BU27" i="25"/>
  <c r="O54" i="25"/>
  <c r="P54" i="25"/>
  <c r="BZ31" i="25"/>
  <c r="BY31" i="25" s="1"/>
  <c r="BT16" i="25" s="1"/>
  <c r="BU31" i="25"/>
  <c r="P60" i="25"/>
  <c r="O60" i="25"/>
  <c r="O57" i="25"/>
  <c r="P57" i="25"/>
  <c r="P63" i="25"/>
  <c r="O63" i="25"/>
  <c r="O61" i="25"/>
  <c r="P61" i="25"/>
  <c r="P58" i="25"/>
  <c r="O58" i="25"/>
  <c r="P67" i="29"/>
  <c r="BY32" i="26"/>
  <c r="BT23" i="26" s="1"/>
  <c r="BU23" i="26" s="1"/>
  <c r="P71" i="26" s="1"/>
  <c r="BU27" i="29"/>
  <c r="BY31" i="26"/>
  <c r="BT16" i="26" s="1"/>
  <c r="P70" i="26"/>
  <c r="O70" i="26"/>
  <c r="P66" i="26"/>
  <c r="O66" i="26"/>
  <c r="BY30" i="26"/>
  <c r="BT7" i="26" s="1"/>
  <c r="BU7" i="26" s="1"/>
  <c r="P65" i="27"/>
  <c r="O69" i="26"/>
  <c r="P69" i="26"/>
  <c r="P54" i="26"/>
  <c r="O54" i="26"/>
  <c r="P62" i="26"/>
  <c r="O62" i="26"/>
  <c r="P67" i="26"/>
  <c r="O67" i="26"/>
  <c r="P57" i="26"/>
  <c r="O57" i="26"/>
  <c r="P65" i="26"/>
  <c r="O65" i="26"/>
  <c r="BZ31" i="27"/>
  <c r="BY31" i="27" s="1"/>
  <c r="BT16" i="27" s="1"/>
  <c r="BU31" i="27"/>
  <c r="BU30" i="27"/>
  <c r="P63" i="27"/>
  <c r="O63" i="27"/>
  <c r="P67" i="27"/>
  <c r="O67" i="27"/>
  <c r="O66" i="27"/>
  <c r="P66" i="27"/>
  <c r="BZ28" i="27"/>
  <c r="BY28" i="27" s="1"/>
  <c r="BS16" i="27" s="1"/>
  <c r="BU28" i="27"/>
  <c r="BU32" i="27"/>
  <c r="O62" i="27"/>
  <c r="P62" i="27"/>
  <c r="O61" i="27"/>
  <c r="P61" i="27"/>
  <c r="P58" i="27"/>
  <c r="O58" i="27"/>
  <c r="BU27" i="27"/>
  <c r="BU29" i="27"/>
  <c r="O70" i="27"/>
  <c r="P70" i="27"/>
  <c r="P62" i="29"/>
  <c r="BY31" i="28"/>
  <c r="BT16" i="28" s="1"/>
  <c r="BY30" i="28"/>
  <c r="BT7" i="28" s="1"/>
  <c r="BU7" i="28" s="1"/>
  <c r="BY32" i="28"/>
  <c r="BT23" i="28" s="1"/>
  <c r="BU23" i="28" s="1"/>
  <c r="P60" i="2"/>
  <c r="BY30" i="29"/>
  <c r="BT7" i="29" s="1"/>
  <c r="BU7" i="29" s="1"/>
  <c r="O55" i="29" s="1"/>
  <c r="O58" i="2"/>
  <c r="P58" i="2"/>
  <c r="BU29" i="2"/>
  <c r="BU28" i="2"/>
  <c r="BZ28" i="2"/>
  <c r="BU26" i="2"/>
  <c r="BU27" i="2"/>
  <c r="O70" i="2"/>
  <c r="P70" i="2"/>
  <c r="O63" i="2"/>
  <c r="P63" i="2"/>
  <c r="P66" i="2"/>
  <c r="O66" i="2"/>
  <c r="BU30" i="2"/>
  <c r="BU32" i="2"/>
  <c r="BU31" i="2"/>
  <c r="BZ31" i="2"/>
  <c r="P67" i="2"/>
  <c r="O67" i="2"/>
  <c r="O65" i="2"/>
  <c r="P65" i="2"/>
  <c r="P62" i="2"/>
  <c r="O62" i="2"/>
  <c r="O69" i="2"/>
  <c r="P69" i="2"/>
  <c r="O54" i="2"/>
  <c r="P54" i="2"/>
  <c r="O57" i="2"/>
  <c r="P57" i="2"/>
  <c r="O61" i="2"/>
  <c r="P61" i="2"/>
  <c r="O61" i="30"/>
  <c r="P70" i="30"/>
  <c r="P60" i="30"/>
  <c r="P66" i="30"/>
  <c r="P65" i="30"/>
  <c r="O69" i="30"/>
  <c r="P67" i="30"/>
  <c r="O57" i="30"/>
  <c r="P58" i="30"/>
  <c r="BU28" i="30"/>
  <c r="BZ28" i="30"/>
  <c r="BY28" i="30" s="1"/>
  <c r="BS16" i="30" s="1"/>
  <c r="BU16" i="30" s="1"/>
  <c r="O64" i="30" s="1"/>
  <c r="BU29" i="30"/>
  <c r="BU26" i="30"/>
  <c r="BY30" i="30"/>
  <c r="BT7" i="30" s="1"/>
  <c r="BU7" i="30" s="1"/>
  <c r="O55" i="30" s="1"/>
  <c r="BY32" i="30"/>
  <c r="BT23" i="30" s="1"/>
  <c r="BU23" i="30" s="1"/>
  <c r="BY27" i="22" l="1"/>
  <c r="BS11" i="22" s="1"/>
  <c r="BU11" i="22" s="1"/>
  <c r="O59" i="22" s="1"/>
  <c r="O59" i="24"/>
  <c r="BY27" i="28"/>
  <c r="BS11" i="28" s="1"/>
  <c r="BU11" i="28" s="1"/>
  <c r="O59" i="28" s="1"/>
  <c r="BY29" i="28"/>
  <c r="BS20" i="28" s="1"/>
  <c r="BU20" i="28" s="1"/>
  <c r="O68" i="28" s="1"/>
  <c r="BY26" i="28"/>
  <c r="BS8" i="28" s="1"/>
  <c r="BU8" i="28" s="1"/>
  <c r="P56" i="28" s="1"/>
  <c r="P71" i="29"/>
  <c r="P56" i="24"/>
  <c r="O68" i="24"/>
  <c r="O55" i="24"/>
  <c r="BY26" i="23"/>
  <c r="BS8" i="23" s="1"/>
  <c r="BU8" i="23" s="1"/>
  <c r="O56" i="23" s="1"/>
  <c r="O71" i="24"/>
  <c r="BU16" i="22"/>
  <c r="P64" i="22" s="1"/>
  <c r="BY26" i="22"/>
  <c r="BS8" i="22" s="1"/>
  <c r="BU8" i="22" s="1"/>
  <c r="O56" i="22" s="1"/>
  <c r="BY29" i="22"/>
  <c r="BS20" i="22" s="1"/>
  <c r="BU20" i="22" s="1"/>
  <c r="P68" i="22" s="1"/>
  <c r="BY26" i="26"/>
  <c r="BS8" i="26" s="1"/>
  <c r="BU8" i="26" s="1"/>
  <c r="O56" i="26" s="1"/>
  <c r="BY27" i="26"/>
  <c r="BS11" i="26" s="1"/>
  <c r="BU11" i="26" s="1"/>
  <c r="O59" i="26" s="1"/>
  <c r="BY28" i="26"/>
  <c r="BS16" i="26" s="1"/>
  <c r="BU16" i="26" s="1"/>
  <c r="BY29" i="21"/>
  <c r="BS20" i="21" s="1"/>
  <c r="BU20" i="21" s="1"/>
  <c r="P68" i="21" s="1"/>
  <c r="BY26" i="21"/>
  <c r="BS8" i="21" s="1"/>
  <c r="BU8" i="21" s="1"/>
  <c r="P56" i="21" s="1"/>
  <c r="O64" i="24"/>
  <c r="BY27" i="21"/>
  <c r="BS11" i="21" s="1"/>
  <c r="BU11" i="21" s="1"/>
  <c r="O59" i="21" s="1"/>
  <c r="P71" i="22"/>
  <c r="O71" i="22"/>
  <c r="BY26" i="29"/>
  <c r="BS8" i="29" s="1"/>
  <c r="BU8" i="29" s="1"/>
  <c r="P56" i="29" s="1"/>
  <c r="BY27" i="29"/>
  <c r="BS11" i="29" s="1"/>
  <c r="BU11" i="29" s="1"/>
  <c r="O59" i="29" s="1"/>
  <c r="BY31" i="21"/>
  <c r="BT16" i="21" s="1"/>
  <c r="BU16" i="21" s="1"/>
  <c r="BY32" i="21"/>
  <c r="BT23" i="21" s="1"/>
  <c r="BU23" i="21" s="1"/>
  <c r="BY29" i="29"/>
  <c r="BS20" i="29" s="1"/>
  <c r="BU20" i="29" s="1"/>
  <c r="P68" i="29" s="1"/>
  <c r="P55" i="21"/>
  <c r="O55" i="21"/>
  <c r="BY30" i="23"/>
  <c r="BT7" i="23" s="1"/>
  <c r="BU7" i="23" s="1"/>
  <c r="P55" i="23" s="1"/>
  <c r="O59" i="23"/>
  <c r="P59" i="23"/>
  <c r="BY28" i="23"/>
  <c r="BS16" i="23" s="1"/>
  <c r="BU16" i="23" s="1"/>
  <c r="BY29" i="23"/>
  <c r="BS20" i="23" s="1"/>
  <c r="BU20" i="23" s="1"/>
  <c r="BY32" i="23"/>
  <c r="BT23" i="23" s="1"/>
  <c r="BU23" i="23" s="1"/>
  <c r="BU16" i="25"/>
  <c r="P64" i="25" s="1"/>
  <c r="BY32" i="25"/>
  <c r="BT23" i="25" s="1"/>
  <c r="BU23" i="25" s="1"/>
  <c r="P71" i="25" s="1"/>
  <c r="O71" i="26"/>
  <c r="BY26" i="25"/>
  <c r="BS8" i="25" s="1"/>
  <c r="BU8" i="25" s="1"/>
  <c r="O56" i="25" s="1"/>
  <c r="BY27" i="25"/>
  <c r="BS11" i="25" s="1"/>
  <c r="BU11" i="25" s="1"/>
  <c r="O59" i="25" s="1"/>
  <c r="BY29" i="25"/>
  <c r="BS20" i="25" s="1"/>
  <c r="BU20" i="25" s="1"/>
  <c r="BY30" i="25"/>
  <c r="BT7" i="25" s="1"/>
  <c r="BU7" i="25" s="1"/>
  <c r="O68" i="26"/>
  <c r="BY32" i="27"/>
  <c r="BT23" i="27" s="1"/>
  <c r="BU23" i="27" s="1"/>
  <c r="P71" i="27" s="1"/>
  <c r="BY30" i="27"/>
  <c r="BT7" i="27" s="1"/>
  <c r="BU7" i="27" s="1"/>
  <c r="P55" i="27" s="1"/>
  <c r="O55" i="26"/>
  <c r="P55" i="26"/>
  <c r="BY29" i="27"/>
  <c r="BS20" i="27" s="1"/>
  <c r="BU20" i="27" s="1"/>
  <c r="BU16" i="27"/>
  <c r="BY26" i="27"/>
  <c r="BS8" i="27" s="1"/>
  <c r="BU8" i="27" s="1"/>
  <c r="BY27" i="27"/>
  <c r="BS11" i="27" s="1"/>
  <c r="BU11" i="27" s="1"/>
  <c r="P64" i="29"/>
  <c r="O55" i="28"/>
  <c r="P55" i="28"/>
  <c r="O71" i="28"/>
  <c r="P71" i="28"/>
  <c r="BU16" i="28"/>
  <c r="P55" i="29"/>
  <c r="BY30" i="2"/>
  <c r="BT7" i="2" s="1"/>
  <c r="BU7" i="2" s="1"/>
  <c r="BY31" i="2"/>
  <c r="BT16" i="2" s="1"/>
  <c r="BY32" i="2"/>
  <c r="BT23" i="2" s="1"/>
  <c r="BU23" i="2" s="1"/>
  <c r="BY29" i="2"/>
  <c r="BS20" i="2" s="1"/>
  <c r="BU20" i="2" s="1"/>
  <c r="BY26" i="2"/>
  <c r="BS8" i="2" s="1"/>
  <c r="BU8" i="2" s="1"/>
  <c r="BY28" i="2"/>
  <c r="BS16" i="2" s="1"/>
  <c r="BU16" i="2" s="1"/>
  <c r="O64" i="2" s="1"/>
  <c r="BY27" i="2"/>
  <c r="BS11" i="2" s="1"/>
  <c r="BU11" i="2" s="1"/>
  <c r="BY27" i="30"/>
  <c r="BS11" i="30" s="1"/>
  <c r="BU11" i="30" s="1"/>
  <c r="O59" i="30" s="1"/>
  <c r="BY29" i="30"/>
  <c r="BS20" i="30" s="1"/>
  <c r="BU20" i="30" s="1"/>
  <c r="P68" i="30" s="1"/>
  <c r="BY26" i="30"/>
  <c r="BS8" i="30" s="1"/>
  <c r="BU8" i="30" s="1"/>
  <c r="O56" i="30" s="1"/>
  <c r="P64" i="30"/>
  <c r="P55" i="30"/>
  <c r="P71" i="30"/>
  <c r="O71" i="30"/>
  <c r="P59" i="22" l="1"/>
  <c r="P59" i="28"/>
  <c r="O56" i="28"/>
  <c r="P68" i="28"/>
  <c r="P56" i="22"/>
  <c r="P56" i="23"/>
  <c r="O64" i="22"/>
  <c r="P56" i="26"/>
  <c r="O68" i="22"/>
  <c r="P59" i="26"/>
  <c r="O68" i="21"/>
  <c r="P59" i="29"/>
  <c r="O56" i="21"/>
  <c r="O71" i="25"/>
  <c r="P59" i="21"/>
  <c r="O55" i="23"/>
  <c r="O68" i="29"/>
  <c r="O56" i="29"/>
  <c r="O64" i="25"/>
  <c r="P64" i="21"/>
  <c r="O64" i="21"/>
  <c r="P71" i="21"/>
  <c r="O71" i="21"/>
  <c r="P64" i="23"/>
  <c r="O64" i="23"/>
  <c r="P68" i="23"/>
  <c r="O68" i="23"/>
  <c r="O71" i="23"/>
  <c r="P71" i="23"/>
  <c r="P59" i="25"/>
  <c r="P56" i="25"/>
  <c r="O55" i="27"/>
  <c r="P55" i="25"/>
  <c r="O55" i="25"/>
  <c r="P68" i="25"/>
  <c r="O68" i="25"/>
  <c r="O71" i="27"/>
  <c r="P64" i="26"/>
  <c r="O64" i="26"/>
  <c r="O56" i="27"/>
  <c r="P56" i="27"/>
  <c r="O59" i="27"/>
  <c r="P59" i="27"/>
  <c r="O64" i="27"/>
  <c r="P64" i="27"/>
  <c r="O68" i="27"/>
  <c r="P68" i="27"/>
  <c r="O64" i="28"/>
  <c r="P64" i="28"/>
  <c r="P64" i="2"/>
  <c r="P56" i="2"/>
  <c r="O56" i="2"/>
  <c r="O55" i="2"/>
  <c r="P55" i="2"/>
  <c r="O68" i="2"/>
  <c r="P68" i="2"/>
  <c r="P59" i="2"/>
  <c r="O59" i="2"/>
  <c r="P71" i="2"/>
  <c r="O71" i="2"/>
  <c r="P59" i="30"/>
  <c r="O68" i="30"/>
  <c r="P56" i="3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xml:space="preserve">Stoel, Lincoln </author>
  </authors>
  <commentList>
    <comment ref="M1" authorId="0" shapeId="0" xr:uid="{F8E2012D-537F-4488-9658-A4B7AB44A9C4}">
      <text>
        <r>
          <rPr>
            <sz val="9"/>
            <color indexed="81"/>
            <rFont val="Calibri"/>
            <family val="2"/>
            <scheme val="minor"/>
          </rPr>
          <t>If the job title has a male and female version enter the titles as "Male Title/Female Title" so the generator can properly parse the titles.</t>
        </r>
      </text>
    </comment>
  </commentList>
</comments>
</file>

<file path=xl/sharedStrings.xml><?xml version="1.0" encoding="utf-8"?>
<sst xmlns="http://schemas.openxmlformats.org/spreadsheetml/2006/main" count="11416" uniqueCount="3022">
  <si>
    <t>Name</t>
  </si>
  <si>
    <t>Strength</t>
  </si>
  <si>
    <t>Dexterity</t>
  </si>
  <si>
    <t>Constitution</t>
  </si>
  <si>
    <t>Intelligence</t>
  </si>
  <si>
    <t xml:space="preserve">Wisdom </t>
  </si>
  <si>
    <t>Charisma</t>
  </si>
  <si>
    <t>Stat Modifiers</t>
  </si>
  <si>
    <t>Score</t>
  </si>
  <si>
    <t>Modifier</t>
  </si>
  <si>
    <t>Ability Scores</t>
  </si>
  <si>
    <t>Skills</t>
  </si>
  <si>
    <t>Acrobatics</t>
  </si>
  <si>
    <t>Arcana</t>
  </si>
  <si>
    <t>Athletics</t>
  </si>
  <si>
    <t>Deception</t>
  </si>
  <si>
    <t>History</t>
  </si>
  <si>
    <t>Insight</t>
  </si>
  <si>
    <t>Intimidation</t>
  </si>
  <si>
    <t>Investigation</t>
  </si>
  <si>
    <t>Medicine</t>
  </si>
  <si>
    <t>Nature</t>
  </si>
  <si>
    <t>Perception</t>
  </si>
  <si>
    <t>Performance</t>
  </si>
  <si>
    <t>Persuasion</t>
  </si>
  <si>
    <t>Religion</t>
  </si>
  <si>
    <t>Sleight of Hand</t>
  </si>
  <si>
    <t>Stealth</t>
  </si>
  <si>
    <t>Survival</t>
  </si>
  <si>
    <t>Animal Handling</t>
  </si>
  <si>
    <t>Proficient?</t>
  </si>
  <si>
    <t>Race</t>
  </si>
  <si>
    <t>Background</t>
  </si>
  <si>
    <t>Alignment</t>
  </si>
  <si>
    <t>Proficiency Bonus</t>
  </si>
  <si>
    <t>Initiative</t>
  </si>
  <si>
    <t>Speed</t>
  </si>
  <si>
    <t>Saving Throws</t>
  </si>
  <si>
    <t>Total Save Modifier</t>
  </si>
  <si>
    <t>Wisdom</t>
  </si>
  <si>
    <t>Languages</t>
  </si>
  <si>
    <t>Size</t>
  </si>
  <si>
    <t>Sex</t>
  </si>
  <si>
    <t>Dwarf</t>
  </si>
  <si>
    <t>Races</t>
  </si>
  <si>
    <t>Race Skills</t>
  </si>
  <si>
    <t>Weapon Profs.</t>
  </si>
  <si>
    <t>Dwarf Tool Proficiency</t>
  </si>
  <si>
    <t>Smith's Tools</t>
  </si>
  <si>
    <t>Brewer's Supplies</t>
  </si>
  <si>
    <t>Mason's Tools</t>
  </si>
  <si>
    <t>Common</t>
  </si>
  <si>
    <t>Armor Profs.</t>
  </si>
  <si>
    <t>Adrik</t>
  </si>
  <si>
    <t>Alberich</t>
  </si>
  <si>
    <t>Baern</t>
  </si>
  <si>
    <t>Barendd</t>
  </si>
  <si>
    <t>Brottor</t>
  </si>
  <si>
    <t>Bruenor</t>
  </si>
  <si>
    <t>Dain</t>
  </si>
  <si>
    <t>Darrak</t>
  </si>
  <si>
    <t>Deig</t>
  </si>
  <si>
    <t>Eberk</t>
  </si>
  <si>
    <t>Einkil</t>
  </si>
  <si>
    <t>Fargrim</t>
  </si>
  <si>
    <t>Flint</t>
  </si>
  <si>
    <t>Gardain</t>
  </si>
  <si>
    <t>Harbek</t>
  </si>
  <si>
    <t>Kildrak</t>
  </si>
  <si>
    <t>Morgran</t>
  </si>
  <si>
    <t>Orsik</t>
  </si>
  <si>
    <t>Oskar</t>
  </si>
  <si>
    <t>Rangrim</t>
  </si>
  <si>
    <t>Taklinn</t>
  </si>
  <si>
    <t>Thoradin</t>
  </si>
  <si>
    <t>Thorin</t>
  </si>
  <si>
    <t>Tordek</t>
  </si>
  <si>
    <t>Traubon</t>
  </si>
  <si>
    <t>Travok</t>
  </si>
  <si>
    <t>Ulfgar</t>
  </si>
  <si>
    <t>Veit</t>
  </si>
  <si>
    <t>Vondal</t>
  </si>
  <si>
    <t>Amber</t>
  </si>
  <si>
    <t>Artin</t>
  </si>
  <si>
    <t>Audhild</t>
  </si>
  <si>
    <t>Bardryn</t>
  </si>
  <si>
    <t>Dagnal</t>
  </si>
  <si>
    <t>Diesa</t>
  </si>
  <si>
    <t>Eldeth</t>
  </si>
  <si>
    <t>Falkrunn</t>
  </si>
  <si>
    <t>Finellen</t>
  </si>
  <si>
    <t>Gunnloda</t>
  </si>
  <si>
    <t>Gurdis</t>
  </si>
  <si>
    <t>Helja</t>
  </si>
  <si>
    <t>Hlin</t>
  </si>
  <si>
    <t>Kathra</t>
  </si>
  <si>
    <t>Kristryd</t>
  </si>
  <si>
    <t>Ilde</t>
  </si>
  <si>
    <t>Liftrasa</t>
  </si>
  <si>
    <t>Mardred</t>
  </si>
  <si>
    <t>Riswynn</t>
  </si>
  <si>
    <t>Sannl</t>
  </si>
  <si>
    <t>Torbera</t>
  </si>
  <si>
    <t>Torgga</t>
  </si>
  <si>
    <t>Vistra</t>
  </si>
  <si>
    <t>Dwarven Last Names</t>
  </si>
  <si>
    <t>Balderk</t>
  </si>
  <si>
    <t>Battlehammer</t>
  </si>
  <si>
    <t>Brawnanvil</t>
  </si>
  <si>
    <t>Dankil</t>
  </si>
  <si>
    <t>Fireforge</t>
  </si>
  <si>
    <t>Frostbeard</t>
  </si>
  <si>
    <t>Gorunn</t>
  </si>
  <si>
    <t>Holderhek</t>
  </si>
  <si>
    <t>Ironfist</t>
  </si>
  <si>
    <t>Loderr</t>
  </si>
  <si>
    <t>Lutgehr</t>
  </si>
  <si>
    <t>Rumnaheim</t>
  </si>
  <si>
    <t>Strakeln</t>
  </si>
  <si>
    <t>Torunn</t>
  </si>
  <si>
    <t>Ungart</t>
  </si>
  <si>
    <t>Tool Profs.</t>
  </si>
  <si>
    <t>Ara</t>
  </si>
  <si>
    <t>Bryn</t>
  </si>
  <si>
    <t>Del</t>
  </si>
  <si>
    <t>Eryn</t>
  </si>
  <si>
    <t>Faen</t>
  </si>
  <si>
    <t>Innil</t>
  </si>
  <si>
    <t>Lael</t>
  </si>
  <si>
    <t>Mella</t>
  </si>
  <si>
    <t>Naill</t>
  </si>
  <si>
    <t>Neaeris</t>
  </si>
  <si>
    <t>Rinn</t>
  </si>
  <si>
    <t>Sai</t>
  </si>
  <si>
    <t>Syllin</t>
  </si>
  <si>
    <t>Thia</t>
  </si>
  <si>
    <t>Vall</t>
  </si>
  <si>
    <t>Adran</t>
  </si>
  <si>
    <t>Aelar</t>
  </si>
  <si>
    <t>Aramil</t>
  </si>
  <si>
    <t>Arannis</t>
  </si>
  <si>
    <t>Aust</t>
  </si>
  <si>
    <t>Beiro</t>
  </si>
  <si>
    <t>Berrian</t>
  </si>
  <si>
    <t>Carric</t>
  </si>
  <si>
    <t>Enialis</t>
  </si>
  <si>
    <t>Erdan</t>
  </si>
  <si>
    <t>Erevan</t>
  </si>
  <si>
    <t>Galinndan</t>
  </si>
  <si>
    <t>Hadarai</t>
  </si>
  <si>
    <t>Heian</t>
  </si>
  <si>
    <t>Himo</t>
  </si>
  <si>
    <t>Immeral</t>
  </si>
  <si>
    <t>Ivellios</t>
  </si>
  <si>
    <t>Laucin</t>
  </si>
  <si>
    <t>Mindartis</t>
  </si>
  <si>
    <t>Paelias</t>
  </si>
  <si>
    <t>Peren</t>
  </si>
  <si>
    <t>Quarion</t>
  </si>
  <si>
    <t>Riardon</t>
  </si>
  <si>
    <t>Rolen</t>
  </si>
  <si>
    <t>Soveliss</t>
  </si>
  <si>
    <t>Thamior</t>
  </si>
  <si>
    <t>Tharivol</t>
  </si>
  <si>
    <t>Theren</t>
  </si>
  <si>
    <t>Varis</t>
  </si>
  <si>
    <t>Adrie</t>
  </si>
  <si>
    <t>Althaea</t>
  </si>
  <si>
    <t>Anastrianna</t>
  </si>
  <si>
    <t>Andraste</t>
  </si>
  <si>
    <t>Antinua</t>
  </si>
  <si>
    <t>Bethrynna</t>
  </si>
  <si>
    <t>Birel</t>
  </si>
  <si>
    <t>Caelynn</t>
  </si>
  <si>
    <t>Drusilia</t>
  </si>
  <si>
    <t>Enna</t>
  </si>
  <si>
    <t>Felosial</t>
  </si>
  <si>
    <t>Ielenia</t>
  </si>
  <si>
    <t>Jelenneth</t>
  </si>
  <si>
    <t>Keyleth</t>
  </si>
  <si>
    <t>Leshanna</t>
  </si>
  <si>
    <t>Lia</t>
  </si>
  <si>
    <t>Meriele</t>
  </si>
  <si>
    <t>Mialee</t>
  </si>
  <si>
    <t>Naivara</t>
  </si>
  <si>
    <t>Quelenna</t>
  </si>
  <si>
    <t>Quillathe</t>
  </si>
  <si>
    <t>Sariel</t>
  </si>
  <si>
    <t>Shanairra</t>
  </si>
  <si>
    <t>Shava</t>
  </si>
  <si>
    <t>Silaqui</t>
  </si>
  <si>
    <t>Theirastra</t>
  </si>
  <si>
    <t>Vadania</t>
  </si>
  <si>
    <t>Valanthe</t>
  </si>
  <si>
    <t>Xanaphia</t>
  </si>
  <si>
    <t>Elf Last Names</t>
  </si>
  <si>
    <t>Amakiir</t>
  </si>
  <si>
    <t>Amastacia</t>
  </si>
  <si>
    <t>Galanodel</t>
  </si>
  <si>
    <t>Holimion</t>
  </si>
  <si>
    <t>Ilphelkiir</t>
  </si>
  <si>
    <t>Liadon</t>
  </si>
  <si>
    <t>Meliamne</t>
  </si>
  <si>
    <t>Nailo</t>
  </si>
  <si>
    <t>Siannodel</t>
  </si>
  <si>
    <t>Xiloscient</t>
  </si>
  <si>
    <t>Elf</t>
  </si>
  <si>
    <t>Halfling</t>
  </si>
  <si>
    <t>Human</t>
  </si>
  <si>
    <t>Dragonborn</t>
  </si>
  <si>
    <t>Gnome</t>
  </si>
  <si>
    <t>Half-Elf</t>
  </si>
  <si>
    <t>Half-Orc</t>
  </si>
  <si>
    <t>Tiefling</t>
  </si>
  <si>
    <t>Hill</t>
  </si>
  <si>
    <t>Mountain</t>
  </si>
  <si>
    <t>High</t>
  </si>
  <si>
    <t>Wood</t>
  </si>
  <si>
    <t>Dwarf Subraces</t>
  </si>
  <si>
    <t>Elf Subraces</t>
  </si>
  <si>
    <t>Dark</t>
  </si>
  <si>
    <t>Alton</t>
  </si>
  <si>
    <t>Ander</t>
  </si>
  <si>
    <t>Cade</t>
  </si>
  <si>
    <t>Corrin</t>
  </si>
  <si>
    <t>Eldon</t>
  </si>
  <si>
    <t>Errich</t>
  </si>
  <si>
    <t>Finnan</t>
  </si>
  <si>
    <t>Garret</t>
  </si>
  <si>
    <t>Lindal</t>
  </si>
  <si>
    <t>Lyle</t>
  </si>
  <si>
    <t>Merric</t>
  </si>
  <si>
    <t>Milo</t>
  </si>
  <si>
    <t>Osborn</t>
  </si>
  <si>
    <t>Perrin</t>
  </si>
  <si>
    <t>Reed</t>
  </si>
  <si>
    <t>Roscoe</t>
  </si>
  <si>
    <t>Wellby</t>
  </si>
  <si>
    <t>Andry</t>
  </si>
  <si>
    <t>Bree</t>
  </si>
  <si>
    <t>Callie</t>
  </si>
  <si>
    <t>Cora</t>
  </si>
  <si>
    <t>Euphemia</t>
  </si>
  <si>
    <t>Jillian</t>
  </si>
  <si>
    <t>Kithri</t>
  </si>
  <si>
    <t>Lavinia</t>
  </si>
  <si>
    <t>Lidda</t>
  </si>
  <si>
    <t>Merla</t>
  </si>
  <si>
    <t>Nedda</t>
  </si>
  <si>
    <t>Paela</t>
  </si>
  <si>
    <t>Portia</t>
  </si>
  <si>
    <t>Seraphina</t>
  </si>
  <si>
    <t>Shaena</t>
  </si>
  <si>
    <t>Trym</t>
  </si>
  <si>
    <t>Vani</t>
  </si>
  <si>
    <t>Verna</t>
  </si>
  <si>
    <t>Halfling Last Names</t>
  </si>
  <si>
    <t>Brushgather</t>
  </si>
  <si>
    <t>Goodbarrel</t>
  </si>
  <si>
    <t>Greenbottle</t>
  </si>
  <si>
    <t>High-hill</t>
  </si>
  <si>
    <t>Leagallow</t>
  </si>
  <si>
    <t>Tealeaf</t>
  </si>
  <si>
    <t>Thorngage</t>
  </si>
  <si>
    <t>Tosscobble</t>
  </si>
  <si>
    <t>Underbough</t>
  </si>
  <si>
    <t>Hilltopple</t>
  </si>
  <si>
    <t>Lightfoot</t>
  </si>
  <si>
    <t>Stout</t>
  </si>
  <si>
    <t>Halfling Subraces</t>
  </si>
  <si>
    <t>Aoth</t>
  </si>
  <si>
    <t>Aseir</t>
  </si>
  <si>
    <t>Bardeid</t>
  </si>
  <si>
    <t>Haseid</t>
  </si>
  <si>
    <t>Khemed</t>
  </si>
  <si>
    <t>Mehmen</t>
  </si>
  <si>
    <t>Sudeiman</t>
  </si>
  <si>
    <t>Zasheir</t>
  </si>
  <si>
    <t>Atala</t>
  </si>
  <si>
    <t>Ceidil</t>
  </si>
  <si>
    <t>Hama</t>
  </si>
  <si>
    <t>Jasmal</t>
  </si>
  <si>
    <t>Meilil</t>
  </si>
  <si>
    <t>Seipora</t>
  </si>
  <si>
    <t>Yasheira</t>
  </si>
  <si>
    <t>Darvin</t>
  </si>
  <si>
    <t>Dorn</t>
  </si>
  <si>
    <t>Evendur</t>
  </si>
  <si>
    <t>Gorstag</t>
  </si>
  <si>
    <t>Grim</t>
  </si>
  <si>
    <t>Helm</t>
  </si>
  <si>
    <t>Malark</t>
  </si>
  <si>
    <t>Morn</t>
  </si>
  <si>
    <t>Randal</t>
  </si>
  <si>
    <t>Stedd</t>
  </si>
  <si>
    <t>Arveene</t>
  </si>
  <si>
    <t>Esvele</t>
  </si>
  <si>
    <t>Jhessail</t>
  </si>
  <si>
    <t>Kerri</t>
  </si>
  <si>
    <t>Lureene</t>
  </si>
  <si>
    <t>Miri</t>
  </si>
  <si>
    <t>Rowan</t>
  </si>
  <si>
    <t>Shandri</t>
  </si>
  <si>
    <t>Tessele</t>
  </si>
  <si>
    <t>Glar</t>
  </si>
  <si>
    <t>Grigor</t>
  </si>
  <si>
    <t>Igan</t>
  </si>
  <si>
    <t>Kosef</t>
  </si>
  <si>
    <t>Pavel</t>
  </si>
  <si>
    <t>Sergor</t>
  </si>
  <si>
    <t>Alethra</t>
  </si>
  <si>
    <t>Katernin</t>
  </si>
  <si>
    <t>Mara</t>
  </si>
  <si>
    <t>Natali</t>
  </si>
  <si>
    <t>Olma</t>
  </si>
  <si>
    <t>Zora</t>
  </si>
  <si>
    <t>Tana</t>
  </si>
  <si>
    <t>Blath</t>
  </si>
  <si>
    <t>Bran</t>
  </si>
  <si>
    <t>Frath</t>
  </si>
  <si>
    <t>Geth</t>
  </si>
  <si>
    <t>Malcer</t>
  </si>
  <si>
    <t>Stor</t>
  </si>
  <si>
    <t>Taman</t>
  </si>
  <si>
    <t>Urth</t>
  </si>
  <si>
    <t>Amafrey</t>
  </si>
  <si>
    <t>Betha</t>
  </si>
  <si>
    <t>Cefrey</t>
  </si>
  <si>
    <t>Kethra</t>
  </si>
  <si>
    <t>Olga</t>
  </si>
  <si>
    <t>Silifrey</t>
  </si>
  <si>
    <t>Westra</t>
  </si>
  <si>
    <t>Beareris</t>
  </si>
  <si>
    <t>Ehput-Ki</t>
  </si>
  <si>
    <t>Kethoth</t>
  </si>
  <si>
    <t>So-kehur</t>
  </si>
  <si>
    <t>Thazar-De</t>
  </si>
  <si>
    <t>Urhur</t>
  </si>
  <si>
    <t>Arizima</t>
  </si>
  <si>
    <t>Chathi</t>
  </si>
  <si>
    <t>Nephis</t>
  </si>
  <si>
    <t>Nulara</t>
  </si>
  <si>
    <t>Murithi</t>
  </si>
  <si>
    <t>Sefris</t>
  </si>
  <si>
    <t>Umara</t>
  </si>
  <si>
    <t>Zolis</t>
  </si>
  <si>
    <t>Borivik</t>
  </si>
  <si>
    <t>Faurgar</t>
  </si>
  <si>
    <t>Jandar</t>
  </si>
  <si>
    <t>Kanithar</t>
  </si>
  <si>
    <t>Madislak</t>
  </si>
  <si>
    <t>Ralmevik</t>
  </si>
  <si>
    <t>Shaumar</t>
  </si>
  <si>
    <t>Vladislak</t>
  </si>
  <si>
    <t>Mumed</t>
  </si>
  <si>
    <t>Rama</t>
  </si>
  <si>
    <t>Thola</t>
  </si>
  <si>
    <t>Fyevarra</t>
  </si>
  <si>
    <t>Hulmarra</t>
  </si>
  <si>
    <t>Immith</t>
  </si>
  <si>
    <t>Imzel</t>
  </si>
  <si>
    <t>Navarra</t>
  </si>
  <si>
    <t>Shevarra</t>
  </si>
  <si>
    <t>Tammith</t>
  </si>
  <si>
    <t>Yuldra</t>
  </si>
  <si>
    <t>Chen</t>
  </si>
  <si>
    <t>Chi</t>
  </si>
  <si>
    <t>Fai</t>
  </si>
  <si>
    <t>Jiang</t>
  </si>
  <si>
    <t>Jun</t>
  </si>
  <si>
    <t>Lian</t>
  </si>
  <si>
    <t>Long</t>
  </si>
  <si>
    <t>Meng</t>
  </si>
  <si>
    <t>On</t>
  </si>
  <si>
    <t>Shui</t>
  </si>
  <si>
    <t>Wen</t>
  </si>
  <si>
    <t>Bai</t>
  </si>
  <si>
    <t>Chao</t>
  </si>
  <si>
    <t>Lei</t>
  </si>
  <si>
    <t>Qiao</t>
  </si>
  <si>
    <t xml:space="preserve">An </t>
  </si>
  <si>
    <t xml:space="preserve">Shan </t>
  </si>
  <si>
    <t>Tai</t>
  </si>
  <si>
    <t>Anton</t>
  </si>
  <si>
    <t>Diero</t>
  </si>
  <si>
    <t>Marcon</t>
  </si>
  <si>
    <t>Pieron</t>
  </si>
  <si>
    <t>Rimarddo</t>
  </si>
  <si>
    <t>Romero</t>
  </si>
  <si>
    <t>Salazar</t>
  </si>
  <si>
    <t>Umbero</t>
  </si>
  <si>
    <t>Balama</t>
  </si>
  <si>
    <t>Dona</t>
  </si>
  <si>
    <t>Faila</t>
  </si>
  <si>
    <t>Jalana</t>
  </si>
  <si>
    <t>Luisa</t>
  </si>
  <si>
    <t>Marta</t>
  </si>
  <si>
    <t>Quara</t>
  </si>
  <si>
    <t>Selise</t>
  </si>
  <si>
    <t>Vonda</t>
  </si>
  <si>
    <t>Jassan</t>
  </si>
  <si>
    <t>Khalid</t>
  </si>
  <si>
    <t>Mostana</t>
  </si>
  <si>
    <t>Pashar</t>
  </si>
  <si>
    <t>Rein</t>
  </si>
  <si>
    <t>Bersk</t>
  </si>
  <si>
    <t>Chernin</t>
  </si>
  <si>
    <t>Dotsk</t>
  </si>
  <si>
    <t>Kulenov</t>
  </si>
  <si>
    <t>Marsk</t>
  </si>
  <si>
    <t>Nemetsk</t>
  </si>
  <si>
    <t>Shemov</t>
  </si>
  <si>
    <t>Starag</t>
  </si>
  <si>
    <t>Brightwood</t>
  </si>
  <si>
    <t>Helder</t>
  </si>
  <si>
    <t>Hornraven</t>
  </si>
  <si>
    <t>lackman</t>
  </si>
  <si>
    <t>Stormwind</t>
  </si>
  <si>
    <t>Windrivver</t>
  </si>
  <si>
    <t>Ankhalab</t>
  </si>
  <si>
    <t>Anskuld</t>
  </si>
  <si>
    <t>Fezim</t>
  </si>
  <si>
    <t>Hahpet</t>
  </si>
  <si>
    <t>Nathandem</t>
  </si>
  <si>
    <t>Sepret</t>
  </si>
  <si>
    <t>Uuthrakt</t>
  </si>
  <si>
    <t>Chergoba</t>
  </si>
  <si>
    <t>Dyernina</t>
  </si>
  <si>
    <t>Iltazyara</t>
  </si>
  <si>
    <t>Murnyethara</t>
  </si>
  <si>
    <t>Stayanoga</t>
  </si>
  <si>
    <t>Ulmokina</t>
  </si>
  <si>
    <t>Chien</t>
  </si>
  <si>
    <t>Huang</t>
  </si>
  <si>
    <t>Kao</t>
  </si>
  <si>
    <t>Kung</t>
  </si>
  <si>
    <t>Lao</t>
  </si>
  <si>
    <t>Ling</t>
  </si>
  <si>
    <t>Mei</t>
  </si>
  <si>
    <t>Shin</t>
  </si>
  <si>
    <t>Pin</t>
  </si>
  <si>
    <t>Sum</t>
  </si>
  <si>
    <t>Tan</t>
  </si>
  <si>
    <t>Wan</t>
  </si>
  <si>
    <t>Agosto</t>
  </si>
  <si>
    <t>Astorio</t>
  </si>
  <si>
    <t>Calabra</t>
  </si>
  <si>
    <t>Domine</t>
  </si>
  <si>
    <t>Falone</t>
  </si>
  <si>
    <t>Marivaldi</t>
  </si>
  <si>
    <t>Pisacar</t>
  </si>
  <si>
    <t>Ramondo</t>
  </si>
  <si>
    <t>Male Dwarven First Names</t>
  </si>
  <si>
    <t>Female Dwarven First Names</t>
  </si>
  <si>
    <t>Rurik</t>
  </si>
  <si>
    <t>Male</t>
  </si>
  <si>
    <t>Female</t>
  </si>
  <si>
    <t>Male Elf First Names</t>
  </si>
  <si>
    <t>Male Halfling First Names</t>
  </si>
  <si>
    <t>Female Elf First Names</t>
  </si>
  <si>
    <t>Female Halfling First Names</t>
  </si>
  <si>
    <t>Male Human First Names</t>
  </si>
  <si>
    <t>Female Human First Names</t>
  </si>
  <si>
    <t>Zasheida</t>
  </si>
  <si>
    <t>Kara</t>
  </si>
  <si>
    <t>Ivor</t>
  </si>
  <si>
    <t>Human Last Names</t>
  </si>
  <si>
    <t>Dwarvish</t>
  </si>
  <si>
    <t>Elvish</t>
  </si>
  <si>
    <t>Draconic</t>
  </si>
  <si>
    <t>Orc</t>
  </si>
  <si>
    <t>Gnomish</t>
  </si>
  <si>
    <t>Infernal</t>
  </si>
  <si>
    <t>Male Dragonborn First Names</t>
  </si>
  <si>
    <t>Arjhan</t>
  </si>
  <si>
    <t>Balasar</t>
  </si>
  <si>
    <t>Bharash</t>
  </si>
  <si>
    <t>Donaar</t>
  </si>
  <si>
    <t>Ghesh</t>
  </si>
  <si>
    <t>Heskan</t>
  </si>
  <si>
    <t>Kriv</t>
  </si>
  <si>
    <t>Medrash</t>
  </si>
  <si>
    <t>Mehen</t>
  </si>
  <si>
    <t>Nadarr</t>
  </si>
  <si>
    <t>Pandjed</t>
  </si>
  <si>
    <t>Patrin</t>
  </si>
  <si>
    <t>Rhogar</t>
  </si>
  <si>
    <t>Shamash</t>
  </si>
  <si>
    <t>Dshedinn</t>
  </si>
  <si>
    <t>Tarhun</t>
  </si>
  <si>
    <t>Torinn</t>
  </si>
  <si>
    <t>Female Dragonborn First Names</t>
  </si>
  <si>
    <t>Akra</t>
  </si>
  <si>
    <t>Biri</t>
  </si>
  <si>
    <t>Daar</t>
  </si>
  <si>
    <t>Farideh</t>
  </si>
  <si>
    <t>Harann</t>
  </si>
  <si>
    <t>Havilar</t>
  </si>
  <si>
    <t>Jheri</t>
  </si>
  <si>
    <t>Kava</t>
  </si>
  <si>
    <t>Korinn</t>
  </si>
  <si>
    <t>Mishann</t>
  </si>
  <si>
    <t>Nala</t>
  </si>
  <si>
    <t>Perra</t>
  </si>
  <si>
    <t>Raiann</t>
  </si>
  <si>
    <t>Sora</t>
  </si>
  <si>
    <t>Surina</t>
  </si>
  <si>
    <t>Thava</t>
  </si>
  <si>
    <t>Uadjit</t>
  </si>
  <si>
    <t>Dragonborn Clan Name</t>
  </si>
  <si>
    <t>Clethtinthiallor</t>
  </si>
  <si>
    <t>Daardendrian</t>
  </si>
  <si>
    <t>Delmirev</t>
  </si>
  <si>
    <t>Drachedandion</t>
  </si>
  <si>
    <t>Fenkenkabradon</t>
  </si>
  <si>
    <t>Kepeshkmolik</t>
  </si>
  <si>
    <t>Kerrhylon</t>
  </si>
  <si>
    <t>Kimbatuul</t>
  </si>
  <si>
    <t>Linxakasendalor</t>
  </si>
  <si>
    <t>Myastan</t>
  </si>
  <si>
    <t>Nemmonis</t>
  </si>
  <si>
    <t>Norixius</t>
  </si>
  <si>
    <t>Ophinshtalajiir</t>
  </si>
  <si>
    <t>Prexijandilin</t>
  </si>
  <si>
    <t>Shestendeliath</t>
  </si>
  <si>
    <t>Turnuroth</t>
  </si>
  <si>
    <t>Verthisathurgiest</t>
  </si>
  <si>
    <t>Yarjerit</t>
  </si>
  <si>
    <t>Draconic Ancestry</t>
  </si>
  <si>
    <t>Total Bonus</t>
  </si>
  <si>
    <t>x</t>
  </si>
  <si>
    <t>Male Gnome First Names</t>
  </si>
  <si>
    <t>Alston</t>
  </si>
  <si>
    <t>Alvyn</t>
  </si>
  <si>
    <t>Boddynock</t>
  </si>
  <si>
    <t>Brocc</t>
  </si>
  <si>
    <t>Burgell</t>
  </si>
  <si>
    <t>Dimble</t>
  </si>
  <si>
    <t>Erky</t>
  </si>
  <si>
    <t>Fonkin</t>
  </si>
  <si>
    <t>Frug</t>
  </si>
  <si>
    <t>Gerbo</t>
  </si>
  <si>
    <t>Gimble</t>
  </si>
  <si>
    <t>Glim</t>
  </si>
  <si>
    <t>Jebeddo</t>
  </si>
  <si>
    <t>Kellen</t>
  </si>
  <si>
    <t>Namfoodle</t>
  </si>
  <si>
    <t>Orryn</t>
  </si>
  <si>
    <t>Roondar</t>
  </si>
  <si>
    <t>Seebo</t>
  </si>
  <si>
    <t>Sindri</t>
  </si>
  <si>
    <t>Warryn</t>
  </si>
  <si>
    <t>Wrenn</t>
  </si>
  <si>
    <t>Zook</t>
  </si>
  <si>
    <t>Gnome Clan Names</t>
  </si>
  <si>
    <t>Aleslosh</t>
  </si>
  <si>
    <t>Ashhearth</t>
  </si>
  <si>
    <t>Badger</t>
  </si>
  <si>
    <t>Cloak</t>
  </si>
  <si>
    <t>Doublelock</t>
  </si>
  <si>
    <t>Filchbatter</t>
  </si>
  <si>
    <t>Fnipper</t>
  </si>
  <si>
    <t>Ku</t>
  </si>
  <si>
    <t>Nim</t>
  </si>
  <si>
    <t>Oneshoe</t>
  </si>
  <si>
    <t>Pock</t>
  </si>
  <si>
    <t>Sparklegem</t>
  </si>
  <si>
    <t>Stumbleduck</t>
  </si>
  <si>
    <t>Female Gnome First Names</t>
  </si>
  <si>
    <t>Bimpnottin</t>
  </si>
  <si>
    <t>Breena</t>
  </si>
  <si>
    <t>Caramip</t>
  </si>
  <si>
    <t>Carlin</t>
  </si>
  <si>
    <t>Donella</t>
  </si>
  <si>
    <t>Duvamil</t>
  </si>
  <si>
    <t>Ella</t>
  </si>
  <si>
    <t>Ellyjobell</t>
  </si>
  <si>
    <t>Ellywick</t>
  </si>
  <si>
    <t>Lilli</t>
  </si>
  <si>
    <t>Loopmottin</t>
  </si>
  <si>
    <t>Lorilla</t>
  </si>
  <si>
    <t>Mardnab</t>
  </si>
  <si>
    <t>Nissa</t>
  </si>
  <si>
    <t>Nyx</t>
  </si>
  <si>
    <t>Oda</t>
  </si>
  <si>
    <t>Orla</t>
  </si>
  <si>
    <t>Roywyn</t>
  </si>
  <si>
    <t>Shamil</t>
  </si>
  <si>
    <t>Waywocket</t>
  </si>
  <si>
    <t>Zanna</t>
  </si>
  <si>
    <t>Gnome Subraces</t>
  </si>
  <si>
    <t>Forest</t>
  </si>
  <si>
    <t>Rock</t>
  </si>
  <si>
    <t>Male Half-Elf First Names</t>
  </si>
  <si>
    <t>Female Half-Elf First Names</t>
  </si>
  <si>
    <t>Half-Elf Last Names</t>
  </si>
  <si>
    <t>Half-Elf Proficiency</t>
  </si>
  <si>
    <t>Male Half-Orc Names</t>
  </si>
  <si>
    <t>Dench</t>
  </si>
  <si>
    <t>Feng</t>
  </si>
  <si>
    <t>Gell</t>
  </si>
  <si>
    <t>Henk</t>
  </si>
  <si>
    <t>Holg</t>
  </si>
  <si>
    <t>Imsh</t>
  </si>
  <si>
    <t>Keth</t>
  </si>
  <si>
    <t>Krusk</t>
  </si>
  <si>
    <t>Shump</t>
  </si>
  <si>
    <t>Thokk</t>
  </si>
  <si>
    <t>Female Half-Orc Names</t>
  </si>
  <si>
    <t>Baggi</t>
  </si>
  <si>
    <t>Emen</t>
  </si>
  <si>
    <t>Engong</t>
  </si>
  <si>
    <t>Kansif</t>
  </si>
  <si>
    <t>Myev</t>
  </si>
  <si>
    <t>Neega</t>
  </si>
  <si>
    <t>Ownka</t>
  </si>
  <si>
    <t>Shautha</t>
  </si>
  <si>
    <t>Sutha</t>
  </si>
  <si>
    <t>Vola</t>
  </si>
  <si>
    <t>Volen</t>
  </si>
  <si>
    <t>Yevelda</t>
  </si>
  <si>
    <t>Ovak</t>
  </si>
  <si>
    <t>Male Tiefling Names</t>
  </si>
  <si>
    <t xml:space="preserve">Akmenos </t>
  </si>
  <si>
    <t>Amnon</t>
  </si>
  <si>
    <t>Barakas</t>
  </si>
  <si>
    <t>Damakos</t>
  </si>
  <si>
    <t>Leucis</t>
  </si>
  <si>
    <t>Melech</t>
  </si>
  <si>
    <t>Mordai</t>
  </si>
  <si>
    <t>Morthos</t>
  </si>
  <si>
    <t>Pelaios</t>
  </si>
  <si>
    <t>Skamos</t>
  </si>
  <si>
    <t>Therai</t>
  </si>
  <si>
    <t>Art</t>
  </si>
  <si>
    <t>Carrion</t>
  </si>
  <si>
    <t>Chant</t>
  </si>
  <si>
    <t>Creed</t>
  </si>
  <si>
    <t>Despair</t>
  </si>
  <si>
    <t>Excellence</t>
  </si>
  <si>
    <t>Fear</t>
  </si>
  <si>
    <t>Glory</t>
  </si>
  <si>
    <t>Hope</t>
  </si>
  <si>
    <t>Ideal</t>
  </si>
  <si>
    <t>Music</t>
  </si>
  <si>
    <t>Nowhere</t>
  </si>
  <si>
    <t>Open</t>
  </si>
  <si>
    <t>Poetry</t>
  </si>
  <si>
    <t>Quest</t>
  </si>
  <si>
    <t>Random</t>
  </si>
  <si>
    <t>Reverence</t>
  </si>
  <si>
    <t>Sorrow</t>
  </si>
  <si>
    <t>Temerity</t>
  </si>
  <si>
    <t>Torment</t>
  </si>
  <si>
    <t>Weary</t>
  </si>
  <si>
    <t>Female Tiefling Names</t>
  </si>
  <si>
    <t>Akta</t>
  </si>
  <si>
    <t>Anakis</t>
  </si>
  <si>
    <t>Bryseis</t>
  </si>
  <si>
    <t>Criella</t>
  </si>
  <si>
    <t>Damaia</t>
  </si>
  <si>
    <t>Ea</t>
  </si>
  <si>
    <t>Kallista</t>
  </si>
  <si>
    <t>Lerissa</t>
  </si>
  <si>
    <t>Makaria</t>
  </si>
  <si>
    <t>Nemeia</t>
  </si>
  <si>
    <t>Orianna</t>
  </si>
  <si>
    <t>Phelaia</t>
  </si>
  <si>
    <t>Rieta</t>
  </si>
  <si>
    <t>Ekemon</t>
  </si>
  <si>
    <t>Barbarian Proficiencies</t>
  </si>
  <si>
    <t>Barbarian Paths</t>
  </si>
  <si>
    <t>Path of the Berserker</t>
  </si>
  <si>
    <t>Path of the Totem Warrior</t>
  </si>
  <si>
    <t>Ability Score Improvements</t>
  </si>
  <si>
    <t>Initial Score</t>
  </si>
  <si>
    <t>4th</t>
  </si>
  <si>
    <t>8th</t>
  </si>
  <si>
    <t>12th</t>
  </si>
  <si>
    <t>16th</t>
  </si>
  <si>
    <t>19th</t>
  </si>
  <si>
    <t>Class 1</t>
  </si>
  <si>
    <t>Class 2</t>
  </si>
  <si>
    <t>Number of Classes</t>
  </si>
  <si>
    <t>Classes</t>
  </si>
  <si>
    <t>Barbarian</t>
  </si>
  <si>
    <t>Bard</t>
  </si>
  <si>
    <t>Cleric</t>
  </si>
  <si>
    <t>Druid</t>
  </si>
  <si>
    <t>Fighter</t>
  </si>
  <si>
    <t>Ranger</t>
  </si>
  <si>
    <t>Rogue</t>
  </si>
  <si>
    <t>Sorcerer</t>
  </si>
  <si>
    <t>Warlock</t>
  </si>
  <si>
    <t>Monk</t>
  </si>
  <si>
    <t>Paladin</t>
  </si>
  <si>
    <t>Wizard</t>
  </si>
  <si>
    <t>Non-Classed</t>
  </si>
  <si>
    <t>Class Two Skills</t>
  </si>
  <si>
    <t>Barbarian Totems</t>
  </si>
  <si>
    <t>Totem Spirit - Eagle</t>
  </si>
  <si>
    <t>Totem Spirit - Wolf</t>
  </si>
  <si>
    <t>Aspect of the Beast - Bear</t>
  </si>
  <si>
    <t>Aspect of the Beast - Eagle</t>
  </si>
  <si>
    <t>Aspect of the Beast - Wolf</t>
  </si>
  <si>
    <t xml:space="preserve">Totemic Attunement - Bear </t>
  </si>
  <si>
    <t xml:space="preserve">Totemic Attunement - Eagle </t>
  </si>
  <si>
    <t xml:space="preserve">Totemic Attunement - Wolf </t>
  </si>
  <si>
    <t>Totem Spirit - Bear</t>
  </si>
  <si>
    <t>Class One Skills</t>
  </si>
  <si>
    <t>Other Bonuses</t>
  </si>
  <si>
    <t>Class One HP</t>
  </si>
  <si>
    <t>Class Two HP</t>
  </si>
  <si>
    <t>Race HP</t>
  </si>
  <si>
    <t>Con Bonus</t>
  </si>
  <si>
    <t>Bagpipes</t>
  </si>
  <si>
    <t>Drum</t>
  </si>
  <si>
    <t>Dulcimer</t>
  </si>
  <si>
    <t>Flute</t>
  </si>
  <si>
    <t>Lute</t>
  </si>
  <si>
    <t>Lyre</t>
  </si>
  <si>
    <t>Horn</t>
  </si>
  <si>
    <t>Pan Flute</t>
  </si>
  <si>
    <t>Viol</t>
  </si>
  <si>
    <t>Shawm</t>
  </si>
  <si>
    <t>Bard Colleges</t>
  </si>
  <si>
    <t>College of Lore</t>
  </si>
  <si>
    <t>College of Valor</t>
  </si>
  <si>
    <t>Bard Expertise</t>
  </si>
  <si>
    <t>Cleric Proficiencies</t>
  </si>
  <si>
    <t>Druid Proficiencies</t>
  </si>
  <si>
    <t>Fighter Proficiencies</t>
  </si>
  <si>
    <t>Monk Proficiencies</t>
  </si>
  <si>
    <t>Paladin Proficiencies</t>
  </si>
  <si>
    <t>Ranger Proficiencies</t>
  </si>
  <si>
    <t>Rogue Proficiencies</t>
  </si>
  <si>
    <t>Sorcerer Proficiencies</t>
  </si>
  <si>
    <t>Warlock Proficiencies</t>
  </si>
  <si>
    <t>Wizard Proficiencies</t>
  </si>
  <si>
    <t>Total</t>
  </si>
  <si>
    <t>Bard Proficiencies</t>
  </si>
  <si>
    <t>Bard Instrument</t>
  </si>
  <si>
    <t>Rank</t>
  </si>
  <si>
    <t>Secondary Choice</t>
  </si>
  <si>
    <t>Class Total</t>
  </si>
  <si>
    <t>Bard JoAT</t>
  </si>
  <si>
    <t>1st Level</t>
  </si>
  <si>
    <t>2nd Level</t>
  </si>
  <si>
    <t>3rd Level</t>
  </si>
  <si>
    <t>4th Level</t>
  </si>
  <si>
    <t>5th Level</t>
  </si>
  <si>
    <t>9th Level</t>
  </si>
  <si>
    <t>Acid Splash</t>
  </si>
  <si>
    <t>Animate Dead</t>
  </si>
  <si>
    <t>Arcane Eye</t>
  </si>
  <si>
    <t>Animate Objects</t>
  </si>
  <si>
    <t>Arcane Gate</t>
  </si>
  <si>
    <t>Conjure Celestial</t>
  </si>
  <si>
    <t>Astral Projection</t>
  </si>
  <si>
    <t>Blade Ward</t>
  </si>
  <si>
    <t>Alarm</t>
  </si>
  <si>
    <t>Aid</t>
  </si>
  <si>
    <t>Aura of Vitality</t>
  </si>
  <si>
    <t>Aura of Life</t>
  </si>
  <si>
    <t>Antilife Shell</t>
  </si>
  <si>
    <t>Blade Barrier</t>
  </si>
  <si>
    <t>Animal Shapes</t>
  </si>
  <si>
    <t>Foresight</t>
  </si>
  <si>
    <t>Animal Friendship</t>
  </si>
  <si>
    <t>Alter Self</t>
  </si>
  <si>
    <t>Beacon of Hope</t>
  </si>
  <si>
    <t>Aura of Purity</t>
  </si>
  <si>
    <t>Awaken</t>
  </si>
  <si>
    <t>Delayed Blast Fireball</t>
  </si>
  <si>
    <t>Antimagic Field</t>
  </si>
  <si>
    <t>Gate</t>
  </si>
  <si>
    <t>Chill Touch</t>
  </si>
  <si>
    <t>Animal Messenger</t>
  </si>
  <si>
    <t>Bestow Curse</t>
  </si>
  <si>
    <t>Banishment</t>
  </si>
  <si>
    <t>Banishing Smite</t>
  </si>
  <si>
    <t>Chain Lightning</t>
  </si>
  <si>
    <t>Divine Word</t>
  </si>
  <si>
    <t>Antipathy/Sympathy</t>
  </si>
  <si>
    <t>Imprisonment</t>
  </si>
  <si>
    <t>Armor of Agathys</t>
  </si>
  <si>
    <t>Arcane Lock</t>
  </si>
  <si>
    <t>Blinding Smite</t>
  </si>
  <si>
    <t>Blight</t>
  </si>
  <si>
    <t>Bigby's Hand</t>
  </si>
  <si>
    <t>Circle of Death</t>
  </si>
  <si>
    <t>Etherealness</t>
  </si>
  <si>
    <t>Clone</t>
  </si>
  <si>
    <t>Arms of Hadar</t>
  </si>
  <si>
    <t>Augury</t>
  </si>
  <si>
    <t>Blink</t>
  </si>
  <si>
    <t>Circle of Power</t>
  </si>
  <si>
    <t>Conjure Fey</t>
  </si>
  <si>
    <t>Finger of Death</t>
  </si>
  <si>
    <t>Control Weather</t>
  </si>
  <si>
    <t>Mass Heal</t>
  </si>
  <si>
    <t>Dancing Lights</t>
  </si>
  <si>
    <t>Bane</t>
  </si>
  <si>
    <t>Barkskin</t>
  </si>
  <si>
    <t>Call Lightning</t>
  </si>
  <si>
    <t>Compulsion</t>
  </si>
  <si>
    <t>Cloudkill</t>
  </si>
  <si>
    <t>Contingency</t>
  </si>
  <si>
    <t>Fire Storm</t>
  </si>
  <si>
    <t>Demiplane</t>
  </si>
  <si>
    <t>Druidcraft</t>
  </si>
  <si>
    <t>Beast Sense</t>
  </si>
  <si>
    <t>Confusion</t>
  </si>
  <si>
    <t>Commune</t>
  </si>
  <si>
    <t>Forcecage</t>
  </si>
  <si>
    <t>Dominate Monster</t>
  </si>
  <si>
    <t>Meteor Swarm</t>
  </si>
  <si>
    <t>Eldritch Blast</t>
  </si>
  <si>
    <t>Bless</t>
  </si>
  <si>
    <t>Blindness/Deafness</t>
  </si>
  <si>
    <t>Clairvoyance</t>
  </si>
  <si>
    <t>Conjure Minor Elementals</t>
  </si>
  <si>
    <t>Commune with Nature</t>
  </si>
  <si>
    <t>Create Undead</t>
  </si>
  <si>
    <t>Mirage Arcane</t>
  </si>
  <si>
    <t>Earthquake</t>
  </si>
  <si>
    <t>Power Word Heal</t>
  </si>
  <si>
    <t>Fire Bolt</t>
  </si>
  <si>
    <t>Burning Hands</t>
  </si>
  <si>
    <t>Blur</t>
  </si>
  <si>
    <t>Conjure Animals</t>
  </si>
  <si>
    <t>Conjure Woodland Beings</t>
  </si>
  <si>
    <t>Cone of Cold</t>
  </si>
  <si>
    <t>Disintegrate</t>
  </si>
  <si>
    <t>Mordenkainen's Magnificent Mansion</t>
  </si>
  <si>
    <t>Feeblemind</t>
  </si>
  <si>
    <t>Power Word Kill</t>
  </si>
  <si>
    <t>Friends</t>
  </si>
  <si>
    <t>Branding Smite</t>
  </si>
  <si>
    <t>Conjure Barrage</t>
  </si>
  <si>
    <t>Control Water</t>
  </si>
  <si>
    <t>Conjure Elemental</t>
  </si>
  <si>
    <t>Drawmij's Instant Summons</t>
  </si>
  <si>
    <t>Mordenkainen's Sword</t>
  </si>
  <si>
    <t>Glibness</t>
  </si>
  <si>
    <t>Prismatic Wall</t>
  </si>
  <si>
    <t>Calm Emotions</t>
  </si>
  <si>
    <t>Counterspell</t>
  </si>
  <si>
    <t>Death Ward</t>
  </si>
  <si>
    <t>Conjure Volley</t>
  </si>
  <si>
    <t>Plane Shift</t>
  </si>
  <si>
    <t>Holy Aura</t>
  </si>
  <si>
    <t>Cloud of Daggers</t>
  </si>
  <si>
    <t>Create Food and Water</t>
  </si>
  <si>
    <t>Dimension Door</t>
  </si>
  <si>
    <t>Contact Other Plane</t>
  </si>
  <si>
    <t>Eyebite</t>
  </si>
  <si>
    <t>Shapechange</t>
  </si>
  <si>
    <t>Guidance</t>
  </si>
  <si>
    <t>Continual Flame</t>
  </si>
  <si>
    <t>Crusader's Mantle</t>
  </si>
  <si>
    <t>Divination</t>
  </si>
  <si>
    <t>Contagion</t>
  </si>
  <si>
    <t>Find the Path</t>
  </si>
  <si>
    <t>Prismatic Spray</t>
  </si>
  <si>
    <t>Incendiary Cloud</t>
  </si>
  <si>
    <t>Storm of Vengeance</t>
  </si>
  <si>
    <t>Charm Person</t>
  </si>
  <si>
    <t>Cordon of Arrows</t>
  </si>
  <si>
    <t>Daylight</t>
  </si>
  <si>
    <t>Dominate Beast</t>
  </si>
  <si>
    <t>Flesh to Stone</t>
  </si>
  <si>
    <t>Project Image</t>
  </si>
  <si>
    <t>Time Stop</t>
  </si>
  <si>
    <t>Chromatic Orb</t>
  </si>
  <si>
    <t>Crown of Madness</t>
  </si>
  <si>
    <t>Dispel Magic</t>
  </si>
  <si>
    <t>Creation</t>
  </si>
  <si>
    <t>Forbiddance</t>
  </si>
  <si>
    <t>Regenerate</t>
  </si>
  <si>
    <t>Maze</t>
  </si>
  <si>
    <t>True Polymorph</t>
  </si>
  <si>
    <t>Light</t>
  </si>
  <si>
    <t>Color Spray</t>
  </si>
  <si>
    <t>Darkness</t>
  </si>
  <si>
    <t>Elemental Weapon</t>
  </si>
  <si>
    <t>Evard's Black Tentacles</t>
  </si>
  <si>
    <t>Globe of Invulnerability</t>
  </si>
  <si>
    <t>Resurrection</t>
  </si>
  <si>
    <t>True Resurrection</t>
  </si>
  <si>
    <t>Command</t>
  </si>
  <si>
    <t>Darkvision</t>
  </si>
  <si>
    <t>Fabricate</t>
  </si>
  <si>
    <t>Guards and Wards</t>
  </si>
  <si>
    <t>Reverse Gravity</t>
  </si>
  <si>
    <t>Mind Blank</t>
  </si>
  <si>
    <t>Weird</t>
  </si>
  <si>
    <t>Mage Hand</t>
  </si>
  <si>
    <t>Compelled Duel</t>
  </si>
  <si>
    <t>Detect Thoughts</t>
  </si>
  <si>
    <t>Destructive Wave</t>
  </si>
  <si>
    <t>Harm</t>
  </si>
  <si>
    <t>Sequester</t>
  </si>
  <si>
    <t>Power Word Stun</t>
  </si>
  <si>
    <t>Wish</t>
  </si>
  <si>
    <t>Comprehend Languages</t>
  </si>
  <si>
    <t>Fire Shield</t>
  </si>
  <si>
    <t>Dispel Evil and Good</t>
  </si>
  <si>
    <t>Heal</t>
  </si>
  <si>
    <t>Simulacrum</t>
  </si>
  <si>
    <t>Sunburst</t>
  </si>
  <si>
    <t>Mending</t>
  </si>
  <si>
    <t>Create or Destroy Water</t>
  </si>
  <si>
    <t>Feign Death</t>
  </si>
  <si>
    <t>Freedom of Movement</t>
  </si>
  <si>
    <t>Dominate Person</t>
  </si>
  <si>
    <t>Heroes' Feast</t>
  </si>
  <si>
    <t>Symbol</t>
  </si>
  <si>
    <t>Telepathy</t>
  </si>
  <si>
    <t>Message</t>
  </si>
  <si>
    <t>Cure Wounds</t>
  </si>
  <si>
    <t>Fireball</t>
  </si>
  <si>
    <t>Giant Insect</t>
  </si>
  <si>
    <t>Dream</t>
  </si>
  <si>
    <t>Teleport</t>
  </si>
  <si>
    <t>Tsunami</t>
  </si>
  <si>
    <t>Minor Illusion</t>
  </si>
  <si>
    <t>Detect Evil and Good</t>
  </si>
  <si>
    <t>Enhance Ability</t>
  </si>
  <si>
    <t>Grasping Vine</t>
  </si>
  <si>
    <t>Detect Magic</t>
  </si>
  <si>
    <t>Enlarge/Reduce</t>
  </si>
  <si>
    <t>Fly</t>
  </si>
  <si>
    <t>Greater Invisibility</t>
  </si>
  <si>
    <t>Poison Spray</t>
  </si>
  <si>
    <t>Detect Poison and Disease</t>
  </si>
  <si>
    <t>Enthrall</t>
  </si>
  <si>
    <t>Gaseous Form</t>
  </si>
  <si>
    <t>Guardian of Faith</t>
  </si>
  <si>
    <t>Flame Strike</t>
  </si>
  <si>
    <t>Prestidigitation</t>
  </si>
  <si>
    <t>Disguise Self</t>
  </si>
  <si>
    <t>Find Steed</t>
  </si>
  <si>
    <t>Glyph of Warding</t>
  </si>
  <si>
    <t>Geas</t>
  </si>
  <si>
    <t>Magic Jar</t>
  </si>
  <si>
    <t>Dissonant Whispers</t>
  </si>
  <si>
    <t>Find Traps</t>
  </si>
  <si>
    <t>Haste</t>
  </si>
  <si>
    <t>Hallucinatory Terrain</t>
  </si>
  <si>
    <t>Greater Restoration</t>
  </si>
  <si>
    <t>Mass Suggestion</t>
  </si>
  <si>
    <t>Produce Flame</t>
  </si>
  <si>
    <t>Divine Favor</t>
  </si>
  <si>
    <t>Flame Blade</t>
  </si>
  <si>
    <t>Ice Storm</t>
  </si>
  <si>
    <t>Hallow</t>
  </si>
  <si>
    <t>Ray of Frost</t>
  </si>
  <si>
    <t>Flaming Sphere</t>
  </si>
  <si>
    <t>Hypnotic Pattern</t>
  </si>
  <si>
    <t>Leomund's Secret Chest</t>
  </si>
  <si>
    <t>Hold Monster</t>
  </si>
  <si>
    <t>Move Earth</t>
  </si>
  <si>
    <t>Resistance</t>
  </si>
  <si>
    <t>Ensnaring Strike</t>
  </si>
  <si>
    <t>Gentle Repose</t>
  </si>
  <si>
    <t>Leomund's Tiny Hut</t>
  </si>
  <si>
    <t>Locate Creature</t>
  </si>
  <si>
    <t>Otiluke's Freezing Sphere</t>
  </si>
  <si>
    <t>Sacred Flame</t>
  </si>
  <si>
    <t>Entangle</t>
  </si>
  <si>
    <t>Gust of Wind</t>
  </si>
  <si>
    <t>Mordenkainen's Faithful Hound</t>
  </si>
  <si>
    <t>Otto's Irresistible Dance</t>
  </si>
  <si>
    <t>Expeditious Retreat</t>
  </si>
  <si>
    <t>Lightning Arrow</t>
  </si>
  <si>
    <t>Mordenkainen's Private Sanctum</t>
  </si>
  <si>
    <t>Planar Ally</t>
  </si>
  <si>
    <t>Shillelagh</t>
  </si>
  <si>
    <t>Faerie Fire</t>
  </si>
  <si>
    <t>Heat Metal</t>
  </si>
  <si>
    <t>Lightning Bolt</t>
  </si>
  <si>
    <t>Otiluke's Resilient Sphere</t>
  </si>
  <si>
    <t>Insect Plague</t>
  </si>
  <si>
    <t>Shocking Grasp</t>
  </si>
  <si>
    <t>False Life</t>
  </si>
  <si>
    <t>Hold Person</t>
  </si>
  <si>
    <t>Magic Circle</t>
  </si>
  <si>
    <t>Phantasmal Killer</t>
  </si>
  <si>
    <t>Legend Lore</t>
  </si>
  <si>
    <t>Programmed Illusion</t>
  </si>
  <si>
    <t>Spare the Dying</t>
  </si>
  <si>
    <t>Feather Fall</t>
  </si>
  <si>
    <t>Invisibility</t>
  </si>
  <si>
    <t>Major Image</t>
  </si>
  <si>
    <t>Polymorph</t>
  </si>
  <si>
    <t>Find Familiar</t>
  </si>
  <si>
    <t>Knock</t>
  </si>
  <si>
    <t>Mass Healing Word</t>
  </si>
  <si>
    <t>Mass Cure Wounds</t>
  </si>
  <si>
    <t>Thaumaturgy</t>
  </si>
  <si>
    <t>Fog Cloud</t>
  </si>
  <si>
    <t>Lesser Restoration</t>
  </si>
  <si>
    <t>Meld into Stone</t>
  </si>
  <si>
    <t>Mislead</t>
  </si>
  <si>
    <t>Sunbeam</t>
  </si>
  <si>
    <t>Thorn Whip</t>
  </si>
  <si>
    <t>Goodberry</t>
  </si>
  <si>
    <t>Levitate</t>
  </si>
  <si>
    <t>Staggering Smite</t>
  </si>
  <si>
    <t>Modify Memory</t>
  </si>
  <si>
    <t>Grease</t>
  </si>
  <si>
    <t>Locate Animals or Plants</t>
  </si>
  <si>
    <t>Nondetection</t>
  </si>
  <si>
    <t>Stone Shape</t>
  </si>
  <si>
    <t>Transport via Plants</t>
  </si>
  <si>
    <t>Guiding Bolt</t>
  </si>
  <si>
    <t>Locate Object</t>
  </si>
  <si>
    <t>Phantom Steed</t>
  </si>
  <si>
    <t>Stoneskin</t>
  </si>
  <si>
    <t>Passwall</t>
  </si>
  <si>
    <t>True Seeing</t>
  </si>
  <si>
    <t>True Strike</t>
  </si>
  <si>
    <t>Hail of Thorns</t>
  </si>
  <si>
    <t>Magic Mouth</t>
  </si>
  <si>
    <t>Plant Growth</t>
  </si>
  <si>
    <t>Storm Sphere</t>
  </si>
  <si>
    <t>Planar Binding</t>
  </si>
  <si>
    <t>Wall of Ice</t>
  </si>
  <si>
    <t>Vicious Mockery</t>
  </si>
  <si>
    <t>Healing Word</t>
  </si>
  <si>
    <t>Magic Weapon</t>
  </si>
  <si>
    <t>Protection from Energy</t>
  </si>
  <si>
    <t>Raise Dead</t>
  </si>
  <si>
    <t>Wall of Thorns</t>
  </si>
  <si>
    <t>Hellish Rebuke</t>
  </si>
  <si>
    <t>Remove Curse</t>
  </si>
  <si>
    <t>Rary's Telepathic Bond</t>
  </si>
  <si>
    <t>Wind Walk</t>
  </si>
  <si>
    <t>Heroism</t>
  </si>
  <si>
    <t>Melf's Acid Arrow</t>
  </si>
  <si>
    <t>Revivify</t>
  </si>
  <si>
    <t>Wall of Fire</t>
  </si>
  <si>
    <t>Reincarnate</t>
  </si>
  <si>
    <t>Word of Recall</t>
  </si>
  <si>
    <t>Hex</t>
  </si>
  <si>
    <t>Sending</t>
  </si>
  <si>
    <t>Scrying</t>
  </si>
  <si>
    <t>Hunter's Mark</t>
  </si>
  <si>
    <t>Mirror Image</t>
  </si>
  <si>
    <t>Sleet Storm</t>
  </si>
  <si>
    <t>Seeming</t>
  </si>
  <si>
    <t>Misty Step</t>
  </si>
  <si>
    <t>Slow</t>
  </si>
  <si>
    <t>Identify</t>
  </si>
  <si>
    <t>Moonbeam</t>
  </si>
  <si>
    <t>Speak with Dead</t>
  </si>
  <si>
    <t>Illusory Script</t>
  </si>
  <si>
    <t>Nystul's Magic Aura</t>
  </si>
  <si>
    <t>Speak with Plants</t>
  </si>
  <si>
    <t>Swift Quiver</t>
  </si>
  <si>
    <t>Inflict Wounds</t>
  </si>
  <si>
    <t>Pass without Trace</t>
  </si>
  <si>
    <t>Spirit Guardians</t>
  </si>
  <si>
    <t>Jump</t>
  </si>
  <si>
    <t>Phantasmal Force</t>
  </si>
  <si>
    <t>Stinking Cloud</t>
  </si>
  <si>
    <t>Telekinesis</t>
  </si>
  <si>
    <t>Longstrider</t>
  </si>
  <si>
    <t>Prayer of Healing</t>
  </si>
  <si>
    <t>Teleportation Circle</t>
  </si>
  <si>
    <t>Mage Armor</t>
  </si>
  <si>
    <t>Protection from Poison</t>
  </si>
  <si>
    <t>Magic Missile</t>
  </si>
  <si>
    <t>Tree Stride</t>
  </si>
  <si>
    <t>Protection from Evil and Good</t>
  </si>
  <si>
    <t>Ray of Enfeeblement</t>
  </si>
  <si>
    <t>Wall of Force</t>
  </si>
  <si>
    <t>Purify Food and Drink</t>
  </si>
  <si>
    <t>Rope Trick</t>
  </si>
  <si>
    <t>Tongues</t>
  </si>
  <si>
    <t>Ray of Sickness</t>
  </si>
  <si>
    <t>Scorching Ray</t>
  </si>
  <si>
    <t>Vampiric Touch</t>
  </si>
  <si>
    <t>Wall of Stone</t>
  </si>
  <si>
    <t>Sanctuary</t>
  </si>
  <si>
    <t>See Invisibility</t>
  </si>
  <si>
    <t>Searing Smite</t>
  </si>
  <si>
    <t>Shield</t>
  </si>
  <si>
    <t>Shatter</t>
  </si>
  <si>
    <t>Water Breathing</t>
  </si>
  <si>
    <t>Shield of Faith</t>
  </si>
  <si>
    <t>Silence</t>
  </si>
  <si>
    <t>Water Walk</t>
  </si>
  <si>
    <t>Silent Image</t>
  </si>
  <si>
    <t>Wind Wall</t>
  </si>
  <si>
    <t>Sleep</t>
  </si>
  <si>
    <t>Spider Climb</t>
  </si>
  <si>
    <t>Speak with Animals</t>
  </si>
  <si>
    <t>Spike Growth</t>
  </si>
  <si>
    <t>Tasha's Hideous Laughter</t>
  </si>
  <si>
    <t>Spiritual Weapon</t>
  </si>
  <si>
    <t>Tenser's Floating Disk</t>
  </si>
  <si>
    <t>Suggestion</t>
  </si>
  <si>
    <t>Thunderous Smite</t>
  </si>
  <si>
    <t>Warding Bond</t>
  </si>
  <si>
    <t>Thunderwave</t>
  </si>
  <si>
    <t>Unseen Servant</t>
  </si>
  <si>
    <t>Web</t>
  </si>
  <si>
    <t>Witch Bolt</t>
  </si>
  <si>
    <t>Zone of Truth</t>
  </si>
  <si>
    <t>Wrathful Smite</t>
  </si>
  <si>
    <t>Lawful good</t>
  </si>
  <si>
    <t>Neutral Good</t>
  </si>
  <si>
    <t>Chaotic good</t>
  </si>
  <si>
    <t>Lawful Neutral</t>
  </si>
  <si>
    <t>Neutral</t>
  </si>
  <si>
    <t>Chaotic Neutral</t>
  </si>
  <si>
    <t>Lawful Evil</t>
  </si>
  <si>
    <t>Neutral Evil</t>
  </si>
  <si>
    <t>Chaotic Evil</t>
  </si>
  <si>
    <t>Bard Cantrips</t>
  </si>
  <si>
    <t>Spell Save DC</t>
  </si>
  <si>
    <t>Attack Modifier</t>
  </si>
  <si>
    <t>Cantrip</t>
  </si>
  <si>
    <t xml:space="preserve">6th Level </t>
  </si>
  <si>
    <t xml:space="preserve">7th Level </t>
  </si>
  <si>
    <t xml:space="preserve">8th Level </t>
  </si>
  <si>
    <t>Bard Spell Table</t>
  </si>
  <si>
    <t>Spells Known</t>
  </si>
  <si>
    <t>Cantrips Known</t>
  </si>
  <si>
    <t>Bard 1st</t>
  </si>
  <si>
    <t>Bard 2nd</t>
  </si>
  <si>
    <t>Bard 3rd</t>
  </si>
  <si>
    <t>Bard 4th</t>
  </si>
  <si>
    <t>Bard 5th</t>
  </si>
  <si>
    <t>Bard 6th</t>
  </si>
  <si>
    <t>Bard 7th</t>
  </si>
  <si>
    <t>Bard 8th</t>
  </si>
  <si>
    <t>Bard 9th</t>
  </si>
  <si>
    <t>Cleric Spell Table</t>
  </si>
  <si>
    <t xml:space="preserve">Bard Spells Known </t>
  </si>
  <si>
    <t>Cleric Spells Known</t>
  </si>
  <si>
    <t>Cleric Level Known</t>
  </si>
  <si>
    <t>Cleric Cantrips</t>
  </si>
  <si>
    <t>Cleric 1st</t>
  </si>
  <si>
    <t>Cleric 2nd</t>
  </si>
  <si>
    <t>Cleric 3rd</t>
  </si>
  <si>
    <t>Cleric 4th</t>
  </si>
  <si>
    <t>Cleric 5th</t>
  </si>
  <si>
    <t>Cleric 6th</t>
  </si>
  <si>
    <t>Cleric 7th</t>
  </si>
  <si>
    <t>Cleric 8th</t>
  </si>
  <si>
    <t>Cleric 9th</t>
  </si>
  <si>
    <t>Druid Spell Table</t>
  </si>
  <si>
    <t>Eldritch Knight Spell Table</t>
  </si>
  <si>
    <t>Ranger Spell Table</t>
  </si>
  <si>
    <t>Paladin Spell Table</t>
  </si>
  <si>
    <t>Arcane Trickster Spell Table</t>
  </si>
  <si>
    <t xml:space="preserve">Cantrips Known </t>
  </si>
  <si>
    <t>Sorcerer Spell Table</t>
  </si>
  <si>
    <t>Warlock Spell Table</t>
  </si>
  <si>
    <t xml:space="preserve">Spells Known </t>
  </si>
  <si>
    <t>Spell Slots</t>
  </si>
  <si>
    <t>Slot Level</t>
  </si>
  <si>
    <t>Invocations Known</t>
  </si>
  <si>
    <t>1st</t>
  </si>
  <si>
    <t>2nd</t>
  </si>
  <si>
    <t>3rd</t>
  </si>
  <si>
    <t>5th</t>
  </si>
  <si>
    <t>6th</t>
  </si>
  <si>
    <t>7th</t>
  </si>
  <si>
    <t>9th</t>
  </si>
  <si>
    <t>Wizard Spell Table</t>
  </si>
  <si>
    <t>Druid Cantrips</t>
  </si>
  <si>
    <t>Druid 1st</t>
  </si>
  <si>
    <t>Druid 2nd</t>
  </si>
  <si>
    <t>Druid 3rd</t>
  </si>
  <si>
    <t>Druid 4th</t>
  </si>
  <si>
    <t>Druid 5th</t>
  </si>
  <si>
    <t>Druid 6th</t>
  </si>
  <si>
    <t>Druid 7th</t>
  </si>
  <si>
    <t>Druid 8th</t>
  </si>
  <si>
    <t>Druid 9th</t>
  </si>
  <si>
    <t>Paldin 1st</t>
  </si>
  <si>
    <t>Paladin 3rd</t>
  </si>
  <si>
    <t>Paladin 4th</t>
  </si>
  <si>
    <t>Paladin 2nd</t>
  </si>
  <si>
    <t>Paladin 5th</t>
  </si>
  <si>
    <t>Ranger 1st</t>
  </si>
  <si>
    <t>Ranger 2nd</t>
  </si>
  <si>
    <t>Ranger 3rd</t>
  </si>
  <si>
    <t>Ranger 4th</t>
  </si>
  <si>
    <t>Ranger 5th</t>
  </si>
  <si>
    <t>Sorcerer 1st</t>
  </si>
  <si>
    <t>Sorcerer 2nd</t>
  </si>
  <si>
    <t>Sorcerer 3rd</t>
  </si>
  <si>
    <t>Sorcerer 5th</t>
  </si>
  <si>
    <t>Sorcerer 4th</t>
  </si>
  <si>
    <t>Sorcerer 6th</t>
  </si>
  <si>
    <t>Sorcerer 7th</t>
  </si>
  <si>
    <t>Sorcerer 8th</t>
  </si>
  <si>
    <t>Sorcerer 9th</t>
  </si>
  <si>
    <t>Warlock 6th</t>
  </si>
  <si>
    <t>Warlock 7th</t>
  </si>
  <si>
    <t>Warlock 8th</t>
  </si>
  <si>
    <t>Warlock 9th</t>
  </si>
  <si>
    <t>Warlock Cantrips</t>
  </si>
  <si>
    <t>Wizard Cantrips</t>
  </si>
  <si>
    <t>Wizard 1st</t>
  </si>
  <si>
    <t>Wizard 2nd</t>
  </si>
  <si>
    <t>Wizard 3rd</t>
  </si>
  <si>
    <t>Wizard 4th</t>
  </si>
  <si>
    <t>Wizard 5th</t>
  </si>
  <si>
    <t>Wizard 6th</t>
  </si>
  <si>
    <t>Wizard 7th</t>
  </si>
  <si>
    <t>Wizard 8th</t>
  </si>
  <si>
    <t>Wizard 9th</t>
  </si>
  <si>
    <t>Sorcerer Cantrips</t>
  </si>
  <si>
    <t>Druid Level Known</t>
  </si>
  <si>
    <t>Druid Spells Known</t>
  </si>
  <si>
    <t>Eldritch Knight</t>
  </si>
  <si>
    <t>Eldritch Knight Spells Known</t>
  </si>
  <si>
    <t>Fighter Archetype</t>
  </si>
  <si>
    <t>Champion</t>
  </si>
  <si>
    <t>Battle Master</t>
  </si>
  <si>
    <t>Eldritch Knight Level Known</t>
  </si>
  <si>
    <t>Eldritch Knight Cantrips</t>
  </si>
  <si>
    <t>Stone Skin</t>
  </si>
  <si>
    <t>Tensor's Floating Disc</t>
  </si>
  <si>
    <t>Crown Of Madness</t>
  </si>
  <si>
    <t>Mordenkainens' Magnificent Mansion</t>
  </si>
  <si>
    <t>Telepath</t>
  </si>
  <si>
    <t>Trap the Soul</t>
  </si>
  <si>
    <t>EK 1st - Other</t>
  </si>
  <si>
    <t>EK 1st - E &amp; A</t>
  </si>
  <si>
    <t>EK 2nd - Other</t>
  </si>
  <si>
    <t>EK 2nd - E &amp; A</t>
  </si>
  <si>
    <t>EK 3rd - Other</t>
  </si>
  <si>
    <t>EK 3rd - E &amp; A</t>
  </si>
  <si>
    <t>EK 4th - E &amp; A</t>
  </si>
  <si>
    <t>EK 4th - Other</t>
  </si>
  <si>
    <t>Destructive Smite</t>
  </si>
  <si>
    <t>Class One Spells</t>
  </si>
  <si>
    <t>Paladin Spells Known</t>
  </si>
  <si>
    <t>Paladin Level Known</t>
  </si>
  <si>
    <t>Ranger Spells Known</t>
  </si>
  <si>
    <t>Ranger Level Known</t>
  </si>
  <si>
    <t>Bard Level Known</t>
  </si>
  <si>
    <t>Rogue Archetype</t>
  </si>
  <si>
    <t>Thief</t>
  </si>
  <si>
    <t>Assassin</t>
  </si>
  <si>
    <t>Arcane Trickster</t>
  </si>
  <si>
    <t>Arcane Trickster Spells Known</t>
  </si>
  <si>
    <t>Arcane Trickster Level Known</t>
  </si>
  <si>
    <t>AT Cantrips</t>
  </si>
  <si>
    <t xml:space="preserve">Sleep </t>
  </si>
  <si>
    <t>Nystal's Magic Aura</t>
  </si>
  <si>
    <t>AT E&amp;I 1st</t>
  </si>
  <si>
    <t>AT Other 1st</t>
  </si>
  <si>
    <t>AT E&amp;I 2nd</t>
  </si>
  <si>
    <t>AT Other 2nd</t>
  </si>
  <si>
    <t>AT E&amp;I 3rd</t>
  </si>
  <si>
    <t>AT Other 3rd</t>
  </si>
  <si>
    <t>AT E&amp;I 4th</t>
  </si>
  <si>
    <t>AT Other 4th</t>
  </si>
  <si>
    <t>Sorcerer Spells Known</t>
  </si>
  <si>
    <t>Sorcerer Level Known</t>
  </si>
  <si>
    <t>Warlock Spells Known</t>
  </si>
  <si>
    <t>Warlock Level Known</t>
  </si>
  <si>
    <t>Wizard Level Known</t>
  </si>
  <si>
    <t>Wizard Spellbook</t>
  </si>
  <si>
    <t>Wizard Spells Prepared</t>
  </si>
  <si>
    <t>Armor Of Agathys</t>
  </si>
  <si>
    <t>Create Or Destroy Water</t>
  </si>
  <si>
    <t>Detect Evil And Good</t>
  </si>
  <si>
    <t>Detect Poison And Disease</t>
  </si>
  <si>
    <t>Hail Of Thorns</t>
  </si>
  <si>
    <t>Protection From Evil And Good</t>
  </si>
  <si>
    <t>Purify Food And Drink</t>
  </si>
  <si>
    <t>Ray Of Sickness</t>
  </si>
  <si>
    <t>Shield Of Faith</t>
  </si>
  <si>
    <t>Cordon Of Arrows</t>
  </si>
  <si>
    <t>Gust Of Wind</t>
  </si>
  <si>
    <t>Pass Without Trace</t>
  </si>
  <si>
    <t>Prayer Of Healing</t>
  </si>
  <si>
    <t>Protection From Poison</t>
  </si>
  <si>
    <t>Ray Of Enfeeblement</t>
  </si>
  <si>
    <t>Aura Of Vitality</t>
  </si>
  <si>
    <t>Beacon Of Hope</t>
  </si>
  <si>
    <t>Create Food And Water</t>
  </si>
  <si>
    <t>Hunger Of Hadar</t>
  </si>
  <si>
    <t>Meld Into Stone</t>
  </si>
  <si>
    <t>Protection From Energy</t>
  </si>
  <si>
    <t>Aura Of Life</t>
  </si>
  <si>
    <t>Aura Of Purity</t>
  </si>
  <si>
    <t>Guardian Of Faith</t>
  </si>
  <si>
    <t>Wall Of Fire</t>
  </si>
  <si>
    <t>Circle Of Power</t>
  </si>
  <si>
    <t>Commune With Nature</t>
  </si>
  <si>
    <t>Cone Of Cold</t>
  </si>
  <si>
    <t>Dispel Evil And Good</t>
  </si>
  <si>
    <t>Wall Of Force</t>
  </si>
  <si>
    <t>Wall Of Stone</t>
  </si>
  <si>
    <t>Circle Of Death</t>
  </si>
  <si>
    <t>Flesh To Stone</t>
  </si>
  <si>
    <t>Globe Of Invulnerability</t>
  </si>
  <si>
    <t>Heroes Feast</t>
  </si>
  <si>
    <t>Transport Via Plants</t>
  </si>
  <si>
    <t>Wall Of Ice</t>
  </si>
  <si>
    <t>Wall Of Thorns</t>
  </si>
  <si>
    <t>Word Of Recall</t>
  </si>
  <si>
    <t>Finger Of Death</t>
  </si>
  <si>
    <t>Storm Of Vengeance</t>
  </si>
  <si>
    <t>Bard Secret 1st</t>
  </si>
  <si>
    <t>Bard Secret 2nd</t>
  </si>
  <si>
    <t>Bard Secret 3rd</t>
  </si>
  <si>
    <t xml:space="preserve">Bard Secret 4th </t>
  </si>
  <si>
    <t>Bard Secret 5th</t>
  </si>
  <si>
    <t>Bard Secret 6th</t>
  </si>
  <si>
    <t>Bard Secret 7th</t>
  </si>
  <si>
    <t>Bard Secret 8th</t>
  </si>
  <si>
    <t>Bard Secret 9th</t>
  </si>
  <si>
    <t>Class Two Spells</t>
  </si>
  <si>
    <t>n/a</t>
  </si>
  <si>
    <t>High Elf Language</t>
  </si>
  <si>
    <t xml:space="preserve">1st </t>
  </si>
  <si>
    <t>Race Bonus Spells</t>
  </si>
  <si>
    <t>Cleric Domains</t>
  </si>
  <si>
    <t>Knowledge</t>
  </si>
  <si>
    <t>Life</t>
  </si>
  <si>
    <t>Tempest</t>
  </si>
  <si>
    <t>Trickery</t>
  </si>
  <si>
    <t>War</t>
  </si>
  <si>
    <t>Class 1 Bonus Spells</t>
  </si>
  <si>
    <t>Class 2 Bonus Spells</t>
  </si>
  <si>
    <t>Multiclass Spell Slots</t>
  </si>
  <si>
    <t>Class two</t>
  </si>
  <si>
    <t>Total Level</t>
  </si>
  <si>
    <t>Class one</t>
  </si>
  <si>
    <t>Warlock Spell Level</t>
  </si>
  <si>
    <t>Warlock Spell Slots</t>
  </si>
  <si>
    <t>Spellcasting Slots</t>
  </si>
  <si>
    <t>Knowledge domain</t>
  </si>
  <si>
    <t>Nature Domain</t>
  </si>
  <si>
    <t>Druid Circles</t>
  </si>
  <si>
    <t>Land</t>
  </si>
  <si>
    <t>Moon</t>
  </si>
  <si>
    <t>Druid Land</t>
  </si>
  <si>
    <t>Arctic</t>
  </si>
  <si>
    <t>Coast</t>
  </si>
  <si>
    <t>Desert</t>
  </si>
  <si>
    <t>Grassland</t>
  </si>
  <si>
    <t>Swamp</t>
  </si>
  <si>
    <t>Underdark</t>
  </si>
  <si>
    <t>Fighter Style</t>
  </si>
  <si>
    <t>Archery Style</t>
  </si>
  <si>
    <t>Defense Style</t>
  </si>
  <si>
    <t>Dueling Style</t>
  </si>
  <si>
    <t>Great Weapon Style</t>
  </si>
  <si>
    <t>Protection Style</t>
  </si>
  <si>
    <t>Two-Weapon Style</t>
  </si>
  <si>
    <t>Maneuvers</t>
  </si>
  <si>
    <t>M - Commander's Strike</t>
  </si>
  <si>
    <t>M - Disarming Attack</t>
  </si>
  <si>
    <t>M - Distracting Strike</t>
  </si>
  <si>
    <t>M - Evasive Footwork</t>
  </si>
  <si>
    <t>M - Feinting Attack</t>
  </si>
  <si>
    <t>M - Goading Attack</t>
  </si>
  <si>
    <t>M - Lunging Attack</t>
  </si>
  <si>
    <t>M - Maneuvering Attack</t>
  </si>
  <si>
    <t>M - Menacing Attack</t>
  </si>
  <si>
    <t>M - Parry</t>
  </si>
  <si>
    <t>M - Precision Attack</t>
  </si>
  <si>
    <t>M - Pushing Attack</t>
  </si>
  <si>
    <t>M - Rally</t>
  </si>
  <si>
    <t>M - Riposte</t>
  </si>
  <si>
    <t>M - Sweeping Attack</t>
  </si>
  <si>
    <t>M - Trip Attack</t>
  </si>
  <si>
    <t>Superiority Dice</t>
  </si>
  <si>
    <t xml:space="preserve"> Superiority Dice - 4x D8</t>
  </si>
  <si>
    <t xml:space="preserve"> Superiority Dice - 5x D8</t>
  </si>
  <si>
    <t>d10</t>
  </si>
  <si>
    <t>d12</t>
  </si>
  <si>
    <t xml:space="preserve"> Superiority Dice - 5x D10</t>
  </si>
  <si>
    <t xml:space="preserve"> Superiority Dice - 6x D10</t>
  </si>
  <si>
    <t xml:space="preserve"> Superiority Dice - 6x D12</t>
  </si>
  <si>
    <t>BM DC</t>
  </si>
  <si>
    <t>Artisan's Tools</t>
  </si>
  <si>
    <t>Alchemist's Supplies</t>
  </si>
  <si>
    <t>Calligrapher's Supplies</t>
  </si>
  <si>
    <t>Painter's Supplies</t>
  </si>
  <si>
    <t>Carpenter's Tools</t>
  </si>
  <si>
    <t>Cobbler's Tools</t>
  </si>
  <si>
    <t>Glassblower's Tools</t>
  </si>
  <si>
    <t>Jeweler's Tools</t>
  </si>
  <si>
    <t>Leatherworker's Tools</t>
  </si>
  <si>
    <t>Potter's Tools</t>
  </si>
  <si>
    <t>Tinker's Tools</t>
  </si>
  <si>
    <t>Weaver's Tools</t>
  </si>
  <si>
    <t>Woodcarver's Tools</t>
  </si>
  <si>
    <t>Cook's Utensils</t>
  </si>
  <si>
    <t>Monk Prof.</t>
  </si>
  <si>
    <t>Monk Tables</t>
  </si>
  <si>
    <t>1d4</t>
  </si>
  <si>
    <t>1d6</t>
  </si>
  <si>
    <t>1d8</t>
  </si>
  <si>
    <t>1d10</t>
  </si>
  <si>
    <t>Monk Traditions</t>
  </si>
  <si>
    <t>Way of the Open Hand</t>
  </si>
  <si>
    <t>Way of the Four Elements</t>
  </si>
  <si>
    <t>Way of the Shadow</t>
  </si>
  <si>
    <t>Fangs of the Fire Snake</t>
  </si>
  <si>
    <t>Fist of Four Thunders</t>
  </si>
  <si>
    <t>Fist of Unbroken Air</t>
  </si>
  <si>
    <t>Rush of the Gale Spirits</t>
  </si>
  <si>
    <t>Shape the Flowing River</t>
  </si>
  <si>
    <t>Sweeping Cinder Strike</t>
  </si>
  <si>
    <t>Water Whip</t>
  </si>
  <si>
    <t>Eternal Mountain Defense</t>
  </si>
  <si>
    <t>Flames of the Phoenix</t>
  </si>
  <si>
    <t>Mist Stance</t>
  </si>
  <si>
    <t>Ride the Wind</t>
  </si>
  <si>
    <t>Breath of Winter</t>
  </si>
  <si>
    <t xml:space="preserve">Four Element Disciplines </t>
  </si>
  <si>
    <t>River of Hungry Flame</t>
  </si>
  <si>
    <t>Wave of Rolling Earth</t>
  </si>
  <si>
    <t>Clench of the North Wind</t>
  </si>
  <si>
    <t>Gong of the Summit</t>
  </si>
  <si>
    <t>Ki Points</t>
  </si>
  <si>
    <t>d6</t>
  </si>
  <si>
    <t>d8</t>
  </si>
  <si>
    <t>Bard Skills</t>
  </si>
  <si>
    <t xml:space="preserve">Cleric </t>
  </si>
  <si>
    <t>Channel Divinity</t>
  </si>
  <si>
    <t>Destroy Undead</t>
  </si>
  <si>
    <t>Bardic Inspiration</t>
  </si>
  <si>
    <t>Song of Rest</t>
  </si>
  <si>
    <t xml:space="preserve"> CR 1/2 or lower</t>
  </si>
  <si>
    <t>CR 1/2 or lower</t>
  </si>
  <si>
    <t>CR 1 or lower</t>
  </si>
  <si>
    <t>CR 2 or lower</t>
  </si>
  <si>
    <t>CR 3 or lower</t>
  </si>
  <si>
    <t>CR 4 or lower</t>
  </si>
  <si>
    <t>Druid Shapes</t>
  </si>
  <si>
    <t>CR 1 - no limits</t>
  </si>
  <si>
    <t>CR 1/2 - no flying speed</t>
  </si>
  <si>
    <t>CR 1/4 - no flying or swimming speed</t>
  </si>
  <si>
    <t>Fighter Attacks</t>
  </si>
  <si>
    <t>1 total</t>
  </si>
  <si>
    <t>2 total</t>
  </si>
  <si>
    <t>3 total</t>
  </si>
  <si>
    <t>4 total</t>
  </si>
  <si>
    <t>Paladin Styles</t>
  </si>
  <si>
    <t>Paladin Oaths</t>
  </si>
  <si>
    <t>Oath of Devotion</t>
  </si>
  <si>
    <t>Oath of the Ancients</t>
  </si>
  <si>
    <t>Oath of Vengeance</t>
  </si>
  <si>
    <t>Ranger Enemies</t>
  </si>
  <si>
    <t>Aberrations</t>
  </si>
  <si>
    <t>Beasts</t>
  </si>
  <si>
    <t>Celestials</t>
  </si>
  <si>
    <t>Constructs</t>
  </si>
  <si>
    <t>Dragons</t>
  </si>
  <si>
    <t>Elementals</t>
  </si>
  <si>
    <t>Fey</t>
  </si>
  <si>
    <t>Fiends</t>
  </si>
  <si>
    <t>Giants</t>
  </si>
  <si>
    <t>Monstrosities</t>
  </si>
  <si>
    <t>Oozes</t>
  </si>
  <si>
    <t>Plants</t>
  </si>
  <si>
    <t>Undead</t>
  </si>
  <si>
    <t>Aarakocra</t>
  </si>
  <si>
    <t>Aasimar</t>
  </si>
  <si>
    <t>Genasi</t>
  </si>
  <si>
    <t>Bugbear</t>
  </si>
  <si>
    <t>Bullywug</t>
  </si>
  <si>
    <t>Derro</t>
  </si>
  <si>
    <t>Drow</t>
  </si>
  <si>
    <t>Duergar</t>
  </si>
  <si>
    <t>Firbolg</t>
  </si>
  <si>
    <t>Firenewt</t>
  </si>
  <si>
    <t>Giff</t>
  </si>
  <si>
    <t>Githyanki</t>
  </si>
  <si>
    <t>Githzerai</t>
  </si>
  <si>
    <t>Gnoll</t>
  </si>
  <si>
    <t>Goblin</t>
  </si>
  <si>
    <t>Grimlock</t>
  </si>
  <si>
    <t>Grung</t>
  </si>
  <si>
    <t>Hobgoblin</t>
  </si>
  <si>
    <t>Jackalwere</t>
  </si>
  <si>
    <t>Kenku</t>
  </si>
  <si>
    <t>Kobold</t>
  </si>
  <si>
    <t>Kuo-toa</t>
  </si>
  <si>
    <t>Sahuagin</t>
  </si>
  <si>
    <t>Tabaxi</t>
  </si>
  <si>
    <t>Thri-kreen</t>
  </si>
  <si>
    <t>Tortle</t>
  </si>
  <si>
    <t>Triton</t>
  </si>
  <si>
    <t>Troglogyte</t>
  </si>
  <si>
    <t>Werebat</t>
  </si>
  <si>
    <t>Werebear</t>
  </si>
  <si>
    <t>Wereboar</t>
  </si>
  <si>
    <t>Wererat</t>
  </si>
  <si>
    <t>Wereraven</t>
  </si>
  <si>
    <t>Weretiger</t>
  </si>
  <si>
    <t>Werewolf</t>
  </si>
  <si>
    <t>Xvart</t>
  </si>
  <si>
    <t>Yuan-ti Pureblood</t>
  </si>
  <si>
    <t>Ranger En.</t>
  </si>
  <si>
    <t>Ranger Styles</t>
  </si>
  <si>
    <t>Ranger Archetypes</t>
  </si>
  <si>
    <t>Hunter</t>
  </si>
  <si>
    <t>Beastmaster</t>
  </si>
  <si>
    <t>Ranger Hunter Skills 3</t>
  </si>
  <si>
    <t>Colossus Slayer</t>
  </si>
  <si>
    <t>Giant Killer</t>
  </si>
  <si>
    <t>Horde Breaker</t>
  </si>
  <si>
    <t>Escape the Horde</t>
  </si>
  <si>
    <t>Multiattack Defense</t>
  </si>
  <si>
    <t>Steel Will</t>
  </si>
  <si>
    <t>Volley</t>
  </si>
  <si>
    <t>Whirlwind Attack</t>
  </si>
  <si>
    <t>Evasion</t>
  </si>
  <si>
    <t>Stand Against the Tide</t>
  </si>
  <si>
    <t>Uncanny Dodge</t>
  </si>
  <si>
    <t>Ranger Hunter Skills 7</t>
  </si>
  <si>
    <t>Ranger Hunter Skills 11</t>
  </si>
  <si>
    <t>Ranger Hunter Skills 15</t>
  </si>
  <si>
    <t>Ranger Companions</t>
  </si>
  <si>
    <t>Baboon</t>
  </si>
  <si>
    <t>Bat</t>
  </si>
  <si>
    <t>Blood Hawk</t>
  </si>
  <si>
    <t>Boar</t>
  </si>
  <si>
    <t>Cat</t>
  </si>
  <si>
    <t>Crab</t>
  </si>
  <si>
    <t>Deer</t>
  </si>
  <si>
    <t>Eagle</t>
  </si>
  <si>
    <t>Flying Snake</t>
  </si>
  <si>
    <t>Frog</t>
  </si>
  <si>
    <t>Giant Badger</t>
  </si>
  <si>
    <t>Giant Centipede</t>
  </si>
  <si>
    <t>Giant Crab</t>
  </si>
  <si>
    <t>Giant Fire Beetle</t>
  </si>
  <si>
    <t>Giant Frog</t>
  </si>
  <si>
    <t>Giant Poisonous Snake</t>
  </si>
  <si>
    <t>Giant Rat</t>
  </si>
  <si>
    <t>Giant Weasel</t>
  </si>
  <si>
    <t>Giant Wolf Spider</t>
  </si>
  <si>
    <t>Goat</t>
  </si>
  <si>
    <t>Hawk</t>
  </si>
  <si>
    <t>Hyena</t>
  </si>
  <si>
    <t>Jackal</t>
  </si>
  <si>
    <t>Lizard</t>
  </si>
  <si>
    <t>Mastiff</t>
  </si>
  <si>
    <t>Mule</t>
  </si>
  <si>
    <t>Owl</t>
  </si>
  <si>
    <t>Panther</t>
  </si>
  <si>
    <t>Poisonous Snake</t>
  </si>
  <si>
    <t>Pony</t>
  </si>
  <si>
    <t>Pteranodon</t>
  </si>
  <si>
    <t>Rat</t>
  </si>
  <si>
    <t>Raven</t>
  </si>
  <si>
    <t>Socrpion</t>
  </si>
  <si>
    <t>Spider</t>
  </si>
  <si>
    <t>Stirge</t>
  </si>
  <si>
    <t>Weasel</t>
  </si>
  <si>
    <t>Wolf</t>
  </si>
  <si>
    <t>Rogue Ex.</t>
  </si>
  <si>
    <t>Rogue Expertise</t>
  </si>
  <si>
    <t>Rogue SA</t>
  </si>
  <si>
    <t>2d6</t>
  </si>
  <si>
    <t>3d6</t>
  </si>
  <si>
    <t>4d6</t>
  </si>
  <si>
    <t>5d6</t>
  </si>
  <si>
    <t>6d6</t>
  </si>
  <si>
    <t>7d6</t>
  </si>
  <si>
    <t>8d6</t>
  </si>
  <si>
    <t>9d6</t>
  </si>
  <si>
    <t>10d6</t>
  </si>
  <si>
    <t>Sorcery MM</t>
  </si>
  <si>
    <t>Careful Spell</t>
  </si>
  <si>
    <t>Distant Spell</t>
  </si>
  <si>
    <t>Empowered Spell</t>
  </si>
  <si>
    <t>Extended Spell</t>
  </si>
  <si>
    <t>Heightened Spell</t>
  </si>
  <si>
    <t>Quickened Spell</t>
  </si>
  <si>
    <t>Subtle Spell</t>
  </si>
  <si>
    <t>Twinned Spell</t>
  </si>
  <si>
    <t>Sorcerous Origins</t>
  </si>
  <si>
    <t>Draconic Bloodline</t>
  </si>
  <si>
    <t>Wild Magic</t>
  </si>
  <si>
    <t>Draconic BL HP</t>
  </si>
  <si>
    <t>Black (Acid)</t>
  </si>
  <si>
    <t>Blue (Lightning)</t>
  </si>
  <si>
    <t>Brass (Fire)</t>
  </si>
  <si>
    <t>Bronze (Lightning)</t>
  </si>
  <si>
    <t>Copper (Acid)</t>
  </si>
  <si>
    <t>Gold (Fire)</t>
  </si>
  <si>
    <t>Green (Poison)</t>
  </si>
  <si>
    <t>Red (Fire)</t>
  </si>
  <si>
    <t>Silver (Cold)</t>
  </si>
  <si>
    <t>White (Cold)</t>
  </si>
  <si>
    <t>Warlock Patron</t>
  </si>
  <si>
    <t>Archfey</t>
  </si>
  <si>
    <t>Fiend</t>
  </si>
  <si>
    <t>Great Old One</t>
  </si>
  <si>
    <t>Pact Boon</t>
  </si>
  <si>
    <t>Pact of the Chain</t>
  </si>
  <si>
    <t>Pact of the Blade</t>
  </si>
  <si>
    <t>Pact of the Tome</t>
  </si>
  <si>
    <t>Armor of Shadows</t>
  </si>
  <si>
    <t>Beast Speech</t>
  </si>
  <si>
    <t>Beguiling Influence</t>
  </si>
  <si>
    <t>Devil's Sight</t>
  </si>
  <si>
    <t>Eldritch Sight</t>
  </si>
  <si>
    <t>Eyes of the Rune Keeper</t>
  </si>
  <si>
    <t>Fiendish Vigor</t>
  </si>
  <si>
    <t>Gaze of Two Minds</t>
  </si>
  <si>
    <t>Mask of Many Faces</t>
  </si>
  <si>
    <t>Misty Visions</t>
  </si>
  <si>
    <t>Thief of Five Fates</t>
  </si>
  <si>
    <t>Mire the Mind</t>
  </si>
  <si>
    <t>Warlock Inv. 5</t>
  </si>
  <si>
    <t>Warlock Inv. 1</t>
  </si>
  <si>
    <t>One with Shadows</t>
  </si>
  <si>
    <t>Sign of Ill Omen</t>
  </si>
  <si>
    <t>Warlock Inv. 7</t>
  </si>
  <si>
    <t>Dreadful Word</t>
  </si>
  <si>
    <t>Bewitching Whispers</t>
  </si>
  <si>
    <t>Warlock Inv. 9</t>
  </si>
  <si>
    <t>Ascendant Step</t>
  </si>
  <si>
    <t>Minions of Chaos</t>
  </si>
  <si>
    <t>Otherworldly Leap</t>
  </si>
  <si>
    <t>Whispers of the Dead</t>
  </si>
  <si>
    <t>Sculptor of Flesh</t>
  </si>
  <si>
    <t>Warlock Inv. 15</t>
  </si>
  <si>
    <t>Master of Myriad Forms</t>
  </si>
  <si>
    <t>Witch Sight</t>
  </si>
  <si>
    <t>Visions of Distant Realms</t>
  </si>
  <si>
    <t>Warlock Inv.</t>
  </si>
  <si>
    <t>Pact of Tome Cantrips</t>
  </si>
  <si>
    <t>Tensor's Floating Disk</t>
  </si>
  <si>
    <t>Warlock - Ritual</t>
  </si>
  <si>
    <t>Column1</t>
  </si>
  <si>
    <t>Column2</t>
  </si>
  <si>
    <t>Column3</t>
  </si>
  <si>
    <t>Column4</t>
  </si>
  <si>
    <t>Column5</t>
  </si>
  <si>
    <t>Class Two Wizard Spellbook</t>
  </si>
  <si>
    <t>Class Two Wizard Level Known</t>
  </si>
  <si>
    <t>Warlock AF 1st</t>
  </si>
  <si>
    <t>Warlock AF 2nd</t>
  </si>
  <si>
    <t>Warlock AF 3rd</t>
  </si>
  <si>
    <t>Warlock AF 4th</t>
  </si>
  <si>
    <t>Warlock AF 5th</t>
  </si>
  <si>
    <t>Warlock F 5th</t>
  </si>
  <si>
    <t>Warlock F 4th</t>
  </si>
  <si>
    <t>Warlock F 3rd</t>
  </si>
  <si>
    <t>Warlock F 2nd</t>
  </si>
  <si>
    <t>Warlock F 1st</t>
  </si>
  <si>
    <t>Warlock GOO 1st</t>
  </si>
  <si>
    <t>Warlock GOO 2nd</t>
  </si>
  <si>
    <t>Warlock GOO 3rd</t>
  </si>
  <si>
    <t>Warlock GOO 4th</t>
  </si>
  <si>
    <t>Warlock GOO 5th</t>
  </si>
  <si>
    <t>Bard Secrets 10</t>
  </si>
  <si>
    <t>Bard Secrets 14</t>
  </si>
  <si>
    <t>Bard Secrets 18</t>
  </si>
  <si>
    <t xml:space="preserve"> </t>
  </si>
  <si>
    <t>Bard Secrets COL</t>
  </si>
  <si>
    <t>c</t>
  </si>
  <si>
    <t>Wizard Schools</t>
  </si>
  <si>
    <t>School of Abjuration</t>
  </si>
  <si>
    <t>School of Conjuration</t>
  </si>
  <si>
    <t>School of Divination</t>
  </si>
  <si>
    <t>School of Enchantment</t>
  </si>
  <si>
    <t>School of Evocation</t>
  </si>
  <si>
    <t>School of Illusion</t>
  </si>
  <si>
    <t>School of Necromancy</t>
  </si>
  <si>
    <t>School of Transmutation</t>
  </si>
  <si>
    <t>Acrobat</t>
  </si>
  <si>
    <t>Alchemist</t>
  </si>
  <si>
    <t>Artist</t>
  </si>
  <si>
    <t>Baker</t>
  </si>
  <si>
    <t>Banker</t>
  </si>
  <si>
    <t>Basket Maker</t>
  </si>
  <si>
    <t>Begger</t>
  </si>
  <si>
    <t>Blacksmith</t>
  </si>
  <si>
    <t>Bleacher</t>
  </si>
  <si>
    <t>Writer</t>
  </si>
  <si>
    <t>Wool Merchant</t>
  </si>
  <si>
    <t>Wood Seller</t>
  </si>
  <si>
    <t>Woodcarver</t>
  </si>
  <si>
    <t>Wine Merchant</t>
  </si>
  <si>
    <t>Wheelwright</t>
  </si>
  <si>
    <t>Wet-nurse</t>
  </si>
  <si>
    <t>Weaver</t>
  </si>
  <si>
    <t>Weaponsmith</t>
  </si>
  <si>
    <t>Watercarrier</t>
  </si>
  <si>
    <t>Vintner</t>
  </si>
  <si>
    <t>Tinker</t>
  </si>
  <si>
    <t>Undertaker</t>
  </si>
  <si>
    <t>Toymaker</t>
  </si>
  <si>
    <t>Town Crier</t>
  </si>
  <si>
    <t>Tobacco merchant</t>
  </si>
  <si>
    <t>Teacher</t>
  </si>
  <si>
    <t>Taxidermist</t>
  </si>
  <si>
    <t>Tax Collector</t>
  </si>
  <si>
    <t>Tavern Keeper</t>
  </si>
  <si>
    <t>Tanner</t>
  </si>
  <si>
    <t>Tailor</t>
  </si>
  <si>
    <t>Student</t>
  </si>
  <si>
    <t>Spice Merchant</t>
  </si>
  <si>
    <t>Soap Maker</t>
  </si>
  <si>
    <t>Skinner</t>
  </si>
  <si>
    <t>Silversmith</t>
  </si>
  <si>
    <t>Ship maker</t>
  </si>
  <si>
    <t>Server</t>
  </si>
  <si>
    <t>Sculptor</t>
  </si>
  <si>
    <t>Sailor</t>
  </si>
  <si>
    <t>Rug Maker</t>
  </si>
  <si>
    <t>Rope Maker</t>
  </si>
  <si>
    <t>Roofer</t>
  </si>
  <si>
    <t>Rat Catcher</t>
  </si>
  <si>
    <t>Purse Maker</t>
  </si>
  <si>
    <t>Prostitute</t>
  </si>
  <si>
    <t>Potter</t>
  </si>
  <si>
    <t>Potion Maker</t>
  </si>
  <si>
    <t>Porter</t>
  </si>
  <si>
    <t>Pawnbroker</t>
  </si>
  <si>
    <t>Paper/Parchment Maker</t>
  </si>
  <si>
    <t>Painter</t>
  </si>
  <si>
    <t>Page</t>
  </si>
  <si>
    <t>Official</t>
  </si>
  <si>
    <t>Navigator</t>
  </si>
  <si>
    <t>Nanny</t>
  </si>
  <si>
    <t>Moneychanger</t>
  </si>
  <si>
    <t>Minstrel</t>
  </si>
  <si>
    <t>Miller</t>
  </si>
  <si>
    <t>Midwife</t>
  </si>
  <si>
    <t>Mercenary</t>
  </si>
  <si>
    <t>Mason</t>
  </si>
  <si>
    <t>Locksmith</t>
  </si>
  <si>
    <t>Livestock merchant</t>
  </si>
  <si>
    <t>Librarian</t>
  </si>
  <si>
    <t>Leatherworker</t>
  </si>
  <si>
    <t>Launderer</t>
  </si>
  <si>
    <t>Laborer</t>
  </si>
  <si>
    <t>Judge</t>
  </si>
  <si>
    <t>Journeyman</t>
  </si>
  <si>
    <t>Jeweler</t>
  </si>
  <si>
    <t>Jester</t>
  </si>
  <si>
    <t>Inventor</t>
  </si>
  <si>
    <t>Instrument Maker</t>
  </si>
  <si>
    <t>Inn Keeper</t>
  </si>
  <si>
    <t>Historian</t>
  </si>
  <si>
    <t>Herbalist</t>
  </si>
  <si>
    <t>Hay Merchant</t>
  </si>
  <si>
    <t>Harness Maker</t>
  </si>
  <si>
    <t>Haberdasher</t>
  </si>
  <si>
    <t>Guide</t>
  </si>
  <si>
    <t>Guard</t>
  </si>
  <si>
    <t>Groom</t>
  </si>
  <si>
    <t>Grocer</t>
  </si>
  <si>
    <t>Grain Merchant</t>
  </si>
  <si>
    <t>Goldsmith</t>
  </si>
  <si>
    <t>Glove Maker</t>
  </si>
  <si>
    <t>Glass Maker</t>
  </si>
  <si>
    <t>Gardener</t>
  </si>
  <si>
    <t>Furrier</t>
  </si>
  <si>
    <t>Furniture Maker</t>
  </si>
  <si>
    <t>Flower Seller</t>
  </si>
  <si>
    <t>Fishmonger</t>
  </si>
  <si>
    <t>Fisher</t>
  </si>
  <si>
    <t>Engraver</t>
  </si>
  <si>
    <t>Engineer</t>
  </si>
  <si>
    <t>Doctor</t>
  </si>
  <si>
    <t>Diplomat</t>
  </si>
  <si>
    <t>Dentist</t>
  </si>
  <si>
    <t>Dairy seller</t>
  </si>
  <si>
    <t>Copyist</t>
  </si>
  <si>
    <t>Cook</t>
  </si>
  <si>
    <t>Cobbler</t>
  </si>
  <si>
    <t>Clothier</t>
  </si>
  <si>
    <t>Carpenter</t>
  </si>
  <si>
    <t>Caravanner</t>
  </si>
  <si>
    <t>Butcher</t>
  </si>
  <si>
    <t>Bricklayer</t>
  </si>
  <si>
    <t>Brewer</t>
  </si>
  <si>
    <t>Bowyer/Fletcher</t>
  </si>
  <si>
    <t>Bookseller</t>
  </si>
  <si>
    <t>Bookbinder</t>
  </si>
  <si>
    <t>Beer Merchant</t>
  </si>
  <si>
    <t>Bather</t>
  </si>
  <si>
    <t>Barber</t>
  </si>
  <si>
    <t>Apprentice</t>
  </si>
  <si>
    <t>Architect</t>
  </si>
  <si>
    <t>Armorer</t>
  </si>
  <si>
    <t>Astrologer</t>
  </si>
  <si>
    <t>Clergy Member</t>
  </si>
  <si>
    <t>Clock Maker</t>
  </si>
  <si>
    <t>Advocate</t>
  </si>
  <si>
    <t>Scholar</t>
  </si>
  <si>
    <t>Height/Weight</t>
  </si>
  <si>
    <t>Age</t>
  </si>
  <si>
    <t>Elderly</t>
  </si>
  <si>
    <t>Young Adult</t>
  </si>
  <si>
    <t>Adult</t>
  </si>
  <si>
    <t xml:space="preserve">Background </t>
  </si>
  <si>
    <t>Acolyte</t>
  </si>
  <si>
    <t>Charlatan</t>
  </si>
  <si>
    <t>Criminal</t>
  </si>
  <si>
    <t>Entertainer</t>
  </si>
  <si>
    <t>Folk Hero</t>
  </si>
  <si>
    <t>Guild Artisan</t>
  </si>
  <si>
    <t>Hermit</t>
  </si>
  <si>
    <t>Outlander</t>
  </si>
  <si>
    <t>Sage</t>
  </si>
  <si>
    <t>Soldier</t>
  </si>
  <si>
    <t>Urchin</t>
  </si>
  <si>
    <t>Noble</t>
  </si>
  <si>
    <t>Pirate</t>
  </si>
  <si>
    <t>Knight</t>
  </si>
  <si>
    <t xml:space="preserve">History </t>
  </si>
  <si>
    <t>Background Total</t>
  </si>
  <si>
    <t>Background Skills</t>
  </si>
  <si>
    <t>Blackmailer</t>
  </si>
  <si>
    <t>Burglar</t>
  </si>
  <si>
    <t>Enforcer</t>
  </si>
  <si>
    <t>Fence</t>
  </si>
  <si>
    <t>Highway Robber</t>
  </si>
  <si>
    <t>Pickpocket</t>
  </si>
  <si>
    <t>Smuggler</t>
  </si>
  <si>
    <t>Hired Killer</t>
  </si>
  <si>
    <t>Gaming Sets</t>
  </si>
  <si>
    <t>Dice Set</t>
  </si>
  <si>
    <t>Playing Card Set</t>
  </si>
  <si>
    <t>Dragonchess Set</t>
  </si>
  <si>
    <t>3 Dragon Ante Set</t>
  </si>
  <si>
    <t>Actor</t>
  </si>
  <si>
    <t>Dancer</t>
  </si>
  <si>
    <t>Fire-Eater</t>
  </si>
  <si>
    <t>Juggler</t>
  </si>
  <si>
    <t>Instrumentalist</t>
  </si>
  <si>
    <t>Poet</t>
  </si>
  <si>
    <t>Singer</t>
  </si>
  <si>
    <t>Storyteller</t>
  </si>
  <si>
    <t>Tumbler</t>
  </si>
  <si>
    <t>Guild</t>
  </si>
  <si>
    <t>Calligrapher</t>
  </si>
  <si>
    <t>Cartographer</t>
  </si>
  <si>
    <t>Glassblower</t>
  </si>
  <si>
    <t>Shipwright</t>
  </si>
  <si>
    <t>Smith</t>
  </si>
  <si>
    <t>Origin</t>
  </si>
  <si>
    <t>Forester</t>
  </si>
  <si>
    <t>Trapper</t>
  </si>
  <si>
    <t>Homesteader</t>
  </si>
  <si>
    <t>Exile or Outcast</t>
  </si>
  <si>
    <t>Bounty Hunter</t>
  </si>
  <si>
    <t>Pilgrim</t>
  </si>
  <si>
    <t>Tribal Nomad</t>
  </si>
  <si>
    <t>Hunter-Gatherer</t>
  </si>
  <si>
    <t>Tribal Marauder</t>
  </si>
  <si>
    <t>Specialty</t>
  </si>
  <si>
    <t>Astronomer</t>
  </si>
  <si>
    <t>Discredited Academic</t>
  </si>
  <si>
    <t>Professor</t>
  </si>
  <si>
    <t>Researcher</t>
  </si>
  <si>
    <t>Wizard's Apprentice</t>
  </si>
  <si>
    <t>Scribe</t>
  </si>
  <si>
    <t>Military Rank</t>
  </si>
  <si>
    <t>Officer</t>
  </si>
  <si>
    <t>Scout</t>
  </si>
  <si>
    <t>Infantry</t>
  </si>
  <si>
    <t>Calvary</t>
  </si>
  <si>
    <t>Healer</t>
  </si>
  <si>
    <t>Quartermaster</t>
  </si>
  <si>
    <t>Standard Bearer</t>
  </si>
  <si>
    <t>Support Staff</t>
  </si>
  <si>
    <t>Total Character Level</t>
  </si>
  <si>
    <t>Current HP:</t>
  </si>
  <si>
    <t>Light Armor</t>
  </si>
  <si>
    <t>Medium Armor</t>
  </si>
  <si>
    <t>Chain Shirt</t>
  </si>
  <si>
    <t>Scale Mail</t>
  </si>
  <si>
    <t>Breastplate</t>
  </si>
  <si>
    <t>Heavy Armor</t>
  </si>
  <si>
    <t>Ring Mail</t>
  </si>
  <si>
    <t>Chain Mail</t>
  </si>
  <si>
    <t>Simple Melee</t>
  </si>
  <si>
    <t>Club</t>
  </si>
  <si>
    <t>Dagger</t>
  </si>
  <si>
    <t>Greatclub</t>
  </si>
  <si>
    <t>Handaxe</t>
  </si>
  <si>
    <t>Javelin</t>
  </si>
  <si>
    <t>Light Hammer</t>
  </si>
  <si>
    <t xml:space="preserve">Mace </t>
  </si>
  <si>
    <t>Quarterstaff</t>
  </si>
  <si>
    <t>Sickle</t>
  </si>
  <si>
    <t>Spear</t>
  </si>
  <si>
    <t>Simple Ranged</t>
  </si>
  <si>
    <t>Light Crossbow</t>
  </si>
  <si>
    <t>Dart</t>
  </si>
  <si>
    <t>Sling</t>
  </si>
  <si>
    <t>Shortbow</t>
  </si>
  <si>
    <t>1d4b</t>
  </si>
  <si>
    <t>1d4p</t>
  </si>
  <si>
    <t>1d8b</t>
  </si>
  <si>
    <t>1d6s</t>
  </si>
  <si>
    <t>1d6p</t>
  </si>
  <si>
    <t>1d6b</t>
  </si>
  <si>
    <t>1d4s</t>
  </si>
  <si>
    <t>2H</t>
  </si>
  <si>
    <t>Finesse</t>
  </si>
  <si>
    <t>Martial Melee</t>
  </si>
  <si>
    <t>Battleaxe</t>
  </si>
  <si>
    <t>Flail</t>
  </si>
  <si>
    <t>Greataxe</t>
  </si>
  <si>
    <t>Greatsword</t>
  </si>
  <si>
    <t>Halberd</t>
  </si>
  <si>
    <t>Lance</t>
  </si>
  <si>
    <t>Longsword</t>
  </si>
  <si>
    <t>Maul</t>
  </si>
  <si>
    <t>Morningstar</t>
  </si>
  <si>
    <t>Pike</t>
  </si>
  <si>
    <t>Rapier</t>
  </si>
  <si>
    <t>Scimitar</t>
  </si>
  <si>
    <t>Shortsword</t>
  </si>
  <si>
    <t>Trident</t>
  </si>
  <si>
    <t>War Pick</t>
  </si>
  <si>
    <t>Warhammer</t>
  </si>
  <si>
    <t>Whip</t>
  </si>
  <si>
    <t>Martial Ranged</t>
  </si>
  <si>
    <t>Hand Crossbow</t>
  </si>
  <si>
    <t>Heavy Crossbow</t>
  </si>
  <si>
    <t>Longbow</t>
  </si>
  <si>
    <t>Net</t>
  </si>
  <si>
    <t>1d8p</t>
  </si>
  <si>
    <t>1d8s</t>
  </si>
  <si>
    <t>1d10s</t>
  </si>
  <si>
    <t>1d12s</t>
  </si>
  <si>
    <t>Glaive</t>
  </si>
  <si>
    <t>2d6s</t>
  </si>
  <si>
    <t>1d12p</t>
  </si>
  <si>
    <t>2d6b</t>
  </si>
  <si>
    <t>1d10p</t>
  </si>
  <si>
    <t>Blowgun</t>
  </si>
  <si>
    <t>1p</t>
  </si>
  <si>
    <t>Thrown (20/120)</t>
  </si>
  <si>
    <t>Thrown (20/60)</t>
  </si>
  <si>
    <t>Armor</t>
  </si>
  <si>
    <t>Items</t>
  </si>
  <si>
    <t>Base AC</t>
  </si>
  <si>
    <t>Dex Adj.</t>
  </si>
  <si>
    <t>Other</t>
  </si>
  <si>
    <t>Total AC</t>
  </si>
  <si>
    <t>Clothes</t>
  </si>
  <si>
    <t>Common Clothes</t>
  </si>
  <si>
    <t>Fine Clothes</t>
  </si>
  <si>
    <t>Traveler's Clothes</t>
  </si>
  <si>
    <t>Weapons</t>
  </si>
  <si>
    <t>Base Dmg</t>
  </si>
  <si>
    <t>Ability Adj.</t>
  </si>
  <si>
    <t>2H, Heavy, Reach</t>
  </si>
  <si>
    <t>2H, Heavy</t>
  </si>
  <si>
    <t>2H,Heavy,Reach</t>
  </si>
  <si>
    <t>Reach, Special</t>
  </si>
  <si>
    <t>Light, Finesse</t>
  </si>
  <si>
    <t>Finesse, Reach</t>
  </si>
  <si>
    <t>Ammo,25/100,Loading</t>
  </si>
  <si>
    <t>Ammo,30/120,Light,Loading</t>
  </si>
  <si>
    <t>Ammo,Heavy,Loading,2H</t>
  </si>
  <si>
    <t>Ammo,Heavy,2H</t>
  </si>
  <si>
    <t>Special,Thrown (5/15)</t>
  </si>
  <si>
    <t>Light,Finesse,Thrown(20/60)</t>
  </si>
  <si>
    <t>Light,Thrown (20/60)</t>
  </si>
  <si>
    <t>Ammo,80/320,2H,Loading</t>
  </si>
  <si>
    <t>Finesse,Throw (20/60)</t>
  </si>
  <si>
    <t xml:space="preserve">Ammo,80/320,2H </t>
  </si>
  <si>
    <t>Ammo,30/120</t>
  </si>
  <si>
    <t>Versatile Damage</t>
  </si>
  <si>
    <t>Other Notes</t>
  </si>
  <si>
    <t>Barbarian Rage</t>
  </si>
  <si>
    <t>Unlimited</t>
  </si>
  <si>
    <t>Dueling Damage Bonus (one weapon)</t>
  </si>
  <si>
    <t>Ranger NE</t>
  </si>
  <si>
    <t>Belt Pouch</t>
  </si>
  <si>
    <t>Pack Choice</t>
  </si>
  <si>
    <t>Rogue Pack</t>
  </si>
  <si>
    <t>Adventuring Gear</t>
  </si>
  <si>
    <t>Abacus</t>
  </si>
  <si>
    <t>Vial of Acid</t>
  </si>
  <si>
    <t>Alchemist's Fire</t>
  </si>
  <si>
    <t>Vial of Antitoxin</t>
  </si>
  <si>
    <t>Bag of 1000 Ball Bearings</t>
  </si>
  <si>
    <t>Basket</t>
  </si>
  <si>
    <t>Bell</t>
  </si>
  <si>
    <t>Blanket</t>
  </si>
  <si>
    <t>Block and Tackle</t>
  </si>
  <si>
    <t>Book</t>
  </si>
  <si>
    <t>Glass Bottle</t>
  </si>
  <si>
    <t>Bucket</t>
  </si>
  <si>
    <t>Bag of 20 Caltrops</t>
  </si>
  <si>
    <t>Candle</t>
  </si>
  <si>
    <t>Map/Scroll Case</t>
  </si>
  <si>
    <t>10' Chain</t>
  </si>
  <si>
    <t>Chalk</t>
  </si>
  <si>
    <t>Climber's kit</t>
  </si>
  <si>
    <t>Crowbar</t>
  </si>
  <si>
    <t>Fishing Tackle</t>
  </si>
  <si>
    <t>Flask</t>
  </si>
  <si>
    <t>Grappling Hook</t>
  </si>
  <si>
    <t>Hammer</t>
  </si>
  <si>
    <t>Healer's Kit</t>
  </si>
  <si>
    <t>Flask of Holy Water</t>
  </si>
  <si>
    <t>Hourglass</t>
  </si>
  <si>
    <t>Hunting Trap</t>
  </si>
  <si>
    <t>Bottle of Ink</t>
  </si>
  <si>
    <t>Ink Pen</t>
  </si>
  <si>
    <t>Jug</t>
  </si>
  <si>
    <t>Lamp</t>
  </si>
  <si>
    <t>Hooded Lantern</t>
  </si>
  <si>
    <t>Bullseye Lantern</t>
  </si>
  <si>
    <t>Lock</t>
  </si>
  <si>
    <t>Magnifying Glass</t>
  </si>
  <si>
    <t>Manacles</t>
  </si>
  <si>
    <t>Mess Kit</t>
  </si>
  <si>
    <t>Steel Mirror</t>
  </si>
  <si>
    <t>Flask of Oil</t>
  </si>
  <si>
    <t>Sheet of Paper</t>
  </si>
  <si>
    <t>Sheet of Parchment</t>
  </si>
  <si>
    <t>Vial of Perfume</t>
  </si>
  <si>
    <t>3 Pitons</t>
  </si>
  <si>
    <t>Vial of Basic Poison</t>
  </si>
  <si>
    <t>Sack</t>
  </si>
  <si>
    <t>Merchant's Scales</t>
  </si>
  <si>
    <t>Sealing Wax</t>
  </si>
  <si>
    <t>Signal Whistle</t>
  </si>
  <si>
    <t>Signet Ring</t>
  </si>
  <si>
    <t>Soap</t>
  </si>
  <si>
    <t>10 Iron Spikes</t>
  </si>
  <si>
    <t>Spyglass</t>
  </si>
  <si>
    <t>Two Person Tent</t>
  </si>
  <si>
    <t>Tinderbox</t>
  </si>
  <si>
    <t>Empty Vial</t>
  </si>
  <si>
    <t>Waterskin</t>
  </si>
  <si>
    <t>Whetstone</t>
  </si>
  <si>
    <t>Torch</t>
  </si>
  <si>
    <t>Pocket Belongings</t>
  </si>
  <si>
    <t xml:space="preserve">3 cigarettes </t>
  </si>
  <si>
    <t>a 1' long wooden straw</t>
  </si>
  <si>
    <t>a 2' length of rope</t>
  </si>
  <si>
    <t>a ball of twine</t>
  </si>
  <si>
    <t>a beaver tail</t>
  </si>
  <si>
    <t>a bent piece of wire</t>
  </si>
  <si>
    <t>a blank sheet of paper</t>
  </si>
  <si>
    <t>a blank traveling journal</t>
  </si>
  <si>
    <t>a block of incense</t>
  </si>
  <si>
    <t>a bottle with the label "baby's first hot sauce"</t>
  </si>
  <si>
    <t>a broken hairbrush</t>
  </si>
  <si>
    <t>a broken pair of glasses</t>
  </si>
  <si>
    <t>a broken piece of mirror</t>
  </si>
  <si>
    <t>a butter knife</t>
  </si>
  <si>
    <t>a checker piece (black)</t>
  </si>
  <si>
    <t>a checker piece (red)</t>
  </si>
  <si>
    <t>a child's pacifier</t>
  </si>
  <si>
    <t>a comb</t>
  </si>
  <si>
    <t>a copper chain with a broken clasp</t>
  </si>
  <si>
    <t>a cork</t>
  </si>
  <si>
    <t>a crumpled up note that says "it's not yours"</t>
  </si>
  <si>
    <t>a crumpled up note that says "it's yours"</t>
  </si>
  <si>
    <t>a crushed flower</t>
  </si>
  <si>
    <t>a dead bird</t>
  </si>
  <si>
    <t>a dead cave frog</t>
  </si>
  <si>
    <t>a dead stink bug</t>
  </si>
  <si>
    <t>a deck of cards</t>
  </si>
  <si>
    <t>a dirty love letter</t>
  </si>
  <si>
    <t>a dog treat</t>
  </si>
  <si>
    <t>a doll made out of cat hair</t>
  </si>
  <si>
    <t>a fake beard</t>
  </si>
  <si>
    <t>a fake moustache</t>
  </si>
  <si>
    <t>a fake sheriff's badge - spelled "sharif"</t>
  </si>
  <si>
    <t>a feather</t>
  </si>
  <si>
    <t>a fishing hook</t>
  </si>
  <si>
    <t>a flask of oil</t>
  </si>
  <si>
    <t>a flipbook of a squirrel with an acorn</t>
  </si>
  <si>
    <t>a flower bulb</t>
  </si>
  <si>
    <t>a folded note that says "I love you" in a child's handwriting</t>
  </si>
  <si>
    <t>a fork</t>
  </si>
  <si>
    <t>a four leaf clover</t>
  </si>
  <si>
    <t>a full flask of water</t>
  </si>
  <si>
    <t>a giant's fingerbone</t>
  </si>
  <si>
    <t>a hair pick</t>
  </si>
  <si>
    <t>a hair tie</t>
  </si>
  <si>
    <t>a half a bar of soap</t>
  </si>
  <si>
    <t>a half a flask of water</t>
  </si>
  <si>
    <t>a half eaten apple</t>
  </si>
  <si>
    <t>a half smoked cigar</t>
  </si>
  <si>
    <t>a half-bar of dwarven chocolate</t>
  </si>
  <si>
    <t>a half-used make-up kit</t>
  </si>
  <si>
    <t>a handful of dirt</t>
  </si>
  <si>
    <t>a handful of dragonborn scales</t>
  </si>
  <si>
    <t>a handful of raisins</t>
  </si>
  <si>
    <t>a handful of uncooked noodles</t>
  </si>
  <si>
    <t>a handful of worms, both dead and alive</t>
  </si>
  <si>
    <t>a handkerchief that is stuck together</t>
  </si>
  <si>
    <t>a harmonica</t>
  </si>
  <si>
    <t>a hole filled handkerchief</t>
  </si>
  <si>
    <t>a honeycomb</t>
  </si>
  <si>
    <t>a jar of ink</t>
  </si>
  <si>
    <t>a Joker playing card</t>
  </si>
  <si>
    <t>a knotted piece of twine</t>
  </si>
  <si>
    <t>a large multi-colored ball of lint</t>
  </si>
  <si>
    <t>a large piece of charcoal</t>
  </si>
  <si>
    <t>a leather pouch full of nuts</t>
  </si>
  <si>
    <t>a lemon</t>
  </si>
  <si>
    <t>a live cave frog</t>
  </si>
  <si>
    <t>a metal toothpick</t>
  </si>
  <si>
    <t>a mojo bag</t>
  </si>
  <si>
    <t>a moldy piece of bread</t>
  </si>
  <si>
    <t>a monocle</t>
  </si>
  <si>
    <t>a mouse skull</t>
  </si>
  <si>
    <t>a mummified goblin hand</t>
  </si>
  <si>
    <t>a necklace made out of popcorn</t>
  </si>
  <si>
    <t>a note that reads "don't forget the milk"</t>
  </si>
  <si>
    <t>a note with names - several are crossed off</t>
  </si>
  <si>
    <t>a paint brush</t>
  </si>
  <si>
    <t>a pair of balled-up old socks</t>
  </si>
  <si>
    <t>a pair of glasses</t>
  </si>
  <si>
    <t>a pair of loaded six sided dice</t>
  </si>
  <si>
    <t>a pair of scissors</t>
  </si>
  <si>
    <t>a pair of six sided dice</t>
  </si>
  <si>
    <t>a pair of swimming goggles</t>
  </si>
  <si>
    <t>a piece of chalk</t>
  </si>
  <si>
    <t>a piece of crystal</t>
  </si>
  <si>
    <t>a piece of leather</t>
  </si>
  <si>
    <t>a piece of wood half whittled into a dragon</t>
  </si>
  <si>
    <t>a pipe half filled with tobacco</t>
  </si>
  <si>
    <t>a pocket knife</t>
  </si>
  <si>
    <t>a pocketknife</t>
  </si>
  <si>
    <t>a poker chip</t>
  </si>
  <si>
    <t>a pouch of 200 ball bearings</t>
  </si>
  <si>
    <t>a pouch of catnip</t>
  </si>
  <si>
    <t>a pouch of dried grass</t>
  </si>
  <si>
    <t>a pouch of elven granola</t>
  </si>
  <si>
    <t>a pouch of sand</t>
  </si>
  <si>
    <t>a purple velvet headband</t>
  </si>
  <si>
    <t>a quill</t>
  </si>
  <si>
    <t>a rabbit's foot</t>
  </si>
  <si>
    <t>a red capped, white spotted mushroom</t>
  </si>
  <si>
    <t>a ring of keys</t>
  </si>
  <si>
    <t>a rock naturally shaped like an owlbear</t>
  </si>
  <si>
    <t>a satchet of dwarven tea</t>
  </si>
  <si>
    <t>a satchet of elven tea</t>
  </si>
  <si>
    <t>a satchet of halfling tea</t>
  </si>
  <si>
    <t>a scrap of leather with arcane runes in blue paint</t>
  </si>
  <si>
    <t>a shedded snake skin</t>
  </si>
  <si>
    <t>a single live bedbug</t>
  </si>
  <si>
    <t>a single withered humanoid ear</t>
  </si>
  <si>
    <t>a sketch of a squirrel</t>
  </si>
  <si>
    <t>a small cloth doll skewered with needles</t>
  </si>
  <si>
    <t>a small copper tin of coffee</t>
  </si>
  <si>
    <t>a small hourglass</t>
  </si>
  <si>
    <t>a small jar filled with brown goop - labeled "sample"</t>
  </si>
  <si>
    <t>a small piece of wax</t>
  </si>
  <si>
    <t>a small pouch filled with cut fingernails</t>
  </si>
  <si>
    <t>a small pouch filled with scabs</t>
  </si>
  <si>
    <t>a small pouch of flour</t>
  </si>
  <si>
    <t>a small pouch of tobacco</t>
  </si>
  <si>
    <t>a small stone gear</t>
  </si>
  <si>
    <t>a small stone jar of exotic spices</t>
  </si>
  <si>
    <t>a small terrarium</t>
  </si>
  <si>
    <t>a small vial filled with a silver liquid and labeled "mmmm"</t>
  </si>
  <si>
    <t>a small vial filled with dust and  labeled "medikashon"</t>
  </si>
  <si>
    <t>a small vial labeled "glew"</t>
  </si>
  <si>
    <t>a soft leather bookmark with teeth marks</t>
  </si>
  <si>
    <t>a spoon</t>
  </si>
  <si>
    <t>a stone white queen from a chess set</t>
  </si>
  <si>
    <t>a strip of bloodied cloth</t>
  </si>
  <si>
    <t>a strip of clean cloth</t>
  </si>
  <si>
    <t>a stub of bread</t>
  </si>
  <si>
    <t>a thimble made of bone</t>
  </si>
  <si>
    <t>a tin of lip balm</t>
  </si>
  <si>
    <t>a tin of moustache wax</t>
  </si>
  <si>
    <t>a tin of sunflower seeds</t>
  </si>
  <si>
    <t>a tinderbox</t>
  </si>
  <si>
    <t>a tiny banana</t>
  </si>
  <si>
    <t>a tiny silver bell without a clapper</t>
  </si>
  <si>
    <t>a tiny sun dial</t>
  </si>
  <si>
    <t>a toenail clipper</t>
  </si>
  <si>
    <t>a toy soldier</t>
  </si>
  <si>
    <t>a tweezers</t>
  </si>
  <si>
    <t>a vial full of shiny dust</t>
  </si>
  <si>
    <t>a vial of acid</t>
  </si>
  <si>
    <t>a vial of bad cologne</t>
  </si>
  <si>
    <t>a vial of bad perfume</t>
  </si>
  <si>
    <t>a vial of good cologne</t>
  </si>
  <si>
    <t>a vial of good perfume</t>
  </si>
  <si>
    <t>a vial of water labeled "my favorite piece of ice"</t>
  </si>
  <si>
    <t>a wad of string</t>
  </si>
  <si>
    <t>a whetstone</t>
  </si>
  <si>
    <t>a wooden black king from a chess set</t>
  </si>
  <si>
    <t>a wooden whistle</t>
  </si>
  <si>
    <t>an Ace of Spades playing card</t>
  </si>
  <si>
    <t>an almost empty flask of brandy</t>
  </si>
  <si>
    <t>an empty jar labeled "DO NOT OPEN"</t>
  </si>
  <si>
    <t>an entire toe nail from a big toe</t>
  </si>
  <si>
    <t>an inappropriate sketch of the local ruler</t>
  </si>
  <si>
    <t>an oragami cat</t>
  </si>
  <si>
    <t>an oragami dog</t>
  </si>
  <si>
    <t>an oragami rat</t>
  </si>
  <si>
    <t>an oragami spider</t>
  </si>
  <si>
    <t>an orange</t>
  </si>
  <si>
    <t>an unlit candle that smells like honey</t>
  </si>
  <si>
    <t>balled up pieces of blank paper</t>
  </si>
  <si>
    <t>chewed on leather strap</t>
  </si>
  <si>
    <t>crushed crackers</t>
  </si>
  <si>
    <t xml:space="preserve">flint and steel </t>
  </si>
  <si>
    <t>four jacks and a red rubber ball</t>
  </si>
  <si>
    <t>four rusty caltrops</t>
  </si>
  <si>
    <t>half of a cockroach</t>
  </si>
  <si>
    <t>half of a pair of scissors</t>
  </si>
  <si>
    <t>half of a really bad love poem, crumpled up</t>
  </si>
  <si>
    <t>half of a really good love poem, crumpled up</t>
  </si>
  <si>
    <t>handcuffs</t>
  </si>
  <si>
    <t>merchant's scales</t>
  </si>
  <si>
    <t>several animal teeth</t>
  </si>
  <si>
    <t>several brand-new iron nails</t>
  </si>
  <si>
    <t>several brass tacks</t>
  </si>
  <si>
    <t>several dead bugs</t>
  </si>
  <si>
    <t>several humanoid teeth</t>
  </si>
  <si>
    <t>several pebbles</t>
  </si>
  <si>
    <t>several pieces of a robin's egg</t>
  </si>
  <si>
    <t>several pieces of halfling taffy</t>
  </si>
  <si>
    <t>several shiny blue beads</t>
  </si>
  <si>
    <t>some twigs tied together with twine</t>
  </si>
  <si>
    <t>the tip of a tiefling tail</t>
  </si>
  <si>
    <t>three bright pink marbles</t>
  </si>
  <si>
    <t>three oranges</t>
  </si>
  <si>
    <t>three sugar cubes</t>
  </si>
  <si>
    <t>two black magnetic rocks</t>
  </si>
  <si>
    <t>two oranges</t>
  </si>
  <si>
    <t>two pine cones</t>
  </si>
  <si>
    <t>two poker chips, one of which has bite marks</t>
  </si>
  <si>
    <t>a book, in common, entitled, "Stone Cold"</t>
  </si>
  <si>
    <t>a book, in undercommon, entitled "Ready to Rock"</t>
  </si>
  <si>
    <t>Roll</t>
  </si>
  <si>
    <t>CP</t>
  </si>
  <si>
    <t>SP</t>
  </si>
  <si>
    <t>EP</t>
  </si>
  <si>
    <t xml:space="preserve">GP </t>
  </si>
  <si>
    <t>PP</t>
  </si>
  <si>
    <t>Coins</t>
  </si>
  <si>
    <t>Pockets 1</t>
  </si>
  <si>
    <t>Pockets 2</t>
  </si>
  <si>
    <t>Created By</t>
  </si>
  <si>
    <t>Quirk</t>
  </si>
  <si>
    <t>Aberration</t>
  </si>
  <si>
    <t>Celestial</t>
  </si>
  <si>
    <t>Dragon</t>
  </si>
  <si>
    <t>Elemental Air</t>
  </si>
  <si>
    <t>Elemental Earth</t>
  </si>
  <si>
    <t>Elemental Fire</t>
  </si>
  <si>
    <t>Elemental Water</t>
  </si>
  <si>
    <t>Giant</t>
  </si>
  <si>
    <t>History Detail</t>
  </si>
  <si>
    <t>Arcane</t>
  </si>
  <si>
    <t>Heroic</t>
  </si>
  <si>
    <t>Ornament</t>
  </si>
  <si>
    <t>Prophecy</t>
  </si>
  <si>
    <t>Religious</t>
  </si>
  <si>
    <t>Sinister</t>
  </si>
  <si>
    <t>Symbol of Power</t>
  </si>
  <si>
    <t>Minor Property</t>
  </si>
  <si>
    <t>Beacon</t>
  </si>
  <si>
    <t>Compass</t>
  </si>
  <si>
    <t>Conscientious</t>
  </si>
  <si>
    <t>Delver</t>
  </si>
  <si>
    <t>Gleaming</t>
  </si>
  <si>
    <t>Guardian</t>
  </si>
  <si>
    <t>Harmonious</t>
  </si>
  <si>
    <t>Hidden Message</t>
  </si>
  <si>
    <t>Key</t>
  </si>
  <si>
    <t>Language</t>
  </si>
  <si>
    <t>Sentinel</t>
  </si>
  <si>
    <t>Song Craft</t>
  </si>
  <si>
    <t>Strange Material</t>
  </si>
  <si>
    <t>Temperate</t>
  </si>
  <si>
    <t>Unbreakable</t>
  </si>
  <si>
    <t>War Leader</t>
  </si>
  <si>
    <t>Waterborne</t>
  </si>
  <si>
    <t>Wicked</t>
  </si>
  <si>
    <t>Illusion</t>
  </si>
  <si>
    <t>Roll 2x</t>
  </si>
  <si>
    <t>Blissful</t>
  </si>
  <si>
    <t>Confident</t>
  </si>
  <si>
    <t>Covetous</t>
  </si>
  <si>
    <t>Frail</t>
  </si>
  <si>
    <t>Hungry</t>
  </si>
  <si>
    <t>Loud</t>
  </si>
  <si>
    <t>Metamorphic</t>
  </si>
  <si>
    <t>Muttering</t>
  </si>
  <si>
    <t>Painful</t>
  </si>
  <si>
    <t>Possessive</t>
  </si>
  <si>
    <t>Repulsive</t>
  </si>
  <si>
    <t>Slothful</t>
  </si>
  <si>
    <t xml:space="preserve">Table F </t>
  </si>
  <si>
    <t>Magic Item</t>
  </si>
  <si>
    <t>Table G</t>
  </si>
  <si>
    <t>Table H</t>
  </si>
  <si>
    <t>Amulet of the Planes</t>
  </si>
  <si>
    <t>Figurine of Wondrous Power</t>
  </si>
  <si>
    <t>Carpet of Flying</t>
  </si>
  <si>
    <t>Crystal Ball (Very Rare Version)</t>
  </si>
  <si>
    <t>Amulet of Health</t>
  </si>
  <si>
    <t>Ring of Regeneration</t>
  </si>
  <si>
    <t>Ring of Shooting Stars</t>
  </si>
  <si>
    <t>Belt of Dwarvenkind</t>
  </si>
  <si>
    <t>Belt of Hill Giant Strength</t>
  </si>
  <si>
    <t>Ring of Telekinesis</t>
  </si>
  <si>
    <t>Amulet of Proof Against Detection and Location</t>
  </si>
  <si>
    <t>Boots of Levitation</t>
  </si>
  <si>
    <t>Robe of Scintillating Colors</t>
  </si>
  <si>
    <t>Boots of Elvenkind</t>
  </si>
  <si>
    <t>Boots of Speed</t>
  </si>
  <si>
    <t>Bowl of Commanding Water Elementals</t>
  </si>
  <si>
    <t>Robe of Stars</t>
  </si>
  <si>
    <t>Boots of Striding and Springing</t>
  </si>
  <si>
    <t>Brazier of Commanding Fire Elementals</t>
  </si>
  <si>
    <t>Rod of Absorption</t>
  </si>
  <si>
    <t>Bracers of Archery</t>
  </si>
  <si>
    <t>Cape of the Mountebank</t>
  </si>
  <si>
    <t>Censer of Controlling Air Elementals</t>
  </si>
  <si>
    <t>Rod of Alertness</t>
  </si>
  <si>
    <t>Brooch of Shielding</t>
  </si>
  <si>
    <t>Rod of Security</t>
  </si>
  <si>
    <t>Broom of Flying</t>
  </si>
  <si>
    <t>Rod of the Pack Keeper +3</t>
  </si>
  <si>
    <t>Cloak of Elvenkind</t>
  </si>
  <si>
    <t>Cloak of Displacement</t>
  </si>
  <si>
    <t>Cloak of the Bat</t>
  </si>
  <si>
    <t>Cloak of Protection</t>
  </si>
  <si>
    <t>Cube of Force</t>
  </si>
  <si>
    <t>Daern's Instant Fortress</t>
  </si>
  <si>
    <t>Shield +3</t>
  </si>
  <si>
    <t>Gauntlets of Ogre Power</t>
  </si>
  <si>
    <t>Dimensional Shackles</t>
  </si>
  <si>
    <t>Staff of Fire</t>
  </si>
  <si>
    <t>Hat of Disguise</t>
  </si>
  <si>
    <t>Staff of Frost</t>
  </si>
  <si>
    <t>Javelin of Lighning</t>
  </si>
  <si>
    <t>Gem of Seeing</t>
  </si>
  <si>
    <t>Staff of Power</t>
  </si>
  <si>
    <t>Pearl of Power</t>
  </si>
  <si>
    <t>Staff of Striking</t>
  </si>
  <si>
    <t>Rod of the Pact Keeper +1</t>
  </si>
  <si>
    <t>Helm of Teleportation</t>
  </si>
  <si>
    <t>Horn of Blasting</t>
  </si>
  <si>
    <t>Staff of Thunder and Lightning</t>
  </si>
  <si>
    <t>Slippers of Spider Climbing</t>
  </si>
  <si>
    <t>Horn of Valhalla</t>
  </si>
  <si>
    <t>Instrument of the Bards (Canaith Mandolin)</t>
  </si>
  <si>
    <t>Staff of the Adder</t>
  </si>
  <si>
    <t>Instrument of the Bards (Cli Lyre)</t>
  </si>
  <si>
    <t>Ioun Stone (Awareness)</t>
  </si>
  <si>
    <t>Wand of Polymorph</t>
  </si>
  <si>
    <t>Staff of the Python</t>
  </si>
  <si>
    <t>Ioun Stone (Protection)</t>
  </si>
  <si>
    <t>Ioun Stone (Reserve)</t>
  </si>
  <si>
    <t>Sword of Vengeance</t>
  </si>
  <si>
    <t>Ioun Stone (Sustenance)</t>
  </si>
  <si>
    <t>Iron Bands of Bilarro</t>
  </si>
  <si>
    <t>Trident of Fish Command</t>
  </si>
  <si>
    <t>Wand of Magic Missiles</t>
  </si>
  <si>
    <t>Mace of Disruption</t>
  </si>
  <si>
    <t>Belt of Fire Giant Strength</t>
  </si>
  <si>
    <t>Mace of Smiting</t>
  </si>
  <si>
    <t>Belt of Frost (or Stone) Giant Strength</t>
  </si>
  <si>
    <t>Wand of the War Mage +1</t>
  </si>
  <si>
    <t>Mace of Terror</t>
  </si>
  <si>
    <t>Mantle of Spell Resistance</t>
  </si>
  <si>
    <t>Wand of Web</t>
  </si>
  <si>
    <t>Necklace of Prayer Beads</t>
  </si>
  <si>
    <t>Candle of Invocation</t>
  </si>
  <si>
    <t>Periapt of Proof Against Poison</t>
  </si>
  <si>
    <t>Weapon of Warning</t>
  </si>
  <si>
    <t>Ring of Animal Influence</t>
  </si>
  <si>
    <t>Ring of Evasion</t>
  </si>
  <si>
    <t>Cloak of Arachnida</t>
  </si>
  <si>
    <t>Ring of Feather Falling</t>
  </si>
  <si>
    <t>Ring of Free Action</t>
  </si>
  <si>
    <t>Ring of Protection</t>
  </si>
  <si>
    <t>Bag of Tricks (Gray)</t>
  </si>
  <si>
    <t>Ring of Resistance</t>
  </si>
  <si>
    <t>Bag of Tricks (Rust)</t>
  </si>
  <si>
    <t>Ring of Spell Storing</t>
  </si>
  <si>
    <t>Dwarven Thrower</t>
  </si>
  <si>
    <t>Bag of Tricks (Tan)</t>
  </si>
  <si>
    <t>Ring of the Ram</t>
  </si>
  <si>
    <t>Efreeti Bottle</t>
  </si>
  <si>
    <t>Boots of the Winterlands</t>
  </si>
  <si>
    <t>Ring of X-Ray Vision</t>
  </si>
  <si>
    <t>Figurine of Wondrous Power (Obsidian Steed)</t>
  </si>
  <si>
    <t>Circlet of Blasting</t>
  </si>
  <si>
    <t>Robe of Eyes</t>
  </si>
  <si>
    <t>Deck of Illusions</t>
  </si>
  <si>
    <t>Robe of Rulership</t>
  </si>
  <si>
    <t>Helm of Brilliance</t>
  </si>
  <si>
    <t>Eversmoking Bottle</t>
  </si>
  <si>
    <t>Rod of the Pactkeeper +2</t>
  </si>
  <si>
    <t>Horn of Valhalla (Bronze)</t>
  </si>
  <si>
    <t>Eyes of Charming</t>
  </si>
  <si>
    <t>Rope of Entanglement</t>
  </si>
  <si>
    <t>Instrument of the Bards (Anstruth Harp)</t>
  </si>
  <si>
    <t>Eyes of the Eagle</t>
  </si>
  <si>
    <t>Ioun Stone (Absorption)</t>
  </si>
  <si>
    <t>Figurine of Wondrous Power (Silver Raven)</t>
  </si>
  <si>
    <t>Ioun Stone (Agility)</t>
  </si>
  <si>
    <t>Gem of Brightness</t>
  </si>
  <si>
    <t>Shield +2</t>
  </si>
  <si>
    <t>Ioun Stone (Fortitude)</t>
  </si>
  <si>
    <t>Gloves of Missile Snaring</t>
  </si>
  <si>
    <t>Shield of Missile Attraction</t>
  </si>
  <si>
    <t>Ioun Stone (Insight)</t>
  </si>
  <si>
    <t>Gloves of Swimming and Climbing</t>
  </si>
  <si>
    <t>Staff of Charming</t>
  </si>
  <si>
    <t>Ioun Stone (Intellect)</t>
  </si>
  <si>
    <t>Gloves of Thievery</t>
  </si>
  <si>
    <t>Staff of Healing</t>
  </si>
  <si>
    <t>Ioun Stone (Leadership)</t>
  </si>
  <si>
    <t>Headband of Intellect</t>
  </si>
  <si>
    <t>Staff of Swarming Insects</t>
  </si>
  <si>
    <t>Ioun Stone (Strength)</t>
  </si>
  <si>
    <t>Helm of Telepath</t>
  </si>
  <si>
    <t>Staff of the Woodlands</t>
  </si>
  <si>
    <t>Instrument of the Bards (Doss Lute)</t>
  </si>
  <si>
    <t>Staff of Withering</t>
  </si>
  <si>
    <t>Manual of Bodily Health</t>
  </si>
  <si>
    <t>Instrument of the Bards (Fochlucan Bandore)</t>
  </si>
  <si>
    <t>Stone of Controlling Earth Elementals</t>
  </si>
  <si>
    <t>Manual Of Gainful Exercise</t>
  </si>
  <si>
    <t>Instrument of the Bards (Mac-Fuimidh Cittern)</t>
  </si>
  <si>
    <t>Sun Blade</t>
  </si>
  <si>
    <t>Manual of Golems</t>
  </si>
  <si>
    <t>Medallion of Thoughts</t>
  </si>
  <si>
    <t>Manual of Quickness of Action</t>
  </si>
  <si>
    <t>Necklace of Adaptation</t>
  </si>
  <si>
    <t>Mirror of Life Trapping</t>
  </si>
  <si>
    <t>Periapt of Wound Closure</t>
  </si>
  <si>
    <t>Tentacle Rod</t>
  </si>
  <si>
    <t>Pipes of Haunting</t>
  </si>
  <si>
    <t>Pipes of the Sewers</t>
  </si>
  <si>
    <t>Wand of Binding</t>
  </si>
  <si>
    <t>Ring of Jumping</t>
  </si>
  <si>
    <t>Wand of Enemy Detection</t>
  </si>
  <si>
    <t>Ring of Mind Shielding</t>
  </si>
  <si>
    <t>Wand of Fear</t>
  </si>
  <si>
    <t>Ring of Warmth</t>
  </si>
  <si>
    <t>Wand of Fireballs</t>
  </si>
  <si>
    <t>Ring of Water Walking</t>
  </si>
  <si>
    <t>Wand of Lightning Bolts</t>
  </si>
  <si>
    <t>Quiver of Ehlonna</t>
  </si>
  <si>
    <t>Wand of Paralysis</t>
  </si>
  <si>
    <t>Stone of Good Luck</t>
  </si>
  <si>
    <t>Wand of the War Mage +2</t>
  </si>
  <si>
    <t>Tome of Clear Thought</t>
  </si>
  <si>
    <t>Wind Fan</t>
  </si>
  <si>
    <t>Wand of Wonder</t>
  </si>
  <si>
    <t>Tome of Leadership and Influence</t>
  </si>
  <si>
    <t>Winged Boots</t>
  </si>
  <si>
    <t>Wings of Flying</t>
  </si>
  <si>
    <t>Tome of Understanding</t>
  </si>
  <si>
    <t>Weapon +2 (Bonus Above)</t>
  </si>
  <si>
    <t>Weapon +3 (Bonus Above)</t>
  </si>
  <si>
    <t>Weapon +1 (Bonus Above)</t>
  </si>
  <si>
    <t>Shield +1 (Bonus Above)</t>
  </si>
  <si>
    <t>Armor +3 (Bonus Above)</t>
  </si>
  <si>
    <t>Armor +2 (Bonus Above)</t>
  </si>
  <si>
    <t>Magic Bonus</t>
  </si>
  <si>
    <t>a banana peel</t>
  </si>
  <si>
    <t>a broken piece of chain</t>
  </si>
  <si>
    <t>a piece of paper with a drawing of a cat done by a child</t>
  </si>
  <si>
    <t>Character 1</t>
  </si>
  <si>
    <t>Character 2</t>
  </si>
  <si>
    <t>Character 3</t>
  </si>
  <si>
    <t>Character 4</t>
  </si>
  <si>
    <t>Character 5</t>
  </si>
  <si>
    <t>Character 6</t>
  </si>
  <si>
    <t>Character 7</t>
  </si>
  <si>
    <t>Character 8</t>
  </si>
  <si>
    <t>Character 9</t>
  </si>
  <si>
    <t>Character 10</t>
  </si>
  <si>
    <t>dressed in</t>
  </si>
  <si>
    <t>pristine</t>
  </si>
  <si>
    <t>dirty</t>
  </si>
  <si>
    <t>worn</t>
  </si>
  <si>
    <t>ripped</t>
  </si>
  <si>
    <t>battered</t>
  </si>
  <si>
    <t>plain</t>
  </si>
  <si>
    <t>fancy</t>
  </si>
  <si>
    <t>gaudy</t>
  </si>
  <si>
    <t>brand new</t>
  </si>
  <si>
    <t>recently cleaned</t>
  </si>
  <si>
    <t>Clothing</t>
  </si>
  <si>
    <t>patched up</t>
  </si>
  <si>
    <t>scorched</t>
  </si>
  <si>
    <t>hastily adorned</t>
  </si>
  <si>
    <t>blood stained</t>
  </si>
  <si>
    <t>mud stained</t>
  </si>
  <si>
    <t>grass stained</t>
  </si>
  <si>
    <t>red</t>
  </si>
  <si>
    <t>Eye Color</t>
  </si>
  <si>
    <t>Hair Color</t>
  </si>
  <si>
    <t>blonde</t>
  </si>
  <si>
    <t>light brown</t>
  </si>
  <si>
    <t>dark brown</t>
  </si>
  <si>
    <t>raven black</t>
  </si>
  <si>
    <t>white</t>
  </si>
  <si>
    <t>grey</t>
  </si>
  <si>
    <t>strawberry blonde</t>
  </si>
  <si>
    <t>deep red</t>
  </si>
  <si>
    <t>bluish white</t>
  </si>
  <si>
    <t>hazel</t>
  </si>
  <si>
    <t>light blue</t>
  </si>
  <si>
    <t>dark blue</t>
  </si>
  <si>
    <t>light green</t>
  </si>
  <si>
    <t>dark green</t>
  </si>
  <si>
    <t>emerald green</t>
  </si>
  <si>
    <t>amber</t>
  </si>
  <si>
    <t>copper</t>
  </si>
  <si>
    <t>gold</t>
  </si>
  <si>
    <t>silver</t>
  </si>
  <si>
    <t>hair pulled into a pony tail,</t>
  </si>
  <si>
    <t>hair that seems abruptly cut,</t>
  </si>
  <si>
    <t>hair that is unwashed and matted,</t>
  </si>
  <si>
    <t>hair done up in an bun,</t>
  </si>
  <si>
    <t>hair with clots of dirt and blood,</t>
  </si>
  <si>
    <t xml:space="preserve">unkempt hair, </t>
  </si>
  <si>
    <t xml:space="preserve"> hair carefully entwined with branches and leaves,</t>
  </si>
  <si>
    <t>hair cut into a mohawk,</t>
  </si>
  <si>
    <t>hair that is burned and missing in areas,</t>
  </si>
  <si>
    <t>platinum blonde</t>
  </si>
  <si>
    <t>dirty blonde</t>
  </si>
  <si>
    <t>eyes that blaze with intensity,</t>
  </si>
  <si>
    <t>red-rimmed eyes that look sleepless and weary,</t>
  </si>
  <si>
    <t>eyes that you find yourself getting lost in,</t>
  </si>
  <si>
    <t>eyes that seem to look everywhere at once,</t>
  </si>
  <si>
    <t>glazed-over eyes that seem dull and lacking,</t>
  </si>
  <si>
    <t>eyes that seem to betray a deep-seated intelligence,</t>
  </si>
  <si>
    <t>eyes that scrutinize every detail they take in,</t>
  </si>
  <si>
    <t>savage eyes that jump from person to person,</t>
  </si>
  <si>
    <t>eyes that seem ageless,</t>
  </si>
  <si>
    <t>eyes that gleam with ancient knowledge,</t>
  </si>
  <si>
    <t>eyes that seem to continuously know what will happen next,</t>
  </si>
  <si>
    <t>hair cut short with straight bangs,</t>
  </si>
  <si>
    <t>eyes whose sharpness don't miss anything,</t>
  </si>
  <si>
    <t>eyes that seem to avoid all others,</t>
  </si>
  <si>
    <t>eyes that lock with yours for just a beat before looking away,</t>
  </si>
  <si>
    <t>eyes with a far away look, not seeing anything in front of them,</t>
  </si>
  <si>
    <t xml:space="preserve">eyes seeped in guilt, </t>
  </si>
  <si>
    <t>eyes that betray a faked innocence,</t>
  </si>
  <si>
    <t xml:space="preserve">eyes that brim with innocent naitivity, </t>
  </si>
  <si>
    <t xml:space="preserve">Eyes </t>
  </si>
  <si>
    <t>eyes that bear the weight of many horrible acts,</t>
  </si>
  <si>
    <t xml:space="preserve">eyes that seem on the verge of tears, </t>
  </si>
  <si>
    <t xml:space="preserve">and is covered from head to toe in tattoos. </t>
  </si>
  <si>
    <t xml:space="preserve">and is bedecked in jewelry. </t>
  </si>
  <si>
    <t xml:space="preserve">and is covered in loose animal fur. </t>
  </si>
  <si>
    <t>and is sweating profusely.</t>
  </si>
  <si>
    <t xml:space="preserve">and is covered in religious imagery. </t>
  </si>
  <si>
    <t>and has something about them that draws your eye.</t>
  </si>
  <si>
    <t xml:space="preserve">and is bandaged in several places. </t>
  </si>
  <si>
    <t xml:space="preserve">and is having trouble keeping one eye open. </t>
  </si>
  <si>
    <t xml:space="preserve">dancing for </t>
  </si>
  <si>
    <t>telling jokes to</t>
  </si>
  <si>
    <t xml:space="preserve">giving a speech to </t>
  </si>
  <si>
    <t>screaming at</t>
  </si>
  <si>
    <t>begging</t>
  </si>
  <si>
    <t>talking calmly to</t>
  </si>
  <si>
    <t>miming some action to</t>
  </si>
  <si>
    <t>Solo Actions</t>
  </si>
  <si>
    <t>Primary Group Actions</t>
  </si>
  <si>
    <t>laughing at</t>
  </si>
  <si>
    <t>pointing at</t>
  </si>
  <si>
    <t>playing cards with</t>
  </si>
  <si>
    <t>playing dice with</t>
  </si>
  <si>
    <t>examining a map with</t>
  </si>
  <si>
    <t>reading a book to</t>
  </si>
  <si>
    <t xml:space="preserve">staring at </t>
  </si>
  <si>
    <t>glaring at</t>
  </si>
  <si>
    <t>snarling at</t>
  </si>
  <si>
    <t xml:space="preserve">the bottom of their empty mug. </t>
  </si>
  <si>
    <t xml:space="preserve">a book open before them. </t>
  </si>
  <si>
    <t xml:space="preserve">a letter written in red ink. </t>
  </si>
  <si>
    <t>smiling at</t>
  </si>
  <si>
    <t>confused by</t>
  </si>
  <si>
    <t>shaking their head at</t>
  </si>
  <si>
    <t>playing music for</t>
  </si>
  <si>
    <t>singing to</t>
  </si>
  <si>
    <t>gesturing at</t>
  </si>
  <si>
    <t>reciting a poem to</t>
  </si>
  <si>
    <t>Objects</t>
  </si>
  <si>
    <t xml:space="preserve">the firepit. </t>
  </si>
  <si>
    <t xml:space="preserve">an empty chair. </t>
  </si>
  <si>
    <t xml:space="preserve">the ceiling. </t>
  </si>
  <si>
    <t xml:space="preserve">the floor. </t>
  </si>
  <si>
    <t>their dinner knife.</t>
  </si>
  <si>
    <t>throwing ripped paper at</t>
  </si>
  <si>
    <t>speaking low to</t>
  </si>
  <si>
    <t>trying to sell something to</t>
  </si>
  <si>
    <t>counting coins with</t>
  </si>
  <si>
    <t>the server.</t>
  </si>
  <si>
    <t>the bartender.</t>
  </si>
  <si>
    <t>frowning at</t>
  </si>
  <si>
    <t>closely watching</t>
  </si>
  <si>
    <t xml:space="preserve"> hair cut into a short bob,</t>
  </si>
  <si>
    <t>hair cut into a crude mullet,</t>
  </si>
  <si>
    <t>hair cut long with straight bangs,</t>
  </si>
  <si>
    <t>long curly hair,</t>
  </si>
  <si>
    <t>short curly hair,</t>
  </si>
  <si>
    <t>braided hair,</t>
  </si>
  <si>
    <t>closely cropped hair,</t>
  </si>
  <si>
    <t>looking blankly at</t>
  </si>
  <si>
    <t>a</t>
  </si>
  <si>
    <t>an empty plate.</t>
  </si>
  <si>
    <t>shrinking away from</t>
  </si>
  <si>
    <t>giving the side-eye to</t>
  </si>
  <si>
    <t>making rude gestures at</t>
  </si>
  <si>
    <t>looking longingly at</t>
  </si>
  <si>
    <t xml:space="preserve">a map on the table. </t>
  </si>
  <si>
    <t>a pouch on the table.</t>
  </si>
  <si>
    <t xml:space="preserve">a small pile of coins on the table. </t>
  </si>
  <si>
    <t>looking excitedly at</t>
  </si>
  <si>
    <t>nodding their head at</t>
  </si>
  <si>
    <t>a finger in a box.</t>
  </si>
  <si>
    <t>surprised by</t>
  </si>
  <si>
    <t>curling their upper lip at</t>
  </si>
  <si>
    <t>looking uncomfortably at</t>
  </si>
  <si>
    <t>poking</t>
  </si>
  <si>
    <t>an empty mug.</t>
  </si>
  <si>
    <t>a full mug of mead.</t>
  </si>
  <si>
    <t>a shot glass of steaming liquid.</t>
  </si>
  <si>
    <t xml:space="preserve">a bloody sword on the floor. </t>
  </si>
  <si>
    <t xml:space="preserve">a rat under the table. </t>
  </si>
  <si>
    <t xml:space="preserve">a bat hanging in the rafters. </t>
  </si>
  <si>
    <t xml:space="preserve">a plant in the corner. </t>
  </si>
  <si>
    <t xml:space="preserve">a component pouch on the table. </t>
  </si>
  <si>
    <t xml:space="preserve">a meat pie. </t>
  </si>
  <si>
    <t xml:space="preserve">a bloody rag on the table. </t>
  </si>
  <si>
    <t xml:space="preserve">a pile of liquid on the floor. </t>
  </si>
  <si>
    <t xml:space="preserve">a scroll written in odd runes. </t>
  </si>
  <si>
    <t xml:space="preserve">a stain on their shirt. </t>
  </si>
  <si>
    <t xml:space="preserve">a stain on their pants. </t>
  </si>
  <si>
    <t xml:space="preserve">a rip in their shirt. </t>
  </si>
  <si>
    <t xml:space="preserve">a torn up piece of paper. </t>
  </si>
  <si>
    <t xml:space="preserve">the bottom of their shoe. </t>
  </si>
  <si>
    <t xml:space="preserve">a pouch of tobacoo. </t>
  </si>
  <si>
    <t xml:space="preserve">a holy symbol. </t>
  </si>
  <si>
    <t xml:space="preserve">a broken plate. </t>
  </si>
  <si>
    <t xml:space="preserve">a creepy doll. </t>
  </si>
  <si>
    <t xml:space="preserve">a half-empty potion bottle. </t>
  </si>
  <si>
    <t xml:space="preserve">a large red gem. </t>
  </si>
  <si>
    <t xml:space="preserve">a small pile of dust on the table. </t>
  </si>
  <si>
    <t xml:space="preserve">their meal. </t>
  </si>
  <si>
    <t>They are</t>
  </si>
  <si>
    <t>Group 1</t>
  </si>
  <si>
    <t>Group 2</t>
  </si>
  <si>
    <t>Group 3</t>
  </si>
  <si>
    <t>p</t>
  </si>
  <si>
    <t>s</t>
  </si>
  <si>
    <t xml:space="preserve">Alone </t>
  </si>
  <si>
    <t>Group4</t>
  </si>
  <si>
    <t>Group 4</t>
  </si>
  <si>
    <t>Group 5</t>
  </si>
  <si>
    <t>hair in an afro,</t>
  </si>
  <si>
    <t>hair cut asymmetrically,</t>
  </si>
  <si>
    <t xml:space="preserve">hair in a bowl cut, </t>
  </si>
  <si>
    <t>straight hair that hangs down to the waist,</t>
  </si>
  <si>
    <t>straight hair that hangs down to the shoulders,</t>
  </si>
  <si>
    <t>straight hair that is clean and neatly combed,</t>
  </si>
  <si>
    <t>Hair</t>
  </si>
  <si>
    <t>hair in a single braid,</t>
  </si>
  <si>
    <t>hair in multiple braids,</t>
  </si>
  <si>
    <t>hair cut into wings,</t>
  </si>
  <si>
    <t>hair cut into an undercut,</t>
  </si>
  <si>
    <t>hair in an updo,</t>
  </si>
  <si>
    <t>hair cut into a tonsure,</t>
  </si>
  <si>
    <t>slicked back hair,</t>
  </si>
  <si>
    <t>hair in a rat-tail,</t>
  </si>
  <si>
    <t>hair in a pixie cut,</t>
  </si>
  <si>
    <t>hair in a pageboy cut,</t>
  </si>
  <si>
    <t>hair in a moptop,</t>
  </si>
  <si>
    <t>hair in a mod cut,</t>
  </si>
  <si>
    <t>hair in liberty spikes,</t>
  </si>
  <si>
    <t>hair cut into a high and tight,</t>
  </si>
  <si>
    <t>hair cut into a fauxhawk,</t>
  </si>
  <si>
    <t>hair in dreadlocks,</t>
  </si>
  <si>
    <t>hair in doublebuns,</t>
  </si>
  <si>
    <t>hair in a devilock,</t>
  </si>
  <si>
    <t>curtained hair,</t>
  </si>
  <si>
    <t>hair in cornrows,</t>
  </si>
  <si>
    <t>hair almost completely buzzed off,</t>
  </si>
  <si>
    <t>hair in a crew cut,</t>
  </si>
  <si>
    <t>hair fashioned into a feathercut,</t>
  </si>
  <si>
    <t>hair in a mullet,</t>
  </si>
  <si>
    <t>hair fashioned into a pompadour,</t>
  </si>
  <si>
    <t>and is covered in some sort of green goo.</t>
  </si>
  <si>
    <t xml:space="preserve">and is covered in splotches of fresh blood. </t>
  </si>
  <si>
    <t>and looks completely normal…almost too normal.</t>
  </si>
  <si>
    <t xml:space="preserve">and no other distinguishing features.  </t>
  </si>
  <si>
    <t xml:space="preserve">and is slowly dripping blood to the floor. </t>
  </si>
  <si>
    <t xml:space="preserve">and wears a crown made of gold. </t>
  </si>
  <si>
    <t xml:space="preserve">and a skull tattooed over their face. </t>
  </si>
  <si>
    <t>Other Items</t>
  </si>
  <si>
    <t>Proficiencies</t>
  </si>
  <si>
    <t>and a face covered in small scars.</t>
  </si>
  <si>
    <t>and a large scar running from temple to jaw.</t>
  </si>
  <si>
    <t>and a split lip in the process of healing.</t>
  </si>
  <si>
    <t>and a nose piercing made of jade.</t>
  </si>
  <si>
    <t>and earrings running the length of both ears.</t>
  </si>
  <si>
    <t xml:space="preserve"> and a full sleeve of runic tattoos. </t>
  </si>
  <si>
    <t>and earrings in one ear.</t>
  </si>
  <si>
    <t>and a trail of muddy footprints leading to their seat.</t>
  </si>
  <si>
    <t xml:space="preserve">and a red scarf tied around the neck. </t>
  </si>
  <si>
    <t>and something crawling about under their clothes.</t>
  </si>
  <si>
    <t>and naught but a bandage where their arm should be.</t>
  </si>
  <si>
    <t>and naught but a bandage where their leg should be.</t>
  </si>
  <si>
    <t xml:space="preserve">and an intricately carved peg leg. </t>
  </si>
  <si>
    <t xml:space="preserve">and a hook for a hand. </t>
  </si>
  <si>
    <t xml:space="preserve">and a lucky rabbit's foot hanging from their belt. </t>
  </si>
  <si>
    <t xml:space="preserve">and a cloak made from an owlbear. </t>
  </si>
  <si>
    <t>and a rat running around on the table in front of them.</t>
  </si>
  <si>
    <t xml:space="preserve">and a raven perched on their shoulder. </t>
  </si>
  <si>
    <t>and a snake slithering around the foot of their chair.</t>
  </si>
  <si>
    <t>and a dog sitting obediently next to them.</t>
  </si>
  <si>
    <t xml:space="preserve">and a weapon made of pure silver on their belt. </t>
  </si>
  <si>
    <t xml:space="preserve">and a glowing locket hanging from their neck. </t>
  </si>
  <si>
    <t>and a severly burned and unbandaged hand.</t>
  </si>
  <si>
    <t xml:space="preserve">and a bracelt that glows ominously. </t>
  </si>
  <si>
    <t>and is missing the majority of one ear.</t>
  </si>
  <si>
    <t>Padded Armor</t>
  </si>
  <si>
    <t>Leather Armor</t>
  </si>
  <si>
    <t>Studded Leather Armor</t>
  </si>
  <si>
    <t>Hide Armor</t>
  </si>
  <si>
    <t>Half Plate Armor</t>
  </si>
  <si>
    <t>Splint Mail</t>
  </si>
  <si>
    <t>Plate Mail</t>
  </si>
  <si>
    <t>and several fingers missing from one hand.</t>
  </si>
  <si>
    <t>str</t>
  </si>
  <si>
    <t>dex</t>
  </si>
  <si>
    <t>fin</t>
  </si>
  <si>
    <t>Archery Style Bonus</t>
  </si>
  <si>
    <t>1d10b</t>
  </si>
  <si>
    <t>Back to Overview</t>
  </si>
  <si>
    <t>Click on name to jump to sheet</t>
  </si>
  <si>
    <t>None</t>
  </si>
  <si>
    <t>High Ability</t>
  </si>
  <si>
    <t>Positive Attribute</t>
  </si>
  <si>
    <t>Low Ability</t>
  </si>
  <si>
    <t>Negetive Atribute</t>
  </si>
  <si>
    <t>Talents</t>
  </si>
  <si>
    <t>Mannerism</t>
  </si>
  <si>
    <t>Ideals</t>
  </si>
  <si>
    <t>Interaction Traits</t>
  </si>
  <si>
    <t>Bonds</t>
  </si>
  <si>
    <t>Weaknesses</t>
  </si>
  <si>
    <t>Secrets</t>
  </si>
  <si>
    <t>Employment</t>
  </si>
  <si>
    <t>Employment Weight</t>
  </si>
  <si>
    <t>Employment %</t>
  </si>
  <si>
    <t>Physically Powerful</t>
  </si>
  <si>
    <t>feeble</t>
  </si>
  <si>
    <t>Plays the Guitar</t>
  </si>
  <si>
    <t>Prone to singing, whistling, or humming quietly</t>
  </si>
  <si>
    <t>Beauty</t>
  </si>
  <si>
    <t>Argumentative</t>
  </si>
  <si>
    <t>Dedicated to fulfilling a personal life goal</t>
  </si>
  <si>
    <t>Enjoys Decadent Pleasures</t>
  </si>
  <si>
    <t>Has a forbidden romance</t>
  </si>
  <si>
    <t>Actor/Actress</t>
  </si>
  <si>
    <t>Brawny</t>
  </si>
  <si>
    <t>weak</t>
  </si>
  <si>
    <t>Plays the Ukulele</t>
  </si>
  <si>
    <t>Speaks in rhyme or some other peculiar way</t>
  </si>
  <si>
    <t>Charity</t>
  </si>
  <si>
    <t>Arrogant</t>
  </si>
  <si>
    <t>Protective of close family members</t>
  </si>
  <si>
    <t>Is Arrogant</t>
  </si>
  <si>
    <t>Has a powerful enemy</t>
  </si>
  <si>
    <t>Adventurer</t>
  </si>
  <si>
    <t>As strong as an ox</t>
  </si>
  <si>
    <t>clumsy</t>
  </si>
  <si>
    <t>Plays the lute</t>
  </si>
  <si>
    <t>has a particularly low or high voice</t>
  </si>
  <si>
    <t>Greater Good</t>
  </si>
  <si>
    <t>Blustering</t>
  </si>
  <si>
    <t>Protective of colleagues or compatriots</t>
  </si>
  <si>
    <t>envies another creature's possession</t>
  </si>
  <si>
    <t>has a shameful history</t>
  </si>
  <si>
    <t>Alchemist (potion seller)</t>
  </si>
  <si>
    <t>quick</t>
  </si>
  <si>
    <t>fumbling</t>
  </si>
  <si>
    <t>Plays the piano</t>
  </si>
  <si>
    <t>Slurs their words</t>
  </si>
  <si>
    <t>Rude</t>
  </si>
  <si>
    <t>Loyal to a benefactor, patron, or employer</t>
  </si>
  <si>
    <t>envies another creature's station</t>
  </si>
  <si>
    <t>has a scandalous history</t>
  </si>
  <si>
    <t>Almoner</t>
  </si>
  <si>
    <t>agile</t>
  </si>
  <si>
    <t>sickly</t>
  </si>
  <si>
    <t>Plays the bongos</t>
  </si>
  <si>
    <t>Enunciates overly clearly</t>
  </si>
  <si>
    <t>Respect</t>
  </si>
  <si>
    <t>Curious</t>
  </si>
  <si>
    <t>Captivated by a romantic interest</t>
  </si>
  <si>
    <t>is prone to overpowering greed</t>
  </si>
  <si>
    <t>Apothecary</t>
  </si>
  <si>
    <t>graceful</t>
  </si>
  <si>
    <t>frail</t>
  </si>
  <si>
    <t>Plays the drums</t>
  </si>
  <si>
    <t>Speaks loudly</t>
  </si>
  <si>
    <t>Self-Sacrifice</t>
  </si>
  <si>
    <t>Friendly</t>
  </si>
  <si>
    <t>Drawn to a special place</t>
  </si>
  <si>
    <t>is prone to rage</t>
  </si>
  <si>
    <t>hardy</t>
  </si>
  <si>
    <t>dim-witted</t>
  </si>
  <si>
    <t>speaks several languages fluently</t>
  </si>
  <si>
    <t>Whispers</t>
  </si>
  <si>
    <t>Domination</t>
  </si>
  <si>
    <t>Honest</t>
  </si>
  <si>
    <t>Protective of a sentimental keepsake</t>
  </si>
  <si>
    <t>has arachnophobia</t>
  </si>
  <si>
    <t>hale</t>
  </si>
  <si>
    <t>slow</t>
  </si>
  <si>
    <t>Has a perfect memory</t>
  </si>
  <si>
    <t>Uses flowery speech or long words</t>
  </si>
  <si>
    <t>Greed</t>
  </si>
  <si>
    <t>Hot tempered</t>
  </si>
  <si>
    <t>Protective of a valuable possession</t>
  </si>
  <si>
    <t>has clastrophobia</t>
  </si>
  <si>
    <t>healthy</t>
  </si>
  <si>
    <t>oblivious</t>
  </si>
  <si>
    <t>is great with animals</t>
  </si>
  <si>
    <t>Frequently uses the wrong word</t>
  </si>
  <si>
    <t>Might</t>
  </si>
  <si>
    <t>irritable</t>
  </si>
  <si>
    <t>Out for revenge</t>
  </si>
  <si>
    <t>is prone to foolhardy bravery</t>
  </si>
  <si>
    <t>Barker</t>
  </si>
  <si>
    <t>studious</t>
  </si>
  <si>
    <t>absentminded</t>
  </si>
  <si>
    <t>is great with children</t>
  </si>
  <si>
    <t>Uses colorful oaths and exclamations</t>
  </si>
  <si>
    <t>Pain</t>
  </si>
  <si>
    <t>ponderous</t>
  </si>
  <si>
    <t>is susceptible to romance</t>
  </si>
  <si>
    <t>Bartender</t>
  </si>
  <si>
    <t>learned</t>
  </si>
  <si>
    <t>dull</t>
  </si>
  <si>
    <t>is great at solving puzzles</t>
  </si>
  <si>
    <t>Makes constant jokes or puns</t>
  </si>
  <si>
    <t>Retribution</t>
  </si>
  <si>
    <t>quiet</t>
  </si>
  <si>
    <t>is prone to cowardice</t>
  </si>
  <si>
    <t>Bear-ward</t>
  </si>
  <si>
    <t>inquisitive</t>
  </si>
  <si>
    <t>boring</t>
  </si>
  <si>
    <t>is great at chess</t>
  </si>
  <si>
    <t>is prone to predictions of doom</t>
  </si>
  <si>
    <t>Slaughter</t>
  </si>
  <si>
    <t>suspicious of others</t>
  </si>
  <si>
    <t>perceptive</t>
  </si>
  <si>
    <t>is great at dice</t>
  </si>
  <si>
    <t>Fidgets</t>
  </si>
  <si>
    <t>Community</t>
  </si>
  <si>
    <t>spiritual</t>
  </si>
  <si>
    <t>is great at cards</t>
  </si>
  <si>
    <t>Squints</t>
  </si>
  <si>
    <t>Fairness</t>
  </si>
  <si>
    <t>Bowyer</t>
  </si>
  <si>
    <t>insightful</t>
  </si>
  <si>
    <t>is great at impersonations</t>
  </si>
  <si>
    <t>Stares into the distance</t>
  </si>
  <si>
    <t>Honor</t>
  </si>
  <si>
    <t>persuasive</t>
  </si>
  <si>
    <t>draws beautifully</t>
  </si>
  <si>
    <t>Chews something</t>
  </si>
  <si>
    <t>Logic</t>
  </si>
  <si>
    <t>forceful</t>
  </si>
  <si>
    <t>paints beautifully</t>
  </si>
  <si>
    <t>Paces</t>
  </si>
  <si>
    <t>Responsibility</t>
  </si>
  <si>
    <t>a born leader</t>
  </si>
  <si>
    <t>sings beautifully</t>
  </si>
  <si>
    <t>Taps their fingers</t>
  </si>
  <si>
    <t>Tradition</t>
  </si>
  <si>
    <t>can drink anybody under the table</t>
  </si>
  <si>
    <t>Bites their fingernails</t>
  </si>
  <si>
    <t>Change</t>
  </si>
  <si>
    <t>Catchpole</t>
  </si>
  <si>
    <t>is an expert carpenter</t>
  </si>
  <si>
    <t>Darts their eyes</t>
  </si>
  <si>
    <t>Creativity</t>
  </si>
  <si>
    <t>Chantry Priest</t>
  </si>
  <si>
    <t>is an expert cook</t>
  </si>
  <si>
    <t>has a lisp</t>
  </si>
  <si>
    <t>Freedom</t>
  </si>
  <si>
    <t>Compassmith</t>
  </si>
  <si>
    <t>is an expert dart thrower</t>
  </si>
  <si>
    <t>stutters</t>
  </si>
  <si>
    <t>Independence</t>
  </si>
  <si>
    <t>Constable</t>
  </si>
  <si>
    <t>is an expert rock skipper</t>
  </si>
  <si>
    <t>No Limits</t>
  </si>
  <si>
    <t>Currier</t>
  </si>
  <si>
    <t>is an excellent juggler</t>
  </si>
  <si>
    <t>Whimsy</t>
  </si>
  <si>
    <t>Falconer</t>
  </si>
  <si>
    <t>is a skilled actor</t>
  </si>
  <si>
    <t>Balance</t>
  </si>
  <si>
    <t>Farm Worker</t>
  </si>
  <si>
    <t>is a master of disguise</t>
  </si>
  <si>
    <t>Farmer</t>
  </si>
  <si>
    <t>is a skilled dancer</t>
  </si>
  <si>
    <t>Living and let live</t>
  </si>
  <si>
    <t>Knows theives' cant</t>
  </si>
  <si>
    <t>Moderation</t>
  </si>
  <si>
    <t>Neutrality</t>
  </si>
  <si>
    <t>Friar</t>
  </si>
  <si>
    <t>People</t>
  </si>
  <si>
    <t>Aspiration</t>
  </si>
  <si>
    <t>Gardner</t>
  </si>
  <si>
    <t>Discovery</t>
  </si>
  <si>
    <t>Gravedigger</t>
  </si>
  <si>
    <t>Nation</t>
  </si>
  <si>
    <t>Redemption</t>
  </si>
  <si>
    <t>Horse Trainer</t>
  </si>
  <si>
    <t>Self-knowledge</t>
  </si>
  <si>
    <t>Innkeeper</t>
  </si>
  <si>
    <t>Jailer</t>
  </si>
  <si>
    <t>Landlord</t>
  </si>
  <si>
    <t>Liner</t>
  </si>
  <si>
    <t>Lumberjack</t>
  </si>
  <si>
    <t>Master of hounds</t>
  </si>
  <si>
    <t>Milkman/Milkmaid</t>
  </si>
  <si>
    <t>Miner</t>
  </si>
  <si>
    <t>Musician</t>
  </si>
  <si>
    <t>Philosopher</t>
  </si>
  <si>
    <t>Prisoner</t>
  </si>
  <si>
    <t>Saddler</t>
  </si>
  <si>
    <t>Sherif</t>
  </si>
  <si>
    <t>Tavern Keep</t>
  </si>
  <si>
    <t>Theologian</t>
  </si>
  <si>
    <t>Thimblerigger</t>
  </si>
  <si>
    <t>Travelling Mage</t>
  </si>
  <si>
    <t>Travelling Merchant</t>
  </si>
  <si>
    <t>Unemployed</t>
  </si>
  <si>
    <t>Waiter/Waitress</t>
  </si>
  <si>
    <t>Watchman</t>
  </si>
  <si>
    <t>Sighting Phrase</t>
  </si>
  <si>
    <t>Warforged Sighting Phrase</t>
  </si>
  <si>
    <t>Warforged Eye Brightness</t>
  </si>
  <si>
    <t>Accessory phrases</t>
  </si>
  <si>
    <t>Scale Descriptors</t>
  </si>
  <si>
    <t>Tiefling Eye Similes</t>
  </si>
  <si>
    <t>Opening Neg First</t>
  </si>
  <si>
    <t>Opening pt. 2</t>
  </si>
  <si>
    <t>Opening pt. 3</t>
  </si>
  <si>
    <t>Value</t>
  </si>
  <si>
    <t>Interaction</t>
  </si>
  <si>
    <t>Before you stands</t>
  </si>
  <si>
    <t>The metallic figure ahead of you creaks as it approaches</t>
  </si>
  <si>
    <t>dim</t>
  </si>
  <si>
    <t>Upon a closer look you notice that</t>
  </si>
  <si>
    <t>Shimmer in the light</t>
  </si>
  <si>
    <t>*Jaws Reference*</t>
  </si>
  <si>
    <t>In spite of being exceptionally</t>
  </si>
  <si>
    <t>very</t>
  </si>
  <si>
    <t>but is equally</t>
  </si>
  <si>
    <t>During conversation</t>
  </si>
  <si>
    <t>Above all</t>
  </si>
  <si>
    <t>Can be quite BLANK from time to time</t>
  </si>
  <si>
    <t>Up ahead you see</t>
  </si>
  <si>
    <t>As you approach the metallic figure it creaks as it turns to face you</t>
  </si>
  <si>
    <t>low</t>
  </si>
  <si>
    <t>On a second look you notice that</t>
  </si>
  <si>
    <t>are dull, nearly matte in fact</t>
  </si>
  <si>
    <t>featureless orbs in their skull</t>
  </si>
  <si>
    <t>While somewhat</t>
  </si>
  <si>
    <t>quite</t>
  </si>
  <si>
    <t>although also fairly</t>
  </si>
  <si>
    <t>When speaking</t>
  </si>
  <si>
    <t>Paramount to all else</t>
  </si>
  <si>
    <t>Is often BLANK</t>
  </si>
  <si>
    <t>Across the way you see</t>
  </si>
  <si>
    <t>bright</t>
  </si>
  <si>
    <t>Additionally</t>
  </si>
  <si>
    <t>are lustrous and reflective</t>
  </si>
  <si>
    <t>cool marbles</t>
  </si>
  <si>
    <t>Although quite</t>
  </si>
  <si>
    <t>somewhat</t>
  </si>
  <si>
    <t>however this is undercut by also being exceptionally</t>
  </si>
  <si>
    <t>Distractingly, during conversation</t>
  </si>
  <si>
    <t>Is very BLANK</t>
  </si>
  <si>
    <t>You come upon</t>
  </si>
  <si>
    <t>intense</t>
  </si>
  <si>
    <t>On closer inspection you see that</t>
  </si>
  <si>
    <t>are chipped and battered</t>
  </si>
  <si>
    <t>perfectly smooth gemstones in their skull</t>
  </si>
  <si>
    <t>profoundly</t>
  </si>
  <si>
    <t>but is also kinda</t>
  </si>
  <si>
    <t>Can be BLANK</t>
  </si>
  <si>
    <t>blinding</t>
  </si>
  <si>
    <t>appear to be well cared after</t>
  </si>
  <si>
    <t>cloudy crystal balls</t>
  </si>
  <si>
    <t>soft</t>
  </si>
  <si>
    <t>are missing in places, battered in others</t>
  </si>
  <si>
    <t>soulless opaque orbs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</si>
</sst>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3" x14ac:knownFonts="1">
    <font>
      <sz val="11"/>
      <color theme="1"/>
      <name val="Calibri"/>
      <family val="2"/>
      <scheme val="minor"/>
    </font>
    <font>
      <sz val="11"/>
      <color rgb="FFFF0000"/>
      <name val="Calibri"/>
      <family val="2"/>
      <scheme val="minor"/>
    </font>
    <font>
      <sz val="11"/>
      <color rgb="FF000000"/>
      <name val="Calibri"/>
      <family val="2"/>
      <scheme val="minor"/>
    </font>
    <font>
      <sz val="11"/>
      <name val="Calibri"/>
      <family val="2"/>
      <scheme val="minor"/>
    </font>
    <font>
      <sz val="8"/>
      <name val="Calibri"/>
      <family val="2"/>
      <scheme val="minor"/>
    </font>
    <font>
      <b/>
      <sz val="20"/>
      <color rgb="FFFF0000"/>
      <name val="Times New Roman"/>
      <family val="1"/>
    </font>
    <font>
      <sz val="14"/>
      <color theme="1"/>
      <name val="Times New Roman"/>
      <family val="1"/>
    </font>
    <font>
      <b/>
      <sz val="14"/>
      <color rgb="FFFF0000"/>
      <name val="Times New Roman"/>
      <family val="1"/>
    </font>
    <font>
      <sz val="14"/>
      <color rgb="FFFF0000"/>
      <name val="Times New Roman"/>
      <family val="1"/>
    </font>
    <font>
      <b/>
      <sz val="14"/>
      <color theme="1"/>
      <name val="Times New Roman"/>
      <family val="1"/>
    </font>
    <font>
      <sz val="14"/>
      <color rgb="FF000000"/>
      <name val="Times New Roman"/>
      <family val="1"/>
    </font>
    <font>
      <u/>
      <sz val="14"/>
      <color rgb="FFFF0000"/>
      <name val="Times New Roman"/>
      <family val="1"/>
    </font>
    <font>
      <sz val="14"/>
      <name val="Times New Roman"/>
      <family val="1"/>
    </font>
    <font>
      <b/>
      <sz val="24"/>
      <color rgb="FFFF0000"/>
      <name val="Times New Roman"/>
      <family val="1"/>
    </font>
    <font>
      <sz val="14"/>
      <color theme="1"/>
      <name val="Calibri"/>
      <family val="2"/>
      <scheme val="minor"/>
    </font>
    <font>
      <b/>
      <sz val="12"/>
      <color theme="1"/>
      <name val="Times New Roman"/>
      <family val="1"/>
    </font>
    <font>
      <b/>
      <sz val="12"/>
      <color theme="4"/>
      <name val="Times New Roman"/>
      <family val="1"/>
    </font>
    <font>
      <sz val="12"/>
      <color theme="1"/>
      <name val="Times New Roman"/>
      <family val="1"/>
    </font>
    <font>
      <sz val="12"/>
      <color theme="4"/>
      <name val="Times New Roman"/>
      <family val="1"/>
    </font>
    <font>
      <sz val="11"/>
      <color theme="1"/>
      <name val="Times New Roman"/>
      <family val="1"/>
    </font>
    <font>
      <sz val="11"/>
      <color theme="1"/>
      <name val="Calibri"/>
      <family val="2"/>
      <scheme val="minor"/>
    </font>
    <font>
      <sz val="11"/>
      <color rgb="FF5A362F"/>
      <name val="Calibri"/>
      <family val="2"/>
      <scheme val="minor"/>
    </font>
    <font>
      <sz val="9"/>
      <color indexed="81"/>
      <name val="Calibri"/>
      <family val="2"/>
      <scheme val="minor"/>
    </font>
  </fonts>
  <fills count="9">
    <fill>
      <patternFill patternType="none"/>
    </fill>
    <fill>
      <patternFill patternType="gray125"/>
    </fill>
    <fill>
      <patternFill patternType="solid">
        <fgColor theme="4" tint="0.79998168889431442"/>
        <bgColor theme="4" tint="0.79998168889431442"/>
      </patternFill>
    </fill>
    <fill>
      <patternFill patternType="solid">
        <fgColor theme="0"/>
        <bgColor indexed="64"/>
      </patternFill>
    </fill>
    <fill>
      <patternFill patternType="solid">
        <fgColor theme="0"/>
        <bgColor theme="4" tint="0.79998168889431442"/>
      </patternFill>
    </fill>
    <fill>
      <patternFill patternType="solid">
        <fgColor theme="4" tint="0.79998168889431442"/>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6" tint="0.39997558519241921"/>
        <bgColor indexed="64"/>
      </patternFill>
    </fill>
  </fills>
  <borders count="46">
    <border>
      <left/>
      <right/>
      <top/>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top/>
      <bottom style="medium">
        <color rgb="FFCCCCCC"/>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right/>
      <top style="medium">
        <color auto="1"/>
      </top>
      <bottom/>
      <diagonal/>
    </border>
    <border>
      <left/>
      <right style="medium">
        <color auto="1"/>
      </right>
      <top style="medium">
        <color auto="1"/>
      </top>
      <bottom/>
      <diagonal/>
    </border>
    <border>
      <left style="medium">
        <color auto="1"/>
      </left>
      <right/>
      <top style="thin">
        <color theme="4" tint="0.39997558519241921"/>
      </top>
      <bottom style="thin">
        <color theme="4" tint="0.39997558519241921"/>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style="medium">
        <color auto="1"/>
      </left>
      <right style="medium">
        <color auto="1"/>
      </right>
      <top style="medium">
        <color auto="1"/>
      </top>
      <bottom/>
      <diagonal/>
    </border>
    <border>
      <left style="medium">
        <color auto="1"/>
      </left>
      <right/>
      <top style="medium">
        <color auto="1"/>
      </top>
      <bottom style="medium">
        <color auto="1"/>
      </bottom>
      <diagonal/>
    </border>
    <border>
      <left style="thin">
        <color theme="4" tint="0.39997558519241921"/>
      </left>
      <right/>
      <top style="thin">
        <color theme="4" tint="0.39997558519241921"/>
      </top>
      <bottom/>
      <diagonal/>
    </border>
    <border>
      <left/>
      <right/>
      <top style="medium">
        <color auto="1"/>
      </top>
      <bottom style="medium">
        <color auto="1"/>
      </bottom>
      <diagonal/>
    </border>
    <border>
      <left/>
      <right style="medium">
        <color auto="1"/>
      </right>
      <top style="thin">
        <color theme="4" tint="0.39997558519241921"/>
      </top>
      <bottom style="thin">
        <color theme="4" tint="0.39997558519241921"/>
      </bottom>
      <diagonal/>
    </border>
    <border>
      <left style="medium">
        <color auto="1"/>
      </left>
      <right/>
      <top style="thin">
        <color theme="4" tint="0.39997558519241921"/>
      </top>
      <bottom style="medium">
        <color auto="1"/>
      </bottom>
      <diagonal/>
    </border>
    <border>
      <left/>
      <right/>
      <top style="thin">
        <color theme="4" tint="0.39997558519241921"/>
      </top>
      <bottom style="medium">
        <color auto="1"/>
      </bottom>
      <diagonal/>
    </border>
    <border>
      <left/>
      <right style="medium">
        <color indexed="64"/>
      </right>
      <top style="thin">
        <color theme="4" tint="0.39997558519241921"/>
      </top>
      <bottom style="medium">
        <color indexed="64"/>
      </bottom>
      <diagonal/>
    </border>
    <border>
      <left/>
      <right/>
      <top style="medium">
        <color auto="1"/>
      </top>
      <bottom style="thin">
        <color theme="4" tint="0.39997558519241921"/>
      </bottom>
      <diagonal/>
    </border>
    <border>
      <left/>
      <right style="medium">
        <color auto="1"/>
      </right>
      <top style="medium">
        <color auto="1"/>
      </top>
      <bottom style="thin">
        <color theme="4" tint="0.39997558519241921"/>
      </bottom>
      <diagonal/>
    </border>
    <border>
      <left style="medium">
        <color auto="1"/>
      </left>
      <right style="medium">
        <color auto="1"/>
      </right>
      <top style="thin">
        <color theme="4" tint="0.39997558519241921"/>
      </top>
      <bottom style="thin">
        <color theme="4" tint="0.39997558519241921"/>
      </bottom>
      <diagonal/>
    </border>
    <border>
      <left style="medium">
        <color auto="1"/>
      </left>
      <right style="medium">
        <color auto="1"/>
      </right>
      <top style="thin">
        <color theme="4" tint="0.39997558519241921"/>
      </top>
      <bottom style="medium">
        <color auto="1"/>
      </bottom>
      <diagonal/>
    </border>
    <border>
      <left style="medium">
        <color auto="1"/>
      </left>
      <right style="medium">
        <color auto="1"/>
      </right>
      <top style="medium">
        <color auto="1"/>
      </top>
      <bottom style="thin">
        <color theme="4" tint="0.39997558519241921"/>
      </bottom>
      <diagonal/>
    </border>
    <border>
      <left/>
      <right/>
      <top/>
      <bottom style="double">
        <color auto="1"/>
      </bottom>
      <diagonal/>
    </border>
    <border>
      <left style="medium">
        <color auto="1"/>
      </left>
      <right style="medium">
        <color auto="1"/>
      </right>
      <top style="medium">
        <color auto="1"/>
      </top>
      <bottom style="double">
        <color auto="1"/>
      </bottom>
      <diagonal/>
    </border>
    <border>
      <left/>
      <right/>
      <top style="medium">
        <color auto="1"/>
      </top>
      <bottom style="double">
        <color auto="1"/>
      </bottom>
      <diagonal/>
    </border>
    <border>
      <left style="medium">
        <color auto="1"/>
      </left>
      <right style="double">
        <color auto="1"/>
      </right>
      <top style="medium">
        <color auto="1"/>
      </top>
      <bottom style="double">
        <color auto="1"/>
      </bottom>
      <diagonal/>
    </border>
    <border>
      <left/>
      <right/>
      <top/>
      <bottom style="thin">
        <color theme="4" tint="0.39997558519241921"/>
      </bottom>
      <diagonal/>
    </border>
    <border>
      <left style="medium">
        <color indexed="64"/>
      </left>
      <right/>
      <top style="medium">
        <color indexed="64"/>
      </top>
      <bottom/>
      <diagonal/>
    </border>
    <border>
      <left style="medium">
        <color auto="1"/>
      </left>
      <right/>
      <top style="medium">
        <color auto="1"/>
      </top>
      <bottom style="double">
        <color auto="1"/>
      </bottom>
      <diagonal/>
    </border>
    <border>
      <left style="medium">
        <color auto="1"/>
      </left>
      <right style="medium">
        <color auto="1"/>
      </right>
      <top style="double">
        <color auto="1"/>
      </top>
      <bottom style="medium">
        <color auto="1"/>
      </bottom>
      <diagonal/>
    </border>
    <border>
      <left/>
      <right style="medium">
        <color auto="1"/>
      </right>
      <top style="medium">
        <color auto="1"/>
      </top>
      <bottom style="double">
        <color auto="1"/>
      </bottom>
      <diagonal/>
    </border>
    <border>
      <left/>
      <right/>
      <top style="medium">
        <color theme="0"/>
      </top>
      <bottom/>
      <diagonal/>
    </border>
    <border>
      <left style="medium">
        <color theme="0"/>
      </left>
      <right/>
      <top/>
      <bottom/>
      <diagonal/>
    </border>
    <border>
      <left/>
      <right style="medium">
        <color theme="0"/>
      </right>
      <top/>
      <bottom/>
      <diagonal/>
    </border>
    <border>
      <left style="medium">
        <color auto="1"/>
      </left>
      <right style="medium">
        <color auto="1"/>
      </right>
      <top/>
      <bottom style="double">
        <color auto="1"/>
      </bottom>
      <diagonal/>
    </border>
    <border>
      <left style="medium">
        <color indexed="64"/>
      </left>
      <right style="medium">
        <color indexed="64"/>
      </right>
      <top style="medium">
        <color indexed="64"/>
      </top>
      <bottom style="medium">
        <color indexed="64"/>
      </bottom>
      <diagonal/>
    </border>
    <border>
      <left/>
      <right style="medium">
        <color auto="1"/>
      </right>
      <top/>
      <bottom style="thin">
        <color theme="4" tint="0.39997558519241921"/>
      </bottom>
      <diagonal/>
    </border>
    <border>
      <left style="medium">
        <color auto="1"/>
      </left>
      <right/>
      <top/>
      <bottom style="thin">
        <color theme="4" tint="0.39997558519241921"/>
      </bottom>
      <diagonal/>
    </border>
    <border>
      <left/>
      <right style="medium">
        <color indexed="64"/>
      </right>
      <top/>
      <bottom style="double">
        <color auto="1"/>
      </bottom>
      <diagonal/>
    </border>
    <border>
      <left style="medium">
        <color theme="0"/>
      </left>
      <right style="medium">
        <color auto="1"/>
      </right>
      <top/>
      <bottom/>
      <diagonal/>
    </border>
    <border>
      <left style="medium">
        <color indexed="64"/>
      </left>
      <right/>
      <top style="thin">
        <color theme="4" tint="0.39997558519241921"/>
      </top>
      <bottom/>
      <diagonal/>
    </border>
  </borders>
  <cellStyleXfs count="5">
    <xf numFmtId="0" fontId="0" fillId="0" borderId="0"/>
    <xf numFmtId="0" fontId="16" fillId="0" borderId="0" applyNumberFormat="0" applyFill="0" applyBorder="0" applyAlignment="0" applyProtection="0"/>
    <xf numFmtId="0" fontId="16" fillId="0" borderId="0" applyNumberFormat="0" applyFill="0" applyBorder="0" applyAlignment="0" applyProtection="0"/>
    <xf numFmtId="0" fontId="18" fillId="0" borderId="0" applyNumberFormat="0" applyFill="0" applyBorder="0" applyAlignment="0" applyProtection="0"/>
    <xf numFmtId="9" fontId="20" fillId="0" borderId="0" applyFont="0" applyFill="0" applyBorder="0" applyAlignment="0" applyProtection="0"/>
  </cellStyleXfs>
  <cellXfs count="164">
    <xf numFmtId="0" fontId="0" fillId="0" borderId="0" xfId="0"/>
    <xf numFmtId="0" fontId="0" fillId="0" borderId="0" xfId="0" applyAlignment="1">
      <alignment horizontal="center"/>
    </xf>
    <xf numFmtId="0" fontId="1" fillId="0" borderId="0" xfId="0" applyFont="1" applyAlignment="1">
      <alignment horizontal="center"/>
    </xf>
    <xf numFmtId="0" fontId="0" fillId="0" borderId="2" xfId="0" applyFont="1" applyBorder="1" applyAlignment="1">
      <alignment horizontal="center"/>
    </xf>
    <xf numFmtId="0" fontId="0" fillId="2" borderId="2" xfId="0" applyFont="1" applyFill="1" applyBorder="1" applyAlignment="1">
      <alignment horizontal="center"/>
    </xf>
    <xf numFmtId="0" fontId="0" fillId="3" borderId="2" xfId="0" applyFont="1" applyFill="1" applyBorder="1" applyAlignment="1">
      <alignment horizontal="center"/>
    </xf>
    <xf numFmtId="0" fontId="0" fillId="4" borderId="2" xfId="0" applyFont="1" applyFill="1" applyBorder="1" applyAlignment="1">
      <alignment horizontal="center"/>
    </xf>
    <xf numFmtId="0" fontId="0" fillId="3" borderId="0" xfId="0" applyFill="1" applyAlignment="1">
      <alignment horizontal="center"/>
    </xf>
    <xf numFmtId="0" fontId="0" fillId="5" borderId="2" xfId="0" applyFont="1" applyFill="1" applyBorder="1" applyAlignment="1">
      <alignment horizontal="center"/>
    </xf>
    <xf numFmtId="0" fontId="1" fillId="0" borderId="0" xfId="0" applyFont="1"/>
    <xf numFmtId="1" fontId="0" fillId="0" borderId="0" xfId="0" applyNumberFormat="1" applyAlignment="1">
      <alignment horizontal="center"/>
    </xf>
    <xf numFmtId="0" fontId="0" fillId="0" borderId="3" xfId="0" applyFont="1" applyBorder="1" applyAlignment="1">
      <alignment horizontal="center"/>
    </xf>
    <xf numFmtId="0" fontId="0" fillId="0" borderId="0" xfId="0" applyNumberFormat="1" applyAlignment="1">
      <alignment horizontal="center"/>
    </xf>
    <xf numFmtId="0" fontId="0" fillId="0" borderId="3" xfId="0" applyNumberFormat="1" applyFont="1" applyBorder="1" applyAlignment="1">
      <alignment horizontal="center"/>
    </xf>
    <xf numFmtId="0" fontId="0" fillId="0" borderId="1" xfId="0" applyNumberFormat="1" applyFont="1" applyBorder="1" applyAlignment="1">
      <alignment horizontal="center"/>
    </xf>
    <xf numFmtId="0" fontId="0" fillId="4" borderId="1" xfId="0" applyFont="1" applyFill="1" applyBorder="1" applyAlignment="1">
      <alignment horizontal="center"/>
    </xf>
    <xf numFmtId="0" fontId="0" fillId="0" borderId="0" xfId="0" applyFont="1" applyAlignment="1">
      <alignment horizontal="center"/>
    </xf>
    <xf numFmtId="0" fontId="2" fillId="0" borderId="4" xfId="0" applyFont="1" applyBorder="1" applyAlignment="1">
      <alignment horizontal="center" vertical="center" wrapText="1"/>
    </xf>
    <xf numFmtId="0" fontId="1" fillId="0" borderId="4" xfId="0" applyFont="1" applyBorder="1" applyAlignment="1">
      <alignment horizontal="center" vertical="center" wrapText="1"/>
    </xf>
    <xf numFmtId="0" fontId="3" fillId="0" borderId="0" xfId="0" applyFont="1" applyAlignment="1">
      <alignment horizontal="center"/>
    </xf>
    <xf numFmtId="0" fontId="3" fillId="0" borderId="4" xfId="0" applyFont="1" applyBorder="1" applyAlignment="1">
      <alignment horizontal="center" vertical="center" wrapText="1"/>
    </xf>
    <xf numFmtId="0" fontId="1" fillId="0" borderId="0" xfId="0" applyFont="1" applyBorder="1" applyAlignment="1">
      <alignment horizontal="center"/>
    </xf>
    <xf numFmtId="0" fontId="0" fillId="0" borderId="0" xfId="0" applyBorder="1" applyAlignment="1">
      <alignment horizontal="center"/>
    </xf>
    <xf numFmtId="0" fontId="0" fillId="0" borderId="16" xfId="0" applyNumberFormat="1" applyFont="1" applyBorder="1" applyAlignment="1">
      <alignment horizontal="center"/>
    </xf>
    <xf numFmtId="0" fontId="0" fillId="2" borderId="25" xfId="0" applyFont="1" applyFill="1" applyBorder="1" applyAlignment="1">
      <alignment horizontal="center"/>
    </xf>
    <xf numFmtId="0" fontId="1" fillId="0" borderId="1" xfId="0" applyNumberFormat="1" applyFont="1" applyBorder="1" applyAlignment="1">
      <alignment horizontal="center"/>
    </xf>
    <xf numFmtId="0" fontId="7" fillId="2" borderId="30" xfId="0" applyFont="1" applyFill="1" applyBorder="1" applyAlignment="1">
      <alignment horizontal="center"/>
    </xf>
    <xf numFmtId="0" fontId="6" fillId="0" borderId="7" xfId="0" applyFont="1" applyBorder="1" applyAlignment="1">
      <alignment horizontal="center"/>
    </xf>
    <xf numFmtId="0" fontId="6" fillId="2" borderId="23" xfId="0" applyFont="1" applyFill="1" applyBorder="1" applyAlignment="1">
      <alignment horizontal="center"/>
    </xf>
    <xf numFmtId="0" fontId="6" fillId="0" borderId="0" xfId="0" applyFont="1" applyAlignment="1">
      <alignment horizontal="center"/>
    </xf>
    <xf numFmtId="0" fontId="6" fillId="0" borderId="0" xfId="0" applyFont="1" applyFill="1" applyBorder="1" applyAlignment="1">
      <alignment horizontal="center"/>
    </xf>
    <xf numFmtId="0" fontId="8" fillId="0" borderId="0" xfId="0" applyFont="1" applyAlignment="1">
      <alignment horizontal="center"/>
    </xf>
    <xf numFmtId="0" fontId="6" fillId="0" borderId="9" xfId="0" applyFont="1" applyBorder="1" applyAlignment="1">
      <alignment horizontal="center"/>
    </xf>
    <xf numFmtId="0" fontId="6" fillId="0" borderId="0" xfId="0" applyFont="1" applyBorder="1" applyAlignment="1">
      <alignment horizontal="center"/>
    </xf>
    <xf numFmtId="0" fontId="9" fillId="0" borderId="0" xfId="0" applyFont="1" applyBorder="1" applyAlignment="1">
      <alignment horizontal="center"/>
    </xf>
    <xf numFmtId="0" fontId="6" fillId="0" borderId="3" xfId="0" applyNumberFormat="1" applyFont="1" applyBorder="1" applyAlignment="1">
      <alignment horizontal="center"/>
    </xf>
    <xf numFmtId="0" fontId="6" fillId="0" borderId="0" xfId="0" applyNumberFormat="1" applyFont="1" applyAlignment="1">
      <alignment horizontal="center"/>
    </xf>
    <xf numFmtId="0" fontId="6" fillId="2" borderId="19" xfId="0" applyFont="1" applyFill="1" applyBorder="1" applyAlignment="1">
      <alignment horizontal="center"/>
    </xf>
    <xf numFmtId="0" fontId="6" fillId="0" borderId="13" xfId="0" applyFont="1" applyBorder="1" applyAlignment="1">
      <alignment horizontal="center"/>
    </xf>
    <xf numFmtId="0" fontId="6" fillId="0" borderId="7" xfId="0" applyFont="1" applyFill="1" applyBorder="1" applyAlignment="1">
      <alignment horizontal="center"/>
    </xf>
    <xf numFmtId="0" fontId="6" fillId="0" borderId="0" xfId="0" applyFont="1" applyFill="1" applyBorder="1"/>
    <xf numFmtId="0" fontId="6" fillId="0" borderId="13" xfId="0" applyFont="1" applyFill="1" applyBorder="1" applyAlignment="1">
      <alignment horizontal="center"/>
    </xf>
    <xf numFmtId="0" fontId="7" fillId="2" borderId="33" xfId="0" applyFont="1" applyFill="1" applyBorder="1" applyAlignment="1">
      <alignment horizontal="center"/>
    </xf>
    <xf numFmtId="0" fontId="7" fillId="2" borderId="28" xfId="0" applyFont="1" applyFill="1" applyBorder="1" applyAlignment="1">
      <alignment horizontal="center"/>
    </xf>
    <xf numFmtId="0" fontId="7" fillId="2" borderId="26" xfId="0" applyFont="1" applyFill="1" applyBorder="1" applyAlignment="1">
      <alignment horizontal="center"/>
    </xf>
    <xf numFmtId="0" fontId="7" fillId="2" borderId="39" xfId="0" applyFont="1" applyFill="1" applyBorder="1" applyAlignment="1">
      <alignment horizontal="center"/>
    </xf>
    <xf numFmtId="0" fontId="6" fillId="0" borderId="24" xfId="0" applyFont="1" applyBorder="1" applyAlignment="1">
      <alignment horizontal="center"/>
    </xf>
    <xf numFmtId="0" fontId="6" fillId="0" borderId="25" xfId="0" applyFont="1" applyBorder="1" applyAlignment="1">
      <alignment horizontal="center"/>
    </xf>
    <xf numFmtId="0" fontId="7" fillId="0" borderId="25" xfId="0" applyFont="1" applyBorder="1" applyAlignment="1">
      <alignment horizontal="center"/>
    </xf>
    <xf numFmtId="0" fontId="6" fillId="0" borderId="0" xfId="0" applyFont="1" applyFill="1" applyAlignment="1">
      <alignment horizontal="center"/>
    </xf>
    <xf numFmtId="0" fontId="6" fillId="2" borderId="24" xfId="0" applyFont="1" applyFill="1" applyBorder="1" applyAlignment="1">
      <alignment horizontal="center"/>
    </xf>
    <xf numFmtId="0" fontId="6" fillId="0" borderId="19" xfId="0" applyFont="1" applyBorder="1" applyAlignment="1">
      <alignment horizontal="center"/>
    </xf>
    <xf numFmtId="0" fontId="6" fillId="4" borderId="3" xfId="0" applyFont="1" applyFill="1" applyBorder="1" applyAlignment="1">
      <alignment horizontal="center"/>
    </xf>
    <xf numFmtId="0" fontId="7" fillId="0" borderId="27" xfId="0" applyFont="1" applyBorder="1" applyAlignment="1">
      <alignment horizontal="center"/>
    </xf>
    <xf numFmtId="0" fontId="6" fillId="2" borderId="25" xfId="0" applyFont="1" applyFill="1" applyBorder="1" applyAlignment="1">
      <alignment horizontal="center"/>
    </xf>
    <xf numFmtId="0" fontId="7" fillId="0" borderId="27" xfId="0" applyFont="1" applyBorder="1" applyAlignment="1">
      <alignment horizontal="center" vertical="center"/>
    </xf>
    <xf numFmtId="0" fontId="10" fillId="0" borderId="0" xfId="0" applyFont="1" applyBorder="1" applyAlignment="1">
      <alignment horizontal="center" vertical="center"/>
    </xf>
    <xf numFmtId="0" fontId="6" fillId="0" borderId="0" xfId="0" applyFont="1"/>
    <xf numFmtId="0" fontId="6" fillId="0" borderId="1" xfId="0" applyFont="1" applyBorder="1" applyAlignment="1">
      <alignment horizontal="center"/>
    </xf>
    <xf numFmtId="0" fontId="6" fillId="0" borderId="0" xfId="0" applyFont="1" applyBorder="1" applyAlignment="1">
      <alignment horizontal="center" vertical="center" wrapText="1"/>
    </xf>
    <xf numFmtId="0" fontId="6" fillId="0" borderId="3" xfId="0" applyFont="1" applyBorder="1" applyAlignment="1">
      <alignment horizontal="center"/>
    </xf>
    <xf numFmtId="0" fontId="6" fillId="2" borderId="22" xfId="0" applyFont="1" applyFill="1" applyBorder="1" applyAlignment="1">
      <alignment horizontal="center"/>
    </xf>
    <xf numFmtId="0" fontId="6" fillId="0" borderId="9" xfId="0" applyFont="1" applyBorder="1" applyAlignment="1">
      <alignment horizontal="center" vertical="center" wrapText="1"/>
    </xf>
    <xf numFmtId="0" fontId="6" fillId="0" borderId="18" xfId="0" applyFont="1" applyBorder="1" applyAlignment="1">
      <alignment horizontal="center"/>
    </xf>
    <xf numFmtId="0" fontId="6" fillId="2" borderId="9" xfId="0" applyFont="1" applyFill="1" applyBorder="1" applyAlignment="1">
      <alignment horizontal="center" vertical="center" wrapText="1"/>
    </xf>
    <xf numFmtId="0" fontId="6" fillId="2" borderId="3" xfId="0" applyFont="1" applyFill="1" applyBorder="1" applyAlignment="1">
      <alignment horizontal="center"/>
    </xf>
    <xf numFmtId="0" fontId="6" fillId="2" borderId="18" xfId="0" applyFont="1" applyFill="1" applyBorder="1" applyAlignment="1">
      <alignment horizontal="center"/>
    </xf>
    <xf numFmtId="0" fontId="6" fillId="0" borderId="20" xfId="0" applyFont="1" applyBorder="1" applyAlignment="1">
      <alignment horizontal="center"/>
    </xf>
    <xf numFmtId="0" fontId="6" fillId="0" borderId="21" xfId="0" applyFont="1" applyBorder="1" applyAlignment="1">
      <alignment horizontal="center"/>
    </xf>
    <xf numFmtId="0" fontId="11" fillId="0" borderId="0" xfId="0" applyFont="1" applyBorder="1" applyAlignment="1">
      <alignment horizontal="center"/>
    </xf>
    <xf numFmtId="0" fontId="11" fillId="0" borderId="11" xfId="0" applyFont="1" applyBorder="1" applyAlignment="1">
      <alignment horizontal="center"/>
    </xf>
    <xf numFmtId="0" fontId="11" fillId="0" borderId="0" xfId="0" applyFont="1" applyFill="1" applyBorder="1" applyAlignment="1">
      <alignment horizontal="center"/>
    </xf>
    <xf numFmtId="0" fontId="6" fillId="0" borderId="11" xfId="0" applyFont="1" applyBorder="1" applyAlignment="1">
      <alignment horizontal="center"/>
    </xf>
    <xf numFmtId="0" fontId="6" fillId="0" borderId="6" xfId="0" applyFont="1" applyBorder="1" applyAlignment="1">
      <alignment horizontal="center"/>
    </xf>
    <xf numFmtId="0" fontId="6" fillId="0" borderId="10" xfId="0" applyFont="1" applyBorder="1"/>
    <xf numFmtId="0" fontId="6" fillId="0" borderId="7" xfId="0" applyFont="1" applyBorder="1"/>
    <xf numFmtId="0" fontId="7" fillId="0" borderId="7" xfId="0" applyFont="1" applyBorder="1" applyAlignment="1">
      <alignment horizontal="center"/>
    </xf>
    <xf numFmtId="0" fontId="7" fillId="0" borderId="8" xfId="0" applyFont="1" applyBorder="1" applyAlignment="1">
      <alignment horizontal="center"/>
    </xf>
    <xf numFmtId="0" fontId="9" fillId="0" borderId="10" xfId="0" applyFont="1" applyBorder="1" applyAlignment="1">
      <alignment horizontal="center"/>
    </xf>
    <xf numFmtId="0" fontId="6" fillId="0" borderId="10" xfId="0" applyFont="1" applyBorder="1" applyAlignment="1">
      <alignment horizontal="center"/>
    </xf>
    <xf numFmtId="0" fontId="6" fillId="0" borderId="12" xfId="0" applyFont="1" applyBorder="1" applyAlignment="1">
      <alignment horizontal="center"/>
    </xf>
    <xf numFmtId="0" fontId="9" fillId="0" borderId="0" xfId="0" applyFont="1" applyAlignment="1">
      <alignment horizontal="center"/>
    </xf>
    <xf numFmtId="0" fontId="9" fillId="0" borderId="13" xfId="0" applyFont="1" applyBorder="1" applyAlignment="1">
      <alignment horizontal="center"/>
    </xf>
    <xf numFmtId="0" fontId="9" fillId="2" borderId="3" xfId="0" applyFont="1" applyFill="1" applyBorder="1" applyAlignment="1">
      <alignment horizontal="center"/>
    </xf>
    <xf numFmtId="0" fontId="9" fillId="0" borderId="3" xfId="0" applyFont="1" applyBorder="1" applyAlignment="1">
      <alignment horizontal="center"/>
    </xf>
    <xf numFmtId="0" fontId="9" fillId="0" borderId="20" xfId="0" applyFont="1" applyBorder="1" applyAlignment="1">
      <alignment horizontal="center"/>
    </xf>
    <xf numFmtId="0" fontId="9" fillId="2" borderId="9" xfId="0" applyFont="1" applyFill="1" applyBorder="1" applyAlignment="1">
      <alignment horizontal="center"/>
    </xf>
    <xf numFmtId="0" fontId="7" fillId="6" borderId="15" xfId="0" applyFont="1" applyFill="1" applyBorder="1" applyAlignment="1">
      <alignment horizontal="center"/>
    </xf>
    <xf numFmtId="0" fontId="6" fillId="6" borderId="17" xfId="0" applyFont="1" applyFill="1" applyBorder="1" applyAlignment="1">
      <alignment horizontal="center"/>
    </xf>
    <xf numFmtId="0" fontId="7" fillId="6" borderId="17" xfId="0" applyFont="1" applyFill="1" applyBorder="1" applyAlignment="1">
      <alignment horizontal="center"/>
    </xf>
    <xf numFmtId="0" fontId="6" fillId="6" borderId="5" xfId="0" applyFont="1" applyFill="1" applyBorder="1" applyAlignment="1">
      <alignment horizontal="center"/>
    </xf>
    <xf numFmtId="0" fontId="6" fillId="0" borderId="8" xfId="0" applyFont="1" applyBorder="1" applyAlignment="1">
      <alignment horizontal="center"/>
    </xf>
    <xf numFmtId="0" fontId="7" fillId="0" borderId="0" xfId="0" applyFont="1" applyBorder="1" applyAlignment="1">
      <alignment horizontal="center"/>
    </xf>
    <xf numFmtId="0" fontId="7" fillId="0" borderId="11" xfId="0" applyFont="1" applyBorder="1" applyAlignment="1">
      <alignment horizontal="center"/>
    </xf>
    <xf numFmtId="0" fontId="12" fillId="6" borderId="17" xfId="0" applyFont="1" applyFill="1" applyBorder="1" applyAlignment="1">
      <alignment horizontal="center"/>
    </xf>
    <xf numFmtId="0" fontId="6" fillId="0" borderId="0" xfId="0" applyFont="1" applyBorder="1"/>
    <xf numFmtId="0" fontId="7" fillId="0" borderId="3" xfId="0" applyFont="1" applyBorder="1" applyAlignment="1">
      <alignment horizontal="center"/>
    </xf>
    <xf numFmtId="0" fontId="7" fillId="0" borderId="18" xfId="0" applyFont="1" applyBorder="1" applyAlignment="1">
      <alignment horizontal="center"/>
    </xf>
    <xf numFmtId="0" fontId="10" fillId="0" borderId="0" xfId="0" applyFont="1" applyAlignment="1">
      <alignment horizontal="center" vertical="center"/>
    </xf>
    <xf numFmtId="0" fontId="6" fillId="0" borderId="17" xfId="0" applyFont="1" applyBorder="1" applyAlignment="1">
      <alignment horizontal="center"/>
    </xf>
    <xf numFmtId="0" fontId="6" fillId="0" borderId="1" xfId="0" applyNumberFormat="1" applyFont="1" applyBorder="1" applyAlignment="1">
      <alignment horizontal="center"/>
    </xf>
    <xf numFmtId="0" fontId="6" fillId="2" borderId="2" xfId="0" applyFont="1" applyFill="1" applyBorder="1" applyAlignment="1">
      <alignment horizontal="center"/>
    </xf>
    <xf numFmtId="0" fontId="6" fillId="0" borderId="2" xfId="0" applyFont="1" applyBorder="1" applyAlignment="1">
      <alignment horizontal="center"/>
    </xf>
    <xf numFmtId="0" fontId="7" fillId="0" borderId="22" xfId="0" applyFont="1" applyBorder="1" applyAlignment="1">
      <alignment horizontal="center"/>
    </xf>
    <xf numFmtId="0" fontId="7" fillId="0" borderId="23" xfId="0" applyFont="1" applyBorder="1" applyAlignment="1">
      <alignment horizontal="center"/>
    </xf>
    <xf numFmtId="0" fontId="13" fillId="0" borderId="14" xfId="0" applyFont="1" applyBorder="1" applyAlignment="1">
      <alignment horizontal="center"/>
    </xf>
    <xf numFmtId="0" fontId="13" fillId="0" borderId="40" xfId="0" applyFont="1" applyBorder="1" applyAlignment="1">
      <alignment horizontal="center"/>
    </xf>
    <xf numFmtId="0" fontId="7" fillId="0" borderId="0" xfId="0" applyFont="1" applyAlignment="1">
      <alignment horizontal="center"/>
    </xf>
    <xf numFmtId="0" fontId="6" fillId="2" borderId="31" xfId="0" applyFont="1" applyFill="1" applyBorder="1" applyAlignment="1">
      <alignment horizontal="center"/>
    </xf>
    <xf numFmtId="0" fontId="6" fillId="2" borderId="41" xfId="0" applyFont="1" applyFill="1" applyBorder="1" applyAlignment="1">
      <alignment horizontal="center"/>
    </xf>
    <xf numFmtId="0" fontId="6" fillId="0" borderId="42" xfId="0" applyFont="1" applyBorder="1" applyAlignment="1">
      <alignment horizontal="center"/>
    </xf>
    <xf numFmtId="0" fontId="6" fillId="0" borderId="34" xfId="0" applyFont="1" applyBorder="1" applyAlignment="1">
      <alignment horizontal="center"/>
    </xf>
    <xf numFmtId="0" fontId="7" fillId="0" borderId="10" xfId="0" applyFont="1" applyBorder="1" applyAlignment="1">
      <alignment horizontal="center"/>
    </xf>
    <xf numFmtId="0" fontId="6" fillId="2" borderId="21" xfId="0" applyFont="1" applyFill="1" applyBorder="1" applyAlignment="1">
      <alignment horizontal="center"/>
    </xf>
    <xf numFmtId="0" fontId="10" fillId="0" borderId="0" xfId="0" applyFont="1" applyBorder="1" applyAlignment="1">
      <alignment horizontal="center"/>
    </xf>
    <xf numFmtId="0" fontId="6" fillId="0" borderId="11" xfId="0" applyFont="1" applyFill="1" applyBorder="1" applyAlignment="1">
      <alignment horizontal="center"/>
    </xf>
    <xf numFmtId="0" fontId="7" fillId="0" borderId="35" xfId="0" applyFont="1" applyBorder="1" applyAlignment="1">
      <alignment horizontal="center"/>
    </xf>
    <xf numFmtId="0" fontId="10" fillId="0" borderId="11" xfId="0" applyFont="1" applyBorder="1" applyAlignment="1">
      <alignment horizontal="center"/>
    </xf>
    <xf numFmtId="0" fontId="10" fillId="0" borderId="6" xfId="0" applyFont="1" applyBorder="1" applyAlignment="1">
      <alignment horizontal="center"/>
    </xf>
    <xf numFmtId="0" fontId="7" fillId="0" borderId="43" xfId="0" applyFont="1" applyBorder="1" applyAlignment="1">
      <alignment horizontal="center"/>
    </xf>
    <xf numFmtId="1" fontId="6" fillId="0" borderId="11" xfId="0" applyNumberFormat="1" applyFont="1" applyBorder="1" applyAlignment="1">
      <alignment horizontal="center"/>
    </xf>
    <xf numFmtId="1" fontId="6" fillId="0" borderId="6" xfId="0" applyNumberFormat="1" applyFont="1" applyBorder="1" applyAlignment="1">
      <alignment horizontal="center"/>
    </xf>
    <xf numFmtId="0" fontId="13" fillId="0" borderId="27" xfId="0" applyFont="1" applyBorder="1" applyAlignment="1">
      <alignment horizontal="center"/>
    </xf>
    <xf numFmtId="0" fontId="5" fillId="0" borderId="27" xfId="0" applyFont="1" applyBorder="1" applyAlignment="1">
      <alignment horizontal="center"/>
    </xf>
    <xf numFmtId="0" fontId="5" fillId="2" borderId="28" xfId="0" applyFont="1" applyFill="1" applyBorder="1" applyAlignment="1">
      <alignment horizontal="center"/>
    </xf>
    <xf numFmtId="0" fontId="5" fillId="2" borderId="33" xfId="0" applyFont="1" applyFill="1" applyBorder="1" applyAlignment="1">
      <alignment horizontal="center"/>
    </xf>
    <xf numFmtId="0" fontId="6" fillId="0" borderId="29" xfId="0" applyFont="1" applyBorder="1" applyAlignment="1">
      <alignment horizontal="center"/>
    </xf>
    <xf numFmtId="0" fontId="6" fillId="2" borderId="35" xfId="0" applyFont="1" applyFill="1" applyBorder="1" applyAlignment="1">
      <alignment horizontal="center"/>
    </xf>
    <xf numFmtId="0" fontId="13" fillId="0" borderId="8" xfId="0" applyFont="1" applyBorder="1" applyAlignment="1">
      <alignment horizontal="center"/>
    </xf>
    <xf numFmtId="0" fontId="6" fillId="0" borderId="38" xfId="0" applyFont="1" applyBorder="1" applyAlignment="1">
      <alignment horizontal="center"/>
    </xf>
    <xf numFmtId="0" fontId="8" fillId="0" borderId="36" xfId="0" applyFont="1" applyBorder="1" applyAlignment="1">
      <alignment horizontal="center"/>
    </xf>
    <xf numFmtId="0" fontId="6" fillId="0" borderId="37" xfId="0" applyFont="1" applyBorder="1" applyAlignment="1">
      <alignment horizontal="center"/>
    </xf>
    <xf numFmtId="0" fontId="6" fillId="0" borderId="32" xfId="0" applyFont="1" applyBorder="1" applyAlignment="1">
      <alignment horizontal="center"/>
    </xf>
    <xf numFmtId="0" fontId="9" fillId="0" borderId="9" xfId="0" applyFont="1" applyBorder="1" applyAlignment="1">
      <alignment horizontal="center"/>
    </xf>
    <xf numFmtId="0" fontId="9" fillId="0" borderId="19" xfId="0" applyFont="1" applyBorder="1" applyAlignment="1">
      <alignment horizontal="center"/>
    </xf>
    <xf numFmtId="0" fontId="7" fillId="2" borderId="9" xfId="0" applyFont="1" applyFill="1" applyBorder="1" applyAlignment="1">
      <alignment horizontal="center"/>
    </xf>
    <xf numFmtId="0" fontId="6" fillId="0" borderId="45" xfId="0" applyFont="1" applyBorder="1" applyAlignment="1">
      <alignment horizontal="center"/>
    </xf>
    <xf numFmtId="0" fontId="6" fillId="0" borderId="44" xfId="0" applyFont="1" applyFill="1" applyBorder="1" applyAlignment="1">
      <alignment horizontal="center"/>
    </xf>
    <xf numFmtId="0" fontId="6" fillId="0" borderId="37" xfId="0" applyFont="1" applyFill="1" applyBorder="1" applyAlignment="1">
      <alignment horizontal="center"/>
    </xf>
    <xf numFmtId="0" fontId="14" fillId="0" borderId="24" xfId="0" applyFont="1" applyBorder="1" applyAlignment="1">
      <alignment horizontal="center"/>
    </xf>
    <xf numFmtId="0" fontId="15" fillId="0" borderId="0" xfId="0" applyFont="1" applyBorder="1" applyAlignment="1">
      <alignment horizontal="center"/>
    </xf>
    <xf numFmtId="0" fontId="17" fillId="0" borderId="0" xfId="0" applyFont="1" applyBorder="1" applyAlignment="1">
      <alignment horizontal="center"/>
    </xf>
    <xf numFmtId="0" fontId="17" fillId="0" borderId="0" xfId="0" applyFont="1" applyAlignment="1">
      <alignment horizontal="center"/>
    </xf>
    <xf numFmtId="0" fontId="17" fillId="0" borderId="0" xfId="0" applyFont="1" applyBorder="1" applyAlignment="1">
      <alignment horizontal="center" wrapText="1"/>
    </xf>
    <xf numFmtId="0" fontId="17" fillId="0" borderId="31" xfId="0" applyFont="1" applyFill="1" applyBorder="1" applyAlignment="1">
      <alignment horizontal="center"/>
    </xf>
    <xf numFmtId="0" fontId="17" fillId="0" borderId="3" xfId="0" applyFont="1" applyBorder="1" applyAlignment="1">
      <alignment horizontal="center"/>
    </xf>
    <xf numFmtId="0" fontId="17" fillId="0" borderId="0" xfId="0" applyFont="1" applyAlignment="1">
      <alignment horizontal="center" wrapText="1"/>
    </xf>
    <xf numFmtId="0" fontId="17" fillId="0" borderId="1" xfId="0" applyFont="1" applyBorder="1" applyAlignment="1">
      <alignment horizontal="center"/>
    </xf>
    <xf numFmtId="0" fontId="17" fillId="0" borderId="3" xfId="0" applyFont="1" applyFill="1" applyBorder="1" applyAlignment="1">
      <alignment horizontal="center" wrapText="1"/>
    </xf>
    <xf numFmtId="0" fontId="17" fillId="0" borderId="0" xfId="0" applyFont="1" applyFill="1" applyAlignment="1">
      <alignment horizontal="center" wrapText="1"/>
    </xf>
    <xf numFmtId="0" fontId="17" fillId="0" borderId="3" xfId="0" applyFont="1" applyBorder="1" applyAlignment="1">
      <alignment horizontal="center" wrapText="1"/>
    </xf>
    <xf numFmtId="0" fontId="16" fillId="0" borderId="0" xfId="1" applyBorder="1" applyAlignment="1">
      <alignment horizontal="center" wrapText="1"/>
    </xf>
    <xf numFmtId="0" fontId="16" fillId="0" borderId="0" xfId="1" applyFont="1" applyBorder="1" applyAlignment="1">
      <alignment horizontal="center" wrapText="1"/>
    </xf>
    <xf numFmtId="0" fontId="16" fillId="0" borderId="0" xfId="1" applyFill="1" applyBorder="1" applyAlignment="1">
      <alignment horizontal="center"/>
    </xf>
    <xf numFmtId="0" fontId="6" fillId="0" borderId="24" xfId="0" applyFont="1" applyBorder="1" applyAlignment="1" applyProtection="1">
      <alignment horizontal="center"/>
      <protection locked="0"/>
    </xf>
    <xf numFmtId="0" fontId="6" fillId="2" borderId="25" xfId="0" applyFont="1" applyFill="1" applyBorder="1" applyAlignment="1" applyProtection="1">
      <alignment horizontal="center"/>
      <protection locked="0"/>
    </xf>
    <xf numFmtId="0" fontId="6" fillId="0" borderId="41" xfId="0" applyFont="1" applyBorder="1" applyAlignment="1" applyProtection="1">
      <alignment horizontal="center"/>
      <protection locked="0"/>
    </xf>
    <xf numFmtId="0" fontId="18" fillId="0" borderId="0" xfId="3"/>
    <xf numFmtId="0" fontId="17" fillId="0" borderId="0" xfId="0" applyFont="1"/>
    <xf numFmtId="0" fontId="19" fillId="0" borderId="0" xfId="0" applyFont="1"/>
    <xf numFmtId="0" fontId="21" fillId="7" borderId="0" xfId="0" applyFont="1" applyFill="1"/>
    <xf numFmtId="0" fontId="21" fillId="8" borderId="0" xfId="0" applyFont="1" applyFill="1"/>
    <xf numFmtId="0" fontId="21" fillId="7" borderId="0" xfId="0" applyFont="1" applyFill="1" applyAlignment="1">
      <alignment horizontal="center"/>
    </xf>
    <xf numFmtId="10" fontId="21" fillId="7" borderId="0" xfId="4" applyNumberFormat="1" applyFont="1" applyFill="1" applyAlignment="1">
      <alignment horizontal="right"/>
    </xf>
  </cellXfs>
  <cellStyles count="5">
    <cellStyle name="Hyperlink 2" xfId="3" xr:uid="{DFE01715-832A-44CC-9E29-507C6D549A30}"/>
    <cellStyle name="Відсотковий" xfId="4" builtinId="5"/>
    <cellStyle name="Гіперпосилання" xfId="1" builtinId="8" customBuiltin="1"/>
    <cellStyle name="Звичайний" xfId="0" builtinId="0"/>
    <cellStyle name="Переглянуте гіперпосилання" xfId="2" builtinId="9" customBuiltin="1"/>
  </cellStyles>
  <dxfs count="11380">
    <dxf>
      <font>
        <b val="0"/>
        <i val="0"/>
        <strike val="0"/>
        <condense val="0"/>
        <extend val="0"/>
        <outline val="0"/>
        <shadow val="0"/>
        <u val="none"/>
        <vertAlign val="baseline"/>
        <sz val="11"/>
        <color rgb="FF5A362F"/>
        <name val="Calibri"/>
        <scheme val="minor"/>
      </font>
      <fill>
        <patternFill patternType="solid">
          <fgColor indexed="64"/>
          <bgColor theme="0" tint="-4.9989318521683403E-2"/>
        </patternFill>
      </fill>
    </dxf>
    <dxf>
      <font>
        <b val="0"/>
        <i val="0"/>
        <strike val="0"/>
        <condense val="0"/>
        <extend val="0"/>
        <outline val="0"/>
        <shadow val="0"/>
        <u val="none"/>
        <vertAlign val="baseline"/>
        <sz val="11"/>
        <color rgb="FF5A362F"/>
        <name val="Calibri"/>
        <scheme val="minor"/>
      </font>
      <fill>
        <patternFill patternType="solid">
          <fgColor indexed="64"/>
          <bgColor theme="0" tint="-4.9989318521683403E-2"/>
        </patternFill>
      </fill>
    </dxf>
    <dxf>
      <font>
        <b val="0"/>
        <i val="0"/>
        <strike val="0"/>
        <condense val="0"/>
        <extend val="0"/>
        <outline val="0"/>
        <shadow val="0"/>
        <u val="none"/>
        <vertAlign val="baseline"/>
        <sz val="11"/>
        <color rgb="FF5A362F"/>
        <name val="Calibri"/>
        <scheme val="minor"/>
      </font>
      <fill>
        <patternFill patternType="solid">
          <fgColor indexed="64"/>
          <bgColor theme="0" tint="-4.9989318521683403E-2"/>
        </patternFill>
      </fill>
    </dxf>
    <dxf>
      <font>
        <b val="0"/>
        <i val="0"/>
        <strike val="0"/>
        <condense val="0"/>
        <extend val="0"/>
        <outline val="0"/>
        <shadow val="0"/>
        <u val="none"/>
        <vertAlign val="baseline"/>
        <sz val="11"/>
        <color rgb="FF5A362F"/>
        <name val="Calibri"/>
        <scheme val="minor"/>
      </font>
      <fill>
        <patternFill patternType="solid">
          <fgColor indexed="64"/>
          <bgColor theme="0" tint="-4.9989318521683403E-2"/>
        </patternFill>
      </fill>
    </dxf>
    <dxf>
      <font>
        <b val="0"/>
        <i val="0"/>
        <strike val="0"/>
        <condense val="0"/>
        <extend val="0"/>
        <outline val="0"/>
        <shadow val="0"/>
        <u val="none"/>
        <vertAlign val="baseline"/>
        <sz val="11"/>
        <color rgb="FF5A362F"/>
        <name val="Calibri"/>
        <scheme val="minor"/>
      </font>
      <fill>
        <patternFill patternType="solid">
          <fgColor indexed="64"/>
          <bgColor theme="0" tint="-4.9989318521683403E-2"/>
        </patternFill>
      </fill>
    </dxf>
    <dxf>
      <font>
        <b val="0"/>
        <i val="0"/>
        <strike val="0"/>
        <condense val="0"/>
        <extend val="0"/>
        <outline val="0"/>
        <shadow val="0"/>
        <u val="none"/>
        <vertAlign val="baseline"/>
        <sz val="11"/>
        <color rgb="FF5A362F"/>
        <name val="Calibri"/>
        <scheme val="minor"/>
      </font>
      <fill>
        <patternFill patternType="solid">
          <fgColor indexed="64"/>
          <bgColor theme="0" tint="-4.9989318521683403E-2"/>
        </patternFill>
      </fill>
    </dxf>
    <dxf>
      <font>
        <b val="0"/>
        <i val="0"/>
        <strike val="0"/>
        <condense val="0"/>
        <extend val="0"/>
        <outline val="0"/>
        <shadow val="0"/>
        <u val="none"/>
        <vertAlign val="baseline"/>
        <sz val="11"/>
        <color rgb="FF5A362F"/>
        <name val="Calibri"/>
        <scheme val="minor"/>
      </font>
      <fill>
        <patternFill patternType="solid">
          <fgColor indexed="64"/>
          <bgColor theme="0" tint="-4.9989318521683403E-2"/>
        </patternFill>
      </fill>
    </dxf>
    <dxf>
      <font>
        <b val="0"/>
        <i val="0"/>
        <strike val="0"/>
        <condense val="0"/>
        <extend val="0"/>
        <outline val="0"/>
        <shadow val="0"/>
        <u val="none"/>
        <vertAlign val="baseline"/>
        <sz val="11"/>
        <color rgb="FF5A362F"/>
        <name val="Calibri"/>
        <scheme val="minor"/>
      </font>
      <fill>
        <patternFill patternType="solid">
          <fgColor indexed="64"/>
          <bgColor theme="0" tint="-4.9989318521683403E-2"/>
        </patternFill>
      </fill>
    </dxf>
    <dxf>
      <font>
        <b val="0"/>
        <i val="0"/>
        <strike val="0"/>
        <condense val="0"/>
        <extend val="0"/>
        <outline val="0"/>
        <shadow val="0"/>
        <u val="none"/>
        <vertAlign val="baseline"/>
        <sz val="11"/>
        <color rgb="FF5A362F"/>
        <name val="Calibri"/>
        <scheme val="minor"/>
      </font>
      <fill>
        <patternFill patternType="solid">
          <fgColor indexed="64"/>
          <bgColor theme="0" tint="-4.9989318521683403E-2"/>
        </patternFill>
      </fill>
    </dxf>
    <dxf>
      <font>
        <b val="0"/>
        <i val="0"/>
        <strike val="0"/>
        <condense val="0"/>
        <extend val="0"/>
        <outline val="0"/>
        <shadow val="0"/>
        <u val="none"/>
        <vertAlign val="baseline"/>
        <sz val="11"/>
        <color rgb="FF5A362F"/>
        <name val="Calibri"/>
        <scheme val="minor"/>
      </font>
      <fill>
        <patternFill patternType="solid">
          <fgColor indexed="64"/>
          <bgColor theme="0" tint="-4.9989318521683403E-2"/>
        </patternFill>
      </fill>
    </dxf>
    <dxf>
      <font>
        <b val="0"/>
        <i val="0"/>
        <strike val="0"/>
        <condense val="0"/>
        <extend val="0"/>
        <outline val="0"/>
        <shadow val="0"/>
        <u val="none"/>
        <vertAlign val="baseline"/>
        <sz val="11"/>
        <color rgb="FF5A362F"/>
        <name val="Calibri"/>
        <scheme val="minor"/>
      </font>
      <fill>
        <patternFill patternType="solid">
          <fgColor indexed="64"/>
          <bgColor theme="0" tint="-4.9989318521683403E-2"/>
        </patternFill>
      </fill>
    </dxf>
    <dxf>
      <font>
        <b val="0"/>
        <i val="0"/>
        <strike val="0"/>
        <condense val="0"/>
        <extend val="0"/>
        <outline val="0"/>
        <shadow val="0"/>
        <u val="none"/>
        <vertAlign val="baseline"/>
        <sz val="11"/>
        <color rgb="FF5A362F"/>
        <name val="Calibri"/>
        <scheme val="minor"/>
      </font>
      <fill>
        <patternFill patternType="solid">
          <fgColor indexed="64"/>
          <bgColor theme="0" tint="-4.9989318521683403E-2"/>
        </patternFill>
      </fill>
    </dxf>
    <dxf>
      <font>
        <b val="0"/>
        <i val="0"/>
        <strike val="0"/>
        <condense val="0"/>
        <extend val="0"/>
        <outline val="0"/>
        <shadow val="0"/>
        <u val="none"/>
        <vertAlign val="baseline"/>
        <sz val="11"/>
        <color rgb="FF5A362F"/>
        <name val="Calibri"/>
        <scheme val="minor"/>
      </font>
      <fill>
        <patternFill patternType="solid">
          <fgColor indexed="64"/>
          <bgColor theme="0" tint="-4.9989318521683403E-2"/>
        </patternFill>
      </fill>
    </dxf>
    <dxf>
      <font>
        <b val="0"/>
        <i val="0"/>
        <strike val="0"/>
        <condense val="0"/>
        <extend val="0"/>
        <outline val="0"/>
        <shadow val="0"/>
        <u val="none"/>
        <vertAlign val="baseline"/>
        <sz val="11"/>
        <color rgb="FF5A362F"/>
        <name val="Calibri"/>
        <scheme val="minor"/>
      </font>
      <fill>
        <patternFill patternType="solid">
          <fgColor indexed="64"/>
          <bgColor theme="0" tint="-4.9989318521683403E-2"/>
        </patternFill>
      </fill>
    </dxf>
    <dxf>
      <font>
        <b val="0"/>
        <i val="0"/>
        <strike val="0"/>
        <condense val="0"/>
        <extend val="0"/>
        <outline val="0"/>
        <shadow val="0"/>
        <u val="none"/>
        <vertAlign val="baseline"/>
        <sz val="11"/>
        <color rgb="FF5A362F"/>
        <name val="Calibri"/>
        <scheme val="minor"/>
      </font>
      <fill>
        <patternFill patternType="solid">
          <fgColor indexed="64"/>
          <bgColor theme="0" tint="-4.9989318521683403E-2"/>
        </patternFill>
      </fill>
    </dxf>
    <dxf>
      <font>
        <b val="0"/>
        <i val="0"/>
        <strike val="0"/>
        <condense val="0"/>
        <extend val="0"/>
        <outline val="0"/>
        <shadow val="0"/>
        <u val="none"/>
        <vertAlign val="baseline"/>
        <sz val="11"/>
        <color rgb="FF5A362F"/>
        <name val="Calibri"/>
        <scheme val="minor"/>
      </font>
      <fill>
        <patternFill patternType="solid">
          <fgColor indexed="64"/>
          <bgColor theme="0" tint="-4.9989318521683403E-2"/>
        </patternFill>
      </fill>
    </dxf>
    <dxf>
      <font>
        <b val="0"/>
        <i val="0"/>
        <strike val="0"/>
        <condense val="0"/>
        <extend val="0"/>
        <outline val="0"/>
        <shadow val="0"/>
        <u val="none"/>
        <vertAlign val="baseline"/>
        <sz val="11"/>
        <color rgb="FF5A362F"/>
        <name val="Calibri"/>
        <scheme val="minor"/>
      </font>
      <fill>
        <patternFill patternType="solid">
          <fgColor indexed="64"/>
          <bgColor theme="0" tint="-4.9989318521683403E-2"/>
        </patternFill>
      </fill>
    </dxf>
    <dxf>
      <font>
        <b val="0"/>
        <i val="0"/>
        <strike val="0"/>
        <condense val="0"/>
        <extend val="0"/>
        <outline val="0"/>
        <shadow val="0"/>
        <u val="none"/>
        <vertAlign val="baseline"/>
        <sz val="11"/>
        <color rgb="FF5A362F"/>
        <name val="Calibri"/>
        <scheme val="minor"/>
      </font>
      <fill>
        <patternFill patternType="solid">
          <fgColor indexed="64"/>
          <bgColor theme="0" tint="-4.9989318521683403E-2"/>
        </patternFill>
      </fill>
    </dxf>
    <dxf>
      <font>
        <b val="0"/>
        <i val="0"/>
        <strike val="0"/>
        <condense val="0"/>
        <extend val="0"/>
        <outline val="0"/>
        <shadow val="0"/>
        <u val="none"/>
        <vertAlign val="baseline"/>
        <sz val="11"/>
        <color rgb="FF5A362F"/>
        <name val="Calibri"/>
        <scheme val="minor"/>
      </font>
      <fill>
        <patternFill patternType="solid">
          <fgColor indexed="64"/>
          <bgColor theme="0" tint="-4.9989318521683403E-2"/>
        </patternFill>
      </fill>
    </dxf>
    <dxf>
      <font>
        <b val="0"/>
        <i val="0"/>
        <strike val="0"/>
        <condense val="0"/>
        <extend val="0"/>
        <outline val="0"/>
        <shadow val="0"/>
        <u val="none"/>
        <vertAlign val="baseline"/>
        <sz val="11"/>
        <color rgb="FF5A362F"/>
        <name val="Calibri"/>
        <scheme val="minor"/>
      </font>
      <fill>
        <patternFill patternType="solid">
          <fgColor indexed="64"/>
          <bgColor theme="0" tint="-4.9989318521683403E-2"/>
        </patternFill>
      </fill>
    </dxf>
    <dxf>
      <font>
        <b val="0"/>
        <i val="0"/>
        <strike val="0"/>
        <condense val="0"/>
        <extend val="0"/>
        <outline val="0"/>
        <shadow val="0"/>
        <u val="none"/>
        <vertAlign val="baseline"/>
        <sz val="11"/>
        <color rgb="FF5A362F"/>
        <name val="Calibri"/>
        <scheme val="minor"/>
      </font>
      <fill>
        <patternFill patternType="solid">
          <fgColor indexed="64"/>
          <bgColor theme="0" tint="-4.9989318521683403E-2"/>
        </patternFill>
      </fill>
    </dxf>
    <dxf>
      <font>
        <b val="0"/>
        <i val="0"/>
        <strike val="0"/>
        <condense val="0"/>
        <extend val="0"/>
        <outline val="0"/>
        <shadow val="0"/>
        <u val="none"/>
        <vertAlign val="baseline"/>
        <sz val="11"/>
        <color rgb="FF5A362F"/>
        <name val="Calibri"/>
        <scheme val="minor"/>
      </font>
      <fill>
        <patternFill patternType="solid">
          <fgColor indexed="64"/>
          <bgColor theme="0" tint="-4.9989318521683403E-2"/>
        </patternFill>
      </fill>
    </dxf>
    <dxf>
      <font>
        <b val="0"/>
        <i val="0"/>
        <strike val="0"/>
        <condense val="0"/>
        <extend val="0"/>
        <outline val="0"/>
        <shadow val="0"/>
        <u val="none"/>
        <vertAlign val="baseline"/>
        <sz val="11"/>
        <color rgb="FF5A362F"/>
        <name val="Calibri"/>
        <scheme val="minor"/>
      </font>
      <fill>
        <patternFill patternType="solid">
          <fgColor indexed="64"/>
          <bgColor theme="0" tint="-4.9989318521683403E-2"/>
        </patternFill>
      </fill>
    </dxf>
    <dxf>
      <font>
        <b val="0"/>
        <i val="0"/>
        <strike val="0"/>
        <condense val="0"/>
        <extend val="0"/>
        <outline val="0"/>
        <shadow val="0"/>
        <u val="none"/>
        <vertAlign val="baseline"/>
        <sz val="11"/>
        <color rgb="FF5A362F"/>
        <name val="Calibri"/>
        <scheme val="minor"/>
      </font>
      <fill>
        <patternFill patternType="solid">
          <fgColor indexed="64"/>
          <bgColor theme="0" tint="-4.9989318521683403E-2"/>
        </patternFill>
      </fill>
    </dxf>
    <dxf>
      <font>
        <b val="0"/>
        <i val="0"/>
        <strike val="0"/>
        <condense val="0"/>
        <extend val="0"/>
        <outline val="0"/>
        <shadow val="0"/>
        <u val="none"/>
        <vertAlign val="baseline"/>
        <sz val="11"/>
        <color rgb="FF5A362F"/>
        <name val="Calibri"/>
        <scheme val="minor"/>
      </font>
      <fill>
        <patternFill patternType="solid">
          <fgColor indexed="64"/>
          <bgColor theme="0" tint="-4.9989318521683403E-2"/>
        </patternFill>
      </fill>
    </dxf>
    <dxf>
      <font>
        <b val="0"/>
        <i val="0"/>
        <strike val="0"/>
        <condense val="0"/>
        <extend val="0"/>
        <outline val="0"/>
        <shadow val="0"/>
        <u val="none"/>
        <vertAlign val="baseline"/>
        <sz val="11"/>
        <color rgb="FF5A362F"/>
        <name val="Calibri"/>
        <scheme val="minor"/>
      </font>
      <fill>
        <patternFill patternType="solid">
          <fgColor indexed="64"/>
          <bgColor theme="0" tint="-4.9989318521683403E-2"/>
        </patternFill>
      </fill>
    </dxf>
    <dxf>
      <font>
        <b val="0"/>
        <i val="0"/>
        <strike val="0"/>
        <condense val="0"/>
        <extend val="0"/>
        <outline val="0"/>
        <shadow val="0"/>
        <u val="none"/>
        <vertAlign val="baseline"/>
        <sz val="11"/>
        <color rgb="FF5A362F"/>
        <name val="Calibri"/>
        <scheme val="minor"/>
      </font>
      <numFmt numFmtId="14" formatCode="0.00%"/>
      <fill>
        <patternFill patternType="solid">
          <fgColor indexed="64"/>
          <bgColor theme="0" tint="-4.9989318521683403E-2"/>
        </patternFill>
      </fill>
      <alignment horizontal="right" vertical="bottom" textRotation="0" wrapText="0" indent="0" justifyLastLine="0" shrinkToFit="0" readingOrder="0"/>
    </dxf>
    <dxf>
      <font>
        <b val="0"/>
        <i val="0"/>
        <strike val="0"/>
        <condense val="0"/>
        <extend val="0"/>
        <outline val="0"/>
        <shadow val="0"/>
        <u val="none"/>
        <vertAlign val="baseline"/>
        <sz val="11"/>
        <color rgb="FF5A362F"/>
        <name val="Calibri"/>
        <scheme val="minor"/>
      </font>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11"/>
        <color rgb="FF5A362F"/>
        <name val="Calibri"/>
        <scheme val="minor"/>
      </font>
      <fill>
        <patternFill patternType="solid">
          <fgColor indexed="64"/>
          <bgColor theme="0" tint="-4.9989318521683403E-2"/>
        </patternFill>
      </fill>
    </dxf>
    <dxf>
      <fill>
        <patternFill patternType="solid">
          <fgColor indexed="64"/>
          <bgColor theme="0" tint="-4.9989318521683403E-2"/>
        </patternFill>
      </fill>
    </dxf>
    <dxf>
      <font>
        <b val="0"/>
        <i val="0"/>
        <strike val="0"/>
        <condense val="0"/>
        <extend val="0"/>
        <outline val="0"/>
        <shadow val="0"/>
        <u val="none"/>
        <vertAlign val="baseline"/>
        <sz val="11"/>
        <color rgb="FF5A362F"/>
        <name val="Calibri"/>
        <scheme val="minor"/>
      </font>
      <fill>
        <patternFill patternType="solid">
          <fgColor indexed="64"/>
          <bgColor theme="0" tint="-4.9989318521683403E-2"/>
        </patternFill>
      </fill>
    </dxf>
    <dxf>
      <font>
        <b val="0"/>
        <i val="0"/>
        <strike val="0"/>
        <condense val="0"/>
        <extend val="0"/>
        <outline val="0"/>
        <shadow val="0"/>
        <u val="none"/>
        <vertAlign val="baseline"/>
        <sz val="11"/>
        <color rgb="FF5A362F"/>
        <name val="Calibri"/>
        <scheme val="minor"/>
      </font>
      <fill>
        <patternFill patternType="solid">
          <fgColor indexed="64"/>
          <bgColor theme="0" tint="-4.9989318521683403E-2"/>
        </patternFill>
      </fill>
    </dxf>
    <dxf>
      <font>
        <b val="0"/>
        <i val="0"/>
        <strike val="0"/>
        <condense val="0"/>
        <extend val="0"/>
        <outline val="0"/>
        <shadow val="0"/>
        <u val="none"/>
        <vertAlign val="baseline"/>
        <sz val="11"/>
        <color rgb="FF5A362F"/>
        <name val="Calibri"/>
        <scheme val="minor"/>
      </font>
      <fill>
        <patternFill patternType="solid">
          <fgColor indexed="64"/>
          <bgColor theme="0" tint="-4.9989318521683403E-2"/>
        </patternFill>
      </fill>
    </dxf>
    <dxf>
      <font>
        <b val="0"/>
        <i val="0"/>
        <strike val="0"/>
        <condense val="0"/>
        <extend val="0"/>
        <outline val="0"/>
        <shadow val="0"/>
        <u val="none"/>
        <vertAlign val="baseline"/>
        <sz val="11"/>
        <color rgb="FF5A362F"/>
        <name val="Calibri"/>
        <scheme val="minor"/>
      </font>
      <fill>
        <patternFill patternType="solid">
          <fgColor indexed="64"/>
          <bgColor theme="0" tint="-4.9989318521683403E-2"/>
        </patternFill>
      </fill>
    </dxf>
    <dxf>
      <font>
        <b val="0"/>
        <i val="0"/>
        <strike val="0"/>
        <condense val="0"/>
        <extend val="0"/>
        <outline val="0"/>
        <shadow val="0"/>
        <u val="none"/>
        <vertAlign val="baseline"/>
        <sz val="11"/>
        <color rgb="FF5A362F"/>
        <name val="Calibri"/>
        <scheme val="minor"/>
      </font>
      <fill>
        <patternFill patternType="solid">
          <fgColor indexed="64"/>
          <bgColor theme="0" tint="-4.9989318521683403E-2"/>
        </patternFill>
      </fill>
    </dxf>
    <dxf>
      <font>
        <b val="0"/>
        <i val="0"/>
        <strike val="0"/>
        <condense val="0"/>
        <extend val="0"/>
        <outline val="0"/>
        <shadow val="0"/>
        <u val="none"/>
        <vertAlign val="baseline"/>
        <sz val="11"/>
        <color rgb="FF5A362F"/>
        <name val="Calibri"/>
        <scheme val="minor"/>
      </font>
      <fill>
        <patternFill patternType="solid">
          <fgColor indexed="64"/>
          <bgColor theme="0" tint="-4.9989318521683403E-2"/>
        </patternFill>
      </fill>
    </dxf>
    <dxf>
      <font>
        <b val="0"/>
        <i val="0"/>
        <strike val="0"/>
        <condense val="0"/>
        <extend val="0"/>
        <outline val="0"/>
        <shadow val="0"/>
        <u val="none"/>
        <vertAlign val="baseline"/>
        <sz val="11"/>
        <color rgb="FF5A362F"/>
        <name val="Calibri"/>
        <scheme val="minor"/>
      </font>
      <fill>
        <patternFill patternType="solid">
          <fgColor indexed="64"/>
          <bgColor theme="0" tint="-4.9989318521683403E-2"/>
        </patternFill>
      </fill>
    </dxf>
    <dxf>
      <font>
        <b val="0"/>
        <i val="0"/>
        <strike val="0"/>
        <condense val="0"/>
        <extend val="0"/>
        <outline val="0"/>
        <shadow val="0"/>
        <u val="none"/>
        <vertAlign val="baseline"/>
        <sz val="11"/>
        <color rgb="FF5A362F"/>
        <name val="Calibri"/>
        <scheme val="minor"/>
      </font>
      <fill>
        <patternFill patternType="solid">
          <fgColor indexed="64"/>
          <bgColor theme="0" tint="-4.9989318521683403E-2"/>
        </patternFill>
      </fill>
    </dxf>
    <dxf>
      <font>
        <b val="0"/>
        <i val="0"/>
        <strike val="0"/>
        <condense val="0"/>
        <extend val="0"/>
        <outline val="0"/>
        <shadow val="0"/>
        <u val="none"/>
        <vertAlign val="baseline"/>
        <sz val="11"/>
        <color rgb="FF5A362F"/>
        <name val="Calibri"/>
        <scheme val="minor"/>
      </font>
      <fill>
        <patternFill patternType="solid">
          <fgColor indexed="64"/>
          <bgColor theme="0" tint="-4.9989318521683403E-2"/>
        </patternFill>
      </fill>
    </dxf>
    <dxf>
      <font>
        <b val="0"/>
        <i val="0"/>
        <strike val="0"/>
        <condense val="0"/>
        <extend val="0"/>
        <outline val="0"/>
        <shadow val="0"/>
        <u val="none"/>
        <vertAlign val="baseline"/>
        <sz val="11"/>
        <color rgb="FF5A362F"/>
        <name val="Calibri"/>
        <scheme val="minor"/>
      </font>
      <fill>
        <patternFill patternType="solid">
          <fgColor indexed="64"/>
          <bgColor theme="0" tint="-4.9989318521683403E-2"/>
        </patternFill>
      </fill>
    </dxf>
    <dxf>
      <font>
        <b val="0"/>
        <i val="0"/>
        <strike val="0"/>
        <condense val="0"/>
        <extend val="0"/>
        <outline val="0"/>
        <shadow val="0"/>
        <u val="none"/>
        <vertAlign val="baseline"/>
        <sz val="11"/>
        <color rgb="FF5A362F"/>
        <name val="Calibri"/>
        <scheme val="minor"/>
      </font>
      <fill>
        <patternFill patternType="solid">
          <fgColor indexed="64"/>
          <bgColor theme="0" tint="-4.9989318521683403E-2"/>
        </patternFill>
      </fill>
    </dxf>
    <dxf>
      <font>
        <b val="0"/>
        <i val="0"/>
        <strike val="0"/>
        <condense val="0"/>
        <extend val="0"/>
        <outline val="0"/>
        <shadow val="0"/>
        <u val="none"/>
        <vertAlign val="baseline"/>
        <sz val="11"/>
        <color rgb="FF5A362F"/>
        <name val="Calibri"/>
        <scheme val="minor"/>
      </font>
      <fill>
        <patternFill patternType="solid">
          <fgColor indexed="64"/>
          <bgColor theme="0" tint="-4.9989318521683403E-2"/>
        </patternFill>
      </fill>
    </dxf>
    <dxf>
      <font>
        <b val="0"/>
        <i val="0"/>
        <strike val="0"/>
        <condense val="0"/>
        <extend val="0"/>
        <outline val="0"/>
        <shadow val="0"/>
        <u val="none"/>
        <vertAlign val="baseline"/>
        <sz val="11"/>
        <color rgb="FF5A362F"/>
        <name val="Calibri"/>
        <scheme val="minor"/>
      </font>
      <fill>
        <patternFill patternType="solid">
          <fgColor indexed="64"/>
          <bgColor theme="0" tint="-4.9989318521683403E-2"/>
        </patternFill>
      </fill>
    </dxf>
    <dxf>
      <font>
        <b val="0"/>
        <i val="0"/>
        <strike val="0"/>
        <condense val="0"/>
        <extend val="0"/>
        <outline val="0"/>
        <shadow val="0"/>
        <u val="none"/>
        <vertAlign val="baseline"/>
        <sz val="11"/>
        <color rgb="FF5A362F"/>
        <name val="Calibri"/>
        <scheme val="minor"/>
      </font>
      <fill>
        <patternFill patternType="solid">
          <fgColor indexed="64"/>
          <bgColor theme="0" tint="-4.9989318521683403E-2"/>
        </patternFill>
      </fill>
    </dxf>
    <dxf>
      <font>
        <b/>
        <i val="0"/>
      </font>
      <border>
        <bottom style="thin">
          <color rgb="FF5A362F"/>
        </bottom>
      </border>
    </dxf>
    <dxf>
      <fill>
        <patternFill>
          <bgColor theme="0" tint="-4.9989318521683403E-2"/>
        </patternFill>
      </fill>
      <border>
        <left style="medium">
          <color rgb="FF5A362F"/>
        </left>
        <right style="medium">
          <color rgb="FF5A362F"/>
        </right>
        <top style="medium">
          <color rgb="FF5A362F"/>
        </top>
        <bottom style="medium">
          <color rgb="FF5A362F"/>
        </bottom>
        <horizontal style="dotted">
          <color rgb="FF5A362F"/>
        </horizontal>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alignment horizontal="center" vertical="center" textRotation="0" wrapText="1" indent="0" justifyLastLine="0" shrinkToFit="0" readingOrder="0"/>
      <border diagonalUp="0" diagonalDown="0">
        <left/>
        <right/>
        <top/>
        <bottom style="medium">
          <color rgb="FFCCCCCC"/>
        </bottom>
        <vertical/>
        <horizontal/>
      </border>
    </dxf>
    <dxf>
      <font>
        <b val="0"/>
        <i val="0"/>
        <strike val="0"/>
        <condense val="0"/>
        <extend val="0"/>
        <outline val="0"/>
        <shadow val="0"/>
        <u val="none"/>
        <vertAlign val="baseline"/>
        <sz val="11"/>
        <color rgb="FFFF0000"/>
        <name val="Calibri"/>
        <family val="2"/>
        <scheme val="minor"/>
      </font>
      <alignment horizontal="center" vertical="center" textRotation="0" wrapText="1" indent="0" justifyLastLine="0" shrinkToFit="0" readingOrder="0"/>
      <border diagonalUp="0" diagonalDown="0" outline="0">
        <left/>
        <right/>
        <top/>
        <bottom style="medium">
          <color rgb="FFCCCCCC"/>
        </bottom>
      </border>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alignment horizontal="center" vertical="center" textRotation="0" wrapText="1" indent="0" justifyLastLine="0" shrinkToFit="0" readingOrder="0"/>
      <border diagonalUp="0" diagonalDown="0">
        <left/>
        <right/>
        <top/>
        <bottom style="medium">
          <color rgb="FFCCCCCC"/>
        </bottom>
        <vertical/>
        <horizontal/>
      </border>
    </dxf>
    <dxf>
      <font>
        <b val="0"/>
        <i val="0"/>
        <strike val="0"/>
        <condense val="0"/>
        <extend val="0"/>
        <outline val="0"/>
        <shadow val="0"/>
        <u val="none"/>
        <vertAlign val="baseline"/>
        <sz val="11"/>
        <color rgb="FFFF0000"/>
        <name val="Calibri"/>
        <family val="2"/>
        <scheme val="minor"/>
      </font>
      <alignment horizontal="center" vertical="center" textRotation="0" wrapText="1" indent="0" justifyLastLine="0" shrinkToFit="0" readingOrder="0"/>
      <border diagonalUp="0" diagonalDown="0" outline="0">
        <left/>
        <right/>
        <top/>
        <bottom style="medium">
          <color rgb="FFCCCCCC"/>
        </bottom>
      </border>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alignment horizontal="center" vertical="center" textRotation="0" wrapText="1" indent="0" justifyLastLine="0" shrinkToFit="0" readingOrder="0"/>
      <border diagonalUp="0" diagonalDown="0">
        <left/>
        <right/>
        <top/>
        <bottom style="medium">
          <color rgb="FFCCCCCC"/>
        </bottom>
        <vertical/>
        <horizontal/>
      </border>
    </dxf>
    <dxf>
      <font>
        <b val="0"/>
        <i val="0"/>
        <strike val="0"/>
        <condense val="0"/>
        <extend val="0"/>
        <outline val="0"/>
        <shadow val="0"/>
        <u val="none"/>
        <vertAlign val="baseline"/>
        <sz val="11"/>
        <color rgb="FFFF0000"/>
        <name val="Calibri"/>
        <family val="2"/>
        <scheme val="minor"/>
      </font>
      <alignment horizontal="center" vertical="center" textRotation="0" wrapText="1" indent="0" justifyLastLine="0" shrinkToFit="0" readingOrder="0"/>
      <border diagonalUp="0" diagonalDown="0" outline="0">
        <left/>
        <right/>
        <top/>
        <bottom style="medium">
          <color rgb="FFCCCCCC"/>
        </bottom>
      </border>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alignment horizontal="center" vertical="center" textRotation="0" wrapText="1" indent="0" justifyLastLine="0" shrinkToFit="0" readingOrder="0"/>
      <border diagonalUp="0" diagonalDown="0">
        <left/>
        <right/>
        <top/>
        <bottom style="medium">
          <color rgb="FFCCCCCC"/>
        </bottom>
        <vertical/>
        <horizontal/>
      </border>
    </dxf>
    <dxf>
      <font>
        <b val="0"/>
        <i val="0"/>
        <strike val="0"/>
        <condense val="0"/>
        <extend val="0"/>
        <outline val="0"/>
        <shadow val="0"/>
        <u val="none"/>
        <vertAlign val="baseline"/>
        <sz val="11"/>
        <color rgb="FFFF0000"/>
        <name val="Calibri"/>
        <family val="2"/>
        <scheme val="minor"/>
      </font>
      <alignment horizontal="center" vertical="center" textRotation="0" wrapText="1" indent="0" justifyLastLine="0" shrinkToFit="0" readingOrder="0"/>
      <border diagonalUp="0" diagonalDown="0" outline="0">
        <left/>
        <right/>
        <top/>
        <bottom style="medium">
          <color rgb="FFCCCCCC"/>
        </bottom>
      </border>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alignment horizontal="center" vertical="center" textRotation="0" wrapText="1" indent="0" justifyLastLine="0" shrinkToFit="0" readingOrder="0"/>
      <border diagonalUp="0" diagonalDown="0">
        <left/>
        <right/>
        <top/>
        <bottom style="medium">
          <color rgb="FFCCCCCC"/>
        </bottom>
        <vertical/>
        <horizontal/>
      </border>
    </dxf>
    <dxf>
      <font>
        <b val="0"/>
        <i val="0"/>
        <strike val="0"/>
        <condense val="0"/>
        <extend val="0"/>
        <outline val="0"/>
        <shadow val="0"/>
        <u val="none"/>
        <vertAlign val="baseline"/>
        <sz val="11"/>
        <color rgb="FFFF0000"/>
        <name val="Calibri"/>
        <family val="2"/>
        <scheme val="minor"/>
      </font>
      <alignment horizontal="center" vertical="center" textRotation="0" wrapText="1" indent="0" justifyLastLine="0" shrinkToFit="0" readingOrder="0"/>
      <border diagonalUp="0" diagonalDown="0" outline="0">
        <left/>
        <right/>
        <top/>
        <bottom style="medium">
          <color rgb="FFCCCCCC"/>
        </bottom>
      </border>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alignment horizontal="center" vertical="center" textRotation="0" wrapText="1" indent="0" justifyLastLine="0" shrinkToFit="0" readingOrder="0"/>
      <border diagonalUp="0" diagonalDown="0">
        <left/>
        <right/>
        <top/>
        <bottom style="medium">
          <color rgb="FFCCCCCC"/>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alignment horizontal="center" vertical="center" textRotation="0" wrapText="1" indent="0" justifyLastLine="0" shrinkToFit="0" readingOrder="0"/>
      <border diagonalUp="0" diagonalDown="0">
        <left/>
        <right/>
        <top/>
        <bottom style="medium">
          <color rgb="FFCCCCCC"/>
        </bottom>
        <vertical/>
        <horizontal/>
      </border>
    </dxf>
    <dxf>
      <font>
        <b val="0"/>
        <i val="0"/>
        <strike val="0"/>
        <condense val="0"/>
        <extend val="0"/>
        <outline val="0"/>
        <shadow val="0"/>
        <u val="none"/>
        <vertAlign val="baseline"/>
        <sz val="11"/>
        <color rgb="FF000000"/>
        <name val="Calibri"/>
        <family val="2"/>
        <scheme val="minor"/>
      </font>
      <alignment horizontal="center" vertical="center" textRotation="0" wrapText="1" indent="0" justifyLastLine="0" shrinkToFit="0" readingOrder="0"/>
      <border diagonalUp="0" diagonalDown="0" outline="0">
        <left/>
        <right/>
        <top/>
        <bottom style="medium">
          <color rgb="FFCCCCCC"/>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alignment horizontal="center" vertical="center" textRotation="0" wrapText="1" indent="0" justifyLastLine="0" shrinkToFit="0" readingOrder="0"/>
      <border diagonalUp="0" diagonalDown="0" outline="0">
        <left/>
        <right/>
        <top/>
        <bottom style="medium">
          <color rgb="FFCCCCCC"/>
        </bottom>
      </border>
    </dxf>
    <dxf>
      <font>
        <b val="0"/>
        <i val="0"/>
        <strike val="0"/>
        <condense val="0"/>
        <extend val="0"/>
        <outline val="0"/>
        <shadow val="0"/>
        <u val="none"/>
        <vertAlign val="baseline"/>
        <sz val="11"/>
        <color rgb="FF000000"/>
        <name val="Calibri"/>
        <family val="2"/>
        <scheme val="minor"/>
      </font>
      <alignment horizontal="center" vertical="center" textRotation="0" wrapText="1" indent="0" justifyLastLine="0" shrinkToFit="0" readingOrder="0"/>
      <border diagonalUp="0" diagonalDown="0" outline="0">
        <left/>
        <right/>
        <top/>
        <bottom style="medium">
          <color rgb="FFCCCCCC"/>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0" formatCode="Genera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0" formatCode="General"/>
      <alignment horizontal="center" vertical="bottom" textRotation="0" wrapText="0" indent="0" justifyLastLine="0" shrinkToFit="0" readingOrder="0"/>
      <border diagonalUp="0" diagonalDown="0">
        <left style="thin">
          <color theme="4" tint="0.39997558519241921"/>
        </left>
        <right/>
        <top style="thin">
          <color theme="4" tint="0.39997558519241921"/>
        </top>
        <bottom style="thin">
          <color theme="4" tint="0.39997558519241921"/>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1"/>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1"/>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0" formatCode="General"/>
      <alignment horizontal="center" vertical="bottom" textRotation="0" wrapText="0" indent="0" justifyLastLine="0" shrinkToFit="0" readingOrder="0"/>
      <border diagonalUp="0" diagonalDown="0">
        <left style="thin">
          <color theme="4" tint="0.39997558519241921"/>
        </left>
        <right/>
        <top style="thin">
          <color theme="4" tint="0.39997558519241921"/>
        </top>
        <bottom style="thin">
          <color theme="4" tint="0.39997558519241921"/>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0" formatCode="General"/>
      <alignment horizontal="center" vertical="bottom" textRotation="0" wrapText="0" indent="0" justifyLastLine="0" shrinkToFit="0" readingOrder="0"/>
      <border diagonalUp="0" diagonalDown="0" outline="0">
        <left style="thin">
          <color theme="4" tint="0.39997558519241921"/>
        </left>
        <right/>
        <top style="thin">
          <color theme="4" tint="0.39997558519241921"/>
        </top>
        <bottom style="thin">
          <color theme="4" tint="0.39997558519241921"/>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0" formatCode="General"/>
      <alignment horizontal="center" vertical="bottom" textRotation="0" wrapText="0" indent="0" justifyLastLine="0" shrinkToFit="0" readingOrder="0"/>
      <border diagonalUp="0" diagonalDown="0">
        <left style="thin">
          <color theme="4" tint="0.39997558519241921"/>
        </left>
        <right/>
        <top style="thin">
          <color theme="4" tint="0.39997558519241921"/>
        </top>
        <bottom style="thin">
          <color theme="4" tint="0.39997558519241921"/>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0" formatCode="General"/>
      <alignment horizontal="center" vertical="bottom" textRotation="0" wrapText="0" indent="0" justifyLastLine="0" shrinkToFit="0" readingOrder="0"/>
      <border diagonalUp="0" diagonalDown="0">
        <left style="thin">
          <color theme="4" tint="0.39997558519241921"/>
        </left>
        <right/>
        <top style="thin">
          <color theme="4" tint="0.39997558519241921"/>
        </top>
        <bottom style="thin">
          <color theme="4" tint="0.39997558519241921"/>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0" formatCode="General"/>
      <alignment horizontal="center" vertical="bottom" textRotation="0" wrapText="0" indent="0" justifyLastLine="0" shrinkToFit="0" readingOrder="0"/>
      <border diagonalUp="0" diagonalDown="0">
        <left style="thin">
          <color theme="4" tint="0.39997558519241921"/>
        </left>
        <right/>
        <top style="thin">
          <color theme="4" tint="0.39997558519241921"/>
        </top>
        <bottom style="thin">
          <color theme="4" tint="0.39997558519241921"/>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left"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style="thin">
          <color theme="4" tint="0.39997558519241921"/>
        </right>
        <top style="thin">
          <color theme="4" tint="0.39997558519241921"/>
        </top>
        <bottom style="thin">
          <color theme="4" tint="0.39997558519241921"/>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style="thin">
          <color theme="4" tint="0.39997558519241921"/>
        </right>
        <top style="thin">
          <color theme="4" tint="0.39997558519241921"/>
        </top>
        <bottom style="thin">
          <color theme="4" tint="0.39997558519241921"/>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theme="0"/>
        </patternFill>
      </fill>
      <alignment horizontal="center" vertical="bottom" textRotation="0" wrapText="0" indent="0" justifyLastLine="0" shrinkToFit="0" readingOrder="0"/>
      <border diagonalUp="0" diagonalDown="0" outline="0">
        <left/>
        <right style="thin">
          <color theme="4" tint="0.39997558519241921"/>
        </right>
        <top style="thin">
          <color theme="4" tint="0.39997558519241921"/>
        </top>
        <bottom style="thin">
          <color theme="4" tint="0.39997558519241921"/>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4"/>
        <color rgb="FF000000"/>
        <name val="Times New Roman"/>
        <family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minor"/>
      </font>
      <alignment horizontal="center" vertical="center" textRotation="0" wrapText="0" indent="0" justifyLastLine="0" shrinkToFit="0" readingOrder="0"/>
    </dxf>
    <dxf>
      <border diagonalUp="0" diagonalDown="0">
        <left style="medium">
          <color auto="1"/>
        </left>
        <right style="medium">
          <color auto="1"/>
        </right>
        <top style="medium">
          <color auto="1"/>
        </top>
        <bottom style="medium">
          <color auto="1"/>
        </bottom>
      </border>
    </dxf>
    <dxf>
      <font>
        <b val="0"/>
        <i val="0"/>
        <strike val="0"/>
        <condense val="0"/>
        <extend val="0"/>
        <outline val="0"/>
        <shadow val="0"/>
        <u val="none"/>
        <vertAlign val="baseline"/>
        <sz val="14"/>
        <color rgb="FF000000"/>
        <name val="Times New Roman"/>
        <family val="1"/>
        <scheme val="none"/>
      </font>
      <alignment horizontal="center" vertical="center" textRotation="0" wrapText="0" indent="0" justifyLastLine="0" shrinkToFit="0" readingOrder="0"/>
    </dxf>
    <dxf>
      <font>
        <b val="0"/>
        <i val="0"/>
        <strike val="0"/>
        <condense val="0"/>
        <extend val="0"/>
        <outline val="0"/>
        <shadow val="0"/>
        <u val="none"/>
        <vertAlign val="baseline"/>
        <sz val="14"/>
        <color rgb="FF000000"/>
        <name val="Times New Roman"/>
        <family val="1"/>
        <scheme val="none"/>
      </font>
      <alignment horizontal="center" vertical="center"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right style="medium">
          <color indexed="64"/>
        </right>
        <vertical/>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style="medium">
          <color auto="1"/>
        </left>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right style="medium">
          <color indexed="64"/>
        </right>
        <vertical/>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style="medium">
          <color auto="1"/>
        </left>
      </border>
    </dxf>
    <dxf>
      <alignment horizontal="center" vertical="bottom" textRotation="0" wrapText="0" indent="0" justifyLastLine="0" shrinkToFit="0" readingOrder="0"/>
    </dxf>
    <dxf>
      <border diagonalUp="0" diagonalDown="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right style="medium">
          <color indexed="64"/>
        </right>
        <vertical/>
      </border>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4"/>
        <color rgb="FF000000"/>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alignment horizontal="center" vertical="center"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4"/>
        <color theme="1"/>
        <name val="Times New Roman"/>
        <family val="1"/>
        <scheme val="none"/>
      </font>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4"/>
        <color theme="1"/>
        <name val="Times New Roman"/>
        <family val="1"/>
        <scheme val="none"/>
      </font>
      <numFmt numFmtId="0" formatCode="General"/>
      <alignment horizontal="center" vertical="bottom" textRotation="0" wrapText="0" indent="0" justifyLastLine="0" shrinkToFit="0" readingOrder="0"/>
      <border diagonalUp="0" diagonalDown="0" outline="0">
        <left style="thin">
          <color theme="4" tint="0.39997558519241921"/>
        </left>
        <right/>
        <top style="thin">
          <color theme="4" tint="0.39997558519241921"/>
        </top>
        <bottom style="thin">
          <color theme="4" tint="0.39997558519241921"/>
        </bottom>
      </border>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outline="0">
        <left/>
        <right style="medium">
          <color indexed="64"/>
        </right>
        <top/>
        <bottom/>
      </border>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dxf>
    <dxf>
      <border diagonalUp="0" diagonalDown="0">
        <left style="medium">
          <color auto="1"/>
        </left>
        <right style="medium">
          <color auto="1"/>
        </right>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outline="0">
        <left/>
        <right style="medium">
          <color indexed="64"/>
        </right>
        <top/>
        <bottom/>
      </border>
    </dxf>
    <dxf>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b/>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b/>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4"/>
        <color theme="1"/>
        <name val="Times New Roman"/>
        <family val="1"/>
        <scheme val="none"/>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b/>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4"/>
        <color rgb="FF000000"/>
        <name val="Times New Roman"/>
        <family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minor"/>
      </font>
      <alignment horizontal="center" vertical="center" textRotation="0" wrapText="0" indent="0" justifyLastLine="0" shrinkToFit="0" readingOrder="0"/>
    </dxf>
    <dxf>
      <border diagonalUp="0" diagonalDown="0">
        <left style="medium">
          <color auto="1"/>
        </left>
        <right style="medium">
          <color auto="1"/>
        </right>
        <top style="medium">
          <color auto="1"/>
        </top>
        <bottom style="medium">
          <color auto="1"/>
        </bottom>
      </border>
    </dxf>
    <dxf>
      <font>
        <b val="0"/>
        <i val="0"/>
        <strike val="0"/>
        <condense val="0"/>
        <extend val="0"/>
        <outline val="0"/>
        <shadow val="0"/>
        <u val="none"/>
        <vertAlign val="baseline"/>
        <sz val="14"/>
        <color rgb="FF000000"/>
        <name val="Times New Roman"/>
        <family val="1"/>
        <scheme val="none"/>
      </font>
      <alignment horizontal="center" vertical="center" textRotation="0" wrapText="0" indent="0" justifyLastLine="0" shrinkToFit="0" readingOrder="0"/>
    </dxf>
    <dxf>
      <font>
        <b val="0"/>
        <i val="0"/>
        <strike val="0"/>
        <condense val="0"/>
        <extend val="0"/>
        <outline val="0"/>
        <shadow val="0"/>
        <u val="none"/>
        <vertAlign val="baseline"/>
        <sz val="14"/>
        <color rgb="FF000000"/>
        <name val="Times New Roman"/>
        <family val="1"/>
        <scheme val="none"/>
      </font>
      <alignment horizontal="center" vertical="center"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right style="medium">
          <color indexed="64"/>
        </right>
        <vertical/>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style="medium">
          <color auto="1"/>
        </left>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right style="medium">
          <color indexed="64"/>
        </right>
        <vertical/>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style="medium">
          <color auto="1"/>
        </left>
      </border>
    </dxf>
    <dxf>
      <alignment horizontal="center" vertical="bottom" textRotation="0" wrapText="0" indent="0" justifyLastLine="0" shrinkToFit="0" readingOrder="0"/>
    </dxf>
    <dxf>
      <border diagonalUp="0" diagonalDown="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right style="medium">
          <color indexed="64"/>
        </right>
        <vertical/>
      </border>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4"/>
        <color rgb="FF000000"/>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alignment horizontal="center" vertical="center"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4"/>
        <color theme="1"/>
        <name val="Times New Roman"/>
        <family val="1"/>
        <scheme val="none"/>
      </font>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4"/>
        <color theme="1"/>
        <name val="Times New Roman"/>
        <family val="1"/>
        <scheme val="none"/>
      </font>
      <numFmt numFmtId="0" formatCode="General"/>
      <alignment horizontal="center" vertical="bottom" textRotation="0" wrapText="0" indent="0" justifyLastLine="0" shrinkToFit="0" readingOrder="0"/>
      <border diagonalUp="0" diagonalDown="0" outline="0">
        <left style="thin">
          <color theme="4" tint="0.39997558519241921"/>
        </left>
        <right/>
        <top style="thin">
          <color theme="4" tint="0.39997558519241921"/>
        </top>
        <bottom style="thin">
          <color theme="4" tint="0.39997558519241921"/>
        </bottom>
      </border>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outline="0">
        <left/>
        <right style="medium">
          <color indexed="64"/>
        </right>
        <top/>
        <bottom/>
      </border>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dxf>
    <dxf>
      <border diagonalUp="0" diagonalDown="0">
        <left style="medium">
          <color auto="1"/>
        </left>
        <right style="medium">
          <color auto="1"/>
        </right>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outline="0">
        <left/>
        <right style="medium">
          <color indexed="64"/>
        </right>
        <top/>
        <bottom/>
      </border>
    </dxf>
    <dxf>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b/>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b/>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4"/>
        <color theme="1"/>
        <name val="Times New Roman"/>
        <family val="1"/>
        <scheme val="none"/>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b/>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4"/>
        <color rgb="FF000000"/>
        <name val="Times New Roman"/>
        <family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minor"/>
      </font>
      <alignment horizontal="center" vertical="center" textRotation="0" wrapText="0" indent="0" justifyLastLine="0" shrinkToFit="0" readingOrder="0"/>
    </dxf>
    <dxf>
      <border diagonalUp="0" diagonalDown="0">
        <left style="medium">
          <color auto="1"/>
        </left>
        <right style="medium">
          <color auto="1"/>
        </right>
        <top style="medium">
          <color auto="1"/>
        </top>
        <bottom style="medium">
          <color auto="1"/>
        </bottom>
      </border>
    </dxf>
    <dxf>
      <font>
        <b val="0"/>
        <i val="0"/>
        <strike val="0"/>
        <condense val="0"/>
        <extend val="0"/>
        <outline val="0"/>
        <shadow val="0"/>
        <u val="none"/>
        <vertAlign val="baseline"/>
        <sz val="14"/>
        <color rgb="FF000000"/>
        <name val="Times New Roman"/>
        <family val="1"/>
        <scheme val="none"/>
      </font>
      <alignment horizontal="center" vertical="center" textRotation="0" wrapText="0" indent="0" justifyLastLine="0" shrinkToFit="0" readingOrder="0"/>
    </dxf>
    <dxf>
      <font>
        <b val="0"/>
        <i val="0"/>
        <strike val="0"/>
        <condense val="0"/>
        <extend val="0"/>
        <outline val="0"/>
        <shadow val="0"/>
        <u val="none"/>
        <vertAlign val="baseline"/>
        <sz val="14"/>
        <color rgb="FF000000"/>
        <name val="Times New Roman"/>
        <family val="1"/>
        <scheme val="none"/>
      </font>
      <alignment horizontal="center" vertical="center"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right style="medium">
          <color indexed="64"/>
        </right>
        <vertical/>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style="medium">
          <color auto="1"/>
        </left>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right style="medium">
          <color indexed="64"/>
        </right>
        <vertical/>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style="medium">
          <color auto="1"/>
        </left>
      </border>
    </dxf>
    <dxf>
      <alignment horizontal="center" vertical="bottom" textRotation="0" wrapText="0" indent="0" justifyLastLine="0" shrinkToFit="0" readingOrder="0"/>
    </dxf>
    <dxf>
      <border diagonalUp="0" diagonalDown="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right style="medium">
          <color indexed="64"/>
        </right>
        <vertical/>
      </border>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4"/>
        <color rgb="FF000000"/>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alignment horizontal="center" vertical="center"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4"/>
        <color theme="1"/>
        <name val="Times New Roman"/>
        <family val="1"/>
        <scheme val="none"/>
      </font>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4"/>
        <color theme="1"/>
        <name val="Times New Roman"/>
        <family val="1"/>
        <scheme val="none"/>
      </font>
      <numFmt numFmtId="0" formatCode="General"/>
      <alignment horizontal="center" vertical="bottom" textRotation="0" wrapText="0" indent="0" justifyLastLine="0" shrinkToFit="0" readingOrder="0"/>
      <border diagonalUp="0" diagonalDown="0" outline="0">
        <left style="thin">
          <color theme="4" tint="0.39997558519241921"/>
        </left>
        <right/>
        <top style="thin">
          <color theme="4" tint="0.39997558519241921"/>
        </top>
        <bottom style="thin">
          <color theme="4" tint="0.39997558519241921"/>
        </bottom>
      </border>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outline="0">
        <left/>
        <right style="medium">
          <color indexed="64"/>
        </right>
        <top/>
        <bottom/>
      </border>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dxf>
    <dxf>
      <border diagonalUp="0" diagonalDown="0">
        <left style="medium">
          <color auto="1"/>
        </left>
        <right style="medium">
          <color auto="1"/>
        </right>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outline="0">
        <left/>
        <right style="medium">
          <color indexed="64"/>
        </right>
        <top/>
        <bottom/>
      </border>
    </dxf>
    <dxf>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b/>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b/>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4"/>
        <color theme="1"/>
        <name val="Times New Roman"/>
        <family val="1"/>
        <scheme val="none"/>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b/>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4"/>
        <color rgb="FF000000"/>
        <name val="Times New Roman"/>
        <family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minor"/>
      </font>
      <alignment horizontal="center" vertical="center" textRotation="0" wrapText="0" indent="0" justifyLastLine="0" shrinkToFit="0" readingOrder="0"/>
    </dxf>
    <dxf>
      <border diagonalUp="0" diagonalDown="0">
        <left style="medium">
          <color auto="1"/>
        </left>
        <right style="medium">
          <color auto="1"/>
        </right>
        <top style="medium">
          <color auto="1"/>
        </top>
        <bottom style="medium">
          <color auto="1"/>
        </bottom>
      </border>
    </dxf>
    <dxf>
      <font>
        <b val="0"/>
        <i val="0"/>
        <strike val="0"/>
        <condense val="0"/>
        <extend val="0"/>
        <outline val="0"/>
        <shadow val="0"/>
        <u val="none"/>
        <vertAlign val="baseline"/>
        <sz val="14"/>
        <color rgb="FF000000"/>
        <name val="Times New Roman"/>
        <family val="1"/>
        <scheme val="none"/>
      </font>
      <alignment horizontal="center" vertical="center" textRotation="0" wrapText="0" indent="0" justifyLastLine="0" shrinkToFit="0" readingOrder="0"/>
    </dxf>
    <dxf>
      <font>
        <b val="0"/>
        <i val="0"/>
        <strike val="0"/>
        <condense val="0"/>
        <extend val="0"/>
        <outline val="0"/>
        <shadow val="0"/>
        <u val="none"/>
        <vertAlign val="baseline"/>
        <sz val="14"/>
        <color rgb="FF000000"/>
        <name val="Times New Roman"/>
        <family val="1"/>
        <scheme val="none"/>
      </font>
      <alignment horizontal="center" vertical="center"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right style="medium">
          <color indexed="64"/>
        </right>
        <vertical/>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style="medium">
          <color auto="1"/>
        </left>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right style="medium">
          <color indexed="64"/>
        </right>
        <vertical/>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style="medium">
          <color auto="1"/>
        </left>
      </border>
    </dxf>
    <dxf>
      <alignment horizontal="center" vertical="bottom" textRotation="0" wrapText="0" indent="0" justifyLastLine="0" shrinkToFit="0" readingOrder="0"/>
    </dxf>
    <dxf>
      <border diagonalUp="0" diagonalDown="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right style="medium">
          <color indexed="64"/>
        </right>
        <vertical/>
      </border>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4"/>
        <color rgb="FF000000"/>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alignment horizontal="center" vertical="center"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4"/>
        <color theme="1"/>
        <name val="Times New Roman"/>
        <family val="1"/>
        <scheme val="none"/>
      </font>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4"/>
        <color theme="1"/>
        <name val="Times New Roman"/>
        <family val="1"/>
        <scheme val="none"/>
      </font>
      <numFmt numFmtId="0" formatCode="General"/>
      <alignment horizontal="center" vertical="bottom" textRotation="0" wrapText="0" indent="0" justifyLastLine="0" shrinkToFit="0" readingOrder="0"/>
      <border diagonalUp="0" diagonalDown="0" outline="0">
        <left style="thin">
          <color theme="4" tint="0.39997558519241921"/>
        </left>
        <right/>
        <top style="thin">
          <color theme="4" tint="0.39997558519241921"/>
        </top>
        <bottom style="thin">
          <color theme="4" tint="0.39997558519241921"/>
        </bottom>
      </border>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outline="0">
        <left/>
        <right style="medium">
          <color indexed="64"/>
        </right>
        <top/>
        <bottom/>
      </border>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dxf>
    <dxf>
      <border diagonalUp="0" diagonalDown="0">
        <left style="medium">
          <color auto="1"/>
        </left>
        <right style="medium">
          <color auto="1"/>
        </right>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outline="0">
        <left/>
        <right style="medium">
          <color indexed="64"/>
        </right>
        <top/>
        <bottom/>
      </border>
    </dxf>
    <dxf>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b/>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b/>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4"/>
        <color theme="1"/>
        <name val="Times New Roman"/>
        <family val="1"/>
        <scheme val="none"/>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b/>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4"/>
        <color rgb="FF000000"/>
        <name val="Times New Roman"/>
        <family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minor"/>
      </font>
      <alignment horizontal="center" vertical="center" textRotation="0" wrapText="0" indent="0" justifyLastLine="0" shrinkToFit="0" readingOrder="0"/>
    </dxf>
    <dxf>
      <border diagonalUp="0" diagonalDown="0">
        <left style="medium">
          <color auto="1"/>
        </left>
        <right style="medium">
          <color auto="1"/>
        </right>
        <top style="medium">
          <color auto="1"/>
        </top>
        <bottom style="medium">
          <color auto="1"/>
        </bottom>
      </border>
    </dxf>
    <dxf>
      <font>
        <b val="0"/>
        <i val="0"/>
        <strike val="0"/>
        <condense val="0"/>
        <extend val="0"/>
        <outline val="0"/>
        <shadow val="0"/>
        <u val="none"/>
        <vertAlign val="baseline"/>
        <sz val="14"/>
        <color rgb="FF000000"/>
        <name val="Times New Roman"/>
        <family val="1"/>
        <scheme val="none"/>
      </font>
      <alignment horizontal="center" vertical="center" textRotation="0" wrapText="0" indent="0" justifyLastLine="0" shrinkToFit="0" readingOrder="0"/>
    </dxf>
    <dxf>
      <font>
        <b val="0"/>
        <i val="0"/>
        <strike val="0"/>
        <condense val="0"/>
        <extend val="0"/>
        <outline val="0"/>
        <shadow val="0"/>
        <u val="none"/>
        <vertAlign val="baseline"/>
        <sz val="14"/>
        <color rgb="FF000000"/>
        <name val="Times New Roman"/>
        <family val="1"/>
        <scheme val="none"/>
      </font>
      <alignment horizontal="center" vertical="center"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right style="medium">
          <color indexed="64"/>
        </right>
        <vertical/>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style="medium">
          <color auto="1"/>
        </left>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right style="medium">
          <color indexed="64"/>
        </right>
        <vertical/>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style="medium">
          <color auto="1"/>
        </left>
      </border>
    </dxf>
    <dxf>
      <alignment horizontal="center" vertical="bottom" textRotation="0" wrapText="0" indent="0" justifyLastLine="0" shrinkToFit="0" readingOrder="0"/>
    </dxf>
    <dxf>
      <border diagonalUp="0" diagonalDown="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right style="medium">
          <color indexed="64"/>
        </right>
        <vertical/>
      </border>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4"/>
        <color rgb="FF000000"/>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alignment horizontal="center" vertical="center"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4"/>
        <color theme="1"/>
        <name val="Times New Roman"/>
        <family val="1"/>
        <scheme val="none"/>
      </font>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4"/>
        <color theme="1"/>
        <name val="Times New Roman"/>
        <family val="1"/>
        <scheme val="none"/>
      </font>
      <numFmt numFmtId="0" formatCode="General"/>
      <alignment horizontal="center" vertical="bottom" textRotation="0" wrapText="0" indent="0" justifyLastLine="0" shrinkToFit="0" readingOrder="0"/>
      <border diagonalUp="0" diagonalDown="0" outline="0">
        <left style="thin">
          <color theme="4" tint="0.39997558519241921"/>
        </left>
        <right/>
        <top style="thin">
          <color theme="4" tint="0.39997558519241921"/>
        </top>
        <bottom style="thin">
          <color theme="4" tint="0.39997558519241921"/>
        </bottom>
      </border>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outline="0">
        <left/>
        <right style="medium">
          <color indexed="64"/>
        </right>
        <top/>
        <bottom/>
      </border>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dxf>
    <dxf>
      <border diagonalUp="0" diagonalDown="0">
        <left style="medium">
          <color auto="1"/>
        </left>
        <right style="medium">
          <color auto="1"/>
        </right>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outline="0">
        <left/>
        <right style="medium">
          <color indexed="64"/>
        </right>
        <top/>
        <bottom/>
      </border>
    </dxf>
    <dxf>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b/>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b/>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4"/>
        <color theme="1"/>
        <name val="Times New Roman"/>
        <family val="1"/>
        <scheme val="none"/>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b/>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4"/>
        <color rgb="FF000000"/>
        <name val="Times New Roman"/>
        <family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minor"/>
      </font>
      <alignment horizontal="center" vertical="center" textRotation="0" wrapText="0" indent="0" justifyLastLine="0" shrinkToFit="0" readingOrder="0"/>
    </dxf>
    <dxf>
      <border diagonalUp="0" diagonalDown="0">
        <left style="medium">
          <color auto="1"/>
        </left>
        <right style="medium">
          <color auto="1"/>
        </right>
        <top style="medium">
          <color auto="1"/>
        </top>
        <bottom style="medium">
          <color auto="1"/>
        </bottom>
      </border>
    </dxf>
    <dxf>
      <font>
        <b val="0"/>
        <i val="0"/>
        <strike val="0"/>
        <condense val="0"/>
        <extend val="0"/>
        <outline val="0"/>
        <shadow val="0"/>
        <u val="none"/>
        <vertAlign val="baseline"/>
        <sz val="14"/>
        <color rgb="FF000000"/>
        <name val="Times New Roman"/>
        <family val="1"/>
        <scheme val="none"/>
      </font>
      <alignment horizontal="center" vertical="center" textRotation="0" wrapText="0" indent="0" justifyLastLine="0" shrinkToFit="0" readingOrder="0"/>
    </dxf>
    <dxf>
      <font>
        <b val="0"/>
        <i val="0"/>
        <strike val="0"/>
        <condense val="0"/>
        <extend val="0"/>
        <outline val="0"/>
        <shadow val="0"/>
        <u val="none"/>
        <vertAlign val="baseline"/>
        <sz val="14"/>
        <color rgb="FF000000"/>
        <name val="Times New Roman"/>
        <family val="1"/>
        <scheme val="none"/>
      </font>
      <alignment horizontal="center" vertical="center"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right style="medium">
          <color indexed="64"/>
        </right>
        <vertical/>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style="medium">
          <color auto="1"/>
        </left>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right style="medium">
          <color indexed="64"/>
        </right>
        <vertical/>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style="medium">
          <color auto="1"/>
        </left>
      </border>
    </dxf>
    <dxf>
      <alignment horizontal="center" vertical="bottom" textRotation="0" wrapText="0" indent="0" justifyLastLine="0" shrinkToFit="0" readingOrder="0"/>
    </dxf>
    <dxf>
      <border diagonalUp="0" diagonalDown="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right style="medium">
          <color indexed="64"/>
        </right>
        <vertical/>
      </border>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4"/>
        <color rgb="FF000000"/>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alignment horizontal="center" vertical="center"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4"/>
        <color theme="1"/>
        <name val="Times New Roman"/>
        <family val="1"/>
        <scheme val="none"/>
      </font>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4"/>
        <color theme="1"/>
        <name val="Times New Roman"/>
        <family val="1"/>
        <scheme val="none"/>
      </font>
      <numFmt numFmtId="0" formatCode="General"/>
      <alignment horizontal="center" vertical="bottom" textRotation="0" wrapText="0" indent="0" justifyLastLine="0" shrinkToFit="0" readingOrder="0"/>
      <border diagonalUp="0" diagonalDown="0" outline="0">
        <left style="thin">
          <color theme="4" tint="0.39997558519241921"/>
        </left>
        <right/>
        <top style="thin">
          <color theme="4" tint="0.39997558519241921"/>
        </top>
        <bottom style="thin">
          <color theme="4" tint="0.39997558519241921"/>
        </bottom>
      </border>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outline="0">
        <left/>
        <right style="medium">
          <color indexed="64"/>
        </right>
        <top/>
        <bottom/>
      </border>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dxf>
    <dxf>
      <border diagonalUp="0" diagonalDown="0">
        <left style="medium">
          <color auto="1"/>
        </left>
        <right style="medium">
          <color auto="1"/>
        </right>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outline="0">
        <left/>
        <right style="medium">
          <color indexed="64"/>
        </right>
        <top/>
        <bottom/>
      </border>
    </dxf>
    <dxf>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b/>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b/>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4"/>
        <color theme="1"/>
        <name val="Times New Roman"/>
        <family val="1"/>
        <scheme val="none"/>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b/>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4"/>
        <color rgb="FF000000"/>
        <name val="Times New Roman"/>
        <family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minor"/>
      </font>
      <alignment horizontal="center" vertical="center" textRotation="0" wrapText="0" indent="0" justifyLastLine="0" shrinkToFit="0" readingOrder="0"/>
    </dxf>
    <dxf>
      <border diagonalUp="0" diagonalDown="0">
        <left style="medium">
          <color auto="1"/>
        </left>
        <right style="medium">
          <color auto="1"/>
        </right>
        <top style="medium">
          <color auto="1"/>
        </top>
        <bottom style="medium">
          <color auto="1"/>
        </bottom>
      </border>
    </dxf>
    <dxf>
      <font>
        <b val="0"/>
        <i val="0"/>
        <strike val="0"/>
        <condense val="0"/>
        <extend val="0"/>
        <outline val="0"/>
        <shadow val="0"/>
        <u val="none"/>
        <vertAlign val="baseline"/>
        <sz val="14"/>
        <color rgb="FF000000"/>
        <name val="Times New Roman"/>
        <family val="1"/>
        <scheme val="none"/>
      </font>
      <alignment horizontal="center" vertical="center" textRotation="0" wrapText="0" indent="0" justifyLastLine="0" shrinkToFit="0" readingOrder="0"/>
    </dxf>
    <dxf>
      <font>
        <b val="0"/>
        <i val="0"/>
        <strike val="0"/>
        <condense val="0"/>
        <extend val="0"/>
        <outline val="0"/>
        <shadow val="0"/>
        <u val="none"/>
        <vertAlign val="baseline"/>
        <sz val="14"/>
        <color rgb="FF000000"/>
        <name val="Times New Roman"/>
        <family val="1"/>
        <scheme val="none"/>
      </font>
      <alignment horizontal="center" vertical="center"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right style="medium">
          <color indexed="64"/>
        </right>
        <vertical/>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style="medium">
          <color auto="1"/>
        </left>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right style="medium">
          <color indexed="64"/>
        </right>
        <vertical/>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style="medium">
          <color auto="1"/>
        </left>
      </border>
    </dxf>
    <dxf>
      <alignment horizontal="center" vertical="bottom" textRotation="0" wrapText="0" indent="0" justifyLastLine="0" shrinkToFit="0" readingOrder="0"/>
    </dxf>
    <dxf>
      <border diagonalUp="0" diagonalDown="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right style="medium">
          <color indexed="64"/>
        </right>
        <vertical/>
      </border>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4"/>
        <color rgb="FF000000"/>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alignment horizontal="center" vertical="center"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4"/>
        <color theme="1"/>
        <name val="Times New Roman"/>
        <family val="1"/>
        <scheme val="none"/>
      </font>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4"/>
        <color theme="1"/>
        <name val="Times New Roman"/>
        <family val="1"/>
        <scheme val="none"/>
      </font>
      <numFmt numFmtId="0" formatCode="General"/>
      <alignment horizontal="center" vertical="bottom" textRotation="0" wrapText="0" indent="0" justifyLastLine="0" shrinkToFit="0" readingOrder="0"/>
      <border diagonalUp="0" diagonalDown="0" outline="0">
        <left style="thin">
          <color theme="4" tint="0.39997558519241921"/>
        </left>
        <right/>
        <top style="thin">
          <color theme="4" tint="0.39997558519241921"/>
        </top>
        <bottom style="thin">
          <color theme="4" tint="0.39997558519241921"/>
        </bottom>
      </border>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outline="0">
        <left/>
        <right style="medium">
          <color indexed="64"/>
        </right>
        <top/>
        <bottom/>
      </border>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dxf>
    <dxf>
      <border diagonalUp="0" diagonalDown="0">
        <left style="medium">
          <color auto="1"/>
        </left>
        <right style="medium">
          <color auto="1"/>
        </right>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outline="0">
        <left/>
        <right style="medium">
          <color indexed="64"/>
        </right>
        <top/>
        <bottom/>
      </border>
    </dxf>
    <dxf>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b/>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b/>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4"/>
        <color theme="1"/>
        <name val="Times New Roman"/>
        <family val="1"/>
        <scheme val="none"/>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b/>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4"/>
        <color rgb="FF000000"/>
        <name val="Times New Roman"/>
        <family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minor"/>
      </font>
      <alignment horizontal="center" vertical="center" textRotation="0" wrapText="0" indent="0" justifyLastLine="0" shrinkToFit="0" readingOrder="0"/>
    </dxf>
    <dxf>
      <border diagonalUp="0" diagonalDown="0">
        <left style="medium">
          <color auto="1"/>
        </left>
        <right style="medium">
          <color auto="1"/>
        </right>
        <top style="medium">
          <color auto="1"/>
        </top>
        <bottom style="medium">
          <color auto="1"/>
        </bottom>
      </border>
    </dxf>
    <dxf>
      <font>
        <b val="0"/>
        <i val="0"/>
        <strike val="0"/>
        <condense val="0"/>
        <extend val="0"/>
        <outline val="0"/>
        <shadow val="0"/>
        <u val="none"/>
        <vertAlign val="baseline"/>
        <sz val="14"/>
        <color rgb="FF000000"/>
        <name val="Times New Roman"/>
        <family val="1"/>
        <scheme val="none"/>
      </font>
      <alignment horizontal="center" vertical="center" textRotation="0" wrapText="0" indent="0" justifyLastLine="0" shrinkToFit="0" readingOrder="0"/>
    </dxf>
    <dxf>
      <font>
        <b val="0"/>
        <i val="0"/>
        <strike val="0"/>
        <condense val="0"/>
        <extend val="0"/>
        <outline val="0"/>
        <shadow val="0"/>
        <u val="none"/>
        <vertAlign val="baseline"/>
        <sz val="14"/>
        <color rgb="FF000000"/>
        <name val="Times New Roman"/>
        <family val="1"/>
        <scheme val="none"/>
      </font>
      <alignment horizontal="center" vertical="center"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right style="medium">
          <color indexed="64"/>
        </right>
        <vertical/>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style="medium">
          <color auto="1"/>
        </left>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right style="medium">
          <color indexed="64"/>
        </right>
        <vertical/>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style="medium">
          <color auto="1"/>
        </left>
      </border>
    </dxf>
    <dxf>
      <alignment horizontal="center" vertical="bottom" textRotation="0" wrapText="0" indent="0" justifyLastLine="0" shrinkToFit="0" readingOrder="0"/>
    </dxf>
    <dxf>
      <border diagonalUp="0" diagonalDown="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right style="medium">
          <color indexed="64"/>
        </right>
        <vertical/>
      </border>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4"/>
        <color rgb="FF000000"/>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alignment horizontal="center" vertical="center"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4"/>
        <color theme="1"/>
        <name val="Times New Roman"/>
        <family val="1"/>
        <scheme val="none"/>
      </font>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4"/>
        <color theme="1"/>
        <name val="Times New Roman"/>
        <family val="1"/>
        <scheme val="none"/>
      </font>
      <numFmt numFmtId="0" formatCode="General"/>
      <alignment horizontal="center" vertical="bottom" textRotation="0" wrapText="0" indent="0" justifyLastLine="0" shrinkToFit="0" readingOrder="0"/>
      <border diagonalUp="0" diagonalDown="0" outline="0">
        <left style="thin">
          <color theme="4" tint="0.39997558519241921"/>
        </left>
        <right/>
        <top style="thin">
          <color theme="4" tint="0.39997558519241921"/>
        </top>
        <bottom style="thin">
          <color theme="4" tint="0.39997558519241921"/>
        </bottom>
      </border>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outline="0">
        <left/>
        <right style="medium">
          <color indexed="64"/>
        </right>
        <top/>
        <bottom/>
      </border>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dxf>
    <dxf>
      <border diagonalUp="0" diagonalDown="0">
        <left style="medium">
          <color auto="1"/>
        </left>
        <right style="medium">
          <color auto="1"/>
        </right>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outline="0">
        <left/>
        <right style="medium">
          <color indexed="64"/>
        </right>
        <top/>
        <bottom/>
      </border>
    </dxf>
    <dxf>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b/>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b/>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4"/>
        <color theme="1"/>
        <name val="Times New Roman"/>
        <family val="1"/>
        <scheme val="none"/>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b/>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4"/>
        <color rgb="FF000000"/>
        <name val="Times New Roman"/>
        <family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minor"/>
      </font>
      <alignment horizontal="center" vertical="center" textRotation="0" wrapText="0" indent="0" justifyLastLine="0" shrinkToFit="0" readingOrder="0"/>
    </dxf>
    <dxf>
      <border diagonalUp="0" diagonalDown="0">
        <left style="medium">
          <color auto="1"/>
        </left>
        <right style="medium">
          <color auto="1"/>
        </right>
        <top style="medium">
          <color auto="1"/>
        </top>
        <bottom style="medium">
          <color auto="1"/>
        </bottom>
      </border>
    </dxf>
    <dxf>
      <font>
        <b val="0"/>
        <i val="0"/>
        <strike val="0"/>
        <condense val="0"/>
        <extend val="0"/>
        <outline val="0"/>
        <shadow val="0"/>
        <u val="none"/>
        <vertAlign val="baseline"/>
        <sz val="14"/>
        <color rgb="FF000000"/>
        <name val="Times New Roman"/>
        <family val="1"/>
        <scheme val="none"/>
      </font>
      <alignment horizontal="center" vertical="center" textRotation="0" wrapText="0" indent="0" justifyLastLine="0" shrinkToFit="0" readingOrder="0"/>
    </dxf>
    <dxf>
      <font>
        <b val="0"/>
        <i val="0"/>
        <strike val="0"/>
        <condense val="0"/>
        <extend val="0"/>
        <outline val="0"/>
        <shadow val="0"/>
        <u val="none"/>
        <vertAlign val="baseline"/>
        <sz val="14"/>
        <color rgb="FF000000"/>
        <name val="Times New Roman"/>
        <family val="1"/>
        <scheme val="none"/>
      </font>
      <alignment horizontal="center" vertical="center"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right style="medium">
          <color indexed="64"/>
        </right>
        <vertical/>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style="medium">
          <color auto="1"/>
        </left>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right style="medium">
          <color indexed="64"/>
        </right>
        <vertical/>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style="medium">
          <color auto="1"/>
        </left>
      </border>
    </dxf>
    <dxf>
      <alignment horizontal="center" vertical="bottom" textRotation="0" wrapText="0" indent="0" justifyLastLine="0" shrinkToFit="0" readingOrder="0"/>
    </dxf>
    <dxf>
      <border diagonalUp="0" diagonalDown="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right style="medium">
          <color indexed="64"/>
        </right>
        <vertical/>
      </border>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4"/>
        <color rgb="FF000000"/>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alignment horizontal="center" vertical="center"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4"/>
        <color theme="1"/>
        <name val="Times New Roman"/>
        <family val="1"/>
        <scheme val="none"/>
      </font>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4"/>
        <color theme="1"/>
        <name val="Times New Roman"/>
        <family val="1"/>
        <scheme val="none"/>
      </font>
      <numFmt numFmtId="0" formatCode="General"/>
      <alignment horizontal="center" vertical="bottom" textRotation="0" wrapText="0" indent="0" justifyLastLine="0" shrinkToFit="0" readingOrder="0"/>
      <border diagonalUp="0" diagonalDown="0" outline="0">
        <left style="thin">
          <color theme="4" tint="0.39997558519241921"/>
        </left>
        <right/>
        <top style="thin">
          <color theme="4" tint="0.39997558519241921"/>
        </top>
        <bottom style="thin">
          <color theme="4" tint="0.39997558519241921"/>
        </bottom>
      </border>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outline="0">
        <left/>
        <right style="medium">
          <color indexed="64"/>
        </right>
        <top/>
        <bottom/>
      </border>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dxf>
    <dxf>
      <border diagonalUp="0" diagonalDown="0">
        <left style="medium">
          <color auto="1"/>
        </left>
        <right style="medium">
          <color auto="1"/>
        </right>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outline="0">
        <left/>
        <right style="medium">
          <color indexed="64"/>
        </right>
        <top/>
        <bottom/>
      </border>
    </dxf>
    <dxf>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b/>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b/>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4"/>
        <color theme="1"/>
        <name val="Times New Roman"/>
        <family val="1"/>
        <scheme val="none"/>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b/>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4"/>
        <color rgb="FF000000"/>
        <name val="Times New Roman"/>
        <family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minor"/>
      </font>
      <alignment horizontal="center" vertical="center" textRotation="0" wrapText="0" indent="0" justifyLastLine="0" shrinkToFit="0" readingOrder="0"/>
    </dxf>
    <dxf>
      <border diagonalUp="0" diagonalDown="0">
        <left style="medium">
          <color auto="1"/>
        </left>
        <right style="medium">
          <color auto="1"/>
        </right>
        <top style="medium">
          <color auto="1"/>
        </top>
        <bottom style="medium">
          <color auto="1"/>
        </bottom>
      </border>
    </dxf>
    <dxf>
      <font>
        <b val="0"/>
        <i val="0"/>
        <strike val="0"/>
        <condense val="0"/>
        <extend val="0"/>
        <outline val="0"/>
        <shadow val="0"/>
        <u val="none"/>
        <vertAlign val="baseline"/>
        <sz val="14"/>
        <color rgb="FF000000"/>
        <name val="Times New Roman"/>
        <family val="1"/>
        <scheme val="none"/>
      </font>
      <alignment horizontal="center" vertical="center" textRotation="0" wrapText="0" indent="0" justifyLastLine="0" shrinkToFit="0" readingOrder="0"/>
    </dxf>
    <dxf>
      <font>
        <b val="0"/>
        <i val="0"/>
        <strike val="0"/>
        <condense val="0"/>
        <extend val="0"/>
        <outline val="0"/>
        <shadow val="0"/>
        <u val="none"/>
        <vertAlign val="baseline"/>
        <sz val="14"/>
        <color rgb="FF000000"/>
        <name val="Times New Roman"/>
        <family val="1"/>
        <scheme val="none"/>
      </font>
      <alignment horizontal="center" vertical="center"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right style="medium">
          <color indexed="64"/>
        </right>
        <vertical/>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style="medium">
          <color auto="1"/>
        </left>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right style="medium">
          <color indexed="64"/>
        </right>
        <vertical/>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style="medium">
          <color auto="1"/>
        </left>
      </border>
    </dxf>
    <dxf>
      <alignment horizontal="center" vertical="bottom" textRotation="0" wrapText="0" indent="0" justifyLastLine="0" shrinkToFit="0" readingOrder="0"/>
    </dxf>
    <dxf>
      <border diagonalUp="0" diagonalDown="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right style="medium">
          <color indexed="64"/>
        </right>
        <vertical/>
      </border>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4"/>
        <color rgb="FF000000"/>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alignment horizontal="center" vertical="center"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4"/>
        <color theme="1"/>
        <name val="Times New Roman"/>
        <family val="1"/>
        <scheme val="none"/>
      </font>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4"/>
        <color theme="1"/>
        <name val="Times New Roman"/>
        <family val="1"/>
        <scheme val="none"/>
      </font>
      <numFmt numFmtId="0" formatCode="General"/>
      <alignment horizontal="center" vertical="bottom" textRotation="0" wrapText="0" indent="0" justifyLastLine="0" shrinkToFit="0" readingOrder="0"/>
      <border diagonalUp="0" diagonalDown="0" outline="0">
        <left style="thin">
          <color theme="4" tint="0.39997558519241921"/>
        </left>
        <right/>
        <top style="thin">
          <color theme="4" tint="0.39997558519241921"/>
        </top>
        <bottom style="thin">
          <color theme="4" tint="0.39997558519241921"/>
        </bottom>
      </border>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outline="0">
        <left/>
        <right style="medium">
          <color indexed="64"/>
        </right>
        <top/>
        <bottom/>
      </border>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dxf>
    <dxf>
      <border diagonalUp="0" diagonalDown="0">
        <left style="medium">
          <color auto="1"/>
        </left>
        <right style="medium">
          <color auto="1"/>
        </right>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outline="0">
        <left/>
        <right style="medium">
          <color indexed="64"/>
        </right>
        <top/>
        <bottom/>
      </border>
    </dxf>
    <dxf>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b/>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b/>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4"/>
        <color theme="1"/>
        <name val="Times New Roman"/>
        <family val="1"/>
        <scheme val="none"/>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b/>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4"/>
        <color rgb="FF000000"/>
        <name val="Times New Roman"/>
        <family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minor"/>
      </font>
      <alignment horizontal="center" vertical="center" textRotation="0" wrapText="0" indent="0" justifyLastLine="0" shrinkToFit="0" readingOrder="0"/>
    </dxf>
    <dxf>
      <border diagonalUp="0" diagonalDown="0">
        <left style="medium">
          <color auto="1"/>
        </left>
        <right style="medium">
          <color auto="1"/>
        </right>
        <top style="medium">
          <color auto="1"/>
        </top>
        <bottom style="medium">
          <color auto="1"/>
        </bottom>
      </border>
    </dxf>
    <dxf>
      <font>
        <b val="0"/>
        <i val="0"/>
        <strike val="0"/>
        <condense val="0"/>
        <extend val="0"/>
        <outline val="0"/>
        <shadow val="0"/>
        <u val="none"/>
        <vertAlign val="baseline"/>
        <sz val="14"/>
        <color rgb="FF000000"/>
        <name val="Times New Roman"/>
        <family val="1"/>
        <scheme val="none"/>
      </font>
      <alignment horizontal="center" vertical="center" textRotation="0" wrapText="0" indent="0" justifyLastLine="0" shrinkToFit="0" readingOrder="0"/>
    </dxf>
    <dxf>
      <font>
        <b val="0"/>
        <i val="0"/>
        <strike val="0"/>
        <condense val="0"/>
        <extend val="0"/>
        <outline val="0"/>
        <shadow val="0"/>
        <u val="none"/>
        <vertAlign val="baseline"/>
        <sz val="14"/>
        <color rgb="FF000000"/>
        <name val="Times New Roman"/>
        <family val="1"/>
        <scheme val="none"/>
      </font>
      <alignment horizontal="center" vertical="center"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right style="medium">
          <color indexed="64"/>
        </right>
        <vertical/>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style="medium">
          <color auto="1"/>
        </left>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right style="medium">
          <color indexed="64"/>
        </right>
        <vertical/>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style="medium">
          <color auto="1"/>
        </left>
      </border>
    </dxf>
    <dxf>
      <alignment horizontal="center" vertical="bottom" textRotation="0" wrapText="0" indent="0" justifyLastLine="0" shrinkToFit="0" readingOrder="0"/>
    </dxf>
    <dxf>
      <border diagonalUp="0" diagonalDown="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right style="medium">
          <color indexed="64"/>
        </right>
        <vertical/>
      </border>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4"/>
        <color rgb="FF000000"/>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alignment horizontal="center" vertical="center"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style="medium">
          <color auto="1"/>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4"/>
        <color theme="1"/>
        <name val="Times New Roman"/>
        <family val="1"/>
        <scheme val="none"/>
      </font>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4"/>
        <color theme="1"/>
        <name val="Times New Roman"/>
        <family val="1"/>
        <scheme val="none"/>
      </font>
      <numFmt numFmtId="0" formatCode="General"/>
      <alignment horizontal="center" vertical="bottom" textRotation="0" wrapText="0" indent="0" justifyLastLine="0" shrinkToFit="0" readingOrder="0"/>
      <border diagonalUp="0" diagonalDown="0" outline="0">
        <left style="thin">
          <color theme="4" tint="0.39997558519241921"/>
        </left>
        <right/>
        <top style="thin">
          <color theme="4" tint="0.39997558519241921"/>
        </top>
        <bottom style="thin">
          <color theme="4" tint="0.39997558519241921"/>
        </bottom>
      </border>
    </dxf>
    <dxf>
      <font>
        <b val="0"/>
        <i val="0"/>
        <strike val="0"/>
        <condense val="0"/>
        <extend val="0"/>
        <outline val="0"/>
        <shadow val="0"/>
        <u val="none"/>
        <vertAlign val="baseline"/>
        <sz val="11"/>
        <color rgb="FFFF0000"/>
        <name val="Calibri"/>
        <family val="2"/>
        <scheme val="minor"/>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auto="1"/>
        </left>
        <right style="medium">
          <color auto="1"/>
        </right>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outline="0">
        <left/>
        <right style="medium">
          <color indexed="64"/>
        </right>
        <top/>
        <bottom/>
      </border>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vertAlign val="baseline"/>
        <sz val="14"/>
        <name val="Times New Roman"/>
        <family val="1"/>
        <scheme val="none"/>
      </font>
    </dxf>
    <dxf>
      <border diagonalUp="0" diagonalDown="0">
        <left style="medium">
          <color auto="1"/>
        </left>
        <right style="medium">
          <color auto="1"/>
        </right>
        <top/>
        <bottom style="medium">
          <color auto="1"/>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border diagonalUp="0" diagonalDown="0" outline="0">
        <left/>
        <right style="medium">
          <color indexed="64"/>
        </right>
        <top/>
        <bottom/>
      </border>
    </dxf>
    <dxf>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b/>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b/>
        <strike val="0"/>
        <outline val="0"/>
        <shadow val="0"/>
        <vertAlign val="baseline"/>
        <sz val="14"/>
        <name val="Times New Roman"/>
        <family val="1"/>
        <scheme val="none"/>
      </font>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4"/>
        <color theme="1"/>
        <name val="Times New Roman"/>
        <family val="1"/>
        <scheme val="none"/>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b/>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bottom/>
      </border>
    </dxf>
    <dxf>
      <font>
        <strike val="0"/>
        <outline val="0"/>
        <shadow val="0"/>
        <vertAlign val="baseline"/>
        <sz val="14"/>
        <name val="Times New Roman"/>
        <family val="1"/>
        <scheme val="none"/>
      </font>
      <alignment horizontal="center" vertical="bottom" textRotation="0" wrapText="0" indent="0" justifyLastLine="0" shrinkToFit="0" readingOrder="0"/>
    </dxf>
    <dxf>
      <font>
        <b/>
        <strike val="0"/>
        <outline val="0"/>
        <shadow val="0"/>
        <vertAlign val="baseline"/>
        <sz val="14"/>
        <name val="Times New Roman"/>
        <family val="1"/>
        <scheme val="none"/>
      </font>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2"/>
        <name val="Times New Roman"/>
        <family val="1"/>
        <scheme val="none"/>
      </font>
    </dxf>
    <dxf>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2"/>
        <name val="Times New Roman"/>
        <family val="1"/>
        <scheme val="none"/>
      </font>
    </dxf>
    <dxf>
      <alignment horizontal="center" vertical="bottom" textRotation="0" wrapText="0" indent="0" justifyLastLine="0" shrinkToFit="0" readingOrder="0"/>
    </dxf>
    <dxf>
      <font>
        <strike val="0"/>
        <outline val="0"/>
        <shadow val="0"/>
        <u val="none"/>
        <vertAlign val="baseline"/>
        <sz val="12"/>
        <name val="Times New Roman"/>
        <family val="1"/>
        <scheme val="none"/>
      </font>
    </dxf>
    <dxf>
      <alignment horizontal="center" vertical="bottom" textRotation="0" wrapText="0" indent="0" justifyLastLine="0" shrinkToFit="0" readingOrder="0"/>
    </dxf>
    <dxf>
      <font>
        <strike val="0"/>
        <outline val="0"/>
        <shadow val="0"/>
        <u val="none"/>
        <vertAlign val="baseline"/>
        <sz val="12"/>
        <name val="Times New Roman"/>
        <family val="1"/>
        <scheme val="none"/>
      </font>
    </dxf>
    <dxf>
      <alignment horizontal="center" vertical="bottom" textRotation="0" wrapText="0" indent="0" justifyLastLine="0" shrinkToFit="0" readingOrder="0"/>
    </dxf>
    <dxf>
      <font>
        <strike val="0"/>
        <outline val="0"/>
        <shadow val="0"/>
        <u val="none"/>
        <vertAlign val="baseline"/>
        <sz val="12"/>
        <name val="Times New Roman"/>
        <family val="1"/>
        <scheme val="none"/>
      </font>
    </dxf>
    <dxf>
      <alignment horizontal="center" vertical="bottom" textRotation="0" wrapText="1"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indexed="64"/>
        </left>
        <right style="medium">
          <color indexed="64"/>
        </right>
        <top style="medium">
          <color indexed="64"/>
        </top>
        <bottom style="medium">
          <color indexed="64"/>
        </bottom>
      </border>
    </dxf>
    <dxf>
      <font>
        <strike val="0"/>
        <outline val="0"/>
        <shadow val="0"/>
        <u val="none"/>
        <vertAlign val="baseline"/>
        <sz val="12"/>
        <name val="Times New Roman"/>
        <family val="1"/>
        <scheme val="none"/>
      </font>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2"/>
        <name val="Times New Roman"/>
        <family val="1"/>
        <scheme val="none"/>
      </font>
    </dxf>
    <dxf>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2"/>
        <name val="Times New Roman"/>
        <family val="1"/>
        <scheme val="none"/>
      </font>
    </dxf>
    <dxf>
      <alignment horizontal="center" vertical="bottom" textRotation="0" wrapText="0" indent="0" justifyLastLine="0" shrinkToFit="0" readingOrder="0"/>
    </dxf>
    <dxf>
      <font>
        <strike val="0"/>
        <outline val="0"/>
        <shadow val="0"/>
        <u val="none"/>
        <vertAlign val="baseline"/>
        <sz val="12"/>
        <name val="Times New Roman"/>
        <family val="1"/>
        <scheme val="none"/>
      </font>
    </dxf>
    <dxf>
      <alignment horizontal="center" vertical="bottom" textRotation="0" wrapText="0" indent="0" justifyLastLine="0" shrinkToFit="0" readingOrder="0"/>
    </dxf>
    <dxf>
      <font>
        <strike val="0"/>
        <outline val="0"/>
        <shadow val="0"/>
        <u val="none"/>
        <vertAlign val="baseline"/>
        <sz val="12"/>
        <name val="Times New Roman"/>
        <family val="1"/>
        <scheme val="none"/>
      </font>
    </dxf>
    <dxf>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1" indent="0" justifyLastLine="0" shrinkToFit="0" readingOrder="0"/>
    </dxf>
    <dxf>
      <alignment horizontal="center" vertical="bottom" textRotation="0" wrapText="1"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indexed="64"/>
        </left>
        <right style="medium">
          <color indexed="64"/>
        </right>
        <top style="medium">
          <color indexed="64"/>
        </top>
        <bottom style="medium">
          <color indexed="64"/>
        </bottom>
      </border>
    </dxf>
    <dxf>
      <font>
        <strike val="0"/>
        <outline val="0"/>
        <shadow val="0"/>
        <u val="none"/>
        <vertAlign val="baseline"/>
        <sz val="12"/>
        <name val="Times New Roman"/>
        <family val="1"/>
        <scheme val="none"/>
      </font>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2"/>
        <name val="Times New Roman"/>
        <family val="1"/>
        <scheme val="none"/>
      </font>
    </dxf>
    <dxf>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2"/>
        <name val="Times New Roman"/>
        <family val="1"/>
        <scheme val="none"/>
      </font>
    </dxf>
    <dxf>
      <alignment horizontal="center" vertical="bottom" textRotation="0" wrapText="0" indent="0" justifyLastLine="0" shrinkToFit="0" readingOrder="0"/>
    </dxf>
    <dxf>
      <font>
        <strike val="0"/>
        <outline val="0"/>
        <shadow val="0"/>
        <u val="none"/>
        <vertAlign val="baseline"/>
        <sz val="12"/>
        <name val="Times New Roman"/>
        <family val="1"/>
        <scheme val="none"/>
      </font>
    </dxf>
    <dxf>
      <alignment horizontal="center" vertical="bottom" textRotation="0" wrapText="0" indent="0" justifyLastLine="0" shrinkToFit="0" readingOrder="0"/>
    </dxf>
    <dxf>
      <font>
        <strike val="0"/>
        <outline val="0"/>
        <shadow val="0"/>
        <u val="none"/>
        <vertAlign val="baseline"/>
        <sz val="12"/>
        <name val="Times New Roman"/>
        <family val="1"/>
        <scheme val="none"/>
      </font>
    </dxf>
    <dxf>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1" indent="0" justifyLastLine="0" shrinkToFit="0" readingOrder="0"/>
    </dxf>
    <dxf>
      <alignment horizontal="center" vertical="bottom" textRotation="0" wrapText="1"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indexed="64"/>
        </left>
        <right style="medium">
          <color indexed="64"/>
        </right>
        <top style="medium">
          <color indexed="64"/>
        </top>
        <bottom style="medium">
          <color indexed="64"/>
        </bottom>
      </border>
    </dxf>
    <dxf>
      <font>
        <strike val="0"/>
        <outline val="0"/>
        <shadow val="0"/>
        <u val="none"/>
        <vertAlign val="baseline"/>
        <sz val="12"/>
        <name val="Times New Roman"/>
        <family val="1"/>
        <scheme val="none"/>
      </font>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2"/>
        <name val="Times New Roman"/>
        <family val="1"/>
        <scheme val="none"/>
      </font>
    </dxf>
    <dxf>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2"/>
        <name val="Times New Roman"/>
        <family val="1"/>
        <scheme val="none"/>
      </font>
    </dxf>
    <dxf>
      <alignment horizontal="center" vertical="bottom" textRotation="0" wrapText="0" indent="0" justifyLastLine="0" shrinkToFit="0" readingOrder="0"/>
    </dxf>
    <dxf>
      <font>
        <strike val="0"/>
        <outline val="0"/>
        <shadow val="0"/>
        <u val="none"/>
        <vertAlign val="baseline"/>
        <sz val="12"/>
        <name val="Times New Roman"/>
        <family val="1"/>
        <scheme val="none"/>
      </font>
    </dxf>
    <dxf>
      <alignment horizontal="center" vertical="bottom" textRotation="0" wrapText="0" indent="0" justifyLastLine="0" shrinkToFit="0" readingOrder="0"/>
    </dxf>
    <dxf>
      <font>
        <strike val="0"/>
        <outline val="0"/>
        <shadow val="0"/>
        <u val="none"/>
        <vertAlign val="baseline"/>
        <sz val="12"/>
        <name val="Times New Roman"/>
        <family val="1"/>
        <scheme val="none"/>
      </font>
    </dxf>
    <dxf>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1" indent="0" justifyLastLine="0" shrinkToFit="0" readingOrder="0"/>
    </dxf>
    <dxf>
      <alignment horizontal="center" vertical="bottom" textRotation="0" wrapText="1"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indexed="64"/>
        </left>
        <right style="medium">
          <color indexed="64"/>
        </right>
        <top style="medium">
          <color indexed="64"/>
        </top>
        <bottom style="medium">
          <color indexed="64"/>
        </bottom>
      </border>
    </dxf>
    <dxf>
      <font>
        <strike val="0"/>
        <outline val="0"/>
        <shadow val="0"/>
        <u val="none"/>
        <vertAlign val="baseline"/>
        <sz val="12"/>
        <name val="Times New Roman"/>
        <family val="1"/>
        <scheme val="none"/>
      </font>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2"/>
        <name val="Times New Roman"/>
        <family val="1"/>
        <scheme val="none"/>
      </font>
    </dxf>
    <dxf>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2"/>
        <name val="Times New Roman"/>
        <family val="1"/>
        <scheme val="none"/>
      </font>
    </dxf>
    <dxf>
      <alignment horizontal="center" vertical="bottom" textRotation="0" wrapText="0" indent="0" justifyLastLine="0" shrinkToFit="0" readingOrder="0"/>
    </dxf>
    <dxf>
      <font>
        <strike val="0"/>
        <outline val="0"/>
        <shadow val="0"/>
        <u val="none"/>
        <vertAlign val="baseline"/>
        <sz val="12"/>
        <name val="Times New Roman"/>
        <family val="1"/>
        <scheme val="none"/>
      </font>
    </dxf>
    <dxf>
      <alignment horizontal="center" vertical="bottom" textRotation="0" wrapText="0" indent="0" justifyLastLine="0" shrinkToFit="0" readingOrder="0"/>
    </dxf>
    <dxf>
      <font>
        <strike val="0"/>
        <outline val="0"/>
        <shadow val="0"/>
        <u val="none"/>
        <vertAlign val="baseline"/>
        <sz val="12"/>
        <name val="Times New Roman"/>
        <family val="1"/>
        <scheme val="none"/>
      </font>
    </dxf>
    <dxf>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1" indent="0" justifyLastLine="0" shrinkToFit="0" readingOrder="0"/>
    </dxf>
    <dxf>
      <alignment horizontal="center" vertical="bottom" textRotation="0" wrapText="1"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indexed="64"/>
        </left>
        <right style="medium">
          <color indexed="64"/>
        </right>
        <top style="medium">
          <color indexed="64"/>
        </top>
        <bottom style="medium">
          <color indexed="64"/>
        </bottom>
      </border>
    </dxf>
    <dxf>
      <font>
        <strike val="0"/>
        <outline val="0"/>
        <shadow val="0"/>
        <u val="none"/>
        <vertAlign val="baseline"/>
        <sz val="12"/>
        <name val="Times New Roman"/>
        <family val="1"/>
        <scheme val="none"/>
      </font>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2"/>
        <name val="Times New Roman"/>
        <family val="1"/>
        <scheme val="none"/>
      </font>
    </dxf>
    <dxf>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2"/>
        <name val="Times New Roman"/>
        <family val="1"/>
        <scheme val="none"/>
      </font>
    </dxf>
    <dxf>
      <alignment horizontal="center" vertical="bottom" textRotation="0" wrapText="0" indent="0" justifyLastLine="0" shrinkToFit="0" readingOrder="0"/>
    </dxf>
    <dxf>
      <font>
        <strike val="0"/>
        <outline val="0"/>
        <shadow val="0"/>
        <u val="none"/>
        <vertAlign val="baseline"/>
        <sz val="12"/>
        <name val="Times New Roman"/>
        <family val="1"/>
        <scheme val="none"/>
      </font>
    </dxf>
    <dxf>
      <alignment horizontal="center" vertical="bottom" textRotation="0" wrapText="0" indent="0" justifyLastLine="0" shrinkToFit="0" readingOrder="0"/>
    </dxf>
    <dxf>
      <font>
        <strike val="0"/>
        <outline val="0"/>
        <shadow val="0"/>
        <u val="none"/>
        <vertAlign val="baseline"/>
        <sz val="12"/>
        <name val="Times New Roman"/>
        <family val="1"/>
        <scheme val="none"/>
      </font>
    </dxf>
    <dxf>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1" indent="0" justifyLastLine="0" shrinkToFit="0" readingOrder="0"/>
    </dxf>
    <dxf>
      <alignment horizontal="center" vertical="bottom" textRotation="0" wrapText="1"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indexed="64"/>
        </left>
        <right style="medium">
          <color indexed="64"/>
        </right>
        <top style="medium">
          <color indexed="64"/>
        </top>
        <bottom style="medium">
          <color indexed="64"/>
        </bottom>
      </border>
    </dxf>
    <dxf>
      <font>
        <strike val="0"/>
        <outline val="0"/>
        <shadow val="0"/>
        <u val="none"/>
        <vertAlign val="baseline"/>
        <sz val="12"/>
        <name val="Times New Roman"/>
        <family val="1"/>
        <scheme val="none"/>
      </font>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1" indent="0" justifyLastLine="0" shrinkToFit="0" readingOrder="0"/>
    </dxf>
    <dxf>
      <alignment horizontal="center" vertical="bottom" textRotation="0" wrapText="1"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indexed="64"/>
        </left>
        <right style="medium">
          <color indexed="64"/>
        </right>
        <top style="medium">
          <color indexed="64"/>
        </top>
        <bottom style="medium">
          <color indexed="64"/>
        </bottom>
      </border>
    </dxf>
    <dxf>
      <font>
        <strike val="0"/>
        <outline val="0"/>
        <shadow val="0"/>
        <u val="none"/>
        <vertAlign val="baseline"/>
        <sz val="12"/>
        <name val="Times New Roman"/>
        <family val="1"/>
        <scheme val="none"/>
      </font>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2"/>
        <name val="Times New Roman"/>
        <family val="1"/>
        <scheme val="none"/>
      </font>
    </dxf>
    <dxf>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2"/>
        <name val="Times New Roman"/>
        <family val="1"/>
        <scheme val="none"/>
      </font>
    </dxf>
    <dxf>
      <alignment horizontal="center" vertical="bottom" textRotation="0" wrapText="0" indent="0" justifyLastLine="0" shrinkToFit="0" readingOrder="0"/>
    </dxf>
    <dxf>
      <font>
        <strike val="0"/>
        <outline val="0"/>
        <shadow val="0"/>
        <u val="none"/>
        <vertAlign val="baseline"/>
        <sz val="12"/>
        <name val="Times New Roman"/>
        <family val="1"/>
        <scheme val="none"/>
      </font>
    </dxf>
    <dxf>
      <alignment horizontal="center" vertical="bottom" textRotation="0" wrapText="0" indent="0" justifyLastLine="0" shrinkToFit="0" readingOrder="0"/>
    </dxf>
    <dxf>
      <font>
        <strike val="0"/>
        <outline val="0"/>
        <shadow val="0"/>
        <u val="none"/>
        <vertAlign val="baseline"/>
        <sz val="12"/>
        <name val="Times New Roman"/>
        <family val="1"/>
        <scheme val="none"/>
      </font>
    </dxf>
    <dxf>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1" indent="0" justifyLastLine="0" shrinkToFit="0" readingOrder="0"/>
    </dxf>
    <dxf>
      <alignment horizontal="center" vertical="bottom" textRotation="0" wrapText="1"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indexed="64"/>
        </left>
        <right style="medium">
          <color indexed="64"/>
        </right>
        <top style="medium">
          <color indexed="64"/>
        </top>
        <bottom style="medium">
          <color indexed="64"/>
        </bottom>
      </border>
    </dxf>
    <dxf>
      <font>
        <strike val="0"/>
        <outline val="0"/>
        <shadow val="0"/>
        <u val="none"/>
        <vertAlign val="baseline"/>
        <sz val="12"/>
        <name val="Times New Roman"/>
        <family val="1"/>
        <scheme val="none"/>
      </font>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2"/>
        <name val="Times New Roman"/>
        <family val="1"/>
        <scheme val="none"/>
      </font>
    </dxf>
    <dxf>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2"/>
        <name val="Times New Roman"/>
        <family val="1"/>
        <scheme val="none"/>
      </font>
    </dxf>
    <dxf>
      <alignment horizontal="center" vertical="bottom" textRotation="0" wrapText="0" indent="0" justifyLastLine="0" shrinkToFit="0" readingOrder="0"/>
    </dxf>
    <dxf>
      <font>
        <strike val="0"/>
        <outline val="0"/>
        <shadow val="0"/>
        <u val="none"/>
        <vertAlign val="baseline"/>
        <sz val="12"/>
        <name val="Times New Roman"/>
        <family val="1"/>
        <scheme val="none"/>
      </font>
    </dxf>
    <dxf>
      <alignment horizontal="center" vertical="bottom" textRotation="0" wrapText="0" indent="0" justifyLastLine="0" shrinkToFit="0" readingOrder="0"/>
    </dxf>
    <dxf>
      <font>
        <strike val="0"/>
        <outline val="0"/>
        <shadow val="0"/>
        <u val="none"/>
        <vertAlign val="baseline"/>
        <sz val="12"/>
        <name val="Times New Roman"/>
        <family val="1"/>
        <scheme val="none"/>
      </font>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strike val="0"/>
        <outline val="0"/>
        <shadow val="0"/>
        <u val="none"/>
        <vertAlign val="baseline"/>
        <sz val="12"/>
        <name val="Times New Roman"/>
        <family val="1"/>
        <scheme val="none"/>
      </font>
      <alignment horizontal="center" vertical="bottom" textRotation="0" wrapText="1" indent="0" justifyLastLine="0" shrinkToFit="0" readingOrder="0"/>
    </dxf>
    <dxf>
      <alignment horizontal="center" vertical="bottom" textRotation="0" wrapText="1"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indexed="64"/>
        </left>
        <right style="medium">
          <color indexed="64"/>
        </right>
        <top style="medium">
          <color indexed="64"/>
        </top>
        <bottom style="medium">
          <color indexed="64"/>
        </bottom>
      </border>
    </dxf>
    <dxf>
      <font>
        <strike val="0"/>
        <outline val="0"/>
        <shadow val="0"/>
        <u val="none"/>
        <vertAlign val="baseline"/>
        <sz val="12"/>
        <name val="Times New Roman"/>
        <family val="1"/>
        <scheme val="none"/>
      </font>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2"/>
        <name val="Times New Roman"/>
        <family val="1"/>
        <scheme val="none"/>
      </font>
    </dxf>
    <dxf>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2"/>
        <name val="Times New Roman"/>
        <family val="1"/>
        <scheme val="none"/>
      </font>
    </dxf>
    <dxf>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2"/>
        <name val="Times New Roman"/>
        <family val="1"/>
        <scheme val="none"/>
      </font>
    </dxf>
    <dxf>
      <alignment horizontal="center" vertical="bottom" textRotation="0" wrapText="1"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indexed="64"/>
        </left>
        <right style="medium">
          <color indexed="64"/>
        </right>
        <top style="medium">
          <color indexed="64"/>
        </top>
        <bottom style="medium">
          <color indexed="64"/>
        </bottom>
      </border>
    </dxf>
    <dxf>
      <font>
        <strike val="0"/>
        <outline val="0"/>
        <shadow val="0"/>
        <u val="none"/>
        <vertAlign val="baseline"/>
        <sz val="12"/>
        <name val="Times New Roman"/>
        <family val="1"/>
        <scheme val="none"/>
      </font>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1"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wrapText="0" indent="0" justifyLastLine="0" shrinkToFit="0" readingOrder="0"/>
    </dxf>
    <dxf>
      <font>
        <strike val="0"/>
        <outline val="0"/>
        <shadow val="0"/>
        <u val="none"/>
        <vertAlign val="baseline"/>
        <sz val="12"/>
        <name val="Times New Roman"/>
        <family val="1"/>
        <scheme val="none"/>
      </font>
      <alignment horizontal="center" vertical="bottom" textRotation="0" indent="0" justifyLastLine="0" shrinkToFit="0" readingOrder="0"/>
    </dxf>
    <dxf>
      <font>
        <strike val="0"/>
        <outline val="0"/>
        <shadow val="0"/>
        <u val="none"/>
        <vertAlign val="baseline"/>
        <sz val="12"/>
        <name val="Times New Roman"/>
        <family val="1"/>
        <scheme val="none"/>
      </font>
      <alignment horizontal="center" vertical="bottom" textRotation="0" indent="0" justifyLastLine="0" shrinkToFit="0" readingOrder="0"/>
    </dxf>
  </dxfs>
  <tableStyles count="1" defaultTableStyle="TableStyleMedium2" defaultPivotStyle="PivotStyleLight16">
    <tableStyle name="Table Style 1" pivot="0" count="2" xr9:uid="{5A0C3431-66F9-44B3-9809-4868AF8EC17B}">
      <tableStyleElement type="wholeTable" dxfId="45"/>
      <tableStyleElement type="headerRow" dxfId="4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jpeg"/><Relationship Id="rId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oneCellAnchor>
    <xdr:from>
      <xdr:col>0</xdr:col>
      <xdr:colOff>68580</xdr:colOff>
      <xdr:row>0</xdr:row>
      <xdr:rowOff>83821</xdr:rowOff>
    </xdr:from>
    <xdr:ext cx="14241780" cy="1173480"/>
    <xdr:sp macro="" textlink="">
      <xdr:nvSpPr>
        <xdr:cNvPr id="2" name="TextBox 1">
          <a:extLst>
            <a:ext uri="{FF2B5EF4-FFF2-40B4-BE49-F238E27FC236}">
              <a16:creationId xmlns:a16="http://schemas.microsoft.com/office/drawing/2014/main" id="{9A28943B-CE74-4EC2-84BA-0A91FAA872C7}"/>
            </a:ext>
          </a:extLst>
        </xdr:cNvPr>
        <xdr:cNvSpPr txBox="1"/>
      </xdr:nvSpPr>
      <xdr:spPr>
        <a:xfrm>
          <a:off x="66675" y="85726"/>
          <a:ext cx="14241780" cy="11734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3600" b="1">
              <a:solidFill>
                <a:srgbClr val="FF0000"/>
              </a:solidFill>
              <a:latin typeface="Bell MT" panose="02020503060305020303" pitchFamily="18" charset="0"/>
            </a:rPr>
            <a:t>HI!</a:t>
          </a:r>
          <a:r>
            <a:rPr lang="en-US" sz="3600" b="1" baseline="0">
              <a:solidFill>
                <a:srgbClr val="FF0000"/>
              </a:solidFill>
              <a:latin typeface="Bell MT" panose="02020503060305020303" pitchFamily="18" charset="0"/>
            </a:rPr>
            <a:t> Welcome to DM Done Easy: Ultimate NPC and Spellbook Generator!</a:t>
          </a:r>
        </a:p>
        <a:p>
          <a:pPr algn="ctr"/>
          <a:endParaRPr lang="en-US" sz="1100"/>
        </a:p>
      </xdr:txBody>
    </xdr:sp>
    <xdr:clientData/>
  </xdr:oneCellAnchor>
  <xdr:oneCellAnchor>
    <xdr:from>
      <xdr:col>0</xdr:col>
      <xdr:colOff>152400</xdr:colOff>
      <xdr:row>6</xdr:row>
      <xdr:rowOff>22860</xdr:rowOff>
    </xdr:from>
    <xdr:ext cx="5768340" cy="8092440"/>
    <xdr:sp macro="" textlink="">
      <xdr:nvSpPr>
        <xdr:cNvPr id="3" name="TextBox 2">
          <a:extLst>
            <a:ext uri="{FF2B5EF4-FFF2-40B4-BE49-F238E27FC236}">
              <a16:creationId xmlns:a16="http://schemas.microsoft.com/office/drawing/2014/main" id="{0201E399-9FDF-4598-AF2C-58C4667276FB}"/>
            </a:ext>
          </a:extLst>
        </xdr:cNvPr>
        <xdr:cNvSpPr txBox="1"/>
      </xdr:nvSpPr>
      <xdr:spPr>
        <a:xfrm>
          <a:off x="152400" y="1074420"/>
          <a:ext cx="5768340" cy="8092440"/>
        </a:xfrm>
        <a:prstGeom prst="rect">
          <a:avLst/>
        </a:prstGeom>
        <a:no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b="0">
              <a:latin typeface="Times New Roman" panose="02020603050405020304" pitchFamily="18" charset="0"/>
              <a:cs typeface="Times New Roman" panose="02020603050405020304" pitchFamily="18" charset="0"/>
            </a:rPr>
            <a:t>If</a:t>
          </a:r>
          <a:r>
            <a:rPr lang="en-US" sz="1200" b="0" baseline="0">
              <a:latin typeface="Times New Roman" panose="02020603050405020304" pitchFamily="18" charset="0"/>
              <a:cs typeface="Times New Roman" panose="02020603050405020304" pitchFamily="18" charset="0"/>
            </a:rPr>
            <a:t> you are using Excel, you should see something like this at the bottom of the screen:</a:t>
          </a:r>
        </a:p>
        <a:p>
          <a:endParaRPr lang="en-US" sz="1200" b="0" baseline="0">
            <a:latin typeface="Times New Roman" panose="02020603050405020304" pitchFamily="18" charset="0"/>
            <a:cs typeface="Times New Roman" panose="02020603050405020304" pitchFamily="18" charset="0"/>
          </a:endParaRPr>
        </a:p>
        <a:p>
          <a:endParaRPr lang="en-US" sz="1200" b="0" baseline="0">
            <a:latin typeface="Times New Roman" panose="02020603050405020304" pitchFamily="18" charset="0"/>
            <a:cs typeface="Times New Roman" panose="02020603050405020304" pitchFamily="18" charset="0"/>
          </a:endParaRPr>
        </a:p>
        <a:p>
          <a:endParaRPr lang="en-US" sz="1200" b="0" baseline="0">
            <a:latin typeface="Times New Roman" panose="02020603050405020304" pitchFamily="18" charset="0"/>
            <a:cs typeface="Times New Roman" panose="02020603050405020304" pitchFamily="18" charset="0"/>
          </a:endParaRPr>
        </a:p>
        <a:p>
          <a:r>
            <a:rPr lang="en-US" sz="1200" b="0" baseline="0">
              <a:latin typeface="Times New Roman" panose="02020603050405020304" pitchFamily="18" charset="0"/>
              <a:cs typeface="Times New Roman" panose="02020603050405020304" pitchFamily="18" charset="0"/>
            </a:rPr>
            <a:t>These are called "sheets" and each one contains a different character (as detailed below). </a:t>
          </a:r>
        </a:p>
        <a:p>
          <a:endParaRPr lang="en-US" sz="1200" b="0" baseline="0">
            <a:latin typeface="Times New Roman" panose="02020603050405020304" pitchFamily="18" charset="0"/>
            <a:cs typeface="Times New Roman" panose="02020603050405020304" pitchFamily="18" charset="0"/>
          </a:endParaRPr>
        </a:p>
        <a:p>
          <a:r>
            <a:rPr lang="en-US" sz="1200" b="1" u="sng" baseline="0">
              <a:latin typeface="Times New Roman" panose="02020603050405020304" pitchFamily="18" charset="0"/>
              <a:cs typeface="Times New Roman" panose="02020603050405020304" pitchFamily="18" charset="0"/>
            </a:rPr>
            <a:t>Character Overview</a:t>
          </a:r>
          <a:endParaRPr lang="en-US" sz="1200" b="1" u="none" baseline="0">
            <a:latin typeface="Times New Roman" panose="02020603050405020304" pitchFamily="18" charset="0"/>
            <a:cs typeface="Times New Roman" panose="02020603050405020304" pitchFamily="18" charset="0"/>
          </a:endParaRPr>
        </a:p>
        <a:p>
          <a:r>
            <a:rPr lang="en-US" sz="1200" b="1" u="none" baseline="0">
              <a:latin typeface="Times New Roman" panose="02020603050405020304" pitchFamily="18" charset="0"/>
              <a:cs typeface="Times New Roman" panose="02020603050405020304" pitchFamily="18" charset="0"/>
            </a:rPr>
            <a:t>     </a:t>
          </a:r>
          <a:r>
            <a:rPr lang="en-US" sz="1200" b="0" baseline="0">
              <a:latin typeface="Times New Roman" panose="02020603050405020304" pitchFamily="18" charset="0"/>
              <a:cs typeface="Times New Roman" panose="02020603050405020304" pitchFamily="18" charset="0"/>
            </a:rPr>
            <a:t>This sheet contains individualized descriptions for all ten characters.</a:t>
          </a:r>
        </a:p>
        <a:p>
          <a:r>
            <a:rPr lang="en-US" sz="1200" b="0" baseline="0">
              <a:latin typeface="Times New Roman" panose="02020603050405020304" pitchFamily="18" charset="0"/>
              <a:cs typeface="Times New Roman" panose="02020603050405020304" pitchFamily="18" charset="0"/>
            </a:rPr>
            <a:t>          *Clicking on a name will take you to that character's sheet</a:t>
          </a:r>
        </a:p>
        <a:p>
          <a:r>
            <a:rPr lang="en-US" sz="1200" b="0" baseline="0">
              <a:latin typeface="Times New Roman" panose="02020603050405020304" pitchFamily="18" charset="0"/>
              <a:cs typeface="Times New Roman" panose="02020603050405020304" pitchFamily="18" charset="0"/>
            </a:rPr>
            <a:t>          *The leftmost column tells you if the character is in the tavern alone or with others. </a:t>
          </a:r>
        </a:p>
        <a:p>
          <a:r>
            <a:rPr lang="en-US" sz="1200" b="0" baseline="0">
              <a:latin typeface="Times New Roman" panose="02020603050405020304" pitchFamily="18" charset="0"/>
              <a:cs typeface="Times New Roman" panose="02020603050405020304" pitchFamily="18" charset="0"/>
            </a:rPr>
            <a:t>	*For instance, all characters listed as Group 2 are at a table together.</a:t>
          </a:r>
        </a:p>
        <a:p>
          <a:r>
            <a:rPr lang="en-US" sz="1200" b="0" baseline="0">
              <a:latin typeface="Times New Roman" panose="02020603050405020304" pitchFamily="18" charset="0"/>
              <a:cs typeface="Times New Roman" panose="02020603050405020304" pitchFamily="18" charset="0"/>
            </a:rPr>
            <a:t>          *The bottom row of each character tells you what they are doing or who they are  </a:t>
          </a:r>
        </a:p>
        <a:p>
          <a:r>
            <a:rPr lang="en-US" sz="1200" b="0" baseline="0">
              <a:latin typeface="Times New Roman" panose="02020603050405020304" pitchFamily="18" charset="0"/>
              <a:cs typeface="Times New Roman" panose="02020603050405020304" pitchFamily="18" charset="0"/>
            </a:rPr>
            <a:t>             interacting with.</a:t>
          </a:r>
        </a:p>
        <a:p>
          <a:r>
            <a:rPr lang="en-US" sz="1200" b="0" baseline="0">
              <a:latin typeface="Times New Roman" panose="02020603050405020304" pitchFamily="18" charset="0"/>
              <a:cs typeface="Times New Roman" panose="02020603050405020304" pitchFamily="18" charset="0"/>
            </a:rPr>
            <a:t>	*Some of these may seem weird, but use your imagination to figure out why</a:t>
          </a:r>
        </a:p>
        <a:p>
          <a:r>
            <a:rPr lang="en-US" sz="1200" b="0" baseline="0">
              <a:latin typeface="Times New Roman" panose="02020603050405020304" pitchFamily="18" charset="0"/>
              <a:cs typeface="Times New Roman" panose="02020603050405020304" pitchFamily="18" charset="0"/>
            </a:rPr>
            <a:t>	  it's happening. </a:t>
          </a:r>
        </a:p>
        <a:p>
          <a:r>
            <a:rPr lang="en-US" sz="1200" b="0" baseline="0">
              <a:latin typeface="Times New Roman" panose="02020603050405020304" pitchFamily="18" charset="0"/>
              <a:cs typeface="Times New Roman" panose="02020603050405020304" pitchFamily="18" charset="0"/>
            </a:rPr>
            <a:t>	*Sometimes characters will be interacting with someone outside of their</a:t>
          </a:r>
        </a:p>
        <a:p>
          <a:r>
            <a:rPr lang="en-US" sz="1200" b="0" baseline="0">
              <a:latin typeface="Times New Roman" panose="02020603050405020304" pitchFamily="18" charset="0"/>
              <a:cs typeface="Times New Roman" panose="02020603050405020304" pitchFamily="18" charset="0"/>
            </a:rPr>
            <a:t>	  group (and seemingly ignoring others in their group). Why is this</a:t>
          </a:r>
        </a:p>
        <a:p>
          <a:r>
            <a:rPr lang="en-US" sz="1200" b="0" baseline="0">
              <a:latin typeface="Times New Roman" panose="02020603050405020304" pitchFamily="18" charset="0"/>
              <a:cs typeface="Times New Roman" panose="02020603050405020304" pitchFamily="18" charset="0"/>
            </a:rPr>
            <a:t>	  happening? What trouble could it cause in the tavern?</a:t>
          </a:r>
        </a:p>
        <a:p>
          <a:endParaRPr lang="en-US" sz="1200" b="0" baseline="0">
            <a:latin typeface="Times New Roman" panose="02020603050405020304" pitchFamily="18" charset="0"/>
            <a:cs typeface="Times New Roman" panose="02020603050405020304" pitchFamily="18" charset="0"/>
          </a:endParaRPr>
        </a:p>
        <a:p>
          <a:r>
            <a:rPr lang="en-US" sz="1200" b="1" i="0" u="sng">
              <a:latin typeface="Times New Roman" panose="02020603050405020304" pitchFamily="18" charset="0"/>
              <a:cs typeface="Times New Roman" panose="02020603050405020304" pitchFamily="18" charset="0"/>
            </a:rPr>
            <a:t>Character Sheets 1-10</a:t>
          </a:r>
          <a:endParaRPr lang="en-US" sz="1200" b="1" i="0" u="none">
            <a:latin typeface="Times New Roman" panose="02020603050405020304" pitchFamily="18" charset="0"/>
            <a:cs typeface="Times New Roman" panose="02020603050405020304" pitchFamily="18" charset="0"/>
          </a:endParaRPr>
        </a:p>
        <a:p>
          <a:r>
            <a:rPr lang="en-US" sz="1200" b="1" i="0" u="none" baseline="0">
              <a:latin typeface="Times New Roman" panose="02020603050405020304" pitchFamily="18" charset="0"/>
              <a:cs typeface="Times New Roman" panose="02020603050405020304" pitchFamily="18" charset="0"/>
            </a:rPr>
            <a:t>     </a:t>
          </a:r>
          <a:r>
            <a:rPr lang="en-US" sz="1200" b="0" i="0" u="none">
              <a:latin typeface="Times New Roman" panose="02020603050405020304" pitchFamily="18" charset="0"/>
              <a:cs typeface="Times New Roman" panose="02020603050405020304" pitchFamily="18" charset="0"/>
            </a:rPr>
            <a:t>These sheets contain the stats for each character.</a:t>
          </a:r>
          <a:endParaRPr lang="en-US" sz="1200" b="0" i="0" u="none" baseline="0">
            <a:latin typeface="Times New Roman" panose="02020603050405020304" pitchFamily="18" charset="0"/>
            <a:cs typeface="Times New Roman" panose="02020603050405020304" pitchFamily="18" charset="0"/>
          </a:endParaRPr>
        </a:p>
        <a:p>
          <a:r>
            <a:rPr lang="en-US" sz="1200" b="0" i="0" u="none" baseline="0">
              <a:latin typeface="Times New Roman" panose="02020603050405020304" pitchFamily="18" charset="0"/>
              <a:cs typeface="Times New Roman" panose="02020603050405020304" pitchFamily="18" charset="0"/>
            </a:rPr>
            <a:t>          *Some characters are listed as non-classed, as not everyone is an adventurer</a:t>
          </a:r>
        </a:p>
        <a:p>
          <a:r>
            <a:rPr lang="en-US" sz="1200" b="0" i="0" u="none" baseline="0">
              <a:latin typeface="Times New Roman" panose="02020603050405020304" pitchFamily="18" charset="0"/>
              <a:cs typeface="Times New Roman" panose="02020603050405020304" pitchFamily="18" charset="0"/>
            </a:rPr>
            <a:t>	*Their profession is listed under "Class 2."</a:t>
          </a:r>
        </a:p>
        <a:p>
          <a:r>
            <a:rPr lang="en-US" sz="1200" b="0" i="0" u="none" baseline="0">
              <a:latin typeface="Times New Roman" panose="02020603050405020304" pitchFamily="18" charset="0"/>
              <a:cs typeface="Times New Roman" panose="02020603050405020304" pitchFamily="18" charset="0"/>
            </a:rPr>
            <a:t>	*These characters have an extra skill added at the bottom of the skill section</a:t>
          </a:r>
        </a:p>
        <a:p>
          <a:r>
            <a:rPr lang="en-US" sz="1200" b="0" i="0" u="none" baseline="0">
              <a:latin typeface="Times New Roman" panose="02020603050405020304" pitchFamily="18" charset="0"/>
              <a:cs typeface="Times New Roman" panose="02020603050405020304" pitchFamily="18" charset="0"/>
            </a:rPr>
            <a:t>	  called "profession." This tells you how good they are at their chosen</a:t>
          </a:r>
        </a:p>
        <a:p>
          <a:r>
            <a:rPr lang="en-US" sz="1200" b="0" i="0" u="none" baseline="0">
              <a:latin typeface="Times New Roman" panose="02020603050405020304" pitchFamily="18" charset="0"/>
              <a:cs typeface="Times New Roman" panose="02020603050405020304" pitchFamily="18" charset="0"/>
            </a:rPr>
            <a:t>	  profession.</a:t>
          </a:r>
        </a:p>
        <a:p>
          <a:r>
            <a:rPr lang="en-US" sz="1200" b="0" i="0" u="none" baseline="0">
              <a:latin typeface="Times New Roman" panose="02020603050405020304" pitchFamily="18" charset="0"/>
              <a:cs typeface="Times New Roman" panose="02020603050405020304" pitchFamily="18" charset="0"/>
            </a:rPr>
            <a:t>          *In the upper left of each page is a link to take you back to the character overview.</a:t>
          </a:r>
        </a:p>
        <a:p>
          <a:r>
            <a:rPr lang="en-US" sz="1200" b="0" i="0" u="none" baseline="0">
              <a:latin typeface="Times New Roman" panose="02020603050405020304" pitchFamily="18" charset="0"/>
              <a:cs typeface="Times New Roman" panose="02020603050405020304" pitchFamily="18" charset="0"/>
            </a:rPr>
            <a:t>          *These pages are protected so that codes do not break. It is not recommended that</a:t>
          </a:r>
        </a:p>
        <a:p>
          <a:r>
            <a:rPr lang="en-US" sz="1200" b="0" i="0" u="none" baseline="0">
              <a:latin typeface="Times New Roman" panose="02020603050405020304" pitchFamily="18" charset="0"/>
              <a:cs typeface="Times New Roman" panose="02020603050405020304" pitchFamily="18" charset="0"/>
            </a:rPr>
            <a:t>            you undo this unless you have personally put skill points into Excel proficiency. </a:t>
          </a:r>
        </a:p>
        <a:p>
          <a:r>
            <a:rPr lang="en-US" sz="1200" b="0" i="0" u="none" baseline="0">
              <a:latin typeface="Times New Roman" panose="02020603050405020304" pitchFamily="18" charset="0"/>
              <a:cs typeface="Times New Roman" panose="02020603050405020304" pitchFamily="18" charset="0"/>
            </a:rPr>
            <a:t>	*If you wish to create a custom character, see the next section.</a:t>
          </a:r>
        </a:p>
        <a:p>
          <a:r>
            <a:rPr lang="en-US" sz="1200" b="0" i="0" u="none" baseline="0">
              <a:latin typeface="Times New Roman" panose="02020603050405020304" pitchFamily="18" charset="0"/>
              <a:cs typeface="Times New Roman" panose="02020603050405020304" pitchFamily="18" charset="0"/>
            </a:rPr>
            <a:t>          </a:t>
          </a:r>
          <a:endParaRPr lang="en-US" sz="1200" b="1" i="0" u="sng" baseline="0">
            <a:latin typeface="Times New Roman" panose="02020603050405020304" pitchFamily="18" charset="0"/>
            <a:cs typeface="Times New Roman" panose="02020603050405020304" pitchFamily="18" charset="0"/>
          </a:endParaRPr>
        </a:p>
        <a:p>
          <a:r>
            <a:rPr lang="en-US" sz="1200" b="1" i="0" u="sng" baseline="0">
              <a:latin typeface="Times New Roman" panose="02020603050405020304" pitchFamily="18" charset="0"/>
              <a:cs typeface="Times New Roman" panose="02020603050405020304" pitchFamily="18" charset="0"/>
            </a:rPr>
            <a:t>Pick and Choose</a:t>
          </a:r>
          <a:endParaRPr lang="en-US" sz="1200" b="1" i="0" u="none" baseline="0">
            <a:latin typeface="Times New Roman" panose="02020603050405020304" pitchFamily="18" charset="0"/>
            <a:cs typeface="Times New Roman" panose="02020603050405020304" pitchFamily="18" charset="0"/>
          </a:endParaRPr>
        </a:p>
        <a:p>
          <a:r>
            <a:rPr lang="en-US" sz="1200" b="1" i="0" u="none" baseline="0">
              <a:latin typeface="Times New Roman" panose="02020603050405020304" pitchFamily="18" charset="0"/>
              <a:cs typeface="Times New Roman" panose="02020603050405020304" pitchFamily="18" charset="0"/>
            </a:rPr>
            <a:t>     </a:t>
          </a:r>
          <a:r>
            <a:rPr lang="en-US" sz="1200" b="0" i="0" u="none" baseline="0">
              <a:latin typeface="Times New Roman" panose="02020603050405020304" pitchFamily="18" charset="0"/>
              <a:cs typeface="Times New Roman" panose="02020603050405020304" pitchFamily="18" charset="0"/>
            </a:rPr>
            <a:t>This sheet will allow you to customize a character (this character does not appear on the overview) using several dropdown boxes.</a:t>
          </a:r>
        </a:p>
        <a:p>
          <a:r>
            <a:rPr lang="en-US" sz="1200" b="0" i="0" u="none" baseline="0">
              <a:latin typeface="Times New Roman" panose="02020603050405020304" pitchFamily="18" charset="0"/>
              <a:cs typeface="Times New Roman" panose="02020603050405020304" pitchFamily="18" charset="0"/>
            </a:rPr>
            <a:t>          *Race</a:t>
          </a:r>
        </a:p>
        <a:p>
          <a:r>
            <a:rPr lang="en-US" sz="1200" b="0" i="0" u="none" baseline="0">
              <a:latin typeface="Times New Roman" panose="02020603050405020304" pitchFamily="18" charset="0"/>
              <a:cs typeface="Times New Roman" panose="02020603050405020304" pitchFamily="18" charset="0"/>
            </a:rPr>
            <a:t>          *Class One </a:t>
          </a:r>
        </a:p>
        <a:p>
          <a:r>
            <a:rPr lang="en-US" sz="1200" b="0" i="0" u="none" baseline="0">
              <a:latin typeface="Times New Roman" panose="02020603050405020304" pitchFamily="18" charset="0"/>
              <a:cs typeface="Times New Roman" panose="02020603050405020304" pitchFamily="18" charset="0"/>
            </a:rPr>
            <a:t>          *Class One Level (cannot exceed ten if multi-classing, twenty otherwise)</a:t>
          </a:r>
        </a:p>
        <a:p>
          <a:r>
            <a:rPr lang="en-US" sz="1200" b="0" i="0" u="none" baseline="0">
              <a:latin typeface="Times New Roman" panose="02020603050405020304" pitchFamily="18" charset="0"/>
              <a:cs typeface="Times New Roman" panose="02020603050405020304" pitchFamily="18" charset="0"/>
            </a:rPr>
            <a:t>          *Class Two</a:t>
          </a:r>
        </a:p>
        <a:p>
          <a:r>
            <a:rPr lang="en-US" sz="1200" b="0" i="0" u="none" baseline="0">
              <a:latin typeface="Times New Roman" panose="02020603050405020304" pitchFamily="18" charset="0"/>
              <a:cs typeface="Times New Roman" panose="02020603050405020304" pitchFamily="18" charset="0"/>
            </a:rPr>
            <a:t>          *Class Two Level (cannot exceed ten)</a:t>
          </a:r>
        </a:p>
        <a:p>
          <a:endParaRPr lang="en-US" sz="1200" b="1" i="0" u="sng" baseline="0">
            <a:latin typeface="Times New Roman" panose="02020603050405020304" pitchFamily="18" charset="0"/>
            <a:cs typeface="Times New Roman" panose="02020603050405020304" pitchFamily="18" charset="0"/>
          </a:endParaRPr>
        </a:p>
        <a:p>
          <a:r>
            <a:rPr lang="en-US" sz="1200" b="1" i="0" u="sng" baseline="0">
              <a:latin typeface="Times New Roman" panose="02020603050405020304" pitchFamily="18" charset="0"/>
              <a:cs typeface="Times New Roman" panose="02020603050405020304" pitchFamily="18" charset="0"/>
            </a:rPr>
            <a:t>To Generate a Spellbook</a:t>
          </a:r>
          <a:endParaRPr lang="en-US" sz="1200" b="1" i="0" u="none" baseline="0">
            <a:latin typeface="Times New Roman" panose="02020603050405020304" pitchFamily="18" charset="0"/>
            <a:cs typeface="Times New Roman" panose="02020603050405020304" pitchFamily="18" charset="0"/>
          </a:endParaRPr>
        </a:p>
        <a:p>
          <a:r>
            <a:rPr lang="en-US" sz="1200" b="1" i="0" u="none" baseline="0">
              <a:latin typeface="Times New Roman" panose="02020603050405020304" pitchFamily="18" charset="0"/>
              <a:cs typeface="Times New Roman" panose="02020603050405020304" pitchFamily="18" charset="0"/>
            </a:rPr>
            <a:t>     </a:t>
          </a:r>
          <a:r>
            <a:rPr lang="en-US" sz="1200" b="0" i="0" u="none" baseline="0">
              <a:latin typeface="Times New Roman" panose="02020603050405020304" pitchFamily="18" charset="0"/>
              <a:cs typeface="Times New Roman" panose="02020603050405020304" pitchFamily="18" charset="0"/>
            </a:rPr>
            <a:t>Use the Pick and Choose tab to select wizard under "Class One" and the level of the wizard you want beneath that. Scroll to the bottom of the page to find the spellbook.</a:t>
          </a:r>
        </a:p>
        <a:p>
          <a:r>
            <a:rPr lang="en-US" sz="1200" b="0" i="0" u="none" baseline="0">
              <a:latin typeface="Times New Roman" panose="02020603050405020304" pitchFamily="18" charset="0"/>
              <a:cs typeface="Times New Roman" panose="02020603050405020304" pitchFamily="18" charset="0"/>
            </a:rPr>
            <a:t>          *An update is planned down the road to generate a physical description of the</a:t>
          </a:r>
        </a:p>
        <a:p>
          <a:r>
            <a:rPr lang="en-US" sz="1200" b="0" i="0" u="none" baseline="0">
              <a:latin typeface="Times New Roman" panose="02020603050405020304" pitchFamily="18" charset="0"/>
              <a:cs typeface="Times New Roman" panose="02020603050405020304" pitchFamily="18" charset="0"/>
            </a:rPr>
            <a:t>            spellbook.</a:t>
          </a:r>
        </a:p>
        <a:p>
          <a:endParaRPr lang="en-US" sz="1100" b="0" i="0" u="none" baseline="0">
            <a:latin typeface="Arial" panose="020B0604020202020204" pitchFamily="34" charset="0"/>
            <a:cs typeface="Arial" panose="020B0604020202020204" pitchFamily="34" charset="0"/>
          </a:endParaRPr>
        </a:p>
        <a:p>
          <a:r>
            <a:rPr lang="en-US" sz="1100" b="1" i="1" u="none" baseline="0">
              <a:latin typeface="Arial" panose="020B0604020202020204" pitchFamily="34" charset="0"/>
              <a:cs typeface="Arial" panose="020B0604020202020204" pitchFamily="34" charset="0"/>
            </a:rPr>
            <a:t> </a:t>
          </a:r>
          <a:endParaRPr lang="en-US" sz="1100" b="1" i="1" u="sng" baseline="0">
            <a:latin typeface="Arial" panose="020B0604020202020204" pitchFamily="34" charset="0"/>
            <a:cs typeface="Arial" panose="020B0604020202020204" pitchFamily="34" charset="0"/>
          </a:endParaRPr>
        </a:p>
      </xdr:txBody>
    </xdr:sp>
    <xdr:clientData/>
  </xdr:oneCellAnchor>
  <xdr:oneCellAnchor>
    <xdr:from>
      <xdr:col>13</xdr:col>
      <xdr:colOff>320040</xdr:colOff>
      <xdr:row>6</xdr:row>
      <xdr:rowOff>38100</xdr:rowOff>
    </xdr:from>
    <xdr:ext cx="5433060" cy="4876800"/>
    <xdr:sp macro="" textlink="">
      <xdr:nvSpPr>
        <xdr:cNvPr id="5" name="TextBox 4">
          <a:extLst>
            <a:ext uri="{FF2B5EF4-FFF2-40B4-BE49-F238E27FC236}">
              <a16:creationId xmlns:a16="http://schemas.microsoft.com/office/drawing/2014/main" id="{22CBD5C5-D2E5-4991-8736-A4B313D974CD}"/>
            </a:ext>
          </a:extLst>
        </xdr:cNvPr>
        <xdr:cNvSpPr txBox="1"/>
      </xdr:nvSpPr>
      <xdr:spPr>
        <a:xfrm>
          <a:off x="8244840" y="1089660"/>
          <a:ext cx="5433060" cy="4876800"/>
        </a:xfrm>
        <a:prstGeom prst="rect">
          <a:avLst/>
        </a:prstGeom>
        <a:no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1" u="sng">
              <a:solidFill>
                <a:srgbClr val="FF0000"/>
              </a:solidFill>
              <a:latin typeface="Bell MT" panose="02020503060305020303" pitchFamily="18" charset="0"/>
              <a:cs typeface="Times New Roman" panose="02020603050405020304" pitchFamily="18" charset="0"/>
            </a:rPr>
            <a:t>TO USE THIS GENERATION</a:t>
          </a:r>
          <a:r>
            <a:rPr lang="en-US" sz="1600" b="1" u="sng" baseline="0">
              <a:solidFill>
                <a:srgbClr val="FF0000"/>
              </a:solidFill>
              <a:latin typeface="Bell MT" panose="02020503060305020303" pitchFamily="18" charset="0"/>
              <a:cs typeface="Times New Roman" panose="02020603050405020304" pitchFamily="18" charset="0"/>
            </a:rPr>
            <a:t> SYSTEM</a:t>
          </a:r>
        </a:p>
        <a:p>
          <a:pPr algn="l"/>
          <a:r>
            <a:rPr lang="en-US" sz="1100" b="0" u="none" baseline="0">
              <a:solidFill>
                <a:sysClr val="windowText" lastClr="000000"/>
              </a:solidFill>
              <a:latin typeface="Times New Roman" panose="02020603050405020304" pitchFamily="18" charset="0"/>
              <a:cs typeface="Times New Roman" panose="02020603050405020304" pitchFamily="18" charset="0"/>
            </a:rPr>
            <a:t>*</a:t>
          </a:r>
          <a:r>
            <a:rPr lang="en-US" sz="1200" b="0" u="none" baseline="0">
              <a:solidFill>
                <a:sysClr val="windowText" lastClr="000000"/>
              </a:solidFill>
              <a:latin typeface="Times New Roman" panose="02020603050405020304" pitchFamily="18" charset="0"/>
              <a:cs typeface="Times New Roman" panose="02020603050405020304" pitchFamily="18" charset="0"/>
            </a:rPr>
            <a:t>Select the sheet you wish to use (see list to the left).</a:t>
          </a:r>
        </a:p>
        <a:p>
          <a:pPr algn="l"/>
          <a:r>
            <a:rPr lang="en-US" sz="1200" b="0" u="none" baseline="0">
              <a:solidFill>
                <a:sysClr val="windowText" lastClr="000000"/>
              </a:solidFill>
              <a:latin typeface="Times New Roman" panose="02020603050405020304" pitchFamily="18" charset="0"/>
              <a:cs typeface="Times New Roman" panose="02020603050405020304" pitchFamily="18" charset="0"/>
            </a:rPr>
            <a:t>*Select the "Formulas" tab at the top of the page</a:t>
          </a:r>
        </a:p>
        <a:p>
          <a:pPr algn="l"/>
          <a:endParaRPr lang="en-US" sz="1100" b="0" u="none" baseline="0">
            <a:solidFill>
              <a:sysClr val="windowText" lastClr="000000"/>
            </a:solidFill>
            <a:latin typeface="Times New Roman" panose="02020603050405020304" pitchFamily="18" charset="0"/>
            <a:cs typeface="Times New Roman" panose="02020603050405020304" pitchFamily="18" charset="0"/>
          </a:endParaRPr>
        </a:p>
        <a:p>
          <a:pPr algn="l"/>
          <a:endParaRPr lang="en-US" sz="1100" b="0" u="none" baseline="0">
            <a:solidFill>
              <a:sysClr val="windowText" lastClr="000000"/>
            </a:solidFill>
            <a:latin typeface="Times New Roman" panose="02020603050405020304" pitchFamily="18" charset="0"/>
            <a:cs typeface="Times New Roman" panose="02020603050405020304" pitchFamily="18" charset="0"/>
          </a:endParaRPr>
        </a:p>
        <a:p>
          <a:pPr algn="l"/>
          <a:endParaRPr lang="en-US" sz="1100" b="0" u="none" baseline="0">
            <a:solidFill>
              <a:sysClr val="windowText" lastClr="000000"/>
            </a:solidFill>
            <a:latin typeface="Times New Roman" panose="02020603050405020304" pitchFamily="18" charset="0"/>
            <a:cs typeface="Times New Roman" panose="02020603050405020304" pitchFamily="18" charset="0"/>
          </a:endParaRPr>
        </a:p>
        <a:p>
          <a:pPr algn="l"/>
          <a:endParaRPr lang="en-US" sz="1100" b="0" u="none" baseline="0">
            <a:solidFill>
              <a:sysClr val="windowText" lastClr="000000"/>
            </a:solidFill>
            <a:latin typeface="Times New Roman" panose="02020603050405020304" pitchFamily="18" charset="0"/>
            <a:cs typeface="Times New Roman" panose="02020603050405020304" pitchFamily="18" charset="0"/>
          </a:endParaRPr>
        </a:p>
        <a:p>
          <a:pPr algn="l"/>
          <a:endParaRPr lang="en-US" sz="1100" b="0" u="none" baseline="0">
            <a:solidFill>
              <a:sysClr val="windowText" lastClr="000000"/>
            </a:solidFill>
            <a:latin typeface="Times New Roman" panose="02020603050405020304" pitchFamily="18" charset="0"/>
            <a:cs typeface="Times New Roman" panose="02020603050405020304" pitchFamily="18" charset="0"/>
          </a:endParaRPr>
        </a:p>
        <a:p>
          <a:pPr algn="l"/>
          <a:endParaRPr lang="en-US" sz="1100" b="0" u="none" baseline="0">
            <a:solidFill>
              <a:sysClr val="windowText" lastClr="000000"/>
            </a:solidFill>
            <a:latin typeface="Times New Roman" panose="02020603050405020304" pitchFamily="18" charset="0"/>
            <a:cs typeface="Times New Roman" panose="02020603050405020304" pitchFamily="18" charset="0"/>
          </a:endParaRPr>
        </a:p>
        <a:p>
          <a:pPr algn="l"/>
          <a:endParaRPr lang="en-US" sz="1100" b="0" u="none" baseline="0">
            <a:solidFill>
              <a:sysClr val="windowText" lastClr="000000"/>
            </a:solidFill>
            <a:latin typeface="Times New Roman" panose="02020603050405020304" pitchFamily="18" charset="0"/>
            <a:cs typeface="Times New Roman" panose="02020603050405020304" pitchFamily="18" charset="0"/>
          </a:endParaRPr>
        </a:p>
        <a:p>
          <a:pPr algn="l"/>
          <a:r>
            <a:rPr lang="en-US" sz="1200" b="0" u="none" baseline="0">
              <a:solidFill>
                <a:sysClr val="windowText" lastClr="000000"/>
              </a:solidFill>
              <a:latin typeface="Times New Roman" panose="02020603050405020304" pitchFamily="18" charset="0"/>
              <a:cs typeface="Times New Roman" panose="02020603050405020304" pitchFamily="18" charset="0"/>
            </a:rPr>
            <a:t>*Look to the upper right of the screen and click "Calculate Now"</a:t>
          </a: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u="none" baseline="0">
              <a:solidFill>
                <a:sysClr val="windowText" lastClr="000000"/>
              </a:solidFill>
              <a:latin typeface="Times New Roman" panose="02020603050405020304" pitchFamily="18" charset="0"/>
              <a:cs typeface="Times New Roman" panose="02020603050405020304" pitchFamily="18" charset="0"/>
            </a:rPr>
            <a:t>    *</a:t>
          </a:r>
          <a:r>
            <a:rPr kumimoji="0" lang="en-US" sz="1200" b="0" i="0" u="none" strike="noStrike" kern="0" cap="none" spc="0" normalizeH="0" baseline="0" noProof="0">
              <a:ln>
                <a:noFill/>
              </a:ln>
              <a:solidFill>
                <a:sysClr val="windowText" lastClr="000000"/>
              </a:solidFill>
              <a:effectLst/>
              <a:uLnTx/>
              <a:uFillTx/>
              <a:latin typeface="Times New Roman" panose="02020603050405020304" pitchFamily="18" charset="0"/>
              <a:ea typeface="+mn-ea"/>
              <a:cs typeface="Times New Roman" panose="02020603050405020304" pitchFamily="18" charset="0"/>
            </a:rPr>
            <a:t>If you don't like what is generated, click it again!</a:t>
          </a:r>
        </a:p>
        <a:p>
          <a:pPr algn="l"/>
          <a:endParaRPr lang="en-US" sz="1200" b="0" u="none" baseline="0">
            <a:solidFill>
              <a:sysClr val="windowText" lastClr="000000"/>
            </a:solidFill>
            <a:latin typeface="Times New Roman" panose="02020603050405020304" pitchFamily="18" charset="0"/>
            <a:cs typeface="Times New Roman" panose="02020603050405020304" pitchFamily="18" charset="0"/>
          </a:endParaRPr>
        </a:p>
        <a:p>
          <a:pPr algn="l"/>
          <a:endParaRPr lang="en-US" sz="1200" b="0" u="none" baseline="0">
            <a:solidFill>
              <a:sysClr val="windowText" lastClr="000000"/>
            </a:solidFill>
            <a:latin typeface="Times New Roman" panose="02020603050405020304" pitchFamily="18" charset="0"/>
            <a:cs typeface="Times New Roman" panose="02020603050405020304" pitchFamily="18" charset="0"/>
          </a:endParaRPr>
        </a:p>
        <a:p>
          <a:pPr algn="l"/>
          <a:endParaRPr lang="en-US" sz="1200" b="0" u="none" baseline="0">
            <a:solidFill>
              <a:sysClr val="windowText" lastClr="000000"/>
            </a:solidFill>
            <a:latin typeface="Times New Roman" panose="02020603050405020304" pitchFamily="18" charset="0"/>
            <a:cs typeface="Times New Roman" panose="02020603050405020304" pitchFamily="18" charset="0"/>
          </a:endParaRPr>
        </a:p>
        <a:p>
          <a:pPr algn="l"/>
          <a:endParaRPr lang="en-US" sz="1200" b="0" u="none" baseline="0">
            <a:solidFill>
              <a:sysClr val="windowText" lastClr="000000"/>
            </a:solidFill>
            <a:latin typeface="Times New Roman" panose="02020603050405020304" pitchFamily="18" charset="0"/>
            <a:cs typeface="Times New Roman" panose="02020603050405020304" pitchFamily="18" charset="0"/>
          </a:endParaRPr>
        </a:p>
        <a:p>
          <a:pPr algn="l"/>
          <a:endParaRPr lang="en-US" sz="1200" b="0" u="none" baseline="0">
            <a:solidFill>
              <a:sysClr val="windowText" lastClr="000000"/>
            </a:solidFill>
            <a:latin typeface="Times New Roman" panose="02020603050405020304" pitchFamily="18" charset="0"/>
            <a:cs typeface="Times New Roman" panose="02020603050405020304" pitchFamily="18" charset="0"/>
          </a:endParaRPr>
        </a:p>
        <a:p>
          <a:pPr algn="l"/>
          <a:endParaRPr lang="en-US" sz="1200" b="0" u="none" baseline="0">
            <a:solidFill>
              <a:sysClr val="windowText" lastClr="000000"/>
            </a:solidFill>
            <a:latin typeface="Times New Roman" panose="02020603050405020304" pitchFamily="18" charset="0"/>
            <a:cs typeface="Times New Roman" panose="02020603050405020304" pitchFamily="18" charset="0"/>
          </a:endParaRPr>
        </a:p>
        <a:p>
          <a:pPr algn="l"/>
          <a:r>
            <a:rPr lang="en-US" sz="1200" b="0" u="none" baseline="0">
              <a:solidFill>
                <a:sysClr val="windowText" lastClr="000000"/>
              </a:solidFill>
              <a:latin typeface="Times New Roman" panose="02020603050405020304" pitchFamily="18" charset="0"/>
              <a:cs typeface="Times New Roman" panose="02020603050405020304" pitchFamily="18" charset="0"/>
            </a:rPr>
            <a:t> </a:t>
          </a:r>
          <a:r>
            <a:rPr lang="en-US" sz="1200" b="1" i="1" u="none" baseline="0">
              <a:solidFill>
                <a:sysClr val="windowText" lastClr="000000"/>
              </a:solidFill>
              <a:latin typeface="Times New Roman" panose="02020603050405020304" pitchFamily="18" charset="0"/>
              <a:cs typeface="Times New Roman" panose="02020603050405020304" pitchFamily="18" charset="0"/>
            </a:rPr>
            <a:t>Please note: </a:t>
          </a:r>
          <a:r>
            <a:rPr lang="en-US" sz="1200" b="0" u="none" baseline="0">
              <a:solidFill>
                <a:sysClr val="windowText" lastClr="000000"/>
              </a:solidFill>
              <a:latin typeface="Times New Roman" panose="02020603050405020304" pitchFamily="18" charset="0"/>
              <a:cs typeface="Times New Roman" panose="02020603050405020304" pitchFamily="18" charset="0"/>
            </a:rPr>
            <a:t>Certain actions may cause the sheets to regenerate. If this occurs,</a:t>
          </a:r>
        </a:p>
        <a:p>
          <a:pPr algn="l"/>
          <a:r>
            <a:rPr lang="en-US" sz="1200" b="0" u="none" baseline="0">
              <a:solidFill>
                <a:sysClr val="windowText" lastClr="000000"/>
              </a:solidFill>
              <a:latin typeface="Times New Roman" panose="02020603050405020304" pitchFamily="18" charset="0"/>
              <a:cs typeface="Times New Roman" panose="02020603050405020304" pitchFamily="18" charset="0"/>
            </a:rPr>
            <a:t>     your current generation will be lost. It is recommended that you print to PDF</a:t>
          </a:r>
        </a:p>
        <a:p>
          <a:pPr algn="l"/>
          <a:r>
            <a:rPr lang="en-US" sz="1200" b="0" u="none" baseline="0">
              <a:solidFill>
                <a:sysClr val="windowText" lastClr="000000"/>
              </a:solidFill>
              <a:latin typeface="Times New Roman" panose="02020603050405020304" pitchFamily="18" charset="0"/>
              <a:cs typeface="Times New Roman" panose="02020603050405020304" pitchFamily="18" charset="0"/>
            </a:rPr>
            <a:t>    (recommended), copy and paste as "values" to another excel sheet, copy and paste</a:t>
          </a:r>
        </a:p>
        <a:p>
          <a:pPr algn="l"/>
          <a:r>
            <a:rPr lang="en-US" sz="1200" b="0" u="none" baseline="0">
              <a:solidFill>
                <a:sysClr val="windowText" lastClr="000000"/>
              </a:solidFill>
              <a:latin typeface="Times New Roman" panose="02020603050405020304" pitchFamily="18" charset="0"/>
              <a:cs typeface="Times New Roman" panose="02020603050405020304" pitchFamily="18" charset="0"/>
            </a:rPr>
            <a:t>    as "picture" to a word document, or take a screenshot of what you want to save. </a:t>
          </a:r>
        </a:p>
        <a:p>
          <a:pPr algn="l"/>
          <a:endParaRPr lang="en-US" sz="1200" b="0" u="none" baseline="0">
            <a:solidFill>
              <a:sysClr val="windowText" lastClr="000000"/>
            </a:solidFill>
            <a:latin typeface="Times New Roman" panose="02020603050405020304" pitchFamily="18" charset="0"/>
            <a:cs typeface="Times New Roman" panose="02020603050405020304" pitchFamily="18" charset="0"/>
          </a:endParaRPr>
        </a:p>
        <a:p>
          <a:pPr algn="l"/>
          <a:r>
            <a:rPr lang="en-US" sz="1100" b="0" u="none" baseline="0">
              <a:solidFill>
                <a:sysClr val="windowText" lastClr="000000"/>
              </a:solidFill>
              <a:latin typeface="Times New Roman" panose="02020603050405020304" pitchFamily="18" charset="0"/>
              <a:cs typeface="Times New Roman" panose="02020603050405020304" pitchFamily="18" charset="0"/>
            </a:rPr>
            <a:t>*</a:t>
          </a:r>
          <a:r>
            <a:rPr lang="en-US" sz="1200" b="0" u="none" baseline="0">
              <a:solidFill>
                <a:sysClr val="windowText" lastClr="000000"/>
              </a:solidFill>
              <a:latin typeface="Times New Roman" panose="02020603050405020304" pitchFamily="18" charset="0"/>
              <a:cs typeface="Times New Roman" panose="02020603050405020304" pitchFamily="18" charset="0"/>
            </a:rPr>
            <a:t>All sheets are protected to avoid the breaking of codes. To remove protection:</a:t>
          </a:r>
        </a:p>
        <a:p>
          <a:pPr algn="l"/>
          <a:r>
            <a:rPr lang="en-US" sz="1200" b="0" u="none" baseline="0">
              <a:solidFill>
                <a:sysClr val="windowText" lastClr="000000"/>
              </a:solidFill>
              <a:latin typeface="Times New Roman" panose="02020603050405020304" pitchFamily="18" charset="0"/>
              <a:cs typeface="Times New Roman" panose="02020603050405020304" pitchFamily="18" charset="0"/>
            </a:rPr>
            <a:t>     *Review tab</a:t>
          </a:r>
        </a:p>
        <a:p>
          <a:pPr algn="l"/>
          <a:r>
            <a:rPr lang="en-US" sz="1200" b="0" u="none" baseline="0">
              <a:solidFill>
                <a:sysClr val="windowText" lastClr="000000"/>
              </a:solidFill>
              <a:latin typeface="Times New Roman" panose="02020603050405020304" pitchFamily="18" charset="0"/>
              <a:cs typeface="Times New Roman" panose="02020603050405020304" pitchFamily="18" charset="0"/>
            </a:rPr>
            <a:t>     *Unprotect sheet</a:t>
          </a:r>
        </a:p>
        <a:p>
          <a:pPr algn="l"/>
          <a:r>
            <a:rPr lang="en-US" sz="1200" b="0" u="none" baseline="0">
              <a:solidFill>
                <a:sysClr val="windowText" lastClr="000000"/>
              </a:solidFill>
              <a:latin typeface="Times New Roman" panose="02020603050405020304" pitchFamily="18" charset="0"/>
              <a:cs typeface="Times New Roman" panose="02020603050405020304" pitchFamily="18" charset="0"/>
            </a:rPr>
            <a:t>          *No password is required</a:t>
          </a:r>
        </a:p>
        <a:p>
          <a:pPr algn="l"/>
          <a:endParaRPr lang="en-US" sz="1100">
            <a:solidFill>
              <a:srgbClr val="FF0000"/>
            </a:solidFill>
          </a:endParaRPr>
        </a:p>
      </xdr:txBody>
    </xdr:sp>
    <xdr:clientData/>
  </xdr:oneCellAnchor>
  <xdr:twoCellAnchor editAs="oneCell">
    <xdr:from>
      <xdr:col>15</xdr:col>
      <xdr:colOff>441961</xdr:colOff>
      <xdr:row>10</xdr:row>
      <xdr:rowOff>76201</xdr:rowOff>
    </xdr:from>
    <xdr:to>
      <xdr:col>19</xdr:col>
      <xdr:colOff>403861</xdr:colOff>
      <xdr:row>14</xdr:row>
      <xdr:rowOff>114301</xdr:rowOff>
    </xdr:to>
    <xdr:pic>
      <xdr:nvPicPr>
        <xdr:cNvPr id="6" name="Picture 5">
          <a:extLst>
            <a:ext uri="{FF2B5EF4-FFF2-40B4-BE49-F238E27FC236}">
              <a16:creationId xmlns:a16="http://schemas.microsoft.com/office/drawing/2014/main" id="{B37BDFCD-AB41-4428-9845-C886CBDC4B66}"/>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43928"/>
        <a:stretch/>
      </xdr:blipFill>
      <xdr:spPr>
        <a:xfrm>
          <a:off x="9585961" y="1828801"/>
          <a:ext cx="2400300" cy="739140"/>
        </a:xfrm>
        <a:prstGeom prst="rect">
          <a:avLst/>
        </a:prstGeom>
      </xdr:spPr>
    </xdr:pic>
    <xdr:clientData/>
  </xdr:twoCellAnchor>
  <xdr:twoCellAnchor editAs="oneCell">
    <xdr:from>
      <xdr:col>14</xdr:col>
      <xdr:colOff>83820</xdr:colOff>
      <xdr:row>20</xdr:row>
      <xdr:rowOff>38100</xdr:rowOff>
    </xdr:from>
    <xdr:to>
      <xdr:col>21</xdr:col>
      <xdr:colOff>417195</xdr:colOff>
      <xdr:row>23</xdr:row>
      <xdr:rowOff>53340</xdr:rowOff>
    </xdr:to>
    <xdr:pic>
      <xdr:nvPicPr>
        <xdr:cNvPr id="7" name="Picture 6">
          <a:extLst>
            <a:ext uri="{FF2B5EF4-FFF2-40B4-BE49-F238E27FC236}">
              <a16:creationId xmlns:a16="http://schemas.microsoft.com/office/drawing/2014/main" id="{72F3F392-43AF-49D6-A069-0B2FB81F8DFE}"/>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b="60033"/>
        <a:stretch/>
      </xdr:blipFill>
      <xdr:spPr>
        <a:xfrm>
          <a:off x="8618220" y="3543300"/>
          <a:ext cx="4600575" cy="586740"/>
        </a:xfrm>
        <a:prstGeom prst="rect">
          <a:avLst/>
        </a:prstGeom>
      </xdr:spPr>
    </xdr:pic>
    <xdr:clientData/>
  </xdr:twoCellAnchor>
  <xdr:twoCellAnchor>
    <xdr:from>
      <xdr:col>18</xdr:col>
      <xdr:colOff>22860</xdr:colOff>
      <xdr:row>9</xdr:row>
      <xdr:rowOff>30480</xdr:rowOff>
    </xdr:from>
    <xdr:to>
      <xdr:col>19</xdr:col>
      <xdr:colOff>80010</xdr:colOff>
      <xdr:row>11</xdr:row>
      <xdr:rowOff>99060</xdr:rowOff>
    </xdr:to>
    <xdr:cxnSp macro="">
      <xdr:nvCxnSpPr>
        <xdr:cNvPr id="8" name="Straight Arrow Connector 7">
          <a:extLst>
            <a:ext uri="{FF2B5EF4-FFF2-40B4-BE49-F238E27FC236}">
              <a16:creationId xmlns:a16="http://schemas.microsoft.com/office/drawing/2014/main" id="{AF214F75-CD21-48DB-99B5-175738C0892A}"/>
            </a:ext>
          </a:extLst>
        </xdr:cNvPr>
        <xdr:cNvCxnSpPr/>
      </xdr:nvCxnSpPr>
      <xdr:spPr>
        <a:xfrm flipH="1">
          <a:off x="10991850" y="1571625"/>
          <a:ext cx="672465" cy="4095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441960</xdr:colOff>
      <xdr:row>18</xdr:row>
      <xdr:rowOff>160020</xdr:rowOff>
    </xdr:from>
    <xdr:to>
      <xdr:col>21</xdr:col>
      <xdr:colOff>30480</xdr:colOff>
      <xdr:row>21</xdr:row>
      <xdr:rowOff>129540</xdr:rowOff>
    </xdr:to>
    <xdr:cxnSp macro="">
      <xdr:nvCxnSpPr>
        <xdr:cNvPr id="9" name="Straight Arrow Connector 8">
          <a:extLst>
            <a:ext uri="{FF2B5EF4-FFF2-40B4-BE49-F238E27FC236}">
              <a16:creationId xmlns:a16="http://schemas.microsoft.com/office/drawing/2014/main" id="{BA21B23B-9262-4AEC-98D7-9CA626A9DF9F}"/>
            </a:ext>
          </a:extLst>
        </xdr:cNvPr>
        <xdr:cNvCxnSpPr/>
      </xdr:nvCxnSpPr>
      <xdr:spPr>
        <a:xfrm>
          <a:off x="12024360" y="3314700"/>
          <a:ext cx="807720" cy="4953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10</xdr:col>
      <xdr:colOff>548640</xdr:colOff>
      <xdr:row>8</xdr:row>
      <xdr:rowOff>91440</xdr:rowOff>
    </xdr:from>
    <xdr:to>
      <xdr:col>12</xdr:col>
      <xdr:colOff>167640</xdr:colOff>
      <xdr:row>13</xdr:row>
      <xdr:rowOff>15240</xdr:rowOff>
    </xdr:to>
    <xdr:pic>
      <xdr:nvPicPr>
        <xdr:cNvPr id="10" name="Picture 9">
          <a:extLst>
            <a:ext uri="{FF2B5EF4-FFF2-40B4-BE49-F238E27FC236}">
              <a16:creationId xmlns:a16="http://schemas.microsoft.com/office/drawing/2014/main" id="{05855F10-FC8C-4A1D-96D3-1258B9B433BD}"/>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9490" t="24855" r="9488" b="12717"/>
        <a:stretch/>
      </xdr:blipFill>
      <xdr:spPr>
        <a:xfrm>
          <a:off x="6648450" y="1466850"/>
          <a:ext cx="838200" cy="800100"/>
        </a:xfrm>
        <a:prstGeom prst="rect">
          <a:avLst/>
        </a:prstGeom>
      </xdr:spPr>
    </xdr:pic>
    <xdr:clientData/>
  </xdr:twoCellAnchor>
  <xdr:oneCellAnchor>
    <xdr:from>
      <xdr:col>9</xdr:col>
      <xdr:colOff>579120</xdr:colOff>
      <xdr:row>8</xdr:row>
      <xdr:rowOff>45721</xdr:rowOff>
    </xdr:from>
    <xdr:ext cx="2004060" cy="1554479"/>
    <xdr:sp macro="" textlink="">
      <xdr:nvSpPr>
        <xdr:cNvPr id="11" name="TextBox 10">
          <a:extLst>
            <a:ext uri="{FF2B5EF4-FFF2-40B4-BE49-F238E27FC236}">
              <a16:creationId xmlns:a16="http://schemas.microsoft.com/office/drawing/2014/main" id="{CC29F76F-352A-4995-A3A5-BCD5FCC90A06}"/>
            </a:ext>
          </a:extLst>
        </xdr:cNvPr>
        <xdr:cNvSpPr txBox="1"/>
      </xdr:nvSpPr>
      <xdr:spPr>
        <a:xfrm>
          <a:off x="6067425" y="1419226"/>
          <a:ext cx="2004060" cy="1554479"/>
        </a:xfrm>
        <a:prstGeom prst="rect">
          <a:avLst/>
        </a:prstGeom>
        <a:noFill/>
        <a:ln>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endParaRPr lang="en-US" sz="1100">
            <a:latin typeface="Gill Sans Ultra Bold" panose="020B0A02020104020203" pitchFamily="34" charset="0"/>
          </a:endParaRPr>
        </a:p>
        <a:p>
          <a:pPr algn="ctr"/>
          <a:endParaRPr lang="en-US" sz="1100">
            <a:latin typeface="Gill Sans Ultra Bold" panose="020B0A02020104020203" pitchFamily="34" charset="0"/>
          </a:endParaRPr>
        </a:p>
        <a:p>
          <a:pPr algn="ctr"/>
          <a:endParaRPr lang="en-US" sz="1100">
            <a:latin typeface="Gill Sans Ultra Bold" panose="020B0A02020104020203" pitchFamily="34" charset="0"/>
          </a:endParaRPr>
        </a:p>
        <a:p>
          <a:pPr algn="ctr"/>
          <a:endParaRPr lang="en-US" sz="1100">
            <a:latin typeface="Gill Sans Ultra Bold" panose="020B0A02020104020203" pitchFamily="34" charset="0"/>
          </a:endParaRPr>
        </a:p>
        <a:p>
          <a:pPr algn="ctr"/>
          <a:endParaRPr lang="en-US" sz="1100">
            <a:latin typeface="Gill Sans Ultra Bold" panose="020B0A02020104020203" pitchFamily="34" charset="0"/>
          </a:endParaRPr>
        </a:p>
        <a:p>
          <a:pPr algn="ctr"/>
          <a:r>
            <a:rPr lang="en-US" sz="1100">
              <a:latin typeface="Gill Sans Ultra Bold" panose="020B0A02020104020203" pitchFamily="34" charset="0"/>
            </a:rPr>
            <a:t>A</a:t>
          </a:r>
        </a:p>
        <a:p>
          <a:pPr algn="ctr"/>
          <a:r>
            <a:rPr lang="en-US" sz="1100">
              <a:solidFill>
                <a:srgbClr val="7030A0"/>
              </a:solidFill>
              <a:latin typeface="Gill Sans Ultra Bold" panose="020B0A02020104020203" pitchFamily="34" charset="0"/>
            </a:rPr>
            <a:t>Rory the Rat</a:t>
          </a:r>
          <a:r>
            <a:rPr lang="en-US" sz="1100" baseline="0">
              <a:solidFill>
                <a:srgbClr val="7030A0"/>
              </a:solidFill>
              <a:latin typeface="Gill Sans Ultra Bold" panose="020B0A02020104020203" pitchFamily="34" charset="0"/>
            </a:rPr>
            <a:t> Games</a:t>
          </a:r>
        </a:p>
        <a:p>
          <a:pPr algn="ctr"/>
          <a:r>
            <a:rPr lang="en-US" sz="1100" baseline="0">
              <a:latin typeface="Gill Sans Ultra Bold" panose="020B0A02020104020203" pitchFamily="34" charset="0"/>
            </a:rPr>
            <a:t>Product</a:t>
          </a:r>
          <a:endParaRPr lang="en-US" sz="1100">
            <a:latin typeface="Gill Sans Ultra Bold" panose="020B0A02020104020203" pitchFamily="34" charset="0"/>
          </a:endParaRPr>
        </a:p>
      </xdr:txBody>
    </xdr:sp>
    <xdr:clientData/>
  </xdr:oneCellAnchor>
  <xdr:oneCellAnchor>
    <xdr:from>
      <xdr:col>13</xdr:col>
      <xdr:colOff>360045</xdr:colOff>
      <xdr:row>34</xdr:row>
      <xdr:rowOff>68580</xdr:rowOff>
    </xdr:from>
    <xdr:ext cx="5433060" cy="1024890"/>
    <xdr:sp macro="" textlink="">
      <xdr:nvSpPr>
        <xdr:cNvPr id="12" name="TextBox 11">
          <a:extLst>
            <a:ext uri="{FF2B5EF4-FFF2-40B4-BE49-F238E27FC236}">
              <a16:creationId xmlns:a16="http://schemas.microsoft.com/office/drawing/2014/main" id="{B8686223-E7BD-4BED-A2F1-D05EC8553885}"/>
            </a:ext>
          </a:extLst>
        </xdr:cNvPr>
        <xdr:cNvSpPr txBox="1"/>
      </xdr:nvSpPr>
      <xdr:spPr>
        <a:xfrm>
          <a:off x="8284845" y="6210300"/>
          <a:ext cx="5433060" cy="1024890"/>
        </a:xfrm>
        <a:prstGeom prst="rect">
          <a:avLst/>
        </a:prstGeom>
        <a:no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1" u="sng">
              <a:solidFill>
                <a:srgbClr val="FF0000"/>
              </a:solidFill>
              <a:latin typeface="Bell MT" panose="02020503060305020303" pitchFamily="18" charset="0"/>
              <a:cs typeface="Times New Roman" panose="02020603050405020304" pitchFamily="18" charset="0"/>
            </a:rPr>
            <a:t>TO PRINT</a:t>
          </a:r>
          <a:endParaRPr lang="en-US" sz="1600" b="1" u="sng" baseline="0">
            <a:solidFill>
              <a:srgbClr val="FF0000"/>
            </a:solidFill>
            <a:latin typeface="Bell MT" panose="02020503060305020303" pitchFamily="18" charset="0"/>
            <a:cs typeface="Times New Roman" panose="02020603050405020304" pitchFamily="18" charset="0"/>
          </a:endParaRPr>
        </a:p>
        <a:p>
          <a:pPr algn="l"/>
          <a:r>
            <a:rPr lang="en-US" sz="1200" b="0" u="none" baseline="0">
              <a:solidFill>
                <a:sysClr val="windowText" lastClr="000000"/>
              </a:solidFill>
              <a:latin typeface="Times New Roman" panose="02020603050405020304" pitchFamily="18" charset="0"/>
              <a:cs typeface="Times New Roman" panose="02020603050405020304" pitchFamily="18" charset="0"/>
            </a:rPr>
            <a:t>*The recommend way to print these sheets is as follows:</a:t>
          </a:r>
        </a:p>
        <a:p>
          <a:pPr algn="l"/>
          <a:r>
            <a:rPr lang="en-US" sz="1200" b="0" u="none" baseline="0">
              <a:solidFill>
                <a:sysClr val="windowText" lastClr="000000"/>
              </a:solidFill>
              <a:latin typeface="Times New Roman" panose="02020603050405020304" pitchFamily="18" charset="0"/>
              <a:cs typeface="Times New Roman" panose="02020603050405020304" pitchFamily="18" charset="0"/>
            </a:rPr>
            <a:t>     * Print to PDF (if possible)</a:t>
          </a:r>
        </a:p>
        <a:p>
          <a:pPr algn="l"/>
          <a:r>
            <a:rPr lang="en-US" sz="1200" b="0" u="none" baseline="0">
              <a:solidFill>
                <a:sysClr val="windowText" lastClr="000000"/>
              </a:solidFill>
              <a:latin typeface="Times New Roman" panose="02020603050405020304" pitchFamily="18" charset="0"/>
              <a:cs typeface="Times New Roman" panose="02020603050405020304" pitchFamily="18" charset="0"/>
            </a:rPr>
            <a:t>     * Landscape Orientation</a:t>
          </a:r>
        </a:p>
        <a:p>
          <a:pPr algn="l"/>
          <a:r>
            <a:rPr lang="en-US" sz="1200" b="0" u="none" baseline="0">
              <a:solidFill>
                <a:sysClr val="windowText" lastClr="000000"/>
              </a:solidFill>
              <a:latin typeface="Times New Roman" panose="02020603050405020304" pitchFamily="18" charset="0"/>
              <a:cs typeface="Times New Roman" panose="02020603050405020304" pitchFamily="18" charset="0"/>
            </a:rPr>
            <a:t>     * Fit sheet on one page</a:t>
          </a:r>
        </a:p>
        <a:p>
          <a:pPr algn="l"/>
          <a:endParaRPr lang="en-US" sz="1100" b="0" u="none" baseline="0">
            <a:solidFill>
              <a:sysClr val="windowText" lastClr="000000"/>
            </a:solidFill>
          </a:endParaRPr>
        </a:p>
        <a:p>
          <a:pPr algn="l"/>
          <a:endParaRPr lang="en-US" sz="1100" b="0" u="none" baseline="0">
            <a:solidFill>
              <a:sysClr val="windowText" lastClr="000000"/>
            </a:solidFill>
          </a:endParaRPr>
        </a:p>
        <a:p>
          <a:pPr algn="l"/>
          <a:endParaRPr lang="en-US" sz="1100" b="0" u="none" baseline="0">
            <a:solidFill>
              <a:sysClr val="windowText" lastClr="000000"/>
            </a:solidFill>
          </a:endParaRPr>
        </a:p>
        <a:p>
          <a:pPr algn="l"/>
          <a:endParaRPr lang="en-US" sz="1100" b="0" u="none" baseline="0">
            <a:solidFill>
              <a:sysClr val="windowText" lastClr="000000"/>
            </a:solidFill>
          </a:endParaRPr>
        </a:p>
        <a:p>
          <a:pPr algn="l"/>
          <a:endParaRPr lang="en-US" sz="1100" b="0" u="none" baseline="0">
            <a:solidFill>
              <a:sysClr val="windowText" lastClr="000000"/>
            </a:solidFill>
          </a:endParaRPr>
        </a:p>
        <a:p>
          <a:pPr algn="l"/>
          <a:endParaRPr lang="en-US" sz="1100" b="0" u="none" baseline="0">
            <a:solidFill>
              <a:sysClr val="windowText" lastClr="000000"/>
            </a:solidFill>
          </a:endParaRPr>
        </a:p>
        <a:p>
          <a:pPr algn="l"/>
          <a:endParaRPr lang="en-US" sz="1100">
            <a:solidFill>
              <a:srgbClr val="FF0000"/>
            </a:solidFill>
          </a:endParaRPr>
        </a:p>
      </xdr:txBody>
    </xdr:sp>
    <xdr:clientData/>
  </xdr:oneCellAnchor>
  <xdr:twoCellAnchor editAs="oneCell">
    <xdr:from>
      <xdr:col>1</xdr:col>
      <xdr:colOff>144780</xdr:colOff>
      <xdr:row>8</xdr:row>
      <xdr:rowOff>60959</xdr:rowOff>
    </xdr:from>
    <xdr:to>
      <xdr:col>8</xdr:col>
      <xdr:colOff>278546</xdr:colOff>
      <xdr:row>9</xdr:row>
      <xdr:rowOff>60960</xdr:rowOff>
    </xdr:to>
    <xdr:pic>
      <xdr:nvPicPr>
        <xdr:cNvPr id="16" name="Picture 15">
          <a:extLst>
            <a:ext uri="{FF2B5EF4-FFF2-40B4-BE49-F238E27FC236}">
              <a16:creationId xmlns:a16="http://schemas.microsoft.com/office/drawing/2014/main" id="{5BDA1801-D45B-47FC-8F78-549D734E6684}"/>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7890" t="42346" r="9174" b="21356"/>
        <a:stretch/>
      </xdr:blipFill>
      <xdr:spPr>
        <a:xfrm>
          <a:off x="754380" y="1463039"/>
          <a:ext cx="4400966" cy="175261"/>
        </a:xfrm>
        <a:prstGeom prst="rect">
          <a:avLst/>
        </a:prstGeom>
      </xdr:spPr>
    </xdr:pic>
    <xdr:clientData/>
  </xdr:twoCellAnchor>
  <xdr:oneCellAnchor>
    <xdr:from>
      <xdr:col>13</xdr:col>
      <xdr:colOff>342900</xdr:colOff>
      <xdr:row>41</xdr:row>
      <xdr:rowOff>53340</xdr:rowOff>
    </xdr:from>
    <xdr:ext cx="5433060" cy="548640"/>
    <xdr:sp macro="" textlink="">
      <xdr:nvSpPr>
        <xdr:cNvPr id="4" name="TextBox 3">
          <a:extLst>
            <a:ext uri="{FF2B5EF4-FFF2-40B4-BE49-F238E27FC236}">
              <a16:creationId xmlns:a16="http://schemas.microsoft.com/office/drawing/2014/main" id="{7178D5D9-7C62-4BBC-8697-C74015EBB2B1}"/>
            </a:ext>
          </a:extLst>
        </xdr:cNvPr>
        <xdr:cNvSpPr txBox="1"/>
      </xdr:nvSpPr>
      <xdr:spPr>
        <a:xfrm>
          <a:off x="8267700" y="7421880"/>
          <a:ext cx="5433060" cy="5486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solidFill>
                <a:schemeClr val="tx1"/>
              </a:solidFill>
              <a:effectLst/>
              <a:latin typeface="+mn-lt"/>
              <a:ea typeface="+mn-ea"/>
              <a:cs typeface="+mn-cs"/>
            </a:rPr>
            <a:t>Background used with license permission from Snowys -stock </a:t>
          </a:r>
          <a:endParaRPr lang="en-US">
            <a:effectLst/>
          </a:endParaRPr>
        </a:p>
        <a:p>
          <a:r>
            <a:rPr lang="en-US" sz="1100">
              <a:solidFill>
                <a:schemeClr val="tx1"/>
              </a:solidFill>
              <a:effectLst/>
              <a:latin typeface="+mn-lt"/>
              <a:ea typeface="+mn-ea"/>
              <a:cs typeface="+mn-cs"/>
            </a:rPr>
            <a:t>	https://snowys-stock.deviantart.com/</a:t>
          </a:r>
          <a:endParaRPr lang="en-US">
            <a:effectLst/>
          </a:endParaRPr>
        </a:p>
        <a:p>
          <a:endParaRPr lang="en-US"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10</xdr:col>
      <xdr:colOff>236220</xdr:colOff>
      <xdr:row>1</xdr:row>
      <xdr:rowOff>91440</xdr:rowOff>
    </xdr:from>
    <xdr:ext cx="184731" cy="264560"/>
    <xdr:sp macro="" textlink="">
      <xdr:nvSpPr>
        <xdr:cNvPr id="2" name="TextBox 1">
          <a:extLst>
            <a:ext uri="{FF2B5EF4-FFF2-40B4-BE49-F238E27FC236}">
              <a16:creationId xmlns:a16="http://schemas.microsoft.com/office/drawing/2014/main" id="{72C3A5AE-CB5D-4F8A-B026-013CC3FF17A0}"/>
            </a:ext>
          </a:extLst>
        </xdr:cNvPr>
        <xdr:cNvSpPr txBox="1"/>
      </xdr:nvSpPr>
      <xdr:spPr>
        <a:xfrm>
          <a:off x="6334125" y="276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5</xdr:col>
      <xdr:colOff>495300</xdr:colOff>
      <xdr:row>0</xdr:row>
      <xdr:rowOff>99060</xdr:rowOff>
    </xdr:from>
    <xdr:ext cx="7985760" cy="761999"/>
    <xdr:sp macro="" textlink="">
      <xdr:nvSpPr>
        <xdr:cNvPr id="3" name="TextBox 2">
          <a:extLst>
            <a:ext uri="{FF2B5EF4-FFF2-40B4-BE49-F238E27FC236}">
              <a16:creationId xmlns:a16="http://schemas.microsoft.com/office/drawing/2014/main" id="{C78734F4-2073-4D01-80BF-0766C0AC7AD6}"/>
            </a:ext>
          </a:extLst>
        </xdr:cNvPr>
        <xdr:cNvSpPr txBox="1"/>
      </xdr:nvSpPr>
      <xdr:spPr>
        <a:xfrm>
          <a:off x="3543300" y="95250"/>
          <a:ext cx="7985760" cy="761999"/>
        </a:xfrm>
        <a:prstGeom prst="rect">
          <a:avLst/>
        </a:prstGeom>
        <a:noFill/>
        <a:ln>
          <a:gradFill flip="none" rotWithShape="1">
            <a:gsLst>
              <a:gs pos="0">
                <a:srgbClr val="4472C4">
                  <a:lumMod val="89000"/>
                </a:srgbClr>
              </a:gs>
              <a:gs pos="23000">
                <a:srgbClr val="4472C4">
                  <a:lumMod val="89000"/>
                </a:srgbClr>
              </a:gs>
              <a:gs pos="69000">
                <a:srgbClr val="4472C4">
                  <a:lumMod val="75000"/>
                </a:srgbClr>
              </a:gs>
              <a:gs pos="97000">
                <a:srgbClr val="4472C4">
                  <a:lumMod val="70000"/>
                </a:srgbClr>
              </a:gs>
            </a:gsLst>
            <a:path path="circle">
              <a:fillToRect l="50000" t="50000" r="50000" b="50000"/>
            </a:path>
            <a:tileRect/>
          </a:gradFill>
        </a:ln>
        <a:effectLst/>
      </xdr:spPr>
      <xdr:txBody>
        <a:bodyPr vertOverflow="clip" horzOverflow="clip" wrap="square" rtlCol="0" anchor="t">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000" b="0" i="0" u="none" strike="noStrike" kern="0" cap="none" spc="0" normalizeH="0" baseline="0" noProof="0">
              <a:ln>
                <a:noFill/>
              </a:ln>
              <a:solidFill>
                <a:sysClr val="windowText" lastClr="000000"/>
              </a:solidFill>
              <a:effectLst/>
              <a:uLnTx/>
              <a:uFillTx/>
              <a:latin typeface="Gill Sans Ultra Bold" panose="020B0A02020104020203" pitchFamily="34" charset="0"/>
              <a:ea typeface="+mn-ea"/>
              <a:cs typeface="+mn-cs"/>
            </a:rPr>
            <a:t>Also By</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000" b="0" i="0" u="none" strike="noStrike" kern="0" cap="none" spc="0" normalizeH="0" baseline="0" noProof="0">
              <a:ln>
                <a:noFill/>
              </a:ln>
              <a:solidFill>
                <a:srgbClr val="7030A0"/>
              </a:solidFill>
              <a:effectLst/>
              <a:uLnTx/>
              <a:uFillTx/>
              <a:latin typeface="Gill Sans Ultra Bold" panose="020B0A02020104020203" pitchFamily="34" charset="0"/>
              <a:ea typeface="+mn-ea"/>
              <a:cs typeface="+mn-cs"/>
            </a:rPr>
            <a:t>Rory the Rat Games</a:t>
          </a:r>
        </a:p>
        <a:p>
          <a:pPr marL="0" marR="0" lvl="0" indent="0" algn="ctr"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Gill Sans Ultra Bold" panose="020B0A02020104020203" pitchFamily="34" charset="0"/>
            <a:ea typeface="+mn-ea"/>
            <a:cs typeface="+mn-cs"/>
          </a:endParaRPr>
        </a:p>
      </xdr:txBody>
    </xdr:sp>
    <xdr:clientData/>
  </xdr:oneCellAnchor>
  <xdr:oneCellAnchor>
    <xdr:from>
      <xdr:col>1</xdr:col>
      <xdr:colOff>99060</xdr:colOff>
      <xdr:row>2</xdr:row>
      <xdr:rowOff>175260</xdr:rowOff>
    </xdr:from>
    <xdr:ext cx="1264920" cy="1272540"/>
    <xdr:pic>
      <xdr:nvPicPr>
        <xdr:cNvPr id="4" name="Picture 3">
          <a:extLst>
            <a:ext uri="{FF2B5EF4-FFF2-40B4-BE49-F238E27FC236}">
              <a16:creationId xmlns:a16="http://schemas.microsoft.com/office/drawing/2014/main" id="{7DC362E6-0F30-45C9-A928-296827D44427}"/>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120" t="25919" r="9881" b="13116"/>
        <a:stretch/>
      </xdr:blipFill>
      <xdr:spPr>
        <a:xfrm>
          <a:off x="704850" y="533400"/>
          <a:ext cx="1264920" cy="1272540"/>
        </a:xfrm>
        <a:prstGeom prst="rect">
          <a:avLst/>
        </a:prstGeom>
      </xdr:spPr>
    </xdr:pic>
    <xdr:clientData/>
  </xdr:oneCellAnchor>
  <xdr:oneCellAnchor>
    <xdr:from>
      <xdr:col>20</xdr:col>
      <xdr:colOff>251460</xdr:colOff>
      <xdr:row>2</xdr:row>
      <xdr:rowOff>175260</xdr:rowOff>
    </xdr:from>
    <xdr:ext cx="1280160" cy="1295400"/>
    <xdr:pic>
      <xdr:nvPicPr>
        <xdr:cNvPr id="5" name="Picture 4">
          <a:extLst>
            <a:ext uri="{FF2B5EF4-FFF2-40B4-BE49-F238E27FC236}">
              <a16:creationId xmlns:a16="http://schemas.microsoft.com/office/drawing/2014/main" id="{24DC7298-3006-4353-A6D0-0DE073965106}"/>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9639" t="25919" r="9397" b="12021"/>
        <a:stretch/>
      </xdr:blipFill>
      <xdr:spPr>
        <a:xfrm>
          <a:off x="12439650" y="533400"/>
          <a:ext cx="1280160" cy="1295400"/>
        </a:xfrm>
        <a:prstGeom prst="rect">
          <a:avLst/>
        </a:prstGeom>
      </xdr:spPr>
    </xdr:pic>
    <xdr:clientData/>
  </xdr:oneCellAnchor>
  <xdr:oneCellAnchor>
    <xdr:from>
      <xdr:col>10</xdr:col>
      <xdr:colOff>114300</xdr:colOff>
      <xdr:row>6</xdr:row>
      <xdr:rowOff>15240</xdr:rowOff>
    </xdr:from>
    <xdr:ext cx="1876425" cy="2468603"/>
    <xdr:pic>
      <xdr:nvPicPr>
        <xdr:cNvPr id="6" name="Picture 5">
          <a:extLst>
            <a:ext uri="{FF2B5EF4-FFF2-40B4-BE49-F238E27FC236}">
              <a16:creationId xmlns:a16="http://schemas.microsoft.com/office/drawing/2014/main" id="{B9EE0E8A-4BF1-4229-82C5-723F6E144B5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210300" y="1104900"/>
          <a:ext cx="1876425" cy="2468603"/>
        </a:xfrm>
        <a:prstGeom prst="rect">
          <a:avLst/>
        </a:prstGeom>
      </xdr:spPr>
    </xdr:pic>
    <xdr:clientData/>
  </xdr:oneCellAnchor>
  <xdr:oneCellAnchor>
    <xdr:from>
      <xdr:col>17</xdr:col>
      <xdr:colOff>114300</xdr:colOff>
      <xdr:row>20</xdr:row>
      <xdr:rowOff>123825</xdr:rowOff>
    </xdr:from>
    <xdr:ext cx="1851660" cy="2924175"/>
    <xdr:sp macro="" textlink="">
      <xdr:nvSpPr>
        <xdr:cNvPr id="7" name="TextBox 6">
          <a:extLst>
            <a:ext uri="{FF2B5EF4-FFF2-40B4-BE49-F238E27FC236}">
              <a16:creationId xmlns:a16="http://schemas.microsoft.com/office/drawing/2014/main" id="{82FE98D7-4F0F-4EC7-9EC2-44A637B9B4B4}"/>
            </a:ext>
          </a:extLst>
        </xdr:cNvPr>
        <xdr:cNvSpPr txBox="1"/>
      </xdr:nvSpPr>
      <xdr:spPr>
        <a:xfrm>
          <a:off x="10477500" y="3781425"/>
          <a:ext cx="1851660" cy="2924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600" b="1">
              <a:solidFill>
                <a:srgbClr val="FF0000"/>
              </a:solidFill>
            </a:rPr>
            <a:t>   AVAILABLE</a:t>
          </a:r>
          <a:r>
            <a:rPr lang="en-US" sz="1600" b="1" baseline="0">
              <a:solidFill>
                <a:srgbClr val="FF0000"/>
              </a:solidFill>
            </a:rPr>
            <a:t> NOW</a:t>
          </a:r>
          <a:endParaRPr lang="en-US" sz="1600" b="1">
            <a:solidFill>
              <a:srgbClr val="FF0000"/>
            </a:solidFill>
          </a:endParaRPr>
        </a:p>
        <a:p>
          <a:r>
            <a:rPr lang="en-US" sz="1100" b="1">
              <a:solidFill>
                <a:schemeClr val="tx1"/>
              </a:solidFill>
              <a:effectLst/>
              <a:latin typeface="+mn-lt"/>
              <a:ea typeface="+mn-ea"/>
              <a:cs typeface="+mn-cs"/>
            </a:rPr>
            <a:t>An awesome Excel workbook (Excel required) that generates:</a:t>
          </a:r>
          <a:endParaRPr lang="en-US" sz="1100">
            <a:solidFill>
              <a:schemeClr val="tx1"/>
            </a:solidFill>
            <a:effectLst/>
            <a:latin typeface="+mn-lt"/>
            <a:ea typeface="+mn-ea"/>
            <a:cs typeface="+mn-cs"/>
          </a:endParaRPr>
        </a:p>
        <a:p>
          <a:r>
            <a:rPr lang="en-US" sz="1100" b="1">
              <a:solidFill>
                <a:schemeClr val="tx1"/>
              </a:solidFill>
              <a:effectLst/>
              <a:latin typeface="+mn-lt"/>
              <a:ea typeface="+mn-ea"/>
              <a:cs typeface="+mn-cs"/>
            </a:rPr>
            <a:t> </a:t>
          </a:r>
          <a:endParaRPr lang="en-US" sz="1100">
            <a:solidFill>
              <a:schemeClr val="tx1"/>
            </a:solidFill>
            <a:effectLst/>
            <a:latin typeface="+mn-lt"/>
            <a:ea typeface="+mn-ea"/>
            <a:cs typeface="+mn-cs"/>
          </a:endParaRPr>
        </a:p>
        <a:p>
          <a:r>
            <a:rPr lang="en-US" sz="1100" b="1">
              <a:solidFill>
                <a:schemeClr val="tx1"/>
              </a:solidFill>
              <a:effectLst/>
              <a:latin typeface="+mn-lt"/>
              <a:ea typeface="+mn-ea"/>
              <a:cs typeface="+mn-cs"/>
            </a:rPr>
            <a:t>*Individual and Horde</a:t>
          </a:r>
        </a:p>
        <a:p>
          <a:r>
            <a:rPr lang="en-US" sz="1100" b="1">
              <a:solidFill>
                <a:schemeClr val="tx1"/>
              </a:solidFill>
              <a:effectLst/>
              <a:latin typeface="+mn-lt"/>
              <a:ea typeface="+mn-ea"/>
              <a:cs typeface="+mn-cs"/>
            </a:rPr>
            <a:t>   treasure as per the DMG</a:t>
          </a:r>
          <a:endParaRPr lang="en-US" sz="1100">
            <a:solidFill>
              <a:schemeClr val="tx1"/>
            </a:solidFill>
            <a:effectLst/>
            <a:latin typeface="+mn-lt"/>
            <a:ea typeface="+mn-ea"/>
            <a:cs typeface="+mn-cs"/>
          </a:endParaRPr>
        </a:p>
        <a:p>
          <a:r>
            <a:rPr lang="en-US" sz="1100" b="1">
              <a:solidFill>
                <a:schemeClr val="tx1"/>
              </a:solidFill>
              <a:effectLst/>
              <a:latin typeface="+mn-lt"/>
              <a:ea typeface="+mn-ea"/>
              <a:cs typeface="+mn-cs"/>
            </a:rPr>
            <a:t>*Random pocket belongs </a:t>
          </a:r>
        </a:p>
        <a:p>
          <a:r>
            <a:rPr lang="en-US" sz="1100" b="1" baseline="0">
              <a:solidFill>
                <a:schemeClr val="tx1"/>
              </a:solidFill>
              <a:effectLst/>
              <a:latin typeface="+mn-lt"/>
              <a:ea typeface="+mn-ea"/>
              <a:cs typeface="+mn-cs"/>
            </a:rPr>
            <a:t>   </a:t>
          </a:r>
          <a:r>
            <a:rPr lang="en-US" sz="1100" b="1">
              <a:solidFill>
                <a:schemeClr val="tx1"/>
              </a:solidFill>
              <a:effectLst/>
              <a:latin typeface="+mn-lt"/>
              <a:ea typeface="+mn-ea"/>
              <a:cs typeface="+mn-cs"/>
            </a:rPr>
            <a:t>for individuals</a:t>
          </a:r>
          <a:endParaRPr lang="en-US" sz="1100">
            <a:solidFill>
              <a:schemeClr val="tx1"/>
            </a:solidFill>
            <a:effectLst/>
            <a:latin typeface="+mn-lt"/>
            <a:ea typeface="+mn-ea"/>
            <a:cs typeface="+mn-cs"/>
          </a:endParaRPr>
        </a:p>
        <a:p>
          <a:r>
            <a:rPr lang="en-US" sz="1100" b="1">
              <a:solidFill>
                <a:schemeClr val="tx1"/>
              </a:solidFill>
              <a:effectLst/>
              <a:latin typeface="+mn-lt"/>
              <a:ea typeface="+mn-ea"/>
              <a:cs typeface="+mn-cs"/>
            </a:rPr>
            <a:t> *Detailed art and gems</a:t>
          </a:r>
          <a:endParaRPr lang="en-US" sz="1100">
            <a:solidFill>
              <a:schemeClr val="tx1"/>
            </a:solidFill>
            <a:effectLst/>
            <a:latin typeface="+mn-lt"/>
            <a:ea typeface="+mn-ea"/>
            <a:cs typeface="+mn-cs"/>
          </a:endParaRPr>
        </a:p>
        <a:p>
          <a:r>
            <a:rPr lang="en-US" sz="1100" b="1">
              <a:solidFill>
                <a:schemeClr val="tx1"/>
              </a:solidFill>
              <a:effectLst/>
              <a:latin typeface="+mn-lt"/>
              <a:ea typeface="+mn-ea"/>
              <a:cs typeface="+mn-cs"/>
            </a:rPr>
            <a:t> *Detailed Magic Items</a:t>
          </a:r>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 </a:t>
          </a:r>
        </a:p>
        <a:p>
          <a:r>
            <a:rPr lang="en-US" sz="1100" b="1">
              <a:solidFill>
                <a:schemeClr val="tx1"/>
              </a:solidFill>
              <a:effectLst/>
              <a:latin typeface="+mn-lt"/>
              <a:ea typeface="+mn-ea"/>
              <a:cs typeface="+mn-cs"/>
            </a:rPr>
            <a:t>     Pay what you want!</a:t>
          </a:r>
          <a:endParaRPr lang="en-US" sz="1100">
            <a:solidFill>
              <a:schemeClr val="tx1"/>
            </a:solidFill>
            <a:effectLst/>
            <a:latin typeface="+mn-lt"/>
            <a:ea typeface="+mn-ea"/>
            <a:cs typeface="+mn-cs"/>
          </a:endParaRPr>
        </a:p>
      </xdr:txBody>
    </xdr:sp>
    <xdr:clientData/>
  </xdr:oneCellAnchor>
  <xdr:oneCellAnchor>
    <xdr:from>
      <xdr:col>3</xdr:col>
      <xdr:colOff>259080</xdr:colOff>
      <xdr:row>20</xdr:row>
      <xdr:rowOff>144780</xdr:rowOff>
    </xdr:from>
    <xdr:ext cx="1783080" cy="2590800"/>
    <xdr:sp macro="" textlink="">
      <xdr:nvSpPr>
        <xdr:cNvPr id="9" name="TextBox 8">
          <a:extLst>
            <a:ext uri="{FF2B5EF4-FFF2-40B4-BE49-F238E27FC236}">
              <a16:creationId xmlns:a16="http://schemas.microsoft.com/office/drawing/2014/main" id="{0C5BCDF3-CCE9-46E2-ADFC-B678E9C4A6A9}"/>
            </a:ext>
          </a:extLst>
        </xdr:cNvPr>
        <xdr:cNvSpPr txBox="1"/>
      </xdr:nvSpPr>
      <xdr:spPr>
        <a:xfrm>
          <a:off x="2085975" y="3762375"/>
          <a:ext cx="1783080" cy="2590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srgbClr val="FF0000"/>
              </a:solidFill>
              <a:effectLst/>
              <a:uLnTx/>
              <a:uFillTx/>
              <a:latin typeface="+mn-lt"/>
              <a:ea typeface="+mn-ea"/>
              <a:cs typeface="+mn-cs"/>
            </a:rPr>
            <a:t>  AVAILABLE NOW</a:t>
          </a:r>
        </a:p>
        <a:p>
          <a:r>
            <a:rPr lang="en-US" sz="1100" b="1" i="0">
              <a:solidFill>
                <a:schemeClr val="tx1"/>
              </a:solidFill>
              <a:effectLst/>
              <a:latin typeface="+mn-lt"/>
              <a:ea typeface="+mn-ea"/>
              <a:cs typeface="+mn-cs"/>
            </a:rPr>
            <a:t>A mysterious storm at sea has trapped The Rose and its crew on an uncharted island that once belonged to the mad mage Calidor. Calidor, in trying to build his own empire, left an entire village of kidnapped people imprisoned here on the island. In trying to free them, however, the party will soon find out that not all is what it seems...</a:t>
          </a:r>
          <a:endParaRPr lang="en-US" sz="1100" b="1"/>
        </a:p>
      </xdr:txBody>
    </xdr:sp>
    <xdr:clientData/>
  </xdr:oneCellAnchor>
  <xdr:oneCellAnchor>
    <xdr:from>
      <xdr:col>6</xdr:col>
      <xdr:colOff>571500</xdr:colOff>
      <xdr:row>20</xdr:row>
      <xdr:rowOff>152400</xdr:rowOff>
    </xdr:from>
    <xdr:ext cx="1783080" cy="2324100"/>
    <xdr:sp macro="" textlink="">
      <xdr:nvSpPr>
        <xdr:cNvPr id="10" name="TextBox 9">
          <a:extLst>
            <a:ext uri="{FF2B5EF4-FFF2-40B4-BE49-F238E27FC236}">
              <a16:creationId xmlns:a16="http://schemas.microsoft.com/office/drawing/2014/main" id="{2EEA86AF-B8C4-4CA9-9E1C-71911C915EB4}"/>
            </a:ext>
          </a:extLst>
        </xdr:cNvPr>
        <xdr:cNvSpPr txBox="1"/>
      </xdr:nvSpPr>
      <xdr:spPr>
        <a:xfrm>
          <a:off x="4229100" y="3771900"/>
          <a:ext cx="1783080" cy="2324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srgbClr val="FF0000"/>
              </a:solidFill>
              <a:effectLst/>
              <a:uLnTx/>
              <a:uFillTx/>
              <a:latin typeface="+mn-lt"/>
              <a:ea typeface="+mn-ea"/>
              <a:cs typeface="+mn-cs"/>
            </a:rPr>
            <a:t>  AVAILABLE NOW</a:t>
          </a:r>
        </a:p>
        <a:p>
          <a:pPr marL="0" marR="0" lvl="0" indent="0" defTabSz="914400" eaLnBrk="1" fontAlgn="auto" latinLnBrk="0" hangingPunct="1">
            <a:lnSpc>
              <a:spcPct val="100000"/>
            </a:lnSpc>
            <a:spcBef>
              <a:spcPts val="0"/>
            </a:spcBef>
            <a:spcAft>
              <a:spcPts val="0"/>
            </a:spcAft>
            <a:buClrTx/>
            <a:buSzTx/>
            <a:buFontTx/>
            <a:buNone/>
            <a:tabLst/>
            <a:defRPr/>
          </a:pPr>
          <a:r>
            <a:rPr lang="en-US" sz="1100" b="1" i="0">
              <a:solidFill>
                <a:schemeClr val="tx1"/>
              </a:solidFill>
              <a:effectLst/>
              <a:latin typeface="+mn-lt"/>
              <a:ea typeface="+mn-ea"/>
              <a:cs typeface="+mn-cs"/>
            </a:rPr>
            <a:t>Emma, the young daughter of the wizard Delia, has been kidnapped. The kidnapper was quite odd, however, as she looked like a battle-hardened version of Delia herself! Who is this mysterious warrior, why does she look like Delia, and why has she kidnapped Emma?</a:t>
          </a:r>
          <a:endParaRPr kumimoji="0" lang="en-US" sz="1600" b="1" i="0" u="none" strike="noStrike" kern="0" cap="none" spc="0" normalizeH="0" baseline="0" noProof="0">
            <a:ln>
              <a:noFill/>
            </a:ln>
            <a:solidFill>
              <a:srgbClr val="FF0000"/>
            </a:solidFill>
            <a:effectLst/>
            <a:uLnTx/>
            <a:uFillTx/>
            <a:latin typeface="+mn-lt"/>
            <a:ea typeface="+mn-ea"/>
            <a:cs typeface="+mn-cs"/>
          </a:endParaRPr>
        </a:p>
      </xdr:txBody>
    </xdr:sp>
    <xdr:clientData/>
  </xdr:oneCellAnchor>
  <xdr:oneCellAnchor>
    <xdr:from>
      <xdr:col>13</xdr:col>
      <xdr:colOff>502920</xdr:colOff>
      <xdr:row>20</xdr:row>
      <xdr:rowOff>121920</xdr:rowOff>
    </xdr:from>
    <xdr:ext cx="1783080" cy="2606040"/>
    <xdr:sp macro="" textlink="">
      <xdr:nvSpPr>
        <xdr:cNvPr id="11" name="TextBox 10">
          <a:extLst>
            <a:ext uri="{FF2B5EF4-FFF2-40B4-BE49-F238E27FC236}">
              <a16:creationId xmlns:a16="http://schemas.microsoft.com/office/drawing/2014/main" id="{0AA8AEEE-C21A-4ED6-9234-44561FE6FB3C}"/>
            </a:ext>
          </a:extLst>
        </xdr:cNvPr>
        <xdr:cNvSpPr txBox="1"/>
      </xdr:nvSpPr>
      <xdr:spPr>
        <a:xfrm>
          <a:off x="8429625" y="3743325"/>
          <a:ext cx="1783080" cy="26060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srgbClr val="FF0000"/>
              </a:solidFill>
              <a:effectLst/>
              <a:uLnTx/>
              <a:uFillTx/>
              <a:latin typeface="+mn-lt"/>
              <a:ea typeface="+mn-ea"/>
              <a:cs typeface="+mn-cs"/>
            </a:rPr>
            <a:t> AVAILABLE NOW</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tx1"/>
              </a:solidFill>
              <a:effectLst/>
              <a:latin typeface="+mn-lt"/>
              <a:ea typeface="+mn-ea"/>
              <a:cs typeface="+mn-cs"/>
            </a:rPr>
            <a:t>Master Martin, the head priest of a temple of Eldath, has managed to make a major mistake regarding a shaman of Gruumsh. No longer protected by his god, Master Martin’s temple is cursed by a mist monster that materializes in many forms. To defeat this beast, it will take more than just swords and sorcery. </a:t>
          </a:r>
          <a:endParaRPr kumimoji="0" lang="en-US" sz="1600" b="1" i="0" u="none" strike="noStrike" kern="0" cap="none" spc="0" normalizeH="0" baseline="0" noProof="0">
            <a:ln>
              <a:noFill/>
            </a:ln>
            <a:solidFill>
              <a:srgbClr val="FF0000"/>
            </a:solidFill>
            <a:effectLst/>
            <a:uLnTx/>
            <a:uFillTx/>
            <a:latin typeface="+mn-lt"/>
            <a:ea typeface="+mn-ea"/>
            <a:cs typeface="+mn-cs"/>
          </a:endParaRPr>
        </a:p>
      </xdr:txBody>
    </xdr:sp>
    <xdr:clientData/>
  </xdr:oneCellAnchor>
  <xdr:oneCellAnchor>
    <xdr:from>
      <xdr:col>10</xdr:col>
      <xdr:colOff>167640</xdr:colOff>
      <xdr:row>20</xdr:row>
      <xdr:rowOff>144780</xdr:rowOff>
    </xdr:from>
    <xdr:ext cx="1783080" cy="4777740"/>
    <xdr:sp macro="" textlink="">
      <xdr:nvSpPr>
        <xdr:cNvPr id="12" name="TextBox 11">
          <a:extLst>
            <a:ext uri="{FF2B5EF4-FFF2-40B4-BE49-F238E27FC236}">
              <a16:creationId xmlns:a16="http://schemas.microsoft.com/office/drawing/2014/main" id="{69994161-309A-45A9-BCD1-856F0780DAEC}"/>
            </a:ext>
          </a:extLst>
        </xdr:cNvPr>
        <xdr:cNvSpPr txBox="1"/>
      </xdr:nvSpPr>
      <xdr:spPr>
        <a:xfrm>
          <a:off x="6267450" y="3762375"/>
          <a:ext cx="1783080" cy="47777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srgbClr val="FF0000"/>
              </a:solidFill>
              <a:effectLst/>
              <a:uLnTx/>
              <a:uFillTx/>
              <a:latin typeface="+mn-lt"/>
              <a:ea typeface="+mn-ea"/>
              <a:cs typeface="+mn-cs"/>
            </a:rPr>
            <a:t>  AVAILABLE NOW</a:t>
          </a:r>
        </a:p>
        <a:p>
          <a:r>
            <a:rPr lang="en-US" sz="1100" b="1" i="1">
              <a:solidFill>
                <a:schemeClr val="tx1"/>
              </a:solidFill>
              <a:effectLst/>
              <a:latin typeface="+mn-lt"/>
              <a:ea typeface="+mn-ea"/>
              <a:cs typeface="+mn-cs"/>
            </a:rPr>
            <a:t>No, not that kind of fiend...UNDEAD fiends! Or are they friends?</a:t>
          </a:r>
          <a:endParaRPr lang="en-US" sz="1100" b="1" i="0">
            <a:solidFill>
              <a:schemeClr val="tx1"/>
            </a:solidFill>
            <a:effectLst/>
            <a:latin typeface="+mn-lt"/>
            <a:ea typeface="+mn-ea"/>
            <a:cs typeface="+mn-cs"/>
          </a:endParaRPr>
        </a:p>
        <a:p>
          <a:r>
            <a:rPr lang="en-US" sz="1100" b="1" i="0">
              <a:solidFill>
                <a:schemeClr val="tx1"/>
              </a:solidFill>
              <a:effectLst/>
              <a:latin typeface="+mn-lt"/>
              <a:ea typeface="+mn-ea"/>
              <a:cs typeface="+mn-cs"/>
            </a:rPr>
            <a:t>An unknown benefactor, a benevolent human king thought dead for centuries is recruiting</a:t>
          </a:r>
          <a:r>
            <a:rPr lang="en-US" sz="1100" b="1" i="0" baseline="0">
              <a:solidFill>
                <a:schemeClr val="tx1"/>
              </a:solidFill>
              <a:effectLst/>
              <a:latin typeface="+mn-lt"/>
              <a:ea typeface="+mn-ea"/>
              <a:cs typeface="+mn-cs"/>
            </a:rPr>
            <a:t> help</a:t>
          </a:r>
          <a:r>
            <a:rPr lang="en-US" sz="1100" b="1" i="0">
              <a:solidFill>
                <a:schemeClr val="tx1"/>
              </a:solidFill>
              <a:effectLst/>
              <a:latin typeface="+mn-lt"/>
              <a:ea typeface="+mn-ea"/>
              <a:cs typeface="+mn-cs"/>
            </a:rPr>
            <a:t>. This king, now a sentient ghoul, rules over a kingdom of innocent individuals inflicted with the very same disease that infests his body. Forced to eat the brains of intelligent beings to maintain their own humanity, the ghouls have set their sights on the Svirfneblin, deep gnomes who have been raiding the surface and inflicting mass casualties for no known reason. Will the party save the ghouls from going feral by sacrificing their enemies? Will they instead save the svirfneblin from a fate worse than death?</a:t>
          </a:r>
        </a:p>
      </xdr:txBody>
    </xdr:sp>
    <xdr:clientData/>
  </xdr:oneCellAnchor>
  <xdr:oneCellAnchor>
    <xdr:from>
      <xdr:col>3</xdr:col>
      <xdr:colOff>213360</xdr:colOff>
      <xdr:row>47</xdr:row>
      <xdr:rowOff>68580</xdr:rowOff>
    </xdr:from>
    <xdr:ext cx="10652760" cy="1783245"/>
    <xdr:sp macro="" textlink="">
      <xdr:nvSpPr>
        <xdr:cNvPr id="13" name="TextBox 12">
          <a:extLst>
            <a:ext uri="{FF2B5EF4-FFF2-40B4-BE49-F238E27FC236}">
              <a16:creationId xmlns:a16="http://schemas.microsoft.com/office/drawing/2014/main" id="{F0A8F1A5-9D47-4E77-A6AA-880D2310AF46}"/>
            </a:ext>
          </a:extLst>
        </xdr:cNvPr>
        <xdr:cNvSpPr txBox="1"/>
      </xdr:nvSpPr>
      <xdr:spPr>
        <a:xfrm>
          <a:off x="2038350" y="8572500"/>
          <a:ext cx="10652760" cy="17832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2000" b="1" i="0" u="sng">
              <a:solidFill>
                <a:srgbClr val="FF0000"/>
              </a:solidFill>
              <a:effectLst/>
              <a:latin typeface="+mn-lt"/>
              <a:ea typeface="+mn-ea"/>
              <a:cs typeface="+mn-cs"/>
            </a:rPr>
            <a:t>All Modules</a:t>
          </a:r>
          <a:r>
            <a:rPr lang="en-US" sz="2000" b="1" i="0" u="sng" baseline="0">
              <a:solidFill>
                <a:srgbClr val="FF0000"/>
              </a:solidFill>
              <a:effectLst/>
              <a:latin typeface="+mn-lt"/>
              <a:ea typeface="+mn-ea"/>
              <a:cs typeface="+mn-cs"/>
            </a:rPr>
            <a:t> Include</a:t>
          </a:r>
          <a:endParaRPr lang="en-US" sz="2000" b="1" i="0" u="sng">
            <a:solidFill>
              <a:srgbClr val="FF0000"/>
            </a:solidFill>
            <a:effectLst/>
            <a:latin typeface="+mn-lt"/>
            <a:ea typeface="+mn-ea"/>
            <a:cs typeface="+mn-cs"/>
          </a:endParaRPr>
        </a:p>
        <a:p>
          <a:r>
            <a:rPr lang="en-US" sz="1100" b="1" i="0" u="sng">
              <a:solidFill>
                <a:schemeClr val="tx1"/>
              </a:solidFill>
              <a:effectLst/>
              <a:latin typeface="+mn-lt"/>
              <a:ea typeface="+mn-ea"/>
              <a:cs typeface="+mn-cs"/>
            </a:rPr>
            <a:t>PHOTOGRAPHIC BATTLE MAPS</a:t>
          </a:r>
          <a:r>
            <a:rPr lang="en-US" sz="1100" b="0" i="0">
              <a:solidFill>
                <a:schemeClr val="tx1"/>
              </a:solidFill>
              <a:effectLst/>
              <a:latin typeface="+mn-lt"/>
              <a:ea typeface="+mn-ea"/>
              <a:cs typeface="+mn-cs"/>
            </a:rPr>
            <a:t>– Scripted encounters have grid-overlaid photographed battle maps of modeled terrain to be printed for use with miniatures (or used online as pdf’s)! Seven locations in all, including a wizard’s tower and a subterranean complex! See PDF previews!</a:t>
          </a:r>
        </a:p>
        <a:p>
          <a:r>
            <a:rPr lang="en-US" sz="1100" b="1" i="0" u="sng">
              <a:solidFill>
                <a:schemeClr val="tx1"/>
              </a:solidFill>
              <a:effectLst/>
              <a:latin typeface="+mn-lt"/>
              <a:ea typeface="+mn-ea"/>
              <a:cs typeface="+mn-cs"/>
            </a:rPr>
            <a:t>IDEAL FOR NEW DUNGEON MASTERS</a:t>
          </a:r>
          <a:r>
            <a:rPr lang="en-US" sz="1100" b="0" i="0">
              <a:solidFill>
                <a:schemeClr val="tx1"/>
              </a:solidFill>
              <a:effectLst/>
              <a:latin typeface="+mn-lt"/>
              <a:ea typeface="+mn-ea"/>
              <a:cs typeface="+mn-cs"/>
            </a:rPr>
            <a:t>–Major Non-Player Characters (NPC) have been presented with dialogue to answer typical PC questions. This dialogue may need to be paraphrased or changed completely to accommodate the events of your particular adventure session or PC questions, but can still function as valuable background information. Don’t be afraid to pause often while reading dialogue to let players comment. You can break up written dialogue into chunks if it makes the conversation feel more organic!</a:t>
          </a:r>
        </a:p>
        <a:p>
          <a:r>
            <a:rPr lang="en-US" sz="1100" b="1" i="0" u="sng">
              <a:solidFill>
                <a:schemeClr val="tx1"/>
              </a:solidFill>
              <a:effectLst/>
              <a:latin typeface="+mn-lt"/>
              <a:ea typeface="+mn-ea"/>
              <a:cs typeface="+mn-cs"/>
            </a:rPr>
            <a:t>IDEAL FOR VETERAN DUNGEON MASTERS</a:t>
          </a:r>
          <a:r>
            <a:rPr lang="en-US" sz="1100" b="0" i="0">
              <a:solidFill>
                <a:schemeClr val="tx1"/>
              </a:solidFill>
              <a:effectLst/>
              <a:latin typeface="+mn-lt"/>
              <a:ea typeface="+mn-ea"/>
              <a:cs typeface="+mn-cs"/>
            </a:rPr>
            <a:t>– but you’re a veteran, so you already know that. You can take anything and mold it into an adventure of a lifetime. Full dialogue options and in-depth maps of each location leave you with less prep time and less need for on the spot improvisation!</a:t>
          </a:r>
        </a:p>
        <a:p>
          <a:endParaRPr lang="en-US" sz="1100"/>
        </a:p>
      </xdr:txBody>
    </xdr:sp>
    <xdr:clientData/>
  </xdr:oneCellAnchor>
  <xdr:oneCellAnchor>
    <xdr:from>
      <xdr:col>6</xdr:col>
      <xdr:colOff>472441</xdr:colOff>
      <xdr:row>6</xdr:row>
      <xdr:rowOff>22860</xdr:rowOff>
    </xdr:from>
    <xdr:ext cx="1866900" cy="2476500"/>
    <xdr:pic>
      <xdr:nvPicPr>
        <xdr:cNvPr id="14" name="Picture 13">
          <a:extLst>
            <a:ext uri="{FF2B5EF4-FFF2-40B4-BE49-F238E27FC236}">
              <a16:creationId xmlns:a16="http://schemas.microsoft.com/office/drawing/2014/main" id="{C860A399-EC48-42FA-8EFD-D3A2F03E2D4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133851" y="1104900"/>
          <a:ext cx="1866900" cy="2476500"/>
        </a:xfrm>
        <a:prstGeom prst="rect">
          <a:avLst/>
        </a:prstGeom>
      </xdr:spPr>
    </xdr:pic>
    <xdr:clientData/>
  </xdr:oneCellAnchor>
  <xdr:oneCellAnchor>
    <xdr:from>
      <xdr:col>3</xdr:col>
      <xdr:colOff>266701</xdr:colOff>
      <xdr:row>6</xdr:row>
      <xdr:rowOff>30480</xdr:rowOff>
    </xdr:from>
    <xdr:ext cx="1874367" cy="2466975"/>
    <xdr:pic>
      <xdr:nvPicPr>
        <xdr:cNvPr id="15" name="Picture 14">
          <a:extLst>
            <a:ext uri="{FF2B5EF4-FFF2-40B4-BE49-F238E27FC236}">
              <a16:creationId xmlns:a16="http://schemas.microsoft.com/office/drawing/2014/main" id="{E9E3BA9F-DB14-42D7-BBD7-63CAFD55FD6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095501" y="1114425"/>
          <a:ext cx="1874367" cy="2466975"/>
        </a:xfrm>
        <a:prstGeom prst="rect">
          <a:avLst/>
        </a:prstGeom>
      </xdr:spPr>
    </xdr:pic>
    <xdr:clientData/>
  </xdr:oneCellAnchor>
  <xdr:oneCellAnchor>
    <xdr:from>
      <xdr:col>13</xdr:col>
      <xdr:colOff>392429</xdr:colOff>
      <xdr:row>6</xdr:row>
      <xdr:rowOff>22860</xdr:rowOff>
    </xdr:from>
    <xdr:ext cx="1863090" cy="2466975"/>
    <xdr:pic>
      <xdr:nvPicPr>
        <xdr:cNvPr id="16" name="Picture 15">
          <a:extLst>
            <a:ext uri="{FF2B5EF4-FFF2-40B4-BE49-F238E27FC236}">
              <a16:creationId xmlns:a16="http://schemas.microsoft.com/office/drawing/2014/main" id="{39B87559-C327-410C-8437-EF25A6757BD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319134" y="1104900"/>
          <a:ext cx="1863090" cy="2466975"/>
        </a:xfrm>
        <a:prstGeom prst="rect">
          <a:avLst/>
        </a:prstGeom>
      </xdr:spPr>
    </xdr:pic>
    <xdr:clientData/>
  </xdr:oneCellAnchor>
  <xdr:twoCellAnchor editAs="oneCell">
    <xdr:from>
      <xdr:col>17</xdr:col>
      <xdr:colOff>22860</xdr:colOff>
      <xdr:row>6</xdr:row>
      <xdr:rowOff>15240</xdr:rowOff>
    </xdr:from>
    <xdr:to>
      <xdr:col>20</xdr:col>
      <xdr:colOff>53340</xdr:colOff>
      <xdr:row>19</xdr:row>
      <xdr:rowOff>110642</xdr:rowOff>
    </xdr:to>
    <xdr:pic>
      <xdr:nvPicPr>
        <xdr:cNvPr id="17" name="Picture 16">
          <a:extLst>
            <a:ext uri="{FF2B5EF4-FFF2-40B4-BE49-F238E27FC236}">
              <a16:creationId xmlns:a16="http://schemas.microsoft.com/office/drawing/2014/main" id="{1989735A-A814-4FD9-8A4B-F72E431F0824}"/>
            </a:ext>
          </a:extLst>
        </xdr:cNvPr>
        <xdr:cNvPicPr>
          <a:picLocks noChangeAspect="1"/>
        </xdr:cNvPicPr>
      </xdr:nvPicPr>
      <xdr:blipFill>
        <a:blip xmlns:r="http://schemas.openxmlformats.org/officeDocument/2006/relationships" r:embed="rId6"/>
        <a:stretch>
          <a:fillRect/>
        </a:stretch>
      </xdr:blipFill>
      <xdr:spPr>
        <a:xfrm>
          <a:off x="10386060" y="1112520"/>
          <a:ext cx="1859280" cy="247284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16</xdr:col>
      <xdr:colOff>239889</xdr:colOff>
      <xdr:row>31</xdr:row>
      <xdr:rowOff>0</xdr:rowOff>
    </xdr:from>
    <xdr:to>
      <xdr:col>18</xdr:col>
      <xdr:colOff>3414888</xdr:colOff>
      <xdr:row>72</xdr:row>
      <xdr:rowOff>0</xdr:rowOff>
    </xdr:to>
    <xdr:sp macro="" textlink="">
      <xdr:nvSpPr>
        <xdr:cNvPr id="2" name="TextBox 1">
          <a:extLst>
            <a:ext uri="{FF2B5EF4-FFF2-40B4-BE49-F238E27FC236}">
              <a16:creationId xmlns:a16="http://schemas.microsoft.com/office/drawing/2014/main" id="{6EF0817F-A5FC-4348-9F0A-A9D734C28F82}"/>
            </a:ext>
          </a:extLst>
        </xdr:cNvPr>
        <xdr:cNvSpPr txBox="1"/>
      </xdr:nvSpPr>
      <xdr:spPr>
        <a:xfrm>
          <a:off x="13087209" y="7551420"/>
          <a:ext cx="10139679" cy="992124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b="1" u="sng">
              <a:solidFill>
                <a:srgbClr val="FF0000"/>
              </a:solidFill>
              <a:latin typeface="Times New Roman" panose="02020603050405020304" pitchFamily="18" charset="0"/>
              <a:cs typeface="Times New Roman" panose="02020603050405020304" pitchFamily="18" charset="0"/>
            </a:rPr>
            <a:t>Character</a:t>
          </a:r>
          <a:r>
            <a:rPr lang="en-US" sz="3200" b="1" u="sng" baseline="0">
              <a:solidFill>
                <a:srgbClr val="FF0000"/>
              </a:solidFill>
              <a:latin typeface="Times New Roman" panose="02020603050405020304" pitchFamily="18" charset="0"/>
              <a:cs typeface="Times New Roman" panose="02020603050405020304" pitchFamily="18" charset="0"/>
            </a:rPr>
            <a:t> Notes</a:t>
          </a:r>
          <a:endParaRPr lang="en-US" sz="3200" b="1" u="sng">
            <a:solidFill>
              <a:srgbClr val="FF0000"/>
            </a:solidFill>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16</xdr:col>
      <xdr:colOff>239889</xdr:colOff>
      <xdr:row>31</xdr:row>
      <xdr:rowOff>0</xdr:rowOff>
    </xdr:from>
    <xdr:to>
      <xdr:col>18</xdr:col>
      <xdr:colOff>3414888</xdr:colOff>
      <xdr:row>72</xdr:row>
      <xdr:rowOff>0</xdr:rowOff>
    </xdr:to>
    <xdr:sp macro="" textlink="">
      <xdr:nvSpPr>
        <xdr:cNvPr id="2" name="TextBox 1">
          <a:extLst>
            <a:ext uri="{FF2B5EF4-FFF2-40B4-BE49-F238E27FC236}">
              <a16:creationId xmlns:a16="http://schemas.microsoft.com/office/drawing/2014/main" id="{ED8A7F2C-4BCD-49AE-BE45-9FF390ED3683}"/>
            </a:ext>
          </a:extLst>
        </xdr:cNvPr>
        <xdr:cNvSpPr txBox="1"/>
      </xdr:nvSpPr>
      <xdr:spPr>
        <a:xfrm>
          <a:off x="13087209" y="7551420"/>
          <a:ext cx="10139679" cy="992124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b="1" u="sng">
              <a:solidFill>
                <a:srgbClr val="FF0000"/>
              </a:solidFill>
              <a:latin typeface="Times New Roman" panose="02020603050405020304" pitchFamily="18" charset="0"/>
              <a:cs typeface="Times New Roman" panose="02020603050405020304" pitchFamily="18" charset="0"/>
            </a:rPr>
            <a:t>Character</a:t>
          </a:r>
          <a:r>
            <a:rPr lang="en-US" sz="3200" b="1" u="sng" baseline="0">
              <a:solidFill>
                <a:srgbClr val="FF0000"/>
              </a:solidFill>
              <a:latin typeface="Times New Roman" panose="02020603050405020304" pitchFamily="18" charset="0"/>
              <a:cs typeface="Times New Roman" panose="02020603050405020304" pitchFamily="18" charset="0"/>
            </a:rPr>
            <a:t> Notes</a:t>
          </a:r>
          <a:endParaRPr lang="en-US" sz="3200" b="1" u="sng">
            <a:solidFill>
              <a:srgbClr val="FF0000"/>
            </a:solidFill>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16</xdr:col>
      <xdr:colOff>239889</xdr:colOff>
      <xdr:row>31</xdr:row>
      <xdr:rowOff>0</xdr:rowOff>
    </xdr:from>
    <xdr:to>
      <xdr:col>18</xdr:col>
      <xdr:colOff>3414888</xdr:colOff>
      <xdr:row>72</xdr:row>
      <xdr:rowOff>0</xdr:rowOff>
    </xdr:to>
    <xdr:sp macro="" textlink="">
      <xdr:nvSpPr>
        <xdr:cNvPr id="2" name="TextBox 1">
          <a:extLst>
            <a:ext uri="{FF2B5EF4-FFF2-40B4-BE49-F238E27FC236}">
              <a16:creationId xmlns:a16="http://schemas.microsoft.com/office/drawing/2014/main" id="{EDFBA8CD-0F19-4FD7-9C85-FC9ACDDD6454}"/>
            </a:ext>
          </a:extLst>
        </xdr:cNvPr>
        <xdr:cNvSpPr txBox="1"/>
      </xdr:nvSpPr>
      <xdr:spPr>
        <a:xfrm>
          <a:off x="13087209" y="7551420"/>
          <a:ext cx="10139679" cy="992124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b="1" u="sng">
              <a:solidFill>
                <a:srgbClr val="FF0000"/>
              </a:solidFill>
              <a:latin typeface="Times New Roman" panose="02020603050405020304" pitchFamily="18" charset="0"/>
              <a:cs typeface="Times New Roman" panose="02020603050405020304" pitchFamily="18" charset="0"/>
            </a:rPr>
            <a:t>Character</a:t>
          </a:r>
          <a:r>
            <a:rPr lang="en-US" sz="3200" b="1" u="sng" baseline="0">
              <a:solidFill>
                <a:srgbClr val="FF0000"/>
              </a:solidFill>
              <a:latin typeface="Times New Roman" panose="02020603050405020304" pitchFamily="18" charset="0"/>
              <a:cs typeface="Times New Roman" panose="02020603050405020304" pitchFamily="18" charset="0"/>
            </a:rPr>
            <a:t> Notes</a:t>
          </a:r>
          <a:endParaRPr lang="en-US" sz="3200" b="1" u="sng">
            <a:solidFill>
              <a:srgbClr val="FF0000"/>
            </a:solidFill>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16</xdr:col>
      <xdr:colOff>239889</xdr:colOff>
      <xdr:row>31</xdr:row>
      <xdr:rowOff>0</xdr:rowOff>
    </xdr:from>
    <xdr:to>
      <xdr:col>18</xdr:col>
      <xdr:colOff>3414888</xdr:colOff>
      <xdr:row>72</xdr:row>
      <xdr:rowOff>0</xdr:rowOff>
    </xdr:to>
    <xdr:sp macro="" textlink="">
      <xdr:nvSpPr>
        <xdr:cNvPr id="2" name="TextBox 1">
          <a:extLst>
            <a:ext uri="{FF2B5EF4-FFF2-40B4-BE49-F238E27FC236}">
              <a16:creationId xmlns:a16="http://schemas.microsoft.com/office/drawing/2014/main" id="{C1689B6F-FC78-4ACE-946A-357205981F62}"/>
            </a:ext>
          </a:extLst>
        </xdr:cNvPr>
        <xdr:cNvSpPr txBox="1"/>
      </xdr:nvSpPr>
      <xdr:spPr>
        <a:xfrm>
          <a:off x="13087209" y="7551420"/>
          <a:ext cx="10139679" cy="992124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b="1" u="sng">
              <a:solidFill>
                <a:srgbClr val="FF0000"/>
              </a:solidFill>
              <a:latin typeface="Times New Roman" panose="02020603050405020304" pitchFamily="18" charset="0"/>
              <a:cs typeface="Times New Roman" panose="02020603050405020304" pitchFamily="18" charset="0"/>
            </a:rPr>
            <a:t>Character</a:t>
          </a:r>
          <a:r>
            <a:rPr lang="en-US" sz="3200" b="1" u="sng" baseline="0">
              <a:solidFill>
                <a:srgbClr val="FF0000"/>
              </a:solidFill>
              <a:latin typeface="Times New Roman" panose="02020603050405020304" pitchFamily="18" charset="0"/>
              <a:cs typeface="Times New Roman" panose="02020603050405020304" pitchFamily="18" charset="0"/>
            </a:rPr>
            <a:t> Notes</a:t>
          </a:r>
          <a:endParaRPr lang="en-US" sz="3200" b="1" u="sng">
            <a:solidFill>
              <a:srgbClr val="FF0000"/>
            </a:solidFill>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16</xdr:col>
      <xdr:colOff>239889</xdr:colOff>
      <xdr:row>31</xdr:row>
      <xdr:rowOff>0</xdr:rowOff>
    </xdr:from>
    <xdr:to>
      <xdr:col>18</xdr:col>
      <xdr:colOff>3414888</xdr:colOff>
      <xdr:row>72</xdr:row>
      <xdr:rowOff>0</xdr:rowOff>
    </xdr:to>
    <xdr:sp macro="" textlink="">
      <xdr:nvSpPr>
        <xdr:cNvPr id="2" name="TextBox 1">
          <a:extLst>
            <a:ext uri="{FF2B5EF4-FFF2-40B4-BE49-F238E27FC236}">
              <a16:creationId xmlns:a16="http://schemas.microsoft.com/office/drawing/2014/main" id="{90A15BB5-071F-4DDC-9069-397795A5D965}"/>
            </a:ext>
          </a:extLst>
        </xdr:cNvPr>
        <xdr:cNvSpPr txBox="1"/>
      </xdr:nvSpPr>
      <xdr:spPr>
        <a:xfrm>
          <a:off x="13087209" y="7551420"/>
          <a:ext cx="10139679" cy="992124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b="1" u="sng">
              <a:solidFill>
                <a:srgbClr val="FF0000"/>
              </a:solidFill>
              <a:latin typeface="Times New Roman" panose="02020603050405020304" pitchFamily="18" charset="0"/>
              <a:cs typeface="Times New Roman" panose="02020603050405020304" pitchFamily="18" charset="0"/>
            </a:rPr>
            <a:t>Character</a:t>
          </a:r>
          <a:r>
            <a:rPr lang="en-US" sz="3200" b="1" u="sng" baseline="0">
              <a:solidFill>
                <a:srgbClr val="FF0000"/>
              </a:solidFill>
              <a:latin typeface="Times New Roman" panose="02020603050405020304" pitchFamily="18" charset="0"/>
              <a:cs typeface="Times New Roman" panose="02020603050405020304" pitchFamily="18" charset="0"/>
            </a:rPr>
            <a:t> Notes</a:t>
          </a:r>
          <a:endParaRPr lang="en-US" sz="3200" b="1" u="sng">
            <a:solidFill>
              <a:srgbClr val="FF0000"/>
            </a:solidFill>
            <a:latin typeface="Times New Roman" panose="02020603050405020304" pitchFamily="18" charset="0"/>
            <a:cs typeface="Times New Roman" panose="02020603050405020304" pitchFamily="18" charset="0"/>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16</xdr:col>
      <xdr:colOff>239889</xdr:colOff>
      <xdr:row>31</xdr:row>
      <xdr:rowOff>0</xdr:rowOff>
    </xdr:from>
    <xdr:to>
      <xdr:col>18</xdr:col>
      <xdr:colOff>3414888</xdr:colOff>
      <xdr:row>72</xdr:row>
      <xdr:rowOff>0</xdr:rowOff>
    </xdr:to>
    <xdr:sp macro="" textlink="">
      <xdr:nvSpPr>
        <xdr:cNvPr id="2" name="TextBox 1">
          <a:extLst>
            <a:ext uri="{FF2B5EF4-FFF2-40B4-BE49-F238E27FC236}">
              <a16:creationId xmlns:a16="http://schemas.microsoft.com/office/drawing/2014/main" id="{979E8CBF-99BD-43BB-B4CD-ABBEEB78ABDC}"/>
            </a:ext>
          </a:extLst>
        </xdr:cNvPr>
        <xdr:cNvSpPr txBox="1"/>
      </xdr:nvSpPr>
      <xdr:spPr>
        <a:xfrm>
          <a:off x="13087209" y="7551420"/>
          <a:ext cx="10139679" cy="992124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b="1" u="sng">
              <a:solidFill>
                <a:srgbClr val="FF0000"/>
              </a:solidFill>
              <a:latin typeface="Times New Roman" panose="02020603050405020304" pitchFamily="18" charset="0"/>
              <a:cs typeface="Times New Roman" panose="02020603050405020304" pitchFamily="18" charset="0"/>
            </a:rPr>
            <a:t>Character</a:t>
          </a:r>
          <a:r>
            <a:rPr lang="en-US" sz="3200" b="1" u="sng" baseline="0">
              <a:solidFill>
                <a:srgbClr val="FF0000"/>
              </a:solidFill>
              <a:latin typeface="Times New Roman" panose="02020603050405020304" pitchFamily="18" charset="0"/>
              <a:cs typeface="Times New Roman" panose="02020603050405020304" pitchFamily="18" charset="0"/>
            </a:rPr>
            <a:t> Notes</a:t>
          </a:r>
          <a:endParaRPr lang="en-US" sz="3200" b="1" u="sng">
            <a:solidFill>
              <a:srgbClr val="FF0000"/>
            </a:solidFill>
            <a:latin typeface="Times New Roman" panose="02020603050405020304" pitchFamily="18" charset="0"/>
            <a:cs typeface="Times New Roman" panose="02020603050405020304" pitchFamily="18" charset="0"/>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16</xdr:col>
      <xdr:colOff>239889</xdr:colOff>
      <xdr:row>31</xdr:row>
      <xdr:rowOff>0</xdr:rowOff>
    </xdr:from>
    <xdr:to>
      <xdr:col>18</xdr:col>
      <xdr:colOff>3414888</xdr:colOff>
      <xdr:row>72</xdr:row>
      <xdr:rowOff>0</xdr:rowOff>
    </xdr:to>
    <xdr:sp macro="" textlink="">
      <xdr:nvSpPr>
        <xdr:cNvPr id="2" name="TextBox 1">
          <a:extLst>
            <a:ext uri="{FF2B5EF4-FFF2-40B4-BE49-F238E27FC236}">
              <a16:creationId xmlns:a16="http://schemas.microsoft.com/office/drawing/2014/main" id="{6A887682-38CB-4C64-8086-05034816F99D}"/>
            </a:ext>
          </a:extLst>
        </xdr:cNvPr>
        <xdr:cNvSpPr txBox="1"/>
      </xdr:nvSpPr>
      <xdr:spPr>
        <a:xfrm>
          <a:off x="13087209" y="7551420"/>
          <a:ext cx="10139679" cy="992124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b="1" u="sng">
              <a:solidFill>
                <a:srgbClr val="FF0000"/>
              </a:solidFill>
              <a:latin typeface="Times New Roman" panose="02020603050405020304" pitchFamily="18" charset="0"/>
              <a:cs typeface="Times New Roman" panose="02020603050405020304" pitchFamily="18" charset="0"/>
            </a:rPr>
            <a:t>Character</a:t>
          </a:r>
          <a:r>
            <a:rPr lang="en-US" sz="3200" b="1" u="sng" baseline="0">
              <a:solidFill>
                <a:srgbClr val="FF0000"/>
              </a:solidFill>
              <a:latin typeface="Times New Roman" panose="02020603050405020304" pitchFamily="18" charset="0"/>
              <a:cs typeface="Times New Roman" panose="02020603050405020304" pitchFamily="18" charset="0"/>
            </a:rPr>
            <a:t> Notes</a:t>
          </a:r>
          <a:endParaRPr lang="en-US" sz="3200" b="1" u="sng">
            <a:solidFill>
              <a:srgbClr val="FF0000"/>
            </a:solidFill>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16</xdr:col>
      <xdr:colOff>239889</xdr:colOff>
      <xdr:row>31</xdr:row>
      <xdr:rowOff>0</xdr:rowOff>
    </xdr:from>
    <xdr:to>
      <xdr:col>18</xdr:col>
      <xdr:colOff>3414888</xdr:colOff>
      <xdr:row>72</xdr:row>
      <xdr:rowOff>0</xdr:rowOff>
    </xdr:to>
    <xdr:sp macro="" textlink="">
      <xdr:nvSpPr>
        <xdr:cNvPr id="2" name="TextBox 1">
          <a:extLst>
            <a:ext uri="{FF2B5EF4-FFF2-40B4-BE49-F238E27FC236}">
              <a16:creationId xmlns:a16="http://schemas.microsoft.com/office/drawing/2014/main" id="{501C0ACF-3714-410C-9593-A0DF7C887F91}"/>
            </a:ext>
          </a:extLst>
        </xdr:cNvPr>
        <xdr:cNvSpPr txBox="1"/>
      </xdr:nvSpPr>
      <xdr:spPr>
        <a:xfrm>
          <a:off x="13087209" y="7551420"/>
          <a:ext cx="10139679" cy="992124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b="1" u="sng">
              <a:solidFill>
                <a:srgbClr val="FF0000"/>
              </a:solidFill>
              <a:latin typeface="Times New Roman" panose="02020603050405020304" pitchFamily="18" charset="0"/>
              <a:cs typeface="Times New Roman" panose="02020603050405020304" pitchFamily="18" charset="0"/>
            </a:rPr>
            <a:t>Character</a:t>
          </a:r>
          <a:r>
            <a:rPr lang="en-US" sz="3200" b="1" u="sng" baseline="0">
              <a:solidFill>
                <a:srgbClr val="FF0000"/>
              </a:solidFill>
              <a:latin typeface="Times New Roman" panose="02020603050405020304" pitchFamily="18" charset="0"/>
              <a:cs typeface="Times New Roman" panose="02020603050405020304" pitchFamily="18" charset="0"/>
            </a:rPr>
            <a:t> Notes</a:t>
          </a:r>
          <a:endParaRPr lang="en-US" sz="3200" b="1" u="sng">
            <a:solidFill>
              <a:srgbClr val="FF0000"/>
            </a:solidFill>
            <a:latin typeface="Times New Roman" panose="02020603050405020304" pitchFamily="18" charset="0"/>
            <a:cs typeface="Times New Roman" panose="02020603050405020304" pitchFamily="18" charset="0"/>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16</xdr:col>
      <xdr:colOff>239889</xdr:colOff>
      <xdr:row>31</xdr:row>
      <xdr:rowOff>0</xdr:rowOff>
    </xdr:from>
    <xdr:to>
      <xdr:col>18</xdr:col>
      <xdr:colOff>3414888</xdr:colOff>
      <xdr:row>72</xdr:row>
      <xdr:rowOff>0</xdr:rowOff>
    </xdr:to>
    <xdr:sp macro="" textlink="">
      <xdr:nvSpPr>
        <xdr:cNvPr id="2" name="TextBox 1">
          <a:extLst>
            <a:ext uri="{FF2B5EF4-FFF2-40B4-BE49-F238E27FC236}">
              <a16:creationId xmlns:a16="http://schemas.microsoft.com/office/drawing/2014/main" id="{A3FFF9D1-9ECF-46C1-BE0B-2F9ABF3310A3}"/>
            </a:ext>
          </a:extLst>
        </xdr:cNvPr>
        <xdr:cNvSpPr txBox="1"/>
      </xdr:nvSpPr>
      <xdr:spPr>
        <a:xfrm>
          <a:off x="13087209" y="7551420"/>
          <a:ext cx="10139679" cy="992124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b="1" u="sng">
              <a:solidFill>
                <a:srgbClr val="FF0000"/>
              </a:solidFill>
              <a:latin typeface="Times New Roman" panose="02020603050405020304" pitchFamily="18" charset="0"/>
              <a:cs typeface="Times New Roman" panose="02020603050405020304" pitchFamily="18" charset="0"/>
            </a:rPr>
            <a:t>Character</a:t>
          </a:r>
          <a:r>
            <a:rPr lang="en-US" sz="3200" b="1" u="sng" baseline="0">
              <a:solidFill>
                <a:srgbClr val="FF0000"/>
              </a:solidFill>
              <a:latin typeface="Times New Roman" panose="02020603050405020304" pitchFamily="18" charset="0"/>
              <a:cs typeface="Times New Roman" panose="02020603050405020304" pitchFamily="18" charset="0"/>
            </a:rPr>
            <a:t> Notes</a:t>
          </a:r>
          <a:endParaRPr lang="en-US" sz="3200" b="1" u="sng">
            <a:solidFill>
              <a:srgbClr val="FF0000"/>
            </a:solidFill>
            <a:latin typeface="Times New Roman" panose="02020603050405020304" pitchFamily="18" charset="0"/>
            <a:cs typeface="Times New Roman" panose="02020603050405020304" pitchFamily="18" charset="0"/>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16</xdr:col>
      <xdr:colOff>239889</xdr:colOff>
      <xdr:row>31</xdr:row>
      <xdr:rowOff>0</xdr:rowOff>
    </xdr:from>
    <xdr:to>
      <xdr:col>18</xdr:col>
      <xdr:colOff>3414888</xdr:colOff>
      <xdr:row>72</xdr:row>
      <xdr:rowOff>0</xdr:rowOff>
    </xdr:to>
    <xdr:sp macro="" textlink="">
      <xdr:nvSpPr>
        <xdr:cNvPr id="2" name="TextBox 1">
          <a:extLst>
            <a:ext uri="{FF2B5EF4-FFF2-40B4-BE49-F238E27FC236}">
              <a16:creationId xmlns:a16="http://schemas.microsoft.com/office/drawing/2014/main" id="{996E7D2F-0AC0-46C6-9BD4-4884A497C7A0}"/>
            </a:ext>
          </a:extLst>
        </xdr:cNvPr>
        <xdr:cNvSpPr txBox="1"/>
      </xdr:nvSpPr>
      <xdr:spPr>
        <a:xfrm>
          <a:off x="13087209" y="7551420"/>
          <a:ext cx="10139679" cy="992124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b="1" u="sng">
              <a:solidFill>
                <a:srgbClr val="FF0000"/>
              </a:solidFill>
              <a:latin typeface="Times New Roman" panose="02020603050405020304" pitchFamily="18" charset="0"/>
              <a:cs typeface="Times New Roman" panose="02020603050405020304" pitchFamily="18" charset="0"/>
            </a:rPr>
            <a:t>Character</a:t>
          </a:r>
          <a:r>
            <a:rPr lang="en-US" sz="3200" b="1" u="sng" baseline="0">
              <a:solidFill>
                <a:srgbClr val="FF0000"/>
              </a:solidFill>
              <a:latin typeface="Times New Roman" panose="02020603050405020304" pitchFamily="18" charset="0"/>
              <a:cs typeface="Times New Roman" panose="02020603050405020304" pitchFamily="18" charset="0"/>
            </a:rPr>
            <a:t> Notes</a:t>
          </a:r>
          <a:endParaRPr lang="en-US" sz="3200" b="1" u="sng">
            <a:solidFill>
              <a:srgbClr val="FF0000"/>
            </a:solidFill>
            <a:latin typeface="Times New Roman" panose="02020603050405020304" pitchFamily="18" charset="0"/>
            <a:cs typeface="Times New Roman" panose="02020603050405020304" pitchFamily="18" charset="0"/>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16</xdr:col>
      <xdr:colOff>239889</xdr:colOff>
      <xdr:row>31</xdr:row>
      <xdr:rowOff>0</xdr:rowOff>
    </xdr:from>
    <xdr:to>
      <xdr:col>18</xdr:col>
      <xdr:colOff>3414888</xdr:colOff>
      <xdr:row>72</xdr:row>
      <xdr:rowOff>0</xdr:rowOff>
    </xdr:to>
    <xdr:sp macro="" textlink="">
      <xdr:nvSpPr>
        <xdr:cNvPr id="2" name="TextBox 1">
          <a:extLst>
            <a:ext uri="{FF2B5EF4-FFF2-40B4-BE49-F238E27FC236}">
              <a16:creationId xmlns:a16="http://schemas.microsoft.com/office/drawing/2014/main" id="{FC7816AB-10FF-4324-8BBD-651193E422CE}"/>
            </a:ext>
          </a:extLst>
        </xdr:cNvPr>
        <xdr:cNvSpPr txBox="1"/>
      </xdr:nvSpPr>
      <xdr:spPr>
        <a:xfrm>
          <a:off x="11754556" y="7309556"/>
          <a:ext cx="10145888" cy="97790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b="1" u="sng">
              <a:solidFill>
                <a:srgbClr val="FF0000"/>
              </a:solidFill>
              <a:latin typeface="Times New Roman" panose="02020603050405020304" pitchFamily="18" charset="0"/>
              <a:cs typeface="Times New Roman" panose="02020603050405020304" pitchFamily="18" charset="0"/>
            </a:rPr>
            <a:t>Character</a:t>
          </a:r>
          <a:r>
            <a:rPr lang="en-US" sz="3200" b="1" u="sng" baseline="0">
              <a:solidFill>
                <a:srgbClr val="FF0000"/>
              </a:solidFill>
              <a:latin typeface="Times New Roman" panose="02020603050405020304" pitchFamily="18" charset="0"/>
              <a:cs typeface="Times New Roman" panose="02020603050405020304" pitchFamily="18" charset="0"/>
            </a:rPr>
            <a:t> Notes</a:t>
          </a:r>
          <a:endParaRPr lang="en-US" sz="3200" b="1" u="sng">
            <a:solidFill>
              <a:srgbClr val="FF0000"/>
            </a:solidFill>
            <a:latin typeface="Times New Roman" panose="02020603050405020304" pitchFamily="18" charset="0"/>
            <a:cs typeface="Times New Roman" panose="02020603050405020304" pitchFamily="18" charset="0"/>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vpal\AppData\Local\Temp\Rar$DIa5600.11168\NPC%20Generator%203.2.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Downloads%20on%20E\CORMYR%20IN%20TABLES%20V08%2011-03-2021.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cial Information (Archive)"/>
      <sheetName val="Generator"/>
      <sheetName val="Lists"/>
      <sheetName val="Saved NPCs"/>
      <sheetName val="Demographics"/>
      <sheetName val="Parameters"/>
      <sheetName val="Female Names"/>
      <sheetName val="Surnames"/>
      <sheetName val="Human Surnames"/>
      <sheetName val="CopyPaste"/>
    </sheetNames>
    <sheetDataSet>
      <sheetData sheetId="0" refreshError="1"/>
      <sheetData sheetId="1"/>
      <sheetData sheetId="2" refreshError="1"/>
      <sheetData sheetId="3" refreshError="1"/>
      <sheetData sheetId="4" refreshError="1"/>
      <sheetData sheetId="5"/>
      <sheetData sheetId="6" refreshError="1"/>
      <sheetData sheetId="7" refreshError="1"/>
      <sheetData sheetId="8" refreshError="1"/>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tor"/>
      <sheetName val="Parameters"/>
      <sheetName val="Racial Information"/>
      <sheetName val="Appearance Table (2)"/>
      <sheetName val="Personal Detail Tables"/>
      <sheetName val="Phrase Tables"/>
      <sheetName val="Human Male Names (2)"/>
      <sheetName val="Human Female Names"/>
      <sheetName val="Human Surnames"/>
      <sheetName val="Human Male Names"/>
      <sheetName val="Male Names"/>
      <sheetName val="Appearance Table"/>
      <sheetName val="Background Generator"/>
      <sheetName val="Acolyte"/>
      <sheetName val="Charlatan"/>
      <sheetName val="Criminal"/>
      <sheetName val="Entertainer"/>
      <sheetName val="FolkHero"/>
      <sheetName val="GuildArtisan"/>
      <sheetName val="Hermit"/>
      <sheetName val="Noble"/>
      <sheetName val="Outlander"/>
      <sheetName val="Sage"/>
      <sheetName val="Sailor"/>
      <sheetName val="Soldier"/>
      <sheetName val="Urchin"/>
      <sheetName val="Feudal Worksheet"/>
      <sheetName val="HEX COLOR TABLE"/>
      <sheetName val="Table - World Setting"/>
      <sheetName val="Table - Random Shops"/>
      <sheetName val="Table - City"/>
      <sheetName val="Table - Castle"/>
      <sheetName val="Table - Prison"/>
      <sheetName val="Table - Brothel"/>
      <sheetName val="Table - Inn-Tavern"/>
      <sheetName val="GEMS OF THE REALMS TABLE"/>
      <sheetName val="NAMES_DATA"/>
      <sheetName val="Аркуш3"/>
      <sheetName val="COINAGE"/>
      <sheetName val="TownSheet"/>
      <sheetName val="SHOP_ALL"/>
      <sheetName val="NpcDesc"/>
      <sheetName val="ShopNames"/>
      <sheetName val="InnMenu"/>
      <sheetName val="NPCs (2)"/>
      <sheetName val="TownInfo"/>
      <sheetName val="Quest"/>
      <sheetName val="000Welcome"/>
      <sheetName val="NPCs"/>
      <sheetName val="Weather Tables"/>
      <sheetName val="Info"/>
      <sheetName val="Illethard - Data"/>
      <sheetName val="Forgotten Realms - Data"/>
      <sheetName val="Instructions"/>
      <sheetName val="Tables"/>
      <sheetName val="Log"/>
      <sheetName val="Crits"/>
      <sheetName val="000CALENDAR1493"/>
      <sheetName val="Weather"/>
      <sheetName val="Level Tables"/>
      <sheetName val="HEX-GEN DATA"/>
      <sheetName val="HEXPLORATION"/>
      <sheetName val="HEX-OTHER"/>
      <sheetName val="HEX-SUBSYSTEM"/>
      <sheetName val="HIRELINGS"/>
      <sheetName val="SPECIAL NPCS"/>
      <sheetName val="TOP SHEET"/>
      <sheetName val="MAGIC ITEMS"/>
      <sheetName val="TREASURE"/>
      <sheetName val="Character_sheet_Kvoth"/>
      <sheetName val="MonstersNPCs"/>
      <sheetName val="Basic Price Sheet"/>
      <sheetName val="Icons"/>
      <sheetName val="FOLK"/>
      <sheetName val="Sheet1"/>
      <sheetName val="Buildings in Cities"/>
      <sheetName val="GM SCREEN"/>
      <sheetName val="npc"/>
      <sheetName val="GM LINKS"/>
      <sheetName val="CORMYR"/>
      <sheetName val="RATING"/>
      <sheetName val="SOCIALENCOUNTERS-ARGUMENTS"/>
      <sheetName val="ORGANIZATIONS"/>
      <sheetName val="Noble Houses"/>
      <sheetName val="TIMELINE"/>
      <sheetName val="Cormyr Encounters"/>
      <sheetName val="SETTLEMENTS"/>
      <sheetName val="Purple Dragons"/>
      <sheetName val="Blue Dragons"/>
      <sheetName val="War Wizards"/>
      <sheetName val="DIAGRAMS"/>
      <sheetName val="D PurpleDragons"/>
      <sheetName val="D BlueDragons"/>
      <sheetName val="Royal Court"/>
      <sheetName val="CONFIG000"/>
      <sheetName val="CREDIT000"/>
      <sheetName val="OGL"/>
      <sheetName val="Sources"/>
    </sheetNames>
    <sheetDataSet>
      <sheetData sheetId="0"/>
      <sheetData sheetId="1"/>
      <sheetData sheetId="2">
        <row r="1">
          <cell r="B1" t="str">
            <v>Aarakocra</v>
          </cell>
          <cell r="C1" t="str">
            <v>Air Genasi</v>
          </cell>
          <cell r="D1" t="str">
            <v>Beasthide Shifter</v>
          </cell>
          <cell r="E1" t="str">
            <v>Bugbear</v>
          </cell>
          <cell r="F1" t="str">
            <v>Centaur</v>
          </cell>
          <cell r="G1" t="str">
            <v>Changeling</v>
          </cell>
          <cell r="H1" t="str">
            <v>Dark Elf (Drow)</v>
          </cell>
          <cell r="I1" t="str">
            <v>Deep Gnome (Svirfneblin)</v>
          </cell>
          <cell r="J1" t="str">
            <v>Dragonborn</v>
          </cell>
          <cell r="K1" t="str">
            <v>Duergar</v>
          </cell>
          <cell r="L1" t="str">
            <v>Earth Genasi</v>
          </cell>
          <cell r="M1" t="str">
            <v>Eladrin</v>
          </cell>
          <cell r="N1" t="str">
            <v>Envoy Warforged</v>
          </cell>
          <cell r="O1" t="str">
            <v>Fallen Aasimar</v>
          </cell>
          <cell r="P1" t="str">
            <v>Firbolg</v>
          </cell>
          <cell r="Q1" t="str">
            <v>Fire Genasi</v>
          </cell>
          <cell r="R1" t="str">
            <v>Forest Gnome</v>
          </cell>
          <cell r="S1" t="str">
            <v>Ghostwise Halfling</v>
          </cell>
          <cell r="T1" t="str">
            <v>Githyanki</v>
          </cell>
          <cell r="U1" t="str">
            <v>Githzerai</v>
          </cell>
          <cell r="V1" t="str">
            <v>Goblin</v>
          </cell>
          <cell r="W1" t="str">
            <v>Goliath</v>
          </cell>
          <cell r="X1" t="str">
            <v>Grung</v>
          </cell>
          <cell r="Y1" t="str">
            <v>Half elf</v>
          </cell>
          <cell r="Z1" t="str">
            <v>Half orc</v>
          </cell>
          <cell r="AA1" t="str">
            <v>High Elf</v>
          </cell>
          <cell r="AB1" t="str">
            <v>Hill Dwarf</v>
          </cell>
          <cell r="AC1" t="str">
            <v>Hobgoblin</v>
          </cell>
          <cell r="AD1" t="str">
            <v>Human</v>
          </cell>
          <cell r="AE1" t="str">
            <v>Juggernaut Warforged</v>
          </cell>
          <cell r="AF1" t="str">
            <v>Kalashtar</v>
          </cell>
          <cell r="AG1" t="str">
            <v>Kenku</v>
          </cell>
          <cell r="AH1" t="str">
            <v>Kobold</v>
          </cell>
          <cell r="AI1" t="str">
            <v>Lightfoot Halfling</v>
          </cell>
          <cell r="AJ1" t="str">
            <v>Lizardfolk</v>
          </cell>
          <cell r="AK1" t="str">
            <v>Locathah</v>
          </cell>
          <cell r="AL1" t="str">
            <v>Longtooth Shifter</v>
          </cell>
          <cell r="AM1" t="str">
            <v>Loxodon</v>
          </cell>
          <cell r="AN1" t="str">
            <v>Minotaur</v>
          </cell>
          <cell r="AO1" t="str">
            <v>Mountain Dwarf</v>
          </cell>
          <cell r="AP1" t="str">
            <v>Orc</v>
          </cell>
          <cell r="AQ1" t="str">
            <v>Protector Aasimar</v>
          </cell>
          <cell r="AR1" t="str">
            <v>Rock Gnome</v>
          </cell>
          <cell r="AS1" t="str">
            <v>Scourge Aasimar</v>
          </cell>
          <cell r="AT1" t="str">
            <v>Sea Elf</v>
          </cell>
          <cell r="AU1" t="str">
            <v>Shadar-kai</v>
          </cell>
          <cell r="AV1" t="str">
            <v>Simic Hybrid</v>
          </cell>
          <cell r="AW1" t="str">
            <v>Skirmisher Warforged</v>
          </cell>
          <cell r="AX1" t="str">
            <v>Stout Halfling (Stronghearts)</v>
          </cell>
          <cell r="AY1" t="str">
            <v>Swiftstride Shifter</v>
          </cell>
          <cell r="AZ1" t="str">
            <v>Tabaxi</v>
          </cell>
          <cell r="BA1" t="str">
            <v>Tiefling</v>
          </cell>
          <cell r="BB1" t="str">
            <v>Tortle</v>
          </cell>
          <cell r="BC1" t="str">
            <v>Triton</v>
          </cell>
          <cell r="BD1" t="str">
            <v>UA_Viashino</v>
          </cell>
          <cell r="BE1" t="str">
            <v>Veldaken</v>
          </cell>
          <cell r="BF1" t="str">
            <v>Water Genasi</v>
          </cell>
          <cell r="BG1" t="str">
            <v>Wildhunt Shifter</v>
          </cell>
          <cell r="BH1" t="str">
            <v>Wood Elf</v>
          </cell>
          <cell r="BI1" t="str">
            <v>Yuan-Ti Pureblood</v>
          </cell>
        </row>
        <row r="4">
          <cell r="B4">
            <v>8.3333333333333332E-3</v>
          </cell>
          <cell r="C4">
            <v>2.0833333333333333E-3</v>
          </cell>
          <cell r="D4">
            <v>0</v>
          </cell>
          <cell r="E4">
            <v>4.1666666666666666E-3</v>
          </cell>
          <cell r="F4">
            <v>4.1666666666666666E-3</v>
          </cell>
          <cell r="G4">
            <v>0</v>
          </cell>
          <cell r="H4">
            <v>8.3333333333333332E-3</v>
          </cell>
          <cell r="I4">
            <v>8.3333333333333332E-3</v>
          </cell>
          <cell r="J4">
            <v>1.6666666666666666E-2</v>
          </cell>
          <cell r="K4">
            <v>4.1666666666666666E-3</v>
          </cell>
          <cell r="L4">
            <v>2.0833333333333333E-3</v>
          </cell>
          <cell r="M4">
            <v>6.2500000000000003E-3</v>
          </cell>
          <cell r="N4">
            <v>0</v>
          </cell>
          <cell r="O4">
            <v>0</v>
          </cell>
          <cell r="P4">
            <v>8.3333333333333332E-3</v>
          </cell>
          <cell r="Q4">
            <v>2.0833333333333333E-3</v>
          </cell>
          <cell r="R4">
            <v>2.5000000000000001E-2</v>
          </cell>
          <cell r="S4">
            <v>8.3333333333333332E-3</v>
          </cell>
          <cell r="T4">
            <v>0</v>
          </cell>
          <cell r="U4">
            <v>0</v>
          </cell>
          <cell r="V4">
            <v>1.6666666666666666E-2</v>
          </cell>
          <cell r="W4">
            <v>2.5000000000000001E-2</v>
          </cell>
          <cell r="X4">
            <v>4.1666666666666666E-3</v>
          </cell>
          <cell r="Y4">
            <v>0.125</v>
          </cell>
          <cell r="Z4">
            <v>0.1</v>
          </cell>
          <cell r="AA4">
            <v>6.6666666666666666E-2</v>
          </cell>
          <cell r="AB4">
            <v>0.05</v>
          </cell>
          <cell r="AC4">
            <v>8.3333333333333332E-3</v>
          </cell>
          <cell r="AD4">
            <v>0.22500000000000001</v>
          </cell>
          <cell r="AE4">
            <v>0</v>
          </cell>
          <cell r="AF4">
            <v>0</v>
          </cell>
          <cell r="AG4">
            <v>8.3333333333333332E-3</v>
          </cell>
          <cell r="AH4">
            <v>4.1666666666666666E-3</v>
          </cell>
          <cell r="AI4">
            <v>2.5000000000000001E-2</v>
          </cell>
          <cell r="AJ4">
            <v>8.3333333333333332E-3</v>
          </cell>
          <cell r="AK4">
            <v>0</v>
          </cell>
          <cell r="AL4">
            <v>0</v>
          </cell>
          <cell r="AM4">
            <v>4.1666666666666666E-3</v>
          </cell>
          <cell r="AN4">
            <v>8.3333333333333332E-3</v>
          </cell>
          <cell r="AO4">
            <v>1.6666666666666666E-2</v>
          </cell>
          <cell r="AP4">
            <v>0.05</v>
          </cell>
          <cell r="AQ4">
            <v>0</v>
          </cell>
          <cell r="AR4">
            <v>1.6666666666666666E-2</v>
          </cell>
          <cell r="AS4">
            <v>0</v>
          </cell>
          <cell r="AT4">
            <v>6.2500000000000003E-3</v>
          </cell>
          <cell r="AU4">
            <v>0</v>
          </cell>
          <cell r="AV4">
            <v>8.3333333333333332E-3</v>
          </cell>
          <cell r="AW4">
            <v>0</v>
          </cell>
          <cell r="AX4">
            <v>2.5000000000000001E-2</v>
          </cell>
          <cell r="AY4">
            <v>0</v>
          </cell>
          <cell r="AZ4">
            <v>8.3333333333333332E-3</v>
          </cell>
          <cell r="BA4">
            <v>4.1666666666666666E-3</v>
          </cell>
          <cell r="BB4">
            <v>8.3333333333333332E-3</v>
          </cell>
          <cell r="BC4">
            <v>3.3333333333333333E-2</v>
          </cell>
          <cell r="BD4">
            <v>0</v>
          </cell>
          <cell r="BE4">
            <v>0</v>
          </cell>
          <cell r="BF4">
            <v>2.0833333333333333E-3</v>
          </cell>
          <cell r="BG4">
            <v>0</v>
          </cell>
          <cell r="BH4">
            <v>3.3333333333333333E-2</v>
          </cell>
          <cell r="BI4">
            <v>0</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8" xr:uid="{4C712091-0AB2-45AF-AD92-3F546869E334}" name="SightingPhrases" displayName="SightingPhrases" ref="A1:A5" totalsRowShown="0" headerRowDxfId="25" dataDxfId="24">
  <autoFilter ref="A1:A5" xr:uid="{00000000-0009-0000-0100-000006000000}"/>
  <tableColumns count="1">
    <tableColumn id="1" xr3:uid="{A5B0FC93-DBF0-4829-BAAA-7F7F7A0AD2E6}" name="Sighting Phrase" dataDxfId="23"/>
  </tableColumns>
  <tableStyleInfo name="Table Style 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9" xr:uid="{D693CF49-0F15-4418-BC09-1E900FC4E8CF}" name="AccessoryPhrases" displayName="AccessoryPhrases" ref="G1:G5" totalsRowShown="0" headerRowDxfId="22" dataDxfId="21">
  <autoFilter ref="G1:G5" xr:uid="{00000000-0009-0000-0100-000009000000}"/>
  <tableColumns count="1">
    <tableColumn id="1" xr3:uid="{55DEC310-945C-41A4-9C69-80F5C8F73252}" name="Accessory phrases" dataDxfId="20"/>
  </tableColumns>
  <tableStyleInfo name="Table Style 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0" xr:uid="{8CBA6A73-C0D7-43AE-8F00-659F0BB91210}" name="ScaleDescriptors" displayName="ScaleDescriptors" ref="I1:I7" totalsRowShown="0" headerRowDxfId="19" dataDxfId="18">
  <autoFilter ref="I1:I7" xr:uid="{00000000-0009-0000-0100-00000A000000}"/>
  <tableColumns count="1">
    <tableColumn id="1" xr3:uid="{F6E6BF61-A17C-4F92-9794-005FE74BA31E}" name="Scale Descriptors" dataDxfId="17"/>
  </tableColumns>
  <tableStyleInfo name="Table Style 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1" xr:uid="{ADF849CC-1A66-4217-90BC-F961BB738FB0}" name="TieflingEyeSimiles" displayName="TieflingEyeSimiles" ref="K1:K7" totalsRowShown="0" headerRowDxfId="16" dataDxfId="15">
  <autoFilter ref="K1:K7" xr:uid="{00000000-0009-0000-0100-00000B000000}"/>
  <tableColumns count="1">
    <tableColumn id="1" xr3:uid="{2D08BFAE-2724-4899-9D14-CB09DE8D4200}" name="Tiefling Eye Similes" dataDxfId="14"/>
  </tableColumns>
  <tableStyleInfo name="Table Style 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2" xr:uid="{FCB7341A-B05C-46AC-B447-CA6BA5358212}" name="WarforgedSightingPhrases" displayName="WarforgedSightingPhrases" ref="C1:C3" totalsRowShown="0" headerRowDxfId="13" dataDxfId="12">
  <autoFilter ref="C1:C3" xr:uid="{00000000-0009-0000-0100-00000C000000}"/>
  <tableColumns count="1">
    <tableColumn id="1" xr3:uid="{20A5F3E2-C0CF-4014-B799-E99C3DBD1B3C}" name="Warforged Sighting Phrase" dataDxfId="11"/>
  </tableColumns>
  <tableStyleInfo name="Table Style 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3" xr:uid="{64D61472-4F59-443C-BCF1-52FCA7453E5A}" name="WarforgedEyeBrightness" displayName="WarforgedEyeBrightness" ref="E1:E7" totalsRowShown="0" headerRowDxfId="10" dataDxfId="9">
  <autoFilter ref="E1:E7" xr:uid="{00000000-0009-0000-0100-00000D000000}"/>
  <tableColumns count="1">
    <tableColumn id="1" xr3:uid="{FADAF2C4-1ECD-4839-AF87-F7386984ADE3}" name="Warforged Eye Brightness" dataDxfId="8"/>
  </tableColumns>
  <tableStyleInfo name="Table Style 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4" xr:uid="{7230D009-124E-4FD9-B627-D6CB9A7F9218}" name="PersonalityPhrases" displayName="PersonalityPhrases" ref="M1:R5" totalsRowShown="0" headerRowDxfId="7" dataDxfId="6">
  <autoFilter ref="M1:R5" xr:uid="{00000000-0009-0000-0100-000010000000}"/>
  <tableColumns count="6">
    <tableColumn id="1" xr3:uid="{D32C9DBD-7FC4-48D8-A6D1-0386EA9CB9E6}" name="Opening Neg First" dataDxfId="5"/>
    <tableColumn id="2" xr3:uid="{C28A1631-FAC4-49E4-847E-402891361A91}" name="Opening pt. 2" dataDxfId="4"/>
    <tableColumn id="8" xr3:uid="{B67E810A-DC76-4BB2-8D4A-15F918F1FB4C}" name="Opening pt. 3" dataDxfId="3"/>
    <tableColumn id="3" xr3:uid="{61BF5FB8-4A1B-42D9-8313-CCCC3ADBA088}" name="Mannerism" dataDxfId="2"/>
    <tableColumn id="4" xr3:uid="{60320379-16DC-4F14-A570-0DF99D751F3F}" name="Value" dataDxfId="1"/>
    <tableColumn id="5" xr3:uid="{DCC33E12-F7C8-4598-B774-63FB2266AE32}" name="Interaction" dataDxfId="0"/>
  </tableColumns>
  <tableStyleInfo name="Table Style 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1" xr:uid="{F263638A-E74C-4180-BF12-80FA9BDBCA26}" name="PersonalDetails" displayName="PersonalDetails" ref="A1:K37" totalsRowShown="0" headerRowDxfId="43" dataDxfId="42">
  <autoFilter ref="A1:K37" xr:uid="{00000000-0009-0000-0100-00000E000000}"/>
  <tableColumns count="11">
    <tableColumn id="1" xr3:uid="{76E69B1C-2F10-4305-BCDF-0FB0B5452FF6}" name="High Ability" dataDxfId="41"/>
    <tableColumn id="2" xr3:uid="{EE347191-5AD5-45A7-889D-238754317713}" name="Positive Attribute" dataDxfId="40"/>
    <tableColumn id="3" xr3:uid="{2DDDF2AA-7E12-4281-9F87-8CEBAAA4CE48}" name="Low Ability" dataDxfId="39"/>
    <tableColumn id="4" xr3:uid="{1C27C1DA-2A37-4AF4-9407-2C1C84E4E3BC}" name="Negetive Atribute" dataDxfId="38"/>
    <tableColumn id="5" xr3:uid="{74B17ED1-C431-4FA8-919B-170C06E730A3}" name="Talents" dataDxfId="37"/>
    <tableColumn id="6" xr3:uid="{46ADF08F-CB3D-40F5-9F0F-536C175F68DC}" name="Mannerism" dataDxfId="36"/>
    <tableColumn id="7" xr3:uid="{167A8FEC-60EC-4BF3-A060-015DF4ECB110}" name="Ideals" dataDxfId="35"/>
    <tableColumn id="8" xr3:uid="{0B0F1283-3F53-43A0-BE33-A601993A0779}" name="Interaction Traits" dataDxfId="34"/>
    <tableColumn id="9" xr3:uid="{C1017E22-5493-4598-839F-F867784A560C}" name="Bonds" dataDxfId="33"/>
    <tableColumn id="10" xr3:uid="{017E8D75-B785-4AF5-8314-9D3A61B40ADF}" name="Weaknesses" dataDxfId="32"/>
    <tableColumn id="11" xr3:uid="{42D0972B-9EC6-4CA0-BE57-C20CE0CF6B3E}" name="Secrets" dataDxfId="31"/>
  </tableColumns>
  <tableStyleInfo name="Table Style 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2" xr:uid="{1D28E6F2-58A1-4F74-8508-0E91548135F3}" name="Employment" displayName="Employment" ref="M1:O83" totalsRowShown="0" headerRowDxfId="30" dataDxfId="29">
  <autoFilter ref="M1:O83" xr:uid="{00000000-0009-0000-0100-00000F000000}"/>
  <sortState xmlns:xlrd2="http://schemas.microsoft.com/office/spreadsheetml/2017/richdata2" ref="M2:O81">
    <sortCondition ref="M1:M81"/>
  </sortState>
  <tableColumns count="3">
    <tableColumn id="1" xr3:uid="{D4459EDD-100B-4D06-A2EF-6C335A30E726}" name="Employment" dataDxfId="28"/>
    <tableColumn id="2" xr3:uid="{6E536B31-12BA-4E2A-83DA-E0CCBC6812E4}" name="Employment Weight" dataDxfId="27"/>
    <tableColumn id="3" xr3:uid="{0E84D786-9522-46AB-9DE0-665BF2DF3D57}" name="Employment %" dataDxfId="26">
      <calculatedColumnFormula>N2/SUM($N$2:$N$83)</calculatedColumnFormula>
    </tableColumn>
  </tableColumns>
  <tableStyleInfo name="Table Style 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25" xr:uid="{44B0573B-4A6A-47F5-BB60-BFAE8B7844A4}" name="Table1425" displayName="Table1425" ref="Q52:U62" totalsRowShown="0" headerRowDxfId="11379" dataDxfId="11378">
  <autoFilter ref="Q52:U62" xr:uid="{AE168139-BE5D-4B37-BB44-EB9CF8628618}"/>
  <sortState xmlns:xlrd2="http://schemas.microsoft.com/office/spreadsheetml/2017/richdata2" ref="Q53:U62">
    <sortCondition ref="Q52:Q62"/>
  </sortState>
  <tableColumns count="5">
    <tableColumn id="1" xr3:uid="{3425B9B9-4858-4121-B172-F96AF0FAEDCD}" name="Column1" dataDxfId="11377">
      <calculatedColumnFormula>IF($Z$2=10,VLOOKUP(T53,Table238[],3),IF($Z$2=9,VLOOKUP(T53,Table237[],3),IF($Z$2=8,VLOOKUP(T53,Table232[],3),IF($Z$2=7,VLOOKUP(T53,Table225[],3),IF($Z$2=6,VLOOKUP(T53,Table71[],3),IF($Z$2=5,VLOOKUP(T53,Table67[],3),IF($Z$2=4,VLOOKUP(T53,Table63[],3),IF($Z$2=3,VLOOKUP(T53,Table14291433[],3),IF($Z$2=2,VLOOKUP(T53,Table1429[],3),IF($Z$2=1,VLOOKUP(T53,Table1426[],3)))))))))))</calculatedColumnFormula>
    </tableColumn>
    <tableColumn id="3" xr3:uid="{F253E0EA-0F2A-4BB2-B143-D0EB1637DD1F}" name="Column3" dataDxfId="11376">
      <calculatedColumnFormula>IF($Z$2=10,VLOOKUP(T53,Table238[],4),IF($Z$2=9,VLOOKUP(T53,Table237[],4),IF($Z$2=8,VLOOKUP(T53,Table232[],4),IF($Z$2=7,VLOOKUP(T53,Table225[],4),IF($Z$2=6,VLOOKUP(T53,Table71[],4),IF($Z$2=5,VLOOKUP(T53,Table67[],4),IF($Z$2=4,VLOOKUP(T53,Table63[],4),IF($Z$2=3,VLOOKUP(T53,Table14291433[],4),IF($Z$2=2,VLOOKUP(T53,Table1429[],4),IF($Z$2=1,VLOOKUP(T53,Table1426[],4)))))))))))</calculatedColumnFormula>
    </tableColumn>
    <tableColumn id="2" xr3:uid="{F38A2635-9D99-414F-8190-495A76638714}" name="Column2" dataDxfId="11375"/>
    <tableColumn id="4" xr3:uid="{2801F9EB-67F8-458A-87A3-63BA695693A3}" name="Column4" dataDxfId="11374">
      <calculatedColumnFormula>_xlfn.RANK.EQ(U53,U$53:U$62)</calculatedColumnFormula>
    </tableColumn>
    <tableColumn id="5" xr3:uid="{BFF461D5-EE7A-4422-AD0E-E4F025FF5E69}" name="Column5" dataDxfId="11373">
      <calculatedColumnFormula>RAND()</calculatedColumn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31" xr:uid="{67E981E4-8C4A-47DD-A3F5-110483A191A1}" name="Table1431" displayName="Table1431" ref="A4:J6" headerRowCount="0" totalsRowShown="0" headerRowDxfId="11372" dataDxfId="11371" tableBorderDxfId="11370">
  <tableColumns count="10">
    <tableColumn id="1" xr3:uid="{81F7C1C9-3781-46C9-8622-C0FBD1D16FA2}" name="Column1" headerRowDxfId="11369" dataDxfId="11368"/>
    <tableColumn id="2" xr3:uid="{021DD22D-E409-4631-B357-7969CECBE163}" name="Column2" headerRowDxfId="11367" dataDxfId="11366"/>
    <tableColumn id="3" xr3:uid="{BC99AA5A-1BB4-4068-9F6C-D07A5A383964}" name="Column3" headerRowDxfId="11365" dataDxfId="11364"/>
    <tableColumn id="4" xr3:uid="{EFEDB0F2-742D-4B08-B7DA-68AD6828295E}" name="Column4" headerRowDxfId="11363" dataDxfId="11362"/>
    <tableColumn id="5" xr3:uid="{F852C093-9115-43CE-8482-1809DDE4140B}" name="Column5" headerRowDxfId="11361" dataDxfId="11360"/>
    <tableColumn id="6" xr3:uid="{3416D4B5-5EE6-4F90-8792-A8B88B57EE6F}" name="Column6" headerRowDxfId="11359" dataDxfId="11358"/>
    <tableColumn id="7" xr3:uid="{8BF3817D-F679-42CA-B583-BAFE66AE9890}" name="Column7" headerRowDxfId="11357" dataDxfId="11356"/>
    <tableColumn id="8" xr3:uid="{A1D136E6-B2E5-41FE-BCD9-76950A2E46EE}" name="Column8" headerRowDxfId="11355" dataDxfId="11354"/>
    <tableColumn id="9" xr3:uid="{1D9D9893-F68A-4031-9ACB-2015BAE83BAA}" name="Column9" headerRowDxfId="11353" dataDxfId="11352"/>
    <tableColumn id="10" xr3:uid="{45BF79BC-B26D-40F9-A2F0-55100E183C85}" name="Column10" headerRowDxfId="11351" dataDxfId="11350"/>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4" xr:uid="{ED702A26-9BEB-4A54-8FFB-ED49D575EC79}" name="Table239" displayName="Table239" ref="A8:J10" headerRowCount="0" totalsRowShown="0" headerRowDxfId="11349" dataDxfId="11348" tableBorderDxfId="11347">
  <tableColumns count="10">
    <tableColumn id="1" xr3:uid="{3B60B27B-0AF5-4EAC-A3E6-A6BCA55B6A4A}" name="Column1" headerRowDxfId="11346" dataDxfId="11345"/>
    <tableColumn id="2" xr3:uid="{EA340F85-2E99-477C-BEDB-10CC4E3931B0}" name="Column2" headerRowDxfId="11344" dataDxfId="11343"/>
    <tableColumn id="3" xr3:uid="{512798EB-65AD-45C2-9AD0-E0ACBD7C3B09}" name="Column3" headerRowDxfId="11342" dataDxfId="11341"/>
    <tableColumn id="4" xr3:uid="{BCE22A97-F23D-41D5-99A1-09CA16285268}" name="Column4" headerRowDxfId="11340" dataDxfId="11339"/>
    <tableColumn id="5" xr3:uid="{43D67856-3F86-4382-A647-9581FC3D8F1E}" name="Column5" headerRowDxfId="11338" dataDxfId="11337"/>
    <tableColumn id="6" xr3:uid="{FA73D8B6-8201-4919-B48F-E49218D8CE6F}" name="Column6" headerRowDxfId="11336" dataDxfId="11335"/>
    <tableColumn id="7" xr3:uid="{34F62275-53EA-4913-95C0-94FEC6CFF3F2}" name="Column7" headerRowDxfId="11334" dataDxfId="11333"/>
    <tableColumn id="8" xr3:uid="{4BC84EC6-BCDF-4099-B872-ECD3A068EE77}" name="Column8" headerRowDxfId="11332" dataDxfId="11331"/>
    <tableColumn id="9" xr3:uid="{2DCC824F-40DE-421F-9022-27B6CAB6A72E}" name="Column9" headerRowDxfId="11330" dataDxfId="11329"/>
    <tableColumn id="10" xr3:uid="{C6E0727B-6474-4F74-A56C-6EB41626541E}" name="Column10" headerRowDxfId="11328" dataDxfId="1132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5" xr:uid="{AC2CA383-FE0D-4B3F-B91F-AA555BECA45B}" name="Table255" displayName="Table255" ref="A12:J14" headerRowCount="0" totalsRowShown="0" headerRowDxfId="11326" dataDxfId="11325" tableBorderDxfId="11324">
  <tableColumns count="10">
    <tableColumn id="1" xr3:uid="{47BACC9F-C91C-4D74-BA10-F4B073433B8A}" name="Column1" headerRowDxfId="11323" dataDxfId="11322"/>
    <tableColumn id="2" xr3:uid="{22894383-47EC-4F25-AF64-7F7DF8B67553}" name="Column2" headerRowDxfId="11321" dataDxfId="11320"/>
    <tableColumn id="3" xr3:uid="{BC4C326F-A58E-409E-8AA2-9AE2D90E2B4E}" name="Column3" headerRowDxfId="11319" dataDxfId="11318"/>
    <tableColumn id="4" xr3:uid="{A385607F-9E4A-4CB9-9E4E-7C567A16AF8C}" name="Column4" headerRowDxfId="11317" dataDxfId="11316"/>
    <tableColumn id="5" xr3:uid="{D08EAE31-F61E-41A3-8E75-0C9406870A55}" name="Column5" headerRowDxfId="11315" dataDxfId="11314"/>
    <tableColumn id="6" xr3:uid="{2AFC91A6-016F-4795-8FC7-CE05A3D26126}" name="Column6" headerRowDxfId="11313" dataDxfId="11312"/>
    <tableColumn id="7" xr3:uid="{E7D7AF24-7E3F-4E45-B913-77E0BBFB916D}" name="Column7" headerRowDxfId="11311" dataDxfId="11310"/>
    <tableColumn id="8" xr3:uid="{C556D506-35FD-461A-B58C-47F50FB8EA9F}" name="Column8" headerRowDxfId="11309" dataDxfId="11308"/>
    <tableColumn id="9" xr3:uid="{04354B9E-C3DD-4B9A-94C4-C735F8451892}" name="Column9" headerRowDxfId="11307" dataDxfId="11306"/>
    <tableColumn id="10" xr3:uid="{48C2D5FE-FC91-4D0A-BA4F-3F071B54AA8A}" name="Column10" headerRowDxfId="11305" dataDxfId="11304"/>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7" xr:uid="{FFBD67E8-4830-4A82-AA8A-DF5241BDFAAE}" name="Table257" displayName="Table257" ref="A16:J18" headerRowCount="0" totalsRowShown="0" headerRowDxfId="11303" dataDxfId="11302" tableBorderDxfId="11301">
  <tableColumns count="10">
    <tableColumn id="1" xr3:uid="{DBF8E365-C7B3-4C2A-89FA-74E16B6210E8}" name="Column1" headerRowDxfId="11300" dataDxfId="11299"/>
    <tableColumn id="2" xr3:uid="{B4523B71-CD88-4DF1-9E0B-D2DAF0851BFE}" name="Column2" headerRowDxfId="11298" dataDxfId="11297"/>
    <tableColumn id="3" xr3:uid="{71840AC6-A6F2-44CF-BD23-FDAD208B9909}" name="Column3" headerRowDxfId="11296" dataDxfId="11295"/>
    <tableColumn id="4" xr3:uid="{BBC816DE-2A62-4D7A-A082-EBED7AF8B61C}" name="Column4" headerRowDxfId="11294" dataDxfId="11293"/>
    <tableColumn id="5" xr3:uid="{56C80DC3-7F94-4138-8E93-E7BF7443248C}" name="Column5" headerRowDxfId="11292" dataDxfId="11291"/>
    <tableColumn id="6" xr3:uid="{3B674896-6C33-4502-A2E2-7169ACF2414D}" name="Column6" headerRowDxfId="11290" dataDxfId="11289"/>
    <tableColumn id="7" xr3:uid="{ED0B1891-0A31-436B-A906-ABC5C363207C}" name="Column7" headerRowDxfId="11288" dataDxfId="11287"/>
    <tableColumn id="8" xr3:uid="{4E960FA1-7C94-4CA5-84F1-528A3B369C81}" name="Column8" headerRowDxfId="11286" dataDxfId="11285"/>
    <tableColumn id="9" xr3:uid="{6D65894F-3BAB-4017-A6F3-F5CDC0A91052}" name="Column9" headerRowDxfId="11284" dataDxfId="11283"/>
    <tableColumn id="10" xr3:uid="{2AF6EA34-2FC5-4174-AE1D-04C43A83F8A5}" name="Column10" headerRowDxfId="11282" dataDxfId="11281"/>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0" xr:uid="{E2EA9493-DB5A-41CE-8044-44196FBA2388}" name="Table270" displayName="Table270" ref="A20:J22" headerRowCount="0" totalsRowShown="0" headerRowDxfId="11280" dataDxfId="11279" tableBorderDxfId="11278">
  <tableColumns count="10">
    <tableColumn id="1" xr3:uid="{5D2B1E27-E3AC-4FFB-81F3-85BB5FC5D2D7}" name="Column1" headerRowDxfId="11277" dataDxfId="11276"/>
    <tableColumn id="2" xr3:uid="{F078A266-FB83-4E35-A6DE-A5D12D2DF97C}" name="Column2" headerRowDxfId="11275" dataDxfId="11274"/>
    <tableColumn id="3" xr3:uid="{49AAD4F4-80E4-4691-B9B2-0C74B64CBB5A}" name="Column3" headerRowDxfId="11273" dataDxfId="11272"/>
    <tableColumn id="4" xr3:uid="{B39C9994-C271-40BB-A5D5-AE18249B10A2}" name="Column4" headerRowDxfId="11271" dataDxfId="11270"/>
    <tableColumn id="5" xr3:uid="{DBF62A5E-E19A-43BF-A925-F27AB6A157A5}" name="Column5" headerRowDxfId="11269" dataDxfId="11268"/>
    <tableColumn id="6" xr3:uid="{03A34F5B-456D-460F-9851-791A5454E358}" name="Column6" headerRowDxfId="11267" dataDxfId="11266"/>
    <tableColumn id="7" xr3:uid="{A98DDD27-3FE6-4F09-8F0A-E5BEC7028315}" name="Column7" headerRowDxfId="11265" dataDxfId="11264"/>
    <tableColumn id="8" xr3:uid="{C579DB18-355E-48A7-B654-563D6E14A7AC}" name="Column8" headerRowDxfId="11263" dataDxfId="11262"/>
    <tableColumn id="9" xr3:uid="{D5AACB77-362A-4FDF-90EE-50FD7C479D41}" name="Column9" headerRowDxfId="11261" dataDxfId="11260"/>
    <tableColumn id="10" xr3:uid="{E55DAF60-4BD0-4963-9FB5-51F6850DEFDC}" name="Column10" headerRowDxfId="11259" dataDxfId="11258"/>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9" xr:uid="{7F185AD9-3F39-4C0B-BD02-CCF48C17DADE}" name="Table279" displayName="Table279" ref="A24:J26" headerRowCount="0" totalsRowShown="0" headerRowDxfId="11257" dataDxfId="11256" tableBorderDxfId="11255">
  <tableColumns count="10">
    <tableColumn id="1" xr3:uid="{23C1CAA8-288D-4DF6-B230-E659C8B7D825}" name="Column1" headerRowDxfId="11254" dataDxfId="11253"/>
    <tableColumn id="2" xr3:uid="{1F012372-06B3-4001-9F70-B8CD74D8EC7B}" name="Column2" headerRowDxfId="11252" dataDxfId="11251"/>
    <tableColumn id="3" xr3:uid="{AE378750-4554-4BFA-A379-0A30240C0547}" name="Column3" headerRowDxfId="11250" dataDxfId="11249"/>
    <tableColumn id="4" xr3:uid="{4C060A28-1098-4725-B94F-6FD0BF429089}" name="Column4" headerRowDxfId="11248" dataDxfId="11247"/>
    <tableColumn id="5" xr3:uid="{AD9A19AB-FAFC-41AF-A290-90ECE3065846}" name="Column5" headerRowDxfId="11246" dataDxfId="11245"/>
    <tableColumn id="6" xr3:uid="{6445AB76-E5F8-4CEE-90D2-A7DAE803172B}" name="Column6" headerRowDxfId="11244" dataDxfId="11243"/>
    <tableColumn id="7" xr3:uid="{16AD2BF9-2F65-4CA0-9488-C2A73BA1D86D}" name="Column7" headerRowDxfId="11242" dataDxfId="11241"/>
    <tableColumn id="8" xr3:uid="{877E8FE9-1A64-4030-A09C-1AAB3880BEC3}" name="Column8" headerRowDxfId="11240" dataDxfId="11239"/>
    <tableColumn id="9" xr3:uid="{1E730E04-54EA-423B-81CC-D942E8D28FF1}" name="Column9" headerRowDxfId="11238" dataDxfId="11237"/>
    <tableColumn id="10" xr3:uid="{11A2BC77-CBCB-4835-B8AF-1F57A8521272}" name="Column10" headerRowDxfId="11236" dataDxfId="1123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0" xr:uid="{8D88A07F-24EE-472D-8700-2F6C6FA07F3B}" name="Table280" displayName="Table280" ref="A28:J30" headerRowCount="0" totalsRowShown="0" headerRowDxfId="11234" dataDxfId="11233" tableBorderDxfId="11232">
  <tableColumns count="10">
    <tableColumn id="1" xr3:uid="{9D61025B-6109-45AD-AB1E-A2248408D8C7}" name="Column1" headerRowDxfId="11231" dataDxfId="11230"/>
    <tableColumn id="2" xr3:uid="{4F3F96BC-ABDF-453C-8F94-9034DE2BE74C}" name="Column2" headerRowDxfId="11229" dataDxfId="11228"/>
    <tableColumn id="3" xr3:uid="{9ACB34A9-D6CF-4B59-A1AE-2CBDBF3607C7}" name="Column3" headerRowDxfId="11227" dataDxfId="11226"/>
    <tableColumn id="4" xr3:uid="{6C52DED8-1501-40AC-A5EB-442BA1A4E580}" name="Column4" headerRowDxfId="11225" dataDxfId="11224"/>
    <tableColumn id="5" xr3:uid="{12167324-9F2E-4E3B-BD3A-EBF7E2BA50D0}" name="Column5" headerRowDxfId="11223" dataDxfId="11222"/>
    <tableColumn id="6" xr3:uid="{E0A17888-73B1-483E-ADED-7C92387808BE}" name="Column6" headerRowDxfId="11221" dataDxfId="11220"/>
    <tableColumn id="7" xr3:uid="{EA6BBE40-7D02-4765-9371-41D909104337}" name="Column7" headerRowDxfId="11219" dataDxfId="11218"/>
    <tableColumn id="8" xr3:uid="{E07661A5-C759-4E08-B5B4-FD81E0AEB7AD}" name="Column8" headerRowDxfId="11217" dataDxfId="11216"/>
    <tableColumn id="9" xr3:uid="{D231AA3D-595B-4D4A-B661-05DE513004D3}" name="Column9" headerRowDxfId="11215" dataDxfId="11214"/>
    <tableColumn id="10" xr3:uid="{5C653D18-78DD-494A-8514-606646748B76}" name="Column10" headerRowDxfId="11213" dataDxfId="11212"/>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2" xr:uid="{B2FBB4AF-7C1A-4DF3-9DA4-AB3BD023CD5D}" name="Table292" displayName="Table292" ref="A32:J34" headerRowCount="0" totalsRowShown="0" headerRowDxfId="11211" dataDxfId="11210" tableBorderDxfId="11209">
  <tableColumns count="10">
    <tableColumn id="1" xr3:uid="{C13AABDE-76CE-4F70-B6B6-A4747F6702EB}" name="Column1" headerRowDxfId="11208" dataDxfId="11207"/>
    <tableColumn id="2" xr3:uid="{57B7A406-9A94-4894-B2EB-F13E6FBA31BE}" name="Column2" headerRowDxfId="11206" dataDxfId="11205"/>
    <tableColumn id="3" xr3:uid="{7A532104-55ED-456D-B67B-526F8C9E8191}" name="Column3" headerRowDxfId="11204" dataDxfId="11203"/>
    <tableColumn id="4" xr3:uid="{654C5847-C95D-41C2-A959-A0F5EF852170}" name="Column4" headerRowDxfId="11202" dataDxfId="11201"/>
    <tableColumn id="5" xr3:uid="{516BA9C5-C243-40B4-9B51-512FEA743CB8}" name="Column5" headerRowDxfId="11200" dataDxfId="11199"/>
    <tableColumn id="6" xr3:uid="{F7830A0C-4520-48EB-AB81-2410BE83EE78}" name="Column6" headerRowDxfId="11198" dataDxfId="11197"/>
    <tableColumn id="7" xr3:uid="{50D69A18-B4FC-43A8-8EBE-C2335C8620C8}" name="Column7" headerRowDxfId="11196" dataDxfId="11195"/>
    <tableColumn id="8" xr3:uid="{32EACAFB-3188-4E4B-91AA-E8D2219456BC}" name="Column8" headerRowDxfId="11194" dataDxfId="11193"/>
    <tableColumn id="9" xr3:uid="{5C1CAAD5-BEB8-47CA-82A3-29DA0D471542}" name="Column9" headerRowDxfId="11192" dataDxfId="11191"/>
    <tableColumn id="10" xr3:uid="{85004C7F-9BC6-4FFC-92F1-0816DE595EDD}" name="Column10" headerRowDxfId="11190" dataDxfId="11189"/>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7" xr:uid="{3483D9B0-C20D-45EE-94D2-9F022AC40ADC}" name="Table297" displayName="Table297" ref="A36:J38" headerRowCount="0" totalsRowShown="0" headerRowDxfId="11188" dataDxfId="11187" tableBorderDxfId="11186">
  <tableColumns count="10">
    <tableColumn id="1" xr3:uid="{93F49917-4884-4D98-92D7-914D6448B88A}" name="Column1" headerRowDxfId="11185" dataDxfId="11184"/>
    <tableColumn id="2" xr3:uid="{B1E748A5-CD24-492B-9E94-D8FA9D47EED1}" name="Column2" headerRowDxfId="11183" dataDxfId="11182"/>
    <tableColumn id="3" xr3:uid="{3180F142-AF14-4AD7-B192-5DF563F32E2F}" name="Column3" headerRowDxfId="11181" dataDxfId="11180"/>
    <tableColumn id="4" xr3:uid="{B8F83FC6-B247-46C1-8C58-67C30337D43E}" name="Column4" headerRowDxfId="11179" dataDxfId="11178"/>
    <tableColumn id="5" xr3:uid="{FEAD58FA-9046-4699-95BA-9827E2B4A9F3}" name="Column5" headerRowDxfId="11177" dataDxfId="11176"/>
    <tableColumn id="6" xr3:uid="{2BC4F06C-2D54-47A0-9DDA-4C2C624DFB82}" name="Column6" headerRowDxfId="11175" dataDxfId="11174"/>
    <tableColumn id="7" xr3:uid="{13E3811A-95DE-455A-915C-023A5BCB51E5}" name="Column7" headerRowDxfId="11173" dataDxfId="11172"/>
    <tableColumn id="8" xr3:uid="{51CB0A4D-71B7-4213-A197-DBA7A75FB7F2}" name="Column8" headerRowDxfId="11171" dataDxfId="11170"/>
    <tableColumn id="9" xr3:uid="{68DCD5A7-22FA-4671-9648-A239EBF9BE59}" name="Column9" headerRowDxfId="11169" dataDxfId="11168"/>
    <tableColumn id="10" xr3:uid="{4EA245A8-7BBB-47D3-8B48-0EFFA3C15F36}" name="Column10" headerRowDxfId="11167" dataDxfId="11166"/>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7" xr:uid="{8F550BF0-6768-481E-B163-45945C507635}" name="Table307" displayName="Table307" ref="A40:J42" headerRowCount="0" totalsRowShown="0" headerRowDxfId="11165" dataDxfId="11164" tableBorderDxfId="11163">
  <tableColumns count="10">
    <tableColumn id="1" xr3:uid="{2349BC95-EB09-44A5-9DE3-9E043F00E1C1}" name="Column1" headerRowDxfId="11162" dataDxfId="11161"/>
    <tableColumn id="2" xr3:uid="{B97DA1D6-49BE-4F30-B8AF-A769ED0C2AC4}" name="Column2" headerRowDxfId="11160" dataDxfId="11159"/>
    <tableColumn id="3" xr3:uid="{599F39C5-43DC-4AB9-84C3-A66613A41267}" name="Column3" headerRowDxfId="11158" dataDxfId="11157"/>
    <tableColumn id="4" xr3:uid="{815019F2-F335-4AA6-8C7B-657656C9DF07}" name="Column4" headerRowDxfId="11156" dataDxfId="11155"/>
    <tableColumn id="5" xr3:uid="{260BD405-AAF6-4A10-909B-7CC3BB50B99F}" name="Column5" headerRowDxfId="11154" dataDxfId="11153"/>
    <tableColumn id="6" xr3:uid="{84976BE1-37D3-4049-819B-3EF834E1D2AE}" name="Column6" headerRowDxfId="11152" dataDxfId="11151"/>
    <tableColumn id="7" xr3:uid="{D9866F2C-0192-400E-AC52-A921139BBFDD}" name="Column7" headerRowDxfId="11150" dataDxfId="11149"/>
    <tableColumn id="8" xr3:uid="{75DC89D5-53B2-4316-92E0-73A20A20C3E0}" name="Column8" headerRowDxfId="11148" dataDxfId="11147"/>
    <tableColumn id="9" xr3:uid="{14379E3D-BDF8-4B05-BB0D-BC8059D31870}" name="Column9" headerRowDxfId="11146" dataDxfId="11145"/>
    <tableColumn id="10" xr3:uid="{3FD84901-F40B-44B4-8491-236FB81D0EC1}" name="Column10" headerRowDxfId="11144" dataDxfId="11143"/>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5CDB4931-DD25-49D8-8887-B452869AFE7E}" name="Table483264407828398966136939" displayName="Table483264407828398966136939" ref="B113:R116" headerRowCount="0" totalsRowShown="0" headerRowDxfId="11142" dataDxfId="11141">
  <tableColumns count="17">
    <tableColumn id="2" xr3:uid="{28461A9F-8B5B-45BF-9DA4-FCECF5D9E868}" name="Column1" headerRowDxfId="11140" dataDxfId="11139"/>
    <tableColumn id="3" xr3:uid="{8005C070-8331-472F-9DCC-DF4121E62A99}" name="Column2" headerRowDxfId="11138" dataDxfId="11137"/>
    <tableColumn id="4" xr3:uid="{BD19132F-C0D5-422F-9792-43420F58F31D}" name="Column3" headerRowDxfId="11136" dataDxfId="11135"/>
    <tableColumn id="5" xr3:uid="{F2FCF60C-436D-4D4F-BE6F-088CFFDD404F}" name="Column4" headerRowDxfId="11134" dataDxfId="11133"/>
    <tableColumn id="6" xr3:uid="{B14CB8B3-FAF5-47C0-8ADE-5A7EE48113E0}" name="Column5" headerRowDxfId="11132" dataDxfId="11131"/>
    <tableColumn id="7" xr3:uid="{61BCC82A-41D2-422C-AFF9-7BF239B784DF}" name="Column6" headerRowDxfId="11130" dataDxfId="11129"/>
    <tableColumn id="8" xr3:uid="{5DC667A9-9388-4132-9C06-C492F2189F34}" name="Column7" headerRowDxfId="11128" dataDxfId="11127"/>
    <tableColumn id="9" xr3:uid="{3CB4F8E2-4226-4D9E-84A1-6E3045534D1F}" name="Column8" headerRowDxfId="11126" dataDxfId="11125"/>
    <tableColumn id="10" xr3:uid="{DF77B753-2EF6-4B41-BBBA-125F1DCFD1A4}" name="Column9" headerRowDxfId="11124" dataDxfId="11123"/>
    <tableColumn id="11" xr3:uid="{621D276F-FE7D-4A1E-89F6-31B53B4E44CF}" name="Column10" headerRowDxfId="11122" dataDxfId="11121"/>
    <tableColumn id="12" xr3:uid="{29D5EBAB-CE73-4CBA-8E5F-D235BD29D6F8}" name="Column11" headerRowDxfId="11120" dataDxfId="11119"/>
    <tableColumn id="13" xr3:uid="{3E37EFD0-A405-4C56-9DDD-B178EA7751B1}" name="Column12" headerRowDxfId="11118" dataDxfId="11117"/>
    <tableColumn id="14" xr3:uid="{57FC5347-D2CA-410B-9D3A-BDDD2894FF7B}" name="Column13" headerRowDxfId="11116" dataDxfId="11115"/>
    <tableColumn id="15" xr3:uid="{0E4AA643-0C05-49CF-9C4F-5CBB9A76C22D}" name="Cantrip" headerRowDxfId="11114" dataDxfId="11113"/>
    <tableColumn id="16" xr3:uid="{94506076-23C1-42EF-A40C-52CF74AB0B1E}" name="1st Level" headerRowDxfId="11112" dataDxfId="11111"/>
    <tableColumn id="17" xr3:uid="{F0F2F79E-79AE-4A5D-9E81-88EE4AF1C79A}" name="2nd Level" headerRowDxfId="11110" dataDxfId="11109"/>
    <tableColumn id="1" xr3:uid="{B6C610A2-E608-4DEE-B1BC-00203CC5EABA}" name="Column14" headerRowDxfId="11108" dataDxfId="11107"/>
  </tableColumns>
  <tableStyleInfo name="TableStyleMedium2"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A14E1D5-AA1F-49AF-9824-201051BCD0B6}" name="Table493274417838408976237048" displayName="Table493274417838408976237048" ref="B120:T129" headerRowCount="0" headerRowDxfId="11106" dataDxfId="11105" totalsRowDxfId="11104">
  <tableColumns count="19">
    <tableColumn id="2" xr3:uid="{B1B9EF3C-D22B-4D91-BB7C-616FED4E2426}" name="Column1" headerRowDxfId="11103" dataDxfId="11102"/>
    <tableColumn id="3" xr3:uid="{6A8C0F3A-07B4-45ED-9025-CC359F8B5332}" name="Column2" headerRowDxfId="11101" dataDxfId="11100" totalsRowDxfId="11099"/>
    <tableColumn id="4" xr3:uid="{AC7D7270-1B35-48AE-A836-FE4D4E7F7917}" name="Column3" headerRowDxfId="11098" dataDxfId="11097" totalsRowDxfId="11096"/>
    <tableColumn id="5" xr3:uid="{9183A270-EDFD-4586-9A67-8F334A65F2A8}" name="Column4" headerRowDxfId="11095" dataDxfId="11094" totalsRowDxfId="11093"/>
    <tableColumn id="6" xr3:uid="{2C4B041E-1792-4E19-9A25-07E017B91844}" name="Column5" headerRowDxfId="11092" dataDxfId="11091" totalsRowDxfId="11090"/>
    <tableColumn id="7" xr3:uid="{A749D7B9-AF69-4B20-99AE-79CF59137C2B}" name="Column6" headerRowDxfId="11089" dataDxfId="11088" totalsRowDxfId="11087"/>
    <tableColumn id="8" xr3:uid="{A82C91BF-F654-457F-BE39-BDD584BC27D9}" name="Column7" headerRowDxfId="11086" dataDxfId="11085" totalsRowDxfId="11084"/>
    <tableColumn id="9" xr3:uid="{CCA5968C-9843-4E61-B47C-77A452CEAD01}" name="Column8" headerRowDxfId="11083" dataDxfId="11082" totalsRowDxfId="11081"/>
    <tableColumn id="10" xr3:uid="{11222B28-8D34-4DA7-98EB-2CCD0C9514BA}" name="Column9" headerRowDxfId="11080" dataDxfId="11079" totalsRowDxfId="11078"/>
    <tableColumn id="11" xr3:uid="{F206F0A3-5010-438D-98B2-1AE71D00EEB6}" name="Column10" headerRowDxfId="11077" dataDxfId="11076" totalsRowDxfId="11075"/>
    <tableColumn id="12" xr3:uid="{DAFEA34F-4294-46C9-B159-2B32362841D6}" name="Column11" headerRowDxfId="11074" dataDxfId="11073" totalsRowDxfId="11072"/>
    <tableColumn id="13" xr3:uid="{90D7B6A8-2BB6-4F45-81F9-FB7C3AF7D3EF}" name="Column12" headerRowDxfId="11071" dataDxfId="11070" totalsRowDxfId="11069"/>
    <tableColumn id="14" xr3:uid="{DD131111-21B4-488F-8299-67B0CA0CDCD7}" name="Column13" headerRowDxfId="11068" dataDxfId="11067" totalsRowDxfId="11066"/>
    <tableColumn id="15" xr3:uid="{FE643794-CE18-4761-984A-BC160E3BFB89}" name="Cantrip" headerRowDxfId="11065" dataDxfId="11064"/>
    <tableColumn id="16" xr3:uid="{CDEEFBAE-A772-466E-8556-6B7E1ECE87E1}" name="1st Level" headerRowDxfId="11063" dataDxfId="11062"/>
    <tableColumn id="17" xr3:uid="{D24B68AC-A882-45E7-B973-C99645D455A8}" name="2nd Level" headerRowDxfId="11061" dataDxfId="11060"/>
    <tableColumn id="18" xr3:uid="{B9C8F724-F6AF-490E-8871-2E2BA6DD58F7}" name="3rd Level" headerRowDxfId="11059" dataDxfId="11058"/>
    <tableColumn id="19" xr3:uid="{78245587-DF30-4F1B-A531-4C03F508222E}" name="4th Level" headerRowDxfId="11057" dataDxfId="11056"/>
    <tableColumn id="1" xr3:uid="{FA189F37-842A-442C-9211-E5B8902AADA2}" name="Column14" headerRowDxfId="11055" dataDxfId="11054" totalsRowDxfId="11053"/>
  </tableColumns>
  <tableStyleInfo name="TableStyleMedium2"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06B19AE4-DF08-442F-A454-2BB8D3A5C478}" name="Table6232844278484189826837149" displayName="Table6232844278484189826837149" ref="B171:T202" headerRowCount="0" headerRowDxfId="11052" dataDxfId="11051" totalsRowDxfId="11049" tableBorderDxfId="11050">
  <tableColumns count="19">
    <tableColumn id="2" xr3:uid="{0B5D81BC-EFD9-47E7-90B3-841904AEC11B}" name="Column2" headerRowDxfId="11048" dataDxfId="11047" totalsRowDxfId="11046"/>
    <tableColumn id="3" xr3:uid="{ADB63359-8F4C-4D54-8166-A8283A863F24}" name="Column3" headerRowDxfId="11045" dataDxfId="11044" totalsRowDxfId="11043"/>
    <tableColumn id="4" xr3:uid="{6FEA3486-CF7F-4C02-9910-08D1DF6C8B5C}" name="Column4" headerRowDxfId="11042" dataDxfId="11041" totalsRowDxfId="11040"/>
    <tableColumn id="5" xr3:uid="{955F53AB-D157-4B81-AF27-339E1D8D00AA}" name="Column5" headerRowDxfId="11039" dataDxfId="11038" totalsRowDxfId="11037"/>
    <tableColumn id="6" xr3:uid="{1D0E44A8-539E-4884-849E-D3A3CD16D3BA}" name="Column6" headerRowDxfId="11036" dataDxfId="11035" totalsRowDxfId="11034"/>
    <tableColumn id="7" xr3:uid="{97C76658-5881-477E-A406-CB67B03F343F}" name="Column7" headerRowDxfId="11033" dataDxfId="11032" totalsRowDxfId="11031"/>
    <tableColumn id="8" xr3:uid="{0D40CF97-3178-4CA2-8999-C33C7EC3C034}" name="Column8" headerRowDxfId="11030" dataDxfId="11029" totalsRowDxfId="11028"/>
    <tableColumn id="9" xr3:uid="{54F46313-6A4F-4530-AD6F-AA4EA58BA39B}" name="Column9" headerRowDxfId="11027" dataDxfId="11026" totalsRowDxfId="11025"/>
    <tableColumn id="10" xr3:uid="{CA51D15D-675B-4C7A-A41D-33D9B224A50F}" name="Column10" headerRowDxfId="11024" dataDxfId="11023" totalsRowDxfId="11022"/>
    <tableColumn id="11" xr3:uid="{9BE8C6F6-5D5F-48E3-B840-4F15A617750B}" name="Column11" headerRowDxfId="11021" dataDxfId="11020" totalsRowDxfId="11019"/>
    <tableColumn id="12" xr3:uid="{1630B13D-655D-4FB9-8F5E-E10A56ACA82C}" name="Column12" headerRowDxfId="11018" dataDxfId="11017" totalsRowDxfId="11016"/>
    <tableColumn id="13" xr3:uid="{ED1F082F-6D83-4A94-8FC9-25A1E30F6A6D}" name="Column13" headerRowDxfId="11015" dataDxfId="11014" totalsRowDxfId="11013"/>
    <tableColumn id="14" xr3:uid="{7481FCA3-E046-4509-B3CC-05166A899985}" name="Column14" headerRowDxfId="11012" dataDxfId="11011" totalsRowDxfId="11010"/>
    <tableColumn id="15" xr3:uid="{95F1C7DA-2DFD-456D-81A8-16E1ABD2BEEC}" name="Column15" headerRowDxfId="11009" dataDxfId="11008" totalsRowDxfId="11007"/>
    <tableColumn id="16" xr3:uid="{01BF38E1-F025-4055-BAF6-1E24343D0FFB}" name="Column16" headerRowDxfId="11006" dataDxfId="11005" totalsRowDxfId="11004"/>
    <tableColumn id="17" xr3:uid="{4CFD44D9-BC3F-43CB-8C3C-AF33A7EA8278}" name="Column17" headerRowDxfId="11003" dataDxfId="11002" totalsRowDxfId="11001"/>
    <tableColumn id="18" xr3:uid="{6053C44D-57BF-433D-80A3-9E301F9CD430}" name="Column18" headerRowDxfId="11000" dataDxfId="10999" totalsRowDxfId="10998"/>
    <tableColumn id="19" xr3:uid="{1DB23338-D3E1-4AFB-ACB2-C157D73F697B}" name="Column19" headerRowDxfId="10997" dataDxfId="10996" totalsRowDxfId="10995"/>
    <tableColumn id="1" xr3:uid="{00B2ECE7-9B7E-498D-959A-2FCDE23C961D}" name="Column1" headerRowDxfId="10994" dataDxfId="10993" totalsRowDxfId="10992"/>
  </tableColumns>
  <tableStyleInfo name="TableStyleMedium2"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8BBDCFD1-C857-4EE1-AA5F-ED62745B17A4}" name="Table6432944378584289927037250" displayName="Table6432944378584289927037250" ref="B307:T324" headerRowCount="0" totalsRowShown="0" headerRowDxfId="10991" dataDxfId="10990">
  <tableColumns count="19">
    <tableColumn id="2" xr3:uid="{3D9AD84C-3FDD-44D6-9181-3C99E1E53F59}" name="Column2" headerRowDxfId="10989" dataDxfId="10988"/>
    <tableColumn id="3" xr3:uid="{E99DA7E3-01C9-4FD2-9A0A-C90BFB9663F2}" name="Column3" headerRowDxfId="10987" dataDxfId="10986"/>
    <tableColumn id="4" xr3:uid="{6CAB01A9-FBD4-45F9-BD28-4AD1E4969853}" name="Column4" headerRowDxfId="10985" dataDxfId="10984"/>
    <tableColumn id="5" xr3:uid="{9EE18934-D8A5-4AA7-955E-46B546ED6CE4}" name="Column5" headerRowDxfId="10983" dataDxfId="10982"/>
    <tableColumn id="6" xr3:uid="{FD8E2344-8027-486B-93BE-7348FDF4C562}" name="Column6" headerRowDxfId="10981" dataDxfId="10980"/>
    <tableColumn id="7" xr3:uid="{EAC2BC99-19C4-4FD9-9310-AAE325A3E840}" name="Column7" headerRowDxfId="10979" dataDxfId="10978"/>
    <tableColumn id="8" xr3:uid="{93921B00-D36D-47EC-93EC-DAD5820EEB0A}" name="Column8" headerRowDxfId="10977" dataDxfId="10976"/>
    <tableColumn id="9" xr3:uid="{722216AA-0077-417F-95D2-C4EA8E61A77D}" name="Column9" headerRowDxfId="10975" dataDxfId="10974"/>
    <tableColumn id="10" xr3:uid="{0D8CAA10-4AB0-4AA8-98EF-8263D04F86E0}" name="Column10" headerRowDxfId="10973" dataDxfId="10972"/>
    <tableColumn id="11" xr3:uid="{A65D93DF-70D1-4246-B2DF-740E4C875640}" name="Column11" headerRowDxfId="10971" dataDxfId="10970"/>
    <tableColumn id="12" xr3:uid="{DC73B570-657D-42F2-BA9E-84A92B58D03A}" name="Column12" headerRowDxfId="10969" dataDxfId="10968"/>
    <tableColumn id="13" xr3:uid="{4B2B028C-1A3B-43CA-BF75-75C39335AF56}" name="Column13" headerRowDxfId="10967" dataDxfId="10966"/>
    <tableColumn id="14" xr3:uid="{AC9C7787-3386-42CE-B353-6C13A71B99F0}" name="Column14" headerRowDxfId="10965" dataDxfId="10964"/>
    <tableColumn id="15" xr3:uid="{3CB30F95-32F5-49A8-B3F9-5F84BD657A3F}" name="Column15" headerRowDxfId="10963" dataDxfId="10962"/>
    <tableColumn id="16" xr3:uid="{CB02827F-3E13-48B9-9D41-372C59F0B2FF}" name="Column16" headerRowDxfId="10961" dataDxfId="10960">
      <calculatedColumnFormula>IF($Q$324&gt;=O322,INDEX('Spell Tables'!$T$242:$T$271,MATCH(O322,('Spell Tables'!$R$242:$R$271),0))," ")</calculatedColumnFormula>
    </tableColumn>
    <tableColumn id="17" xr3:uid="{CCF1D359-162A-4844-BE67-8A6DF4723E02}" name="Column17" headerRowDxfId="10959" dataDxfId="10958">
      <calculatedColumnFormula>IF($R$324&gt;=O322,INDEX('Spell Tables'!$X$242:$X$275,MATCH(O322,('Spell Tables'!$V$242:$V$275),0))," ")</calculatedColumnFormula>
    </tableColumn>
    <tableColumn id="18" xr3:uid="{707FE1F3-EF4C-479D-AB17-CEDB95863748}" name="Column18" headerRowDxfId="10957" dataDxfId="10956"/>
    <tableColumn id="19" xr3:uid="{20D5A985-4B00-4A09-925C-703B6AA28C09}" name="Column19" headerRowDxfId="10955" dataDxfId="10954"/>
    <tableColumn id="20" xr3:uid="{66805F0E-E583-411B-BCF4-11356808C82E}" name="Column20" headerRowDxfId="10953" dataDxfId="10952">
      <calculatedColumnFormula>IF($S$309&gt;=O307,INDEX('Spell Tables'!$AF$242:$AF$264,MATCH(O307,('Spell Tables'!$AD$242:$AD$264),0)),IF(AND($Q$11="wizard",$S$312&gt;=O307),INDEX('Spell Tables'!$AF$242:$AF$264,MATCH(O307,('Spell Tables'!$AD$242:$AD$264),0))," "))</calculatedColumnFormula>
    </tableColumn>
  </tableColumns>
  <tableStyleInfo name="TableStyleMedium2"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1CEC22B8-BEE4-4C35-A09D-4414BB4A947E}" name="Table496733044478684390030937351" displayName="Table496733044478684390030937351" ref="B146:T155" headerRowCount="0" headerRowDxfId="10951" dataDxfId="10950" totalsRowDxfId="10949">
  <tableColumns count="19">
    <tableColumn id="2" xr3:uid="{E91DA84E-348D-4F40-8D50-CABA56010651}" name="Column1" headerRowDxfId="10948" dataDxfId="10947" totalsRowDxfId="10946"/>
    <tableColumn id="3" xr3:uid="{A5C92418-5BAC-4A38-8FD8-4D3DA1BC026B}" name="Column2" headerRowDxfId="10945" dataDxfId="10944" totalsRowDxfId="10943"/>
    <tableColumn id="4" xr3:uid="{9FB2CE92-6BD2-4D16-8D46-2797D1F6DA58}" name="Column3" headerRowDxfId="10942" dataDxfId="10941" totalsRowDxfId="10940"/>
    <tableColumn id="5" xr3:uid="{F138C5C3-B391-40DE-9E35-B03D2F33F731}" name="Column4" headerRowDxfId="10939" dataDxfId="10938" totalsRowDxfId="10937"/>
    <tableColumn id="6" xr3:uid="{6C1A73C8-E88E-4643-8DE2-F5E0390E6CF9}" name="Column5" headerRowDxfId="10936" dataDxfId="10935" totalsRowDxfId="10934"/>
    <tableColumn id="7" xr3:uid="{2131022A-07CD-491A-B95A-25317C85E34C}" name="Column6" headerRowDxfId="10933" dataDxfId="10932" totalsRowDxfId="10931"/>
    <tableColumn id="8" xr3:uid="{485D1AD8-FAE3-4A9B-A6AB-50316311CC9E}" name="Column7" headerRowDxfId="10930" dataDxfId="10929" totalsRowDxfId="10928"/>
    <tableColumn id="9" xr3:uid="{5ACEF53D-1917-4111-B476-DF8EE33A635E}" name="Column8" headerRowDxfId="10927" dataDxfId="10926" totalsRowDxfId="10925"/>
    <tableColumn id="10" xr3:uid="{5E91DACE-197A-4E1B-81DF-306085D766CF}" name="Column9" headerRowDxfId="10924" dataDxfId="10923" totalsRowDxfId="10922"/>
    <tableColumn id="11" xr3:uid="{D667E210-FEC8-4F06-A996-6BD239600E7B}" name="Column10" headerRowDxfId="10921" dataDxfId="10920" totalsRowDxfId="10919"/>
    <tableColumn id="12" xr3:uid="{BE37042F-B40A-4F77-9AC0-019F6635A489}" name="Column11" headerRowDxfId="10918" dataDxfId="10917" totalsRowDxfId="10916"/>
    <tableColumn id="13" xr3:uid="{E3307C35-D6C9-4892-85DA-8F68E847C5A7}" name="Column12" headerRowDxfId="10915" dataDxfId="10914" totalsRowDxfId="10913"/>
    <tableColumn id="14" xr3:uid="{8C4F2FD3-0BC4-494A-A06F-72D0EB350252}" name="Column13" headerRowDxfId="10912" dataDxfId="10911" totalsRowDxfId="10910"/>
    <tableColumn id="15" xr3:uid="{2D289DAD-F19A-49BE-8AC4-4F3B846F3CD5}" name="Cantrip" headerRowDxfId="10909" dataDxfId="10908" totalsRowDxfId="10907"/>
    <tableColumn id="16" xr3:uid="{BB72F7AE-0206-497D-9AE7-A406AF8036AA}" name="1st Level" headerRowDxfId="10906" dataDxfId="10905" totalsRowDxfId="10904"/>
    <tableColumn id="17" xr3:uid="{23B48183-900A-459E-8A8C-F5C261D239E6}" name="2nd Level" totalsRowFunction="custom" headerRowDxfId="10903" dataDxfId="10902" totalsRowDxfId="10901">
      <totalsRowFormula>IF(R15="way of the shadow","Silence"," ")</totalsRowFormula>
    </tableColumn>
    <tableColumn id="18" xr3:uid="{3A23A824-73BD-4940-BBE1-769AEFCAA5B4}" name="3rd Level" headerRowDxfId="10900" dataDxfId="10899" totalsRowDxfId="10898"/>
    <tableColumn id="19" xr3:uid="{737DDE59-60FB-4231-9AB7-77303D15D0C0}" name="4th Level" headerRowDxfId="10897" dataDxfId="10896" totalsRowDxfId="10895"/>
    <tableColumn id="1" xr3:uid="{6548AC8C-EA32-405E-AFDC-373A4032474C}" name="Column14" headerRowDxfId="10894" dataDxfId="10893" totalsRowDxfId="10892"/>
  </tableColumns>
  <tableStyleInfo name="TableStyleMedium2"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BA9D4E71-B72E-44BE-B670-062BB891AF62}" name="Table6933144578784490131037452" displayName="Table6933144578784490131037452" ref="BN26:BS43" headerRowCount="0" totalsRowShown="0" headerRowDxfId="10891" dataDxfId="10890">
  <tableColumns count="6">
    <tableColumn id="1" xr3:uid="{5CD73294-ADD1-4A2D-8F7E-01C28500CE34}" name="Column1" headerRowDxfId="10889" dataDxfId="10888">
      <calculatedColumnFormula>_xlfn.RANK.EQ(BO26,$BO$26:$BO$43)</calculatedColumnFormula>
    </tableColumn>
    <tableColumn id="2" xr3:uid="{8F3121A3-9F12-4B2C-B4DA-2FD72CDF0B54}" name="Column2" headerRowDxfId="10887" dataDxfId="10886"/>
    <tableColumn id="3" xr3:uid="{B2B1D28B-46FF-4736-BF05-1D334DF24AA3}" name="Column3" headerRowDxfId="10885" dataDxfId="10884">
      <calculatedColumnFormula>IF(OR(BM6&gt;=1,AV6&gt;=1),AH6," ")</calculatedColumnFormula>
    </tableColumn>
    <tableColumn id="4" xr3:uid="{14408DC2-31FE-4458-8AF0-42B9EB304857}" name="Column4" headerRowDxfId="10883" dataDxfId="10882"/>
    <tableColumn id="5" xr3:uid="{2DF092F8-B106-4AA0-8190-54D777D01106}" name="Column5" headerRowDxfId="10881" dataDxfId="10880">
      <calculatedColumnFormula>_xlfn.RANK.EQ(BS26,$BS$26:$BS$43)</calculatedColumnFormula>
    </tableColumn>
    <tableColumn id="6" xr3:uid="{AB4510DE-831C-4439-92DB-ABA430FB7DFE}" name="Column6" headerRowDxfId="10879" dataDxfId="10878">
      <calculatedColumnFormula>IF(BO26=0,RAND(),0)</calculatedColumnFormula>
    </tableColumn>
  </tableColumns>
  <tableStyleInfo name="TableStyleMedium2"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8588CFF2-4956-4767-969D-C808A76659EB}" name="Table7033244678884590231137553" displayName="Table7033244678884590231137553" ref="BU26:BZ29" headerRowCount="0" totalsRowShown="0" headerRowDxfId="10877" dataDxfId="10876">
  <tableColumns count="6">
    <tableColumn id="1" xr3:uid="{80D0F2FA-5A14-444D-AF40-013A64928C4A}" name="Column1" headerRowDxfId="10875" dataDxfId="10874">
      <calculatedColumnFormula>_xlfn.RANK.EQ(BV26,$BV$26:$BV$29)</calculatedColumnFormula>
    </tableColumn>
    <tableColumn id="2" xr3:uid="{24AF9AF3-68BE-4293-8559-61FF61FCA235}" name="Column2" headerRowDxfId="10873" dataDxfId="10872"/>
    <tableColumn id="3" xr3:uid="{F93CE9D7-DEA0-4F14-8A40-3C26518F2D1A}" name="Column3" headerRowDxfId="10871" dataDxfId="10870"/>
    <tableColumn id="4" xr3:uid="{26048575-BF9C-4884-A107-E42A475BF732}" name="Column4" headerRowDxfId="10869" dataDxfId="10868"/>
    <tableColumn id="5" xr3:uid="{F7D3BB39-B3A1-4945-ABEE-3FA7BC637067}" name="Column5" headerRowDxfId="10867" dataDxfId="10866">
      <calculatedColumnFormula>_xlfn.RANK.EQ(BZ26,$BZ$26:$BZ$29)</calculatedColumnFormula>
    </tableColumn>
    <tableColumn id="6" xr3:uid="{0DDDBCF8-D2E1-4614-AF6E-337540CF6CEA}" name="Column6" headerRowDxfId="10865" dataDxfId="10864">
      <calculatedColumnFormula>IF(BV26=0,RAND(),0)</calculatedColumnFormula>
    </tableColumn>
  </tableColumns>
  <tableStyleInfo name="TableStyleMedium2"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1F1A845C-F7BE-49C9-8E92-E7386BFAA67E}" name="Table7233344778984690331237654" displayName="Table7233344778984690331237654" ref="BU30:BZ32" headerRowCount="0" totalsRowShown="0" headerRowDxfId="10863" dataDxfId="10862">
  <tableColumns count="6">
    <tableColumn id="1" xr3:uid="{621A8ED9-9FF3-4036-987F-8038A81E7D79}" name="Column1" headerRowDxfId="10861" dataDxfId="10860">
      <calculatedColumnFormula>_xlfn.RANK.EQ(BV30,$BV$30:$BV$32)</calculatedColumnFormula>
    </tableColumn>
    <tableColumn id="2" xr3:uid="{19C38C87-97E6-43B9-BE62-6292641119B8}" name="Column2" headerRowDxfId="10859" dataDxfId="10858"/>
    <tableColumn id="3" xr3:uid="{42CBE956-3544-411A-A7EB-D9A9837B6626}" name="Column3" headerRowDxfId="10857" dataDxfId="10856"/>
    <tableColumn id="4" xr3:uid="{886795E3-DC09-4A31-8488-016271EEA1B4}" name="Column4" headerRowDxfId="10855" dataDxfId="10854"/>
    <tableColumn id="5" xr3:uid="{276FE882-52F9-4D8F-8F1B-5845CED3D76D}" name="Column5" headerRowDxfId="10853" dataDxfId="10852">
      <calculatedColumnFormula>_xlfn.RANK.EQ(BZ30,$BZ$30:$BZ$32)</calculatedColumnFormula>
    </tableColumn>
    <tableColumn id="6" xr3:uid="{8D0E4787-3C8B-4CFC-B1AA-A99CBADFA7C2}" name="Column6" headerRowDxfId="10851" dataDxfId="10850">
      <calculatedColumnFormula>IF(BV30=0,RAND(),0)</calculatedColumnFormula>
    </tableColumn>
  </tableColumns>
  <tableStyleInfo name="TableStyleMedium2"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295DEC69-363E-4B47-9CEF-8CF3D47DCD93}" name="Table6033444879084790431337755" displayName="Table6033444879084790431337755" ref="B240:T271" headerRowCount="0" totalsRowShown="0" headerRowDxfId="10849" dataDxfId="10848" tableBorderDxfId="10847">
  <tableColumns count="19">
    <tableColumn id="3" xr3:uid="{E7820C0E-9D19-4F37-92DB-973594E519B7}" name="Column3" headerRowDxfId="10846" dataDxfId="10845"/>
    <tableColumn id="4" xr3:uid="{9D279966-E4D7-4914-8768-1557F7764E52}" name="Column4" headerRowDxfId="10844" dataDxfId="10843"/>
    <tableColumn id="5" xr3:uid="{FF4699C9-A78D-4E6D-B904-DC742BFC6ECE}" name="Column5" headerRowDxfId="10842" dataDxfId="10841"/>
    <tableColumn id="6" xr3:uid="{D94C8588-FFB5-4293-BE2C-EA72F9F08FAC}" name="Column6" headerRowDxfId="10840" dataDxfId="10839"/>
    <tableColumn id="7" xr3:uid="{E56FBBF0-6E3B-497F-B387-627F95163DE1}" name="Column7" headerRowDxfId="10838" dataDxfId="10837"/>
    <tableColumn id="8" xr3:uid="{66099EC0-37E2-4CEC-82D8-7C9154AFDDA2}" name="Column8" headerRowDxfId="10836" dataDxfId="10835"/>
    <tableColumn id="9" xr3:uid="{40BEC419-A576-4B80-B0D2-800B751E4CF2}" name="Column9" headerRowDxfId="10834" dataDxfId="10833"/>
    <tableColumn id="10" xr3:uid="{E3CCC7D1-E29A-4AB0-965B-FCF20FF9C091}" name="Column10" headerRowDxfId="10832" dataDxfId="10831"/>
    <tableColumn id="11" xr3:uid="{0D76C9E3-A47E-4BC8-8500-580EE42C40A5}" name="Column11" headerRowDxfId="10830" dataDxfId="10829"/>
    <tableColumn id="12" xr3:uid="{0B1EC837-9761-4B1A-89BC-79016FF963CA}" name="Column12" headerRowDxfId="10828" dataDxfId="10827"/>
    <tableColumn id="13" xr3:uid="{4D596203-AB67-4E41-A4DE-F35166EE2416}" name="Column13" headerRowDxfId="10826" dataDxfId="10825"/>
    <tableColumn id="14" xr3:uid="{0D2CEE28-2BF3-47D0-B699-623D9986DEF8}" name="Column14" headerRowDxfId="10824" dataDxfId="10823"/>
    <tableColumn id="15" xr3:uid="{E90C9E80-94AE-4574-B3F8-52A27D54D50A}" name="Column15" headerRowDxfId="10822" dataDxfId="10821"/>
    <tableColumn id="2" xr3:uid="{53EA565D-7470-4B84-99B4-D49561955417}" name="Column2" headerRowDxfId="10820" dataDxfId="10819"/>
    <tableColumn id="16" xr3:uid="{223A71F9-F853-4AE0-97B8-2CABC1703F70}" name="Column16" headerRowDxfId="10818" dataDxfId="10817"/>
    <tableColumn id="17" xr3:uid="{ACCC32C1-8273-4492-A497-5B40AAC8A7F6}" name="Column17" headerRowDxfId="10816" dataDxfId="10815"/>
    <tableColumn id="18" xr3:uid="{89A1F5DB-D7E6-40D0-B25E-E96E985FB8A6}" name="Column18" headerRowDxfId="10814" dataDxfId="10813"/>
    <tableColumn id="19" xr3:uid="{EE2AAEBD-55B7-466C-8B9A-73F2066228D7}" name="Column19" headerRowDxfId="10812" dataDxfId="10811"/>
    <tableColumn id="20" xr3:uid="{1F6AE92B-2B65-49B3-9CE1-FA2B66A990DB}" name="Column20" headerRowDxfId="10810" dataDxfId="10809">
      <calculatedColumnFormula>IF(AND($Q$15="Otherworldly patron - great old one",T$244&gt;=O171),INDEX('Spell Tables'!$AF$226:$AF$231,MATCH(O171,('Spell Tables'!$AD$226:$AD$231),0)),IF(AND($Q$15="Otherworldly patron - fiend",T$244&gt;=O171),INDEX('Spell Tables'!$AF$210:$AF$215,MATCH(O171,('Spell Tables'!$AD$210:$AD$215),0)),IF(AND($Q$15="Otherworldly patron - archfey",T$244&gt;=O171),INDEX('Spell Tables'!$AF$194:$AF$199,MATCH(O171,('Spell Tables'!$AD$194:$AD$199),0)),IF($T$242&gt;=O171,INDEX($AL$80:$AL$89,MATCH(O171,($AJ$80:$AJ$89),0)),IF($T$246&gt;=O171,INDEX('Spell Tables'!$AF$168:$AF$177,MATCH(O171,('Spell Tables'!$AD$168:$AD$177),0)),IF($T$248&gt;=O171,INDEX('Spell Tables'!$AR$141:$AR$144,MATCH(O171,('Spell Tables'!$AP$141:$AP$144),0)),IF($T$250&gt;=O171,INDEX('Spell Tables'!$AB$119:$AB$123,MATCH(O171,('Spell Tables'!$Z$119:$Z$123),0)),IF($T$252&gt;=O171,INDEX('Spell Tables'!$AB$97:$AB$102,MATCH(O171,('Spell Tables'!$Z$97:$Z$102),0)),IF($T$254&gt;=O171,INDEX('Spell Tables'!$AR$70:$AR$75,MATCH(O171,('Spell Tables'!$AP$70:$AP$75),0)),IF($T$256&gt;=O171,INDEX('Spell Tables'!$AF$48:$AF$63,MATCH(O171,('Spell Tables'!$AD$48:$AD$63),0)),IF($T$258&gt;=O171,INDEX('Spell Tables'!$AF$26:$AF$33,MATCH(O171,('Spell Tables'!$AD$26:$AD$33),0)),IF($T$260&gt;=O171,INDEX('Spell Tables'!$AF$2:$AF$9,MATCH(O171,('Spell Tables'!$AD$2:$AD$9),0))," "))))))))))))</calculatedColumnFormula>
    </tableColumn>
  </tableColumns>
  <tableStyleInfo name="TableStyleMedium2"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4773CE54-D90C-465C-89DF-830E4CE496CD}" name="Table20033544979184890531437856" displayName="Table20033544979184890531437856" ref="AJ43:AL53" headerRowCount="0" totalsRowShown="0" headerRowDxfId="10808" dataDxfId="10807">
  <tableColumns count="3">
    <tableColumn id="1" xr3:uid="{EDF85424-E97B-4169-989D-49BCCC6500D4}" name="Column1" headerRowDxfId="10806" dataDxfId="10805"/>
    <tableColumn id="2" xr3:uid="{AFCDF1FB-EB4C-4E61-B7EE-672A873B7190}" name="Column2" headerRowDxfId="10804" dataDxfId="10803">
      <calculatedColumnFormula>RAND()</calculatedColumnFormula>
    </tableColumn>
    <tableColumn id="3" xr3:uid="{1A1892B8-0511-430B-9916-1641E24E5690}" name="Column3" headerRowDxfId="10802" dataDxfId="10801">
      <calculatedColumnFormula>AN12</calculatedColumnFormula>
    </tableColumn>
  </tableColumns>
  <tableStyleInfo name="TableStyleMedium2"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1F44EE76-D70D-4AAC-8F70-4A0114D171A5}" name="Table20133645079284990631537957" displayName="Table20133645079284990631537957" ref="AJ55:AL65" headerRowCount="0" totalsRowShown="0" headerRowDxfId="10800" dataDxfId="10799">
  <tableColumns count="3">
    <tableColumn id="1" xr3:uid="{5F450140-D63E-4B06-B2F5-B1F9D387C8E0}" name="Column1" headerRowDxfId="10798" dataDxfId="10797">
      <calculatedColumnFormula>_xlfn.RANK.EQ(AK56,$L$308:$L$320)</calculatedColumnFormula>
    </tableColumn>
    <tableColumn id="2" xr3:uid="{10677942-364F-4B49-904D-836A48A2EC74}" name="Column2" headerRowDxfId="10796" dataDxfId="10795">
      <calculatedColumnFormula>IF(AL56=" ", 0,RAND())</calculatedColumnFormula>
    </tableColumn>
    <tableColumn id="3" xr3:uid="{DAE9D1EF-5252-4340-9B92-7E195A657239}" name="Column3" headerRowDxfId="10794" dataDxfId="10793">
      <calculatedColumnFormula>AO12</calculatedColumnFormula>
    </tableColumn>
  </tableColumns>
  <tableStyleInfo name="TableStyleMedium2"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2B2AAC9A-306E-4A16-A382-404BEDC96C4C}" name="Table20233745179385090732038058" displayName="Table20233745179385090732038058" ref="AJ67:AL77" headerRowCount="0" totalsRowShown="0" headerRowDxfId="10792" dataDxfId="10791">
  <tableColumns count="3">
    <tableColumn id="1" xr3:uid="{75CE0EBF-5556-498E-A476-CF4F6223ADBD}" name="Column1" headerRowDxfId="10790" dataDxfId="10789"/>
    <tableColumn id="2" xr3:uid="{EDCA998A-E823-47F7-B92B-5C200E88C5F9}" name="Column2" headerRowDxfId="10788" dataDxfId="10787">
      <calculatedColumnFormula>IF(AL68=" ", 0,RAND())</calculatedColumnFormula>
    </tableColumn>
    <tableColumn id="3" xr3:uid="{43618D6D-4325-41E9-93F0-719D479B3C60}" name="Column3" headerRowDxfId="10786" dataDxfId="10785">
      <calculatedColumnFormula>AP12</calculatedColumnFormula>
    </tableColumn>
  </tableColumns>
  <tableStyleInfo name="TableStyleMedium2"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045B0BB2-5886-4584-A0CF-2311C5454A55}" name="Table20333845279485190832138159" displayName="Table20333845279485190832138159" ref="AJ79:AL89" headerRowCount="0" totalsRowShown="0" headerRowDxfId="10784" dataDxfId="10783">
  <tableColumns count="3">
    <tableColumn id="1" xr3:uid="{A0CB9327-BFF6-4CE4-87E1-18840738722F}" name="Column1" headerRowDxfId="10782" dataDxfId="10781"/>
    <tableColumn id="2" xr3:uid="{54B65483-42D8-433D-A49A-CAEDF59D7629}" name="Column2" headerRowDxfId="10780" dataDxfId="10779"/>
    <tableColumn id="3" xr3:uid="{81533145-3FD7-45E6-8B45-0A19C68B99BD}" name="Column3" headerRowDxfId="10778" dataDxfId="10777"/>
  </tableColumns>
  <tableStyleInfo name="TableStyleMedium2"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A107174B-DCA6-40D9-BE07-8427E5826A3F}" name="Table20433945379585290932238260" displayName="Table20433945379585290932238260" ref="AJ91:AL101" headerRowCount="0" totalsRowShown="0" headerRowDxfId="10776" dataDxfId="10775">
  <tableColumns count="3">
    <tableColumn id="1" xr3:uid="{D2D97702-C87A-4EFB-AA4D-7C3DA9D93BFA}" name="Column1" headerRowDxfId="10774" dataDxfId="10773"/>
    <tableColumn id="2" xr3:uid="{E6907229-869D-45D7-A6C3-7E7DD24A8C3B}" name="Column2" headerRowDxfId="10772" dataDxfId="10771"/>
    <tableColumn id="3" xr3:uid="{8D62D75D-7577-41BD-9EA9-0C432E0F0022}" name="Column3" headerRowDxfId="10770" dataDxfId="10769"/>
  </tableColumns>
  <tableStyleInfo name="TableStyleMedium2"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B776B9CA-88D7-4109-A335-24A6D9B398F5}" name="Table20534045479685391032638363" displayName="Table20534045479685391032638363" ref="AJ103:AL113" headerRowCount="0" totalsRowShown="0" headerRowDxfId="10768" dataDxfId="10767">
  <tableColumns count="3">
    <tableColumn id="1" xr3:uid="{A256F298-0E75-4A6E-B315-129444B02384}" name="Column1" headerRowDxfId="10766" dataDxfId="10765"/>
    <tableColumn id="2" xr3:uid="{9EAB4E6E-2255-4574-B765-C1E5106DD8CB}" name="Column2" headerRowDxfId="10764" dataDxfId="10763"/>
    <tableColumn id="3" xr3:uid="{9B794046-D45A-41D4-9BAD-DCDBC63980C8}" name="Column3" headerRowDxfId="10762" dataDxfId="10761"/>
  </tableColumns>
  <tableStyleInfo name="TableStyleMedium2"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468C776F-6D7F-4D28-A683-CDB40CC13E42}" name="Table20634145579785491132738465" displayName="Table20634145579785491132738465" ref="AJ115:AL125" headerRowCount="0" totalsRowShown="0" headerRowDxfId="10760" dataDxfId="10759">
  <tableColumns count="3">
    <tableColumn id="1" xr3:uid="{1E30266F-5139-42BD-A262-A44D23A8898D}" name="Column1" headerRowDxfId="10758" dataDxfId="10757"/>
    <tableColumn id="2" xr3:uid="{90972258-2C87-4E6F-BA60-6EB7599E739A}" name="Column2" headerRowDxfId="10756" dataDxfId="10755"/>
    <tableColumn id="3" xr3:uid="{114C3ED4-AEC9-40EA-AFC0-50F9DF665ABF}" name="Column3" headerRowDxfId="10754" dataDxfId="10753"/>
  </tableColumns>
  <tableStyleInfo name="TableStyleMedium2"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057BBB63-9CD8-4126-9825-0C7D7B81C178}" name="Table20734245679885591232838567" displayName="Table20734245679885591232838567" ref="AJ127:AL137" headerRowCount="0" totalsRowShown="0" headerRowDxfId="10752" dataDxfId="10751">
  <tableColumns count="3">
    <tableColumn id="1" xr3:uid="{7C13F6A0-6B3A-4549-89FE-6EA2FCFB844C}" name="Column1" headerRowDxfId="10750" dataDxfId="10749"/>
    <tableColumn id="2" xr3:uid="{7E78DADA-F825-49E6-9ABA-1B786C6EE956}" name="Column2" headerRowDxfId="10748" dataDxfId="10747"/>
    <tableColumn id="3" xr3:uid="{518287A0-D1E5-4C25-86F2-F84BD19780A2}" name="Column3" headerRowDxfId="10746" dataDxfId="10745"/>
  </tableColumns>
  <tableStyleInfo name="TableStyleMedium2"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375B341B-3045-48B2-9741-B9809A4F3399}" name="Table20834345779985691332938670" displayName="Table20834345779985691332938670" ref="AJ139:AL149" headerRowCount="0" totalsRowShown="0" headerRowDxfId="10744" dataDxfId="10743">
  <tableColumns count="3">
    <tableColumn id="1" xr3:uid="{EA6F1683-B245-4D44-B441-DC7FB5CEE14E}" name="Column1" headerRowDxfId="10742" dataDxfId="10741"/>
    <tableColumn id="2" xr3:uid="{8A05D821-967E-404A-8390-F416A0F62B80}" name="Column2" headerRowDxfId="10740" dataDxfId="10739"/>
    <tableColumn id="3" xr3:uid="{3D4F9247-F9A4-4003-A330-FE951B3AC30B}" name="Column3" headerRowDxfId="10738" dataDxfId="10737"/>
  </tableColumns>
  <tableStyleInfo name="TableStyleMedium2"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6F1A6449-B39B-49A7-B704-4E6C971EB231}" name="Table21934445880085791433038771" displayName="Table21934445880085791433038771" ref="AJ151:AL161" headerRowCount="0" totalsRowShown="0" headerRowDxfId="10736" dataDxfId="10735">
  <tableColumns count="3">
    <tableColumn id="1" xr3:uid="{0354D9E9-B83A-404D-A919-36520263E8F4}" name="Column1" headerRowDxfId="10734" dataDxfId="10733"/>
    <tableColumn id="2" xr3:uid="{9A4A312F-509C-45AB-8D79-D5AA60ED207E}" name="Column2" headerRowDxfId="10732" dataDxfId="10731"/>
    <tableColumn id="5" xr3:uid="{42AFEEBC-3246-49CB-9360-F02CB46EB89D}" name="Column3" headerRowDxfId="10730" dataDxfId="10729"/>
  </tableColumns>
  <tableStyleInfo name="TableStyleMedium2"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A1B46F67-5425-4F6C-AB9C-D0BE3D0ED288}" name="Table22034545980185891533138873" displayName="Table22034545980185891533138873" ref="AJ163:AL173" headerRowCount="0" totalsRowShown="0" headerRowDxfId="10728" dataDxfId="10727">
  <tableColumns count="3">
    <tableColumn id="1" xr3:uid="{69DB7BCA-EE11-4E7A-9AE2-6ECEAF59D26E}" name="Column1" headerRowDxfId="10726" dataDxfId="10725"/>
    <tableColumn id="2" xr3:uid="{0A5468A8-74AF-45DB-81A3-6AEF00752455}" name="Column2" headerRowDxfId="10724" dataDxfId="10723"/>
    <tableColumn id="3" xr3:uid="{48B4C7F3-8CE6-4699-B638-9E3D2A926311}" name="Column3" headerRowDxfId="10722" dataDxfId="10721"/>
  </tableColumns>
  <tableStyleInfo name="TableStyleMedium2"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84624514-5EF4-4A63-9335-537CEF9742FF}" name="Table22234646080285991633238982" displayName="Table22234646080285991633238982" ref="AJ175:AL185" headerRowCount="0" totalsRowShown="0" headerRowDxfId="10720" dataDxfId="10719">
  <tableColumns count="3">
    <tableColumn id="1" xr3:uid="{DF85D4F3-3A03-43B6-A3D8-082652A7730E}" name="Column1" headerRowDxfId="10718" dataDxfId="10717"/>
    <tableColumn id="2" xr3:uid="{02635BC6-E89E-4C56-ABBC-E2212C2CE3FA}" name="Column2" headerRowDxfId="10716" dataDxfId="10715"/>
    <tableColumn id="3" xr3:uid="{C48FA51F-E7D8-4CF7-A1A4-9AF6999426E1}" name="Column3" headerRowDxfId="10714" dataDxfId="10713"/>
  </tableColumns>
  <tableStyleInfo name="TableStyleMedium2"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8" xr:uid="{E71480F8-1264-45B8-8443-DBD02225DAF9}" name="Table250347461803860917333390239" displayName="Table250347461803860917333390239" ref="AJ187:AL197" headerRowCount="0" totalsRowShown="0" headerRowDxfId="10712" dataDxfId="10711">
  <tableColumns count="3">
    <tableColumn id="1" xr3:uid="{A7BA39D0-572F-4829-8A5F-4FE9C5FF72FC}" name="Column1" headerRowDxfId="10710" dataDxfId="10709"/>
    <tableColumn id="2" xr3:uid="{16D6E649-674B-44C0-92E0-DA7C02FCFFB9}" name="Column2" headerRowDxfId="10708" dataDxfId="10707"/>
    <tableColumn id="3" xr3:uid="{2BC32336-60BD-479F-8D94-A38328936C05}" name="Column3" headerRowDxfId="10706" dataDxfId="10705"/>
  </tableColumns>
  <tableStyleInfo name="TableStyleMedium2"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9" xr:uid="{FF3283F6-94D6-408B-9FEA-4F596270608B}" name="Table39348462804861918334391240" displayName="Table39348462804861918334391240" ref="CB1:CD7" headerRowCount="0" totalsRowShown="0" headerRowDxfId="10704" dataDxfId="10703">
  <tableColumns count="3">
    <tableColumn id="1" xr3:uid="{D1AEDAA4-F189-4D06-874D-58C399C5E82A}" name="Column1" dataDxfId="10702"/>
    <tableColumn id="2" xr3:uid="{36263F34-CD17-401D-A0D7-92D407C9C7FE}" name="Column2" dataDxfId="10701"/>
    <tableColumn id="3" xr3:uid="{3D03D7D3-6697-48C9-B4C8-E0AA5C395442}" name="Column3" headerRowDxfId="10700" dataDxfId="10699"/>
  </tableColumns>
  <tableStyleInfo name="TableStyleMedium2"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0" xr:uid="{E8592A2B-34A0-4106-BF2F-4B556DD6E207}" name="Table50349463805862919335392241" displayName="Table50349463805862919335392241" ref="CB29:CD34" headerRowCount="0" totalsRowShown="0" headerRowDxfId="10698" dataDxfId="10697">
  <tableColumns count="3">
    <tableColumn id="1" xr3:uid="{ADC09721-E864-40B7-96EF-C958501003B6}" name="Column1" headerRowDxfId="10696" dataDxfId="10695"/>
    <tableColumn id="2" xr3:uid="{A3A27F92-BCEE-411E-AC4F-3F922A2230B9}" name="Column2" headerRowDxfId="10694" dataDxfId="10693">
      <calculatedColumnFormula>RAND()</calculatedColumnFormula>
    </tableColumn>
    <tableColumn id="3" xr3:uid="{9F9A97E6-A75C-4A47-87FA-E06DF3A07319}" name="Column3" headerRowDxfId="10692" dataDxfId="10691"/>
  </tableColumns>
  <tableStyleInfo name="TableStyleMedium2"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1" xr:uid="{438A6556-C415-4F5F-8E03-53B08F175295}" name="Table51350464806863920336393242" displayName="Table51350464806863920336393242" ref="CB36:CD44" headerRowCount="0" totalsRowShown="0" headerRowDxfId="10690" dataDxfId="10689">
  <tableColumns count="3">
    <tableColumn id="1" xr3:uid="{BF640325-1551-48E2-8800-ABDC16F15873}" name="Column1" headerRowDxfId="10688" dataDxfId="10687"/>
    <tableColumn id="2" xr3:uid="{D9F738E1-67F3-4995-A916-B3BFCB36D3BF}" name="Column2" headerRowDxfId="10686" dataDxfId="10685"/>
    <tableColumn id="3" xr3:uid="{1A786647-A06C-45E9-A962-4660B0A51578}" name="Column3" headerRowDxfId="10684" dataDxfId="10683"/>
  </tableColumns>
  <tableStyleInfo name="TableStyleMedium2"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2" xr:uid="{F46830A7-F6DD-4EED-AE1F-E83E867FB53F}" name="Table52351465807864921337394243" displayName="Table52351465807864921337394243" ref="CB46:CD54" headerRowCount="0" totalsRowShown="0" headerRowDxfId="10682" dataDxfId="10681">
  <tableColumns count="3">
    <tableColumn id="1" xr3:uid="{5964CFE3-98B0-4C95-88E6-0A41575B77E7}" name="Column1" headerRowDxfId="10680" dataDxfId="10679"/>
    <tableColumn id="2" xr3:uid="{083F6BF8-3B04-4A93-A246-CF2B9699FAE2}" name="Column2" headerRowDxfId="10678" dataDxfId="10677"/>
    <tableColumn id="3" xr3:uid="{BAA861E2-CF3A-4C6E-84E7-9235FBBFEB68}" name="Column3" headerRowDxfId="10676" dataDxfId="10675"/>
  </tableColumns>
  <tableStyleInfo name="TableStyleMedium2"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3" xr:uid="{B6AA4051-5F9F-4A27-B2FA-50C4F427B691}" name="Table53352466808865922338395244" displayName="Table53352466808865922338395244" ref="CB56:CD62" headerRowCount="0" totalsRowShown="0" headerRowDxfId="10674" dataDxfId="10673">
  <tableColumns count="3">
    <tableColumn id="1" xr3:uid="{8E57EB9E-62A9-4C0B-92AE-3BE77D9F5C21}" name="Column1" headerRowDxfId="10672" dataDxfId="10671"/>
    <tableColumn id="2" xr3:uid="{6B82238C-A4CB-40C7-9BA7-88A2C0D9BEA0}" name="Column2" headerRowDxfId="10670" dataDxfId="10669"/>
    <tableColumn id="3" xr3:uid="{F848DE0C-BBC6-408C-892F-DBDE9B6F25D2}" name="Column3" headerRowDxfId="10668" dataDxfId="10667"/>
  </tableColumns>
  <tableStyleInfo name="TableStyleMedium2"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4" xr:uid="{F1F82E70-4114-45DE-A612-C2D47440D693}" name="Table54353467809866923339396245" displayName="Table54353467809866923339396245" ref="CB64:CD70" headerRowCount="0" totalsRowShown="0" headerRowDxfId="10666" dataDxfId="10665">
  <tableColumns count="3">
    <tableColumn id="1" xr3:uid="{99EE29DF-0638-4D0C-8D27-DE74ECD13A1B}" name="Column1" headerRowDxfId="10664" dataDxfId="10663"/>
    <tableColumn id="2" xr3:uid="{45D5AF3A-6333-45A1-8747-CDD76C8191D3}" name="Column2" headerRowDxfId="10662" dataDxfId="10661"/>
    <tableColumn id="3" xr3:uid="{5F648D61-8C01-485C-9115-5644E5FCAD78}" name="Column3" headerRowDxfId="10660" dataDxfId="10659"/>
  </tableColumns>
  <tableStyleInfo name="TableStyleMedium2"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5" xr:uid="{B7EC5A3B-2492-4916-AFF8-FE93247A101F}" name="Table55354468810867924340397246" displayName="Table55354468810867924340397246" ref="CB72:CD81" headerRowCount="0" totalsRowShown="0" headerRowDxfId="10658" dataDxfId="10657">
  <tableColumns count="3">
    <tableColumn id="1" xr3:uid="{E16D1688-5D49-4003-A905-D49588DC51DE}" name="Column1" headerRowDxfId="10656" dataDxfId="10655"/>
    <tableColumn id="2" xr3:uid="{4AADB006-5D8A-4F68-84D4-F9904EEB7706}" name="Column2" headerRowDxfId="10654" dataDxfId="10653"/>
    <tableColumn id="3" xr3:uid="{99E9EF91-FC22-4CA4-8167-F52C14EF8431}" name="Column3" headerRowDxfId="10652" dataDxfId="10651"/>
  </tableColumns>
  <tableStyleInfo name="TableStyleMedium2"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6" xr:uid="{C3A797AC-3655-49CB-A18C-65246BB4286E}" name="Table56355469811868925341398247" displayName="Table56355469811868925341398247" ref="CB83:CD94" headerRowCount="0" totalsRowShown="0" headerRowDxfId="10650" dataDxfId="10649">
  <tableColumns count="3">
    <tableColumn id="1" xr3:uid="{58CA3F3C-4FF1-42BC-BC9F-E55880327188}" name="Column1" headerRowDxfId="10648" dataDxfId="10647"/>
    <tableColumn id="2" xr3:uid="{56EA0D9B-7DB1-41C6-9219-4A6E5757ADB4}" name="Column2" headerRowDxfId="10646" dataDxfId="10645"/>
    <tableColumn id="3" xr3:uid="{881C26A6-202B-4DE7-8012-9CEDC75638BA}" name="Column3" headerRowDxfId="10644" dataDxfId="10643"/>
  </tableColumns>
  <tableStyleInfo name="TableStyleMedium2"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7" xr:uid="{45A17B64-37B7-4D0E-A974-2A11FB40C9EE}" name="Table57356470812869926342399248" displayName="Table57356470812869926342399248" ref="CB96:CD102" headerRowCount="0" totalsRowShown="0" headerRowDxfId="10642" dataDxfId="10641">
  <tableColumns count="3">
    <tableColumn id="1" xr3:uid="{1DF7AC2C-1512-4586-9E4D-5BDBB1073D3A}" name="Column1" headerRowDxfId="10640" dataDxfId="10639"/>
    <tableColumn id="2" xr3:uid="{7592C8C1-0BE5-4BCF-A922-39CA41D9171E}" name="Column2" headerRowDxfId="10638" dataDxfId="10637"/>
    <tableColumn id="3" xr3:uid="{E4FE7AB2-9CE5-4060-962A-0F362579BE84}" name="Column3" headerRowDxfId="10636" dataDxfId="10635"/>
  </tableColumns>
  <tableStyleInfo name="TableStyleMedium2"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8" xr:uid="{C5178E68-D4B8-4EDA-BD82-8A9E2A9083AB}" name="Table58357471813870927343400249" displayName="Table58357471813870927343400249" ref="CB104:CD111" headerRowCount="0" totalsRowShown="0" headerRowDxfId="10634" dataDxfId="10633">
  <tableColumns count="3">
    <tableColumn id="1" xr3:uid="{9387E4CD-0000-4DD8-B287-0E8304D942CA}" name="Column1" headerRowDxfId="10632" dataDxfId="10631"/>
    <tableColumn id="2" xr3:uid="{B8BB48E0-1B0D-43EC-9682-6BC7A68AE9C7}" name="Column2" headerRowDxfId="10630" dataDxfId="10629"/>
    <tableColumn id="3" xr3:uid="{8A6F64CC-6E4C-4035-88D1-B591D794D423}" name="Column3" headerRowDxfId="10628" dataDxfId="10627"/>
  </tableColumns>
  <tableStyleInfo name="TableStyleMedium2"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9" xr:uid="{CB8CA13D-7AA6-46B2-878E-1BCFD8018A0A}" name="Table59358472814871928344401250" displayName="Table59358472814871928344401250" ref="CB113:CD119" headerRowCount="0" totalsRowShown="0" headerRowDxfId="10626" dataDxfId="10625">
  <tableColumns count="3">
    <tableColumn id="1" xr3:uid="{390BEB1F-DD5C-4015-B4A8-90CC4123E803}" name="Column1" headerRowDxfId="10624" dataDxfId="10623"/>
    <tableColumn id="2" xr3:uid="{686420EE-8998-4224-8D25-AA4D99496E07}" name="Column2" headerRowDxfId="10622" dataDxfId="10621"/>
    <tableColumn id="3" xr3:uid="{81C5AD1E-C898-4752-AE81-714C1C4882A9}" name="Column3" headerRowDxfId="10620" dataDxfId="10619"/>
  </tableColumns>
  <tableStyleInfo name="TableStyleMedium2"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0" xr:uid="{0140EFF8-FD3A-4248-AE44-7426D5C74EFD}" name="Table81359473815872929345402251" displayName="Table81359473815872929345402251" ref="CB9:CD27" headerRowCount="0" totalsRowShown="0" headerRowDxfId="10618" dataDxfId="10617">
  <tableColumns count="3">
    <tableColumn id="1" xr3:uid="{15FE6455-C7B0-4DA3-B179-32E22FFF9D70}" name="Column1" headerRowDxfId="10616" dataDxfId="10615"/>
    <tableColumn id="2" xr3:uid="{C2950038-A624-498F-A142-8E0DDC456CE2}" name="Column2" headerRowDxfId="10614" dataDxfId="10613"/>
    <tableColumn id="3" xr3:uid="{FEBF2239-1156-4259-9E1E-FCBBA27527D3}" name="Column3" headerRowDxfId="10612" dataDxfId="10611">
      <calculatedColumnFormula>RAND()</calculatedColumnFormula>
    </tableColumn>
  </tableColumns>
  <tableStyleInfo name="TableStyleMedium2"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4" xr:uid="{66D0DDD9-1639-44B9-AC23-9227DF3056FC}" name="Table264360474816873930346403265" displayName="Table264360474816873930346403265" ref="B14:B19" headerRowCount="0" totalsRowShown="0" headerRowDxfId="10610" dataDxfId="10609" tableBorderDxfId="10608">
  <tableColumns count="1">
    <tableColumn id="1" xr3:uid="{0CED0268-18C5-4658-BDDA-7A8566C9D0CF}" name="Column1" headerRowDxfId="10607" dataDxfId="10606"/>
  </tableColumns>
  <tableStyleInfo name="TableStyleMedium2"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5" xr:uid="{1BA599F0-1883-40F8-BFC8-00744A098157}" name="Table265361475817874931347404266" displayName="Table265361475817874931347404266" ref="S17:S26" headerRowCount="0" totalsRowShown="0" headerRowDxfId="10605" dataDxfId="10604" tableBorderDxfId="10603">
  <tableColumns count="1">
    <tableColumn id="1" xr3:uid="{D9315EF9-00FA-4994-8FCB-F2E445BF1035}" name="Column1" headerRowDxfId="10602" dataDxfId="10601"/>
  </tableColumns>
  <tableStyleInfo name="TableStyleMedium2"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6" xr:uid="{A0E860D5-8F12-466C-8E11-283E5EE9D195}" name="Table266362476818875932348405267" displayName="Table266362476818875932348405267" ref="O75:O85" headerRowCount="0" totalsRowShown="0" headerRowDxfId="10600" dataDxfId="10599" tableBorderDxfId="10598">
  <tableColumns count="1">
    <tableColumn id="1" xr3:uid="{743DA807-1B91-4950-AE06-7D643CA8CFF4}" name="Column1" headerRowDxfId="10597" dataDxfId="10596"/>
  </tableColumns>
  <tableStyleInfo name="TableStyleMedium2"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8" xr:uid="{B75431AA-C054-4900-A8D2-E9C2FC63F300}" name="Table268363477819876933349406269" displayName="Table268363477819876933349406269" ref="O14:O35" headerRowCount="0" totalsRowShown="0" headerRowDxfId="10595" dataDxfId="10594" tableBorderDxfId="10593">
  <tableColumns count="1">
    <tableColumn id="1" xr3:uid="{5B7B8473-1B53-4099-9A7B-E87F5758F034}" name="Column1" headerRowDxfId="10592" dataDxfId="10591"/>
  </tableColumns>
  <tableStyleInfo name="TableStyleMedium2" showFirstColumn="0" showLastColumn="0"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1" xr:uid="{CCF8EC30-0DFE-4282-BDF4-BEAD18144446}" name="Table271364478820877934350407272" displayName="Table271364478820877934350407272" ref="Q14:Q30" headerRowCount="0" totalsRowShown="0" headerRowDxfId="10590" dataDxfId="10589" tableBorderDxfId="10588">
  <tableColumns count="1">
    <tableColumn id="1" xr3:uid="{A0CB8850-E7EC-4F58-9490-4920CE1B56F5}" name="Column1" headerRowDxfId="10587" dataDxfId="10586"/>
  </tableColumns>
  <tableStyleInfo name="TableStyleMedium2" showFirstColumn="0" showLastColumn="0"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2" xr:uid="{7DC6DE89-E244-455D-B2A2-FD38798AEDF4}" name="Table272365479821878935351408273" displayName="Table272365479821878935351408273" ref="S10:S12" headerRowCount="0" totalsRowShown="0" headerRowDxfId="10585" dataDxfId="10584" tableBorderDxfId="10583">
  <tableColumns count="1">
    <tableColumn id="1" xr3:uid="{EDCD257D-79AC-417B-A972-2B5B969EC7B8}" name="Column1" headerRowDxfId="10582" dataDxfId="10581"/>
  </tableColumns>
  <tableStyleInfo name="TableStyleMedium2" showFirstColumn="0" showLastColumn="0" showRowStripes="1"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3" xr:uid="{87F24870-BD23-413B-97A0-8B7C772AE78B}" name="Table273366480822879936352409274" displayName="Table273366480822879936352409274" ref="S14:S16" headerRowCount="0" totalsRowShown="0" headerRowDxfId="10580" dataDxfId="10579" tableBorderDxfId="10578">
  <tableColumns count="1">
    <tableColumn id="1" xr3:uid="{186383EB-DF26-4D24-8FEE-F1057998A789}" name="Column1" headerRowDxfId="10577" dataDxfId="10576"/>
  </tableColumns>
  <tableStyleInfo name="TableStyleMedium2" showFirstColumn="0" showLastColumn="0" showRowStripes="1"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4" xr:uid="{68917C7F-3733-497D-9CE1-A64C1F06C87C}" name="Table274367481823880937353410275" displayName="Table274367481823880937353410275" ref="P14:P28" headerRowCount="0" totalsRowShown="0" headerRowDxfId="10575" dataDxfId="10574" tableBorderDxfId="10573">
  <tableColumns count="1">
    <tableColumn id="1" xr3:uid="{EC901875-A494-443B-8B14-8E62B797197B}" name="Column1" headerRowDxfId="10572" dataDxfId="10571"/>
  </tableColumns>
  <tableStyleInfo name="TableStyleMedium2" showFirstColumn="0" showLastColumn="0" showRowStripes="1"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5" xr:uid="{9C1887B4-805E-466B-905E-670CEBECDFC6}" name="Table275368482824881938354411276" displayName="Table275368482824881938354411276" ref="R14:R26" headerRowCount="0" totalsRowShown="0" headerRowDxfId="10570" dataDxfId="10569" tableBorderDxfId="10568">
  <tableColumns count="1">
    <tableColumn id="1" xr3:uid="{3A76172C-E95A-4EAB-B4BA-A1E670C8B162}" name="Column1" headerRowDxfId="10567" dataDxfId="10566"/>
  </tableColumns>
  <tableStyleInfo name="TableStyleMedium2" showFirstColumn="0" showLastColumn="0" showRowStripes="1"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6" xr:uid="{EF99EBF8-E2E9-4644-B8F2-BEED0034D5CE}" name="Table276369483825882939355412277" displayName="Table276369483825882939355412277" ref="B37:P43" headerRowCount="0" totalsRowShown="0" headerRowDxfId="10565" dataDxfId="10564">
  <tableColumns count="15">
    <tableColumn id="2" xr3:uid="{03FD859C-8F71-4EE2-BB4D-CD3AD57D1AD8}" name="Column2" headerRowDxfId="10563" dataDxfId="10562"/>
    <tableColumn id="3" xr3:uid="{3736235A-B0D8-4F2D-914E-AEEC0DD16408}" name="Column3" headerRowDxfId="10561" dataDxfId="10560"/>
    <tableColumn id="4" xr3:uid="{C81BEED3-88E8-4402-9A97-99A586283641}" name="Column4" headerRowDxfId="10559" dataDxfId="10558"/>
    <tableColumn id="5" xr3:uid="{8F2C5368-BA10-4841-95EE-18530D8B96E4}" name="Column5" headerRowDxfId="10557" dataDxfId="10556"/>
    <tableColumn id="6" xr3:uid="{3B3B2ECE-D56D-4CA0-BE9E-1D4A28CF94B3}" name="Column6" headerRowDxfId="10555" dataDxfId="10554"/>
    <tableColumn id="7" xr3:uid="{D86C0F6A-C68A-40A8-B588-0C07C89281BB}" name="Column7" headerRowDxfId="10553" dataDxfId="10552"/>
    <tableColumn id="8" xr3:uid="{61EF18FA-CFDA-49EF-AF64-850036BB5E8F}" name="Column8" headerRowDxfId="10551" dataDxfId="10550"/>
    <tableColumn id="9" xr3:uid="{3FFD640C-7738-498F-A31A-73F481F8A436}" name="Column9" headerRowDxfId="10549" dataDxfId="10548"/>
    <tableColumn id="10" xr3:uid="{8FED3DAC-14EB-4A24-BB42-F2F0C347C0CE}" name="Column10" headerRowDxfId="10547" dataDxfId="10546">
      <calculatedColumnFormula>RANDBETWEEN(1,6)</calculatedColumnFormula>
    </tableColumn>
    <tableColumn id="11" xr3:uid="{AD79211D-A30A-4589-8EE9-F69C2F6DC789}" name="Column11" headerRowDxfId="10545" dataDxfId="10544">
      <calculatedColumnFormula>RANDBETWEEN(1,6)</calculatedColumnFormula>
    </tableColumn>
    <tableColumn id="12" xr3:uid="{E7F8E8E7-31B3-4014-AB88-72E5A0412D7C}" name="Column12" headerRowDxfId="10543" dataDxfId="10542">
      <calculatedColumnFormula>RANDBETWEEN(1,6)</calculatedColumnFormula>
    </tableColumn>
    <tableColumn id="13" xr3:uid="{A6126DBB-ECFE-44E4-A286-144636712D20}" name="Column13" headerRowDxfId="10541" dataDxfId="10540">
      <calculatedColumnFormula>RANDBETWEEN(1,6)</calculatedColumnFormula>
    </tableColumn>
    <tableColumn id="14" xr3:uid="{79198F4E-62A8-4369-B6FF-57F13B24AF91}" name="Column14" headerRowDxfId="10539" dataDxfId="10538"/>
    <tableColumn id="15" xr3:uid="{A7D607B9-9FC8-4C4B-8C0D-5BC482498D7C}" name="Column15" headerRowDxfId="10537" dataDxfId="10536"/>
    <tableColumn id="16" xr3:uid="{C09C8586-0005-4999-9742-E15CA672DECA}" name="Column16" headerRowDxfId="10535" dataDxfId="10534">
      <calculatedColumnFormula>VLOOKUP(O37,Table1[],2)</calculatedColumnFormula>
    </tableColumn>
  </tableColumns>
  <tableStyleInfo name="TableStyleMedium2" showFirstColumn="0" showLastColumn="0" showRowStripes="1"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7" xr:uid="{632F72F3-C4C8-4741-B2C8-A958511B5894}" name="Table277370484826883940356413278" displayName="Table277370484826883940356413278" ref="B45:P51" headerRowCount="0" totalsRowShown="0" headerRowDxfId="10533" dataDxfId="10532" tableBorderDxfId="10531">
  <tableColumns count="15">
    <tableColumn id="2" xr3:uid="{C44B10F7-3E91-4D23-92A4-DBC901ED1217}" name="Column2" headerRowDxfId="10530" dataDxfId="10529"/>
    <tableColumn id="3" xr3:uid="{4221878C-40F6-4C68-B3FF-87DE1745B9B0}" name="Column3" headerRowDxfId="10528" dataDxfId="10527"/>
    <tableColumn id="4" xr3:uid="{65C2887A-A8C8-46E2-B679-BEC52E2057AE}" name="Column4" headerRowDxfId="10526" dataDxfId="10525"/>
    <tableColumn id="5" xr3:uid="{C8D4CA1A-D7CE-4EDD-ACFC-F63D3D5E1D33}" name="Column5" headerRowDxfId="10524" dataDxfId="10523"/>
    <tableColumn id="6" xr3:uid="{86CE17F0-9D15-4C3A-82BD-60377B1EC13D}" name="Column6" headerRowDxfId="10522" dataDxfId="10521"/>
    <tableColumn id="7" xr3:uid="{883FB95B-75DC-44FA-9F38-1715FDB1C1F3}" name="Column7" headerRowDxfId="10520" dataDxfId="10519"/>
    <tableColumn id="8" xr3:uid="{088FEEE6-050B-40FE-902F-C3944CBC4536}" name="Column8" headerRowDxfId="10518" dataDxfId="10517"/>
    <tableColumn id="9" xr3:uid="{77AAF829-4EBA-44B6-BD58-04ED684E75D6}" name="Column9" headerRowDxfId="10516" dataDxfId="10515"/>
    <tableColumn id="10" xr3:uid="{7A8ED867-B230-4961-A521-E52B4F5B63B7}" name="Column10" headerRowDxfId="10514" dataDxfId="10513"/>
    <tableColumn id="11" xr3:uid="{482935D8-D37E-4C2C-B032-2368788EAF7E}" name="Column11" headerRowDxfId="10512" dataDxfId="10511"/>
    <tableColumn id="12" xr3:uid="{0F6E06D5-0A78-4E3F-9B9F-B837BFEBD067}" name="Column12" headerRowDxfId="10510" dataDxfId="10509"/>
    <tableColumn id="13" xr3:uid="{857D2C91-33C2-4622-949A-E2BCB0C1D1D0}" name="Column13" headerRowDxfId="10508" dataDxfId="10507"/>
    <tableColumn id="14" xr3:uid="{8BD347D6-4AC5-4597-B764-D30399DF87F2}" name="Column14" headerRowDxfId="10506" dataDxfId="10505"/>
    <tableColumn id="15" xr3:uid="{F4B7FD89-4289-4C29-BF42-B49D59E99D24}" name="Column15" headerRowDxfId="10504" dataDxfId="10503"/>
    <tableColumn id="16" xr3:uid="{F80E7212-7E3D-4E7C-AA8B-269441975308}" name="Column16" headerRowDxfId="10502" dataDxfId="10501">
      <calculatedColumnFormula>IF(O45="x",SUM(P37,$P$8),P37)</calculatedColumnFormula>
    </tableColumn>
  </tableColumns>
  <tableStyleInfo name="TableStyleMedium2" showFirstColumn="0" showLastColumn="0" showRowStripes="1"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8" xr:uid="{242D4EAD-FEEA-4D40-8AAB-61CAEB8DEB5B}" name="Table278371485827884941357414279" displayName="Table278371485827884941357414279" ref="O1:Q3" headerRowCount="0" totalsRowShown="0" headerRowDxfId="10500" dataDxfId="10499">
  <tableColumns count="3">
    <tableColumn id="15" xr3:uid="{58A80CF2-1006-4E24-ABFA-2B9EA941F0C9}" name="Column15" headerRowDxfId="10498" dataDxfId="10497"/>
    <tableColumn id="16" xr3:uid="{243D16A5-4F94-4B5A-936F-25625EAB4C54}" name="Column16" headerRowDxfId="10496" dataDxfId="10495"/>
    <tableColumn id="17" xr3:uid="{7EDDEB41-71E0-4333-8DB9-1E41E3F25320}" name="Column17" headerRowDxfId="10494" dataDxfId="10493"/>
  </tableColumns>
  <tableStyleInfo name="TableStyleMedium2" showFirstColumn="0" showLastColumn="0" showRowStripes="1"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1" xr:uid="{57796DBD-6558-4783-8BF4-1F9C8E046DAA}" name="Table282373487829886943359415282" displayName="Table282373487829886943359415282" ref="B53:P72" headerRowCount="0" totalsRowShown="0" headerRowDxfId="10492" dataDxfId="10491">
  <tableColumns count="15">
    <tableColumn id="2" xr3:uid="{75C42CBF-1D16-499C-A44E-EB5B718323CB}" name="Column2" headerRowDxfId="10490" dataDxfId="10489"/>
    <tableColumn id="3" xr3:uid="{83991BE5-989D-48EE-97DF-82557FFC67DB}" name="Column3" headerRowDxfId="10488" dataDxfId="10487"/>
    <tableColumn id="4" xr3:uid="{1647F352-2F4C-4EF5-8B4D-04A6F373F8AB}" name="Column4" headerRowDxfId="10486" dataDxfId="10485"/>
    <tableColumn id="5" xr3:uid="{13B64793-366C-453D-876B-BA474B836ADE}" name="Column5" headerRowDxfId="10484" dataDxfId="10483"/>
    <tableColumn id="6" xr3:uid="{F688C91A-D28A-4767-A06A-0B3B3E7D1587}" name="Column6" headerRowDxfId="10482" dataDxfId="10481"/>
    <tableColumn id="7" xr3:uid="{B306A158-17BB-4FFD-8C74-5FE9C19DFE03}" name="Column7" headerRowDxfId="10480" dataDxfId="10479"/>
    <tableColumn id="8" xr3:uid="{A8BD3F8C-F976-4216-8AC1-7618687F3A4D}" name="Column8" headerRowDxfId="10478" dataDxfId="10477"/>
    <tableColumn id="9" xr3:uid="{F886DB1C-4617-4897-A606-0B915CA7E0D9}" name="Column9" headerRowDxfId="10476" dataDxfId="10475"/>
    <tableColumn id="10" xr3:uid="{B5D17B31-29F3-461A-96A4-2EE62419B393}" name="Column10" headerRowDxfId="10474" dataDxfId="10473"/>
    <tableColumn id="11" xr3:uid="{D8666926-9393-4B7D-9DCC-DCD8A9D0DAE6}" name="Column11" headerRowDxfId="10472" dataDxfId="10471"/>
    <tableColumn id="12" xr3:uid="{5DF16E6B-8C9B-4EE2-B65B-BE3A6158A0E7}" name="Column12" headerRowDxfId="10470" dataDxfId="10469"/>
    <tableColumn id="13" xr3:uid="{533647C3-9B7F-43E1-A686-0ABBD80D57A6}" name="Column13" headerRowDxfId="10468" dataDxfId="10467"/>
    <tableColumn id="14" xr3:uid="{7498A544-5AA8-4EEC-9184-179A0862F667}" name="Column14" headerRowDxfId="10466" dataDxfId="10465"/>
    <tableColumn id="15" xr3:uid="{DA1FC095-4188-4FDD-B747-70828C327832}" name="Column15" headerRowDxfId="10464" dataDxfId="10463"/>
    <tableColumn id="16" xr3:uid="{36BA3AA0-0CBD-4C1F-B5D7-B604F054A922}" name="Column16" headerRowDxfId="10462" dataDxfId="10461"/>
  </tableColumns>
  <tableStyleInfo name="TableStyleMedium2" showFirstColumn="0" showLastColumn="0" showRowStripes="1"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2" xr:uid="{0959871F-E4C6-4BAB-AC02-B0ADA6BC04F7}" name="Table283374488830887944360416283" displayName="Table283374488830887944360416283" ref="B75:B79" headerRowCount="0" totalsRowShown="0" headerRowDxfId="10460" dataDxfId="10459" tableBorderDxfId="10458">
  <tableColumns count="1">
    <tableColumn id="1" xr3:uid="{D1538FB3-3153-4D21-B827-F97826A7A381}" name="Column1" headerRowDxfId="10457" dataDxfId="10456"/>
  </tableColumns>
  <tableStyleInfo name="TableStyleMedium2" showFirstColumn="0" showLastColumn="0" showRowStripes="1"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3" xr:uid="{D1D482D3-12E6-4CF0-8BEA-1657188F8092}" name="Table293375489831888945361417284" displayName="Table293375489831888945361417284" ref="AO44:AQ59" headerRowCount="0" totalsRowShown="0" headerRowDxfId="10455" dataDxfId="10454">
  <tableColumns count="3">
    <tableColumn id="1" xr3:uid="{1C5551CF-A5F9-4F85-BD1E-FC1810217A49}" name="Column1" headerRowDxfId="10453" dataDxfId="10452"/>
    <tableColumn id="2" xr3:uid="{B0512A43-75CD-4B0C-9689-B274FC6EEC03}" name="Column2" headerRowDxfId="10451" dataDxfId="10450">
      <calculatedColumnFormula>IF(#REF!=" ", 0,RAND())</calculatedColumnFormula>
    </tableColumn>
    <tableColumn id="3" xr3:uid="{80707B4D-3882-4DA6-9E3D-5849C974DB13}" name="Column3" headerRowDxfId="10449" dataDxfId="10448">
      <calculatedColumnFormula>O28</calculatedColumnFormula>
    </tableColumn>
  </tableColumns>
  <tableStyleInfo name="TableStyleMedium2" showFirstColumn="0" showLastColumn="0" showRowStripes="1"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3" xr:uid="{220A8B4B-F252-44F3-A321-B5FE4B9D0550}" name="Table300376490832889946362418294" displayName="Table300376490832889946362418294" ref="B88:T90" headerRowCount="0" totalsRowShown="0" headerRowDxfId="10447" dataDxfId="10446" tableBorderDxfId="10445">
  <tableColumns count="19">
    <tableColumn id="2" xr3:uid="{53304A40-0A0B-4D7A-981B-4CE96791E424}" name="Column2" headerRowDxfId="10444" dataDxfId="10443"/>
    <tableColumn id="3" xr3:uid="{F0BED669-EFA4-45B5-B53D-434EF17842EB}" name="Column3" headerRowDxfId="10442" dataDxfId="10441"/>
    <tableColumn id="4" xr3:uid="{6AC9AFC9-8E18-4BFA-B844-FE81DD61BA7C}" name="Column4" headerRowDxfId="10440" dataDxfId="10439"/>
    <tableColumn id="5" xr3:uid="{119B0A4E-0EFB-4897-BD8D-2EB2871812D6}" name="Column5" headerRowDxfId="10438" dataDxfId="10437"/>
    <tableColumn id="6" xr3:uid="{9391BC5F-B2BE-48EE-B5AA-21436914CFF2}" name="Column6" headerRowDxfId="10436" dataDxfId="10435"/>
    <tableColumn id="7" xr3:uid="{82464078-E26A-4C4A-A4C7-FC35295D5DB1}" name="Column7" headerRowDxfId="10434" dataDxfId="10433"/>
    <tableColumn id="8" xr3:uid="{4409C24B-3446-4B3F-8630-27DFDE6F27D0}" name="Column8" headerRowDxfId="10432" dataDxfId="10431"/>
    <tableColumn id="9" xr3:uid="{635A7775-BCA3-40EB-9150-4F6596532BDC}" name="Column9" headerRowDxfId="10430" dataDxfId="10429"/>
    <tableColumn id="10" xr3:uid="{502EA03A-BFFC-4438-AEF2-DE141E8BED29}" name="Column10" headerRowDxfId="10428" dataDxfId="10427"/>
    <tableColumn id="11" xr3:uid="{198CE9DE-944C-42A2-8300-B8BD04C11BDF}" name="Column11" headerRowDxfId="10426" dataDxfId="10425"/>
    <tableColumn id="12" xr3:uid="{4FFE3767-EA10-4DC7-B555-599EF380A524}" name="Column12" headerRowDxfId="10424" dataDxfId="10423"/>
    <tableColumn id="13" xr3:uid="{C4FB8469-E1AE-472C-9BDD-C0E9C840FC9F}" name="Column13" headerRowDxfId="10422" dataDxfId="10421"/>
    <tableColumn id="14" xr3:uid="{63978BA7-7186-4459-944C-598EC4ADFD02}" name="Column14" headerRowDxfId="10420" dataDxfId="10419"/>
    <tableColumn id="15" xr3:uid="{8364E94D-92FA-4DFD-96ED-685C3DD89BD0}" name="Column15" headerRowDxfId="10418" dataDxfId="10417"/>
    <tableColumn id="16" xr3:uid="{4BFA373E-8B84-4A04-973D-3EF0338F9E37}" name="Column16" headerRowDxfId="10416" dataDxfId="10415"/>
    <tableColumn id="17" xr3:uid="{7BE8886D-2C42-4346-8013-6816F22AD900}" name="Column17" headerRowDxfId="10414" dataDxfId="10413"/>
    <tableColumn id="18" xr3:uid="{3BB627DE-A147-4488-9F06-5E6AE0D3ABF0}" name="Column18" headerRowDxfId="10412" dataDxfId="10411"/>
    <tableColumn id="19" xr3:uid="{A4C0803B-E45D-4241-8731-8B63FD53C664}" name="Column19" headerRowDxfId="10410" dataDxfId="10409"/>
    <tableColumn id="20" xr3:uid="{119CFAB4-F9E1-49AF-8688-E2529CD5DD63}" name="Column20" headerRowDxfId="10408" dataDxfId="10407"/>
  </tableColumns>
  <tableStyleInfo name="TableStyleMedium2" showFirstColumn="0" showLastColumn="0" showRowStripes="1"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0" xr:uid="{98A73FE6-4C99-414B-9751-38067746BF1D}" name="Table301377491833890947363419301" displayName="Table301377491833890947363419301" ref="B91:S100" headerRowCount="0" totalsRowShown="0" headerRowDxfId="10406" dataDxfId="10405" tableBorderDxfId="10404">
  <tableColumns count="18">
    <tableColumn id="2" xr3:uid="{C3DDFC25-985F-4145-8586-9E4D43CD782A}" name="Column2" headerRowDxfId="10403" dataDxfId="10402"/>
    <tableColumn id="3" xr3:uid="{BAF5FAA9-CD79-4734-AFD8-1E16F33548BD}" name="Column3" headerRowDxfId="10401" dataDxfId="10400"/>
    <tableColumn id="4" xr3:uid="{36E69600-2829-4CBC-BAAE-2F88280CC1DF}" name="Column4" headerRowDxfId="10399" dataDxfId="10398"/>
    <tableColumn id="5" xr3:uid="{7D90BCAE-A293-43FE-AB03-837E497E5B5A}" name="Column5" headerRowDxfId="10397" dataDxfId="10396"/>
    <tableColumn id="6" xr3:uid="{533D3BBF-C777-4EE5-9518-65AFCE4943D4}" name="Column6" headerRowDxfId="10395" dataDxfId="10394"/>
    <tableColumn id="7" xr3:uid="{1A8A9F7D-25C9-4179-B7D2-5119871D2B3D}" name="Column7" headerRowDxfId="10393" dataDxfId="10392"/>
    <tableColumn id="8" xr3:uid="{CDF9D472-FC29-4559-98CD-32D29E0A8BE6}" name="Column8" headerRowDxfId="10391" dataDxfId="10390"/>
    <tableColumn id="9" xr3:uid="{EDBD793C-E34C-49ED-AB36-16A01E242574}" name="Column9" headerRowDxfId="10389" dataDxfId="10388"/>
    <tableColumn id="10" xr3:uid="{4521468F-07A6-4D0E-BD9F-C7B44EEC7C83}" name="Column10" headerRowDxfId="10387" dataDxfId="10386"/>
    <tableColumn id="11" xr3:uid="{E1300A1F-AA83-4C39-A710-CF7AF7074C2D}" name="Column11" headerRowDxfId="10385" dataDxfId="10384"/>
    <tableColumn id="12" xr3:uid="{0FF7C76F-19A6-4D6D-B35A-E28C48740E89}" name="Column12" headerRowDxfId="10383" dataDxfId="10382"/>
    <tableColumn id="13" xr3:uid="{7E2027C0-1074-4E68-88B0-36C25E5EEE9D}" name="Column13" headerRowDxfId="10381" dataDxfId="10380"/>
    <tableColumn id="14" xr3:uid="{9F85EB1A-1AD9-4F5E-8664-D3786440A3CE}" name="Column14" headerRowDxfId="10379" dataDxfId="10378"/>
    <tableColumn id="15" xr3:uid="{C436FFD0-AD30-4F6D-9C49-6FC28AE1587E}" name="Column15" headerRowDxfId="10377" dataDxfId="10376"/>
    <tableColumn id="16" xr3:uid="{6559C3A1-4A5A-41D9-AC4F-3277828042DC}" name="Column16" headerRowDxfId="10375" dataDxfId="10374"/>
    <tableColumn id="17" xr3:uid="{7B5A4023-2EEF-400F-9452-20550BF3F751}" name="Column17" headerRowDxfId="10373" dataDxfId="10372"/>
    <tableColumn id="18" xr3:uid="{7811E5D7-8677-472D-A577-3AE54F1486F5}" name="Column18" headerRowDxfId="10371" dataDxfId="10370"/>
    <tableColumn id="19" xr3:uid="{3748AEEB-77E3-4BC0-BB23-044A37F7C602}" name="Column19" headerRowDxfId="10369" dataDxfId="10368"/>
  </tableColumns>
  <tableStyleInfo name="TableStyleMedium2" showFirstColumn="0" showLastColumn="0" showRowStripes="1"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1" xr:uid="{02A7DAE8-FC50-4B3B-839A-001EF56AA30A}" name="Table302378492834891948364420302" displayName="Table302378492834891948364420302" ref="B102:P109" headerRowCount="0" totalsRowShown="0" headerRowDxfId="10367" dataDxfId="10366" tableBorderDxfId="10365">
  <tableColumns count="15">
    <tableColumn id="2" xr3:uid="{D7497599-564B-4FB3-A43B-00A51F5623FA}" name="Column2" headerRowDxfId="10364" dataDxfId="10363"/>
    <tableColumn id="3" xr3:uid="{5B98AEBC-EC96-44B9-99E1-2F3F7AC522DC}" name="Column3" headerRowDxfId="10362" dataDxfId="10361"/>
    <tableColumn id="4" xr3:uid="{C4286D16-EDAF-4324-B480-3E942CE9F03F}" name="Column4" headerRowDxfId="10360" dataDxfId="10359"/>
    <tableColumn id="5" xr3:uid="{7A10F559-3110-4567-9393-96DA4F70FD3C}" name="Column5" headerRowDxfId="10358" dataDxfId="10357"/>
    <tableColumn id="6" xr3:uid="{5D3FAF0F-F310-4664-B89B-70C2CB9AF785}" name="Column6" headerRowDxfId="10356" dataDxfId="10355"/>
    <tableColumn id="7" xr3:uid="{3DBA93F0-BA34-4708-AA22-D03466ED4622}" name="Column7" headerRowDxfId="10354" dataDxfId="10353"/>
    <tableColumn id="8" xr3:uid="{F935E690-B0B6-43BD-BDA5-E1715E167CEF}" name="Column8" headerRowDxfId="10352" dataDxfId="10351"/>
    <tableColumn id="9" xr3:uid="{89C840C1-3144-487D-A36B-A7F3FCC265FE}" name="Column9" headerRowDxfId="10350" dataDxfId="10349"/>
    <tableColumn id="10" xr3:uid="{24B7DDBB-4CC4-4E35-B5D7-7850DA7B9B78}" name="Column10" headerRowDxfId="10348" dataDxfId="10347"/>
    <tableColumn id="11" xr3:uid="{D722F973-C279-4A0D-9138-BDCB35554B11}" name="Column11" headerRowDxfId="10346" dataDxfId="10345"/>
    <tableColumn id="12" xr3:uid="{5050B1BD-C9FB-4DF9-857A-0421BE148ECE}" name="Column12" headerRowDxfId="10344" dataDxfId="10343"/>
    <tableColumn id="13" xr3:uid="{471F09BF-1026-40B6-B437-F9506D7507D3}" name="Column13" headerRowDxfId="10342" dataDxfId="10341"/>
    <tableColumn id="14" xr3:uid="{7B5AE1AA-F639-4C4A-876D-F05423E23FCE}" name="Column14" headerRowDxfId="10340" dataDxfId="10339"/>
    <tableColumn id="15" xr3:uid="{D74617CF-082D-49FE-852C-0C2C9BE52B31}" name="Column15" headerRowDxfId="10338" dataDxfId="10337"/>
    <tableColumn id="16" xr3:uid="{1DDCEF77-ED4C-41AD-8BF6-1E1274EBF97B}" name="Column16" headerRowDxfId="10336" dataDxfId="10335"/>
  </tableColumns>
  <tableStyleInfo name="TableStyleMedium2" showFirstColumn="0" showLastColumn="0" showRowStripes="1"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2" xr:uid="{5F675B5B-61D0-4AA7-B3D3-75B61A05D355}" name="Table303379493835892949365421303" displayName="Table303379493835892949365421303" ref="Q102:Q107" headerRowCount="0" totalsRowShown="0" headerRowDxfId="10334" dataDxfId="10333" tableBorderDxfId="10332">
  <tableColumns count="1">
    <tableColumn id="1" xr3:uid="{690D8456-91C1-472C-902A-FEF59C633010}" name="Column1" headerRowDxfId="10331" dataDxfId="10330"/>
  </tableColumns>
  <tableStyleInfo name="TableStyleMedium2" showFirstColumn="0" showLastColumn="0" showRowStripes="1"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3" xr:uid="{F1637987-2A73-45A1-8650-CF8C390D0374}" name="Table304380494836893950366422304" displayName="Table304380494836893950366422304" ref="R102:R103" headerRowCount="0" totalsRowShown="0" headerRowDxfId="10329" dataDxfId="10328" tableBorderDxfId="10327">
  <tableColumns count="1">
    <tableColumn id="1" xr3:uid="{6B9ABEDD-38A1-434D-895A-8AC7ACA44FC6}" name="Column1" headerRowDxfId="10326" dataDxfId="10325"/>
  </tableColumns>
  <tableStyleInfo name="TableStyleMedium2" showFirstColumn="0" showLastColumn="0" showRowStripes="1"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4" xr:uid="{54C950E5-90CD-4A53-9D65-CC1E3F917533}" name="Table305381495837894951367423305" displayName="Table305381495837894951367423305" ref="R104:R105" headerRowCount="0" totalsRowShown="0" headerRowDxfId="10324" dataDxfId="10323" tableBorderDxfId="10322">
  <tableColumns count="1">
    <tableColumn id="1" xr3:uid="{E27F6098-4FDC-40A3-8D67-46BDB1C0C452}" name="Column1" headerRowDxfId="10321" dataDxfId="10320">
      <calculatedColumnFormula>IF(COUNTIF(B91:B93,"*"&amp;"sling"&amp;"*"),RANDBETWEEN(6,13)&amp;" Sling Bullets"," ")</calculatedColumnFormula>
    </tableColumn>
  </tableColumns>
  <tableStyleInfo name="TableStyleMedium2" showFirstColumn="0" showLastColumn="0" showRowStripes="1"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5" xr:uid="{8F6109DC-7652-4670-9084-B9BD4DFFCF41}" name="Table306382496838895952368424306" displayName="Table306382496838895952368424306" ref="R106:R107" headerRowCount="0" totalsRowShown="0" headerRowDxfId="10319" dataDxfId="10318" tableBorderDxfId="10317">
  <tableColumns count="1">
    <tableColumn id="1" xr3:uid="{FD7EFACF-0546-4979-929A-427600C49B29}" name="Column1" headerRowDxfId="10316" dataDxfId="10315">
      <calculatedColumnFormula>IF(COUNTIF(B91:B93,"*"&amp;"longbow"&amp;"*"),RANDBETWEEN(10,24)&amp;" Arrows",IF(COUNTIF(B91:B93,"*"&amp;"shortbow"&amp;"*"),RANDBETWEEN(10,24)&amp;" Arrows",IF(COUNTIF(B91:B93,"*"&amp;"light crossbow"&amp;"*"),RANDBETWEEN(10,24)&amp;" Bolts",IF(COUNTIF(B91:B93,"*"&amp;"hand crossbow"&amp;"*"),RANDBETWEEN(10,24)&amp;" Bolts",IF(COUNTIF(B91:B93,"*"&amp;"heavy crossbow"&amp;"*"),RANDBETWEEN(10,24)&amp;" Bolts"," ")))))</calculatedColumnFormula>
    </tableColumn>
  </tableColumns>
  <tableStyleInfo name="TableStyleMedium2" showFirstColumn="0" showLastColumn="0" showRowStripes="1" showColumnStripes="0"/>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6" xr:uid="{91D764B9-4959-4DFE-90F4-883FF31DC4B6}" name="Table4832644078283989661369307" displayName="Table4832644078283989661369307" ref="B113:R116" headerRowCount="0" totalsRowShown="0" headerRowDxfId="10314" dataDxfId="10313">
  <tableColumns count="17">
    <tableColumn id="2" xr3:uid="{1DD4CE84-7510-4400-AFE3-28273F667ADA}" name="Column1" headerRowDxfId="10312" dataDxfId="10311"/>
    <tableColumn id="3" xr3:uid="{96957AB1-6059-4FC3-9399-E8B21EE97643}" name="Column2" headerRowDxfId="10310" dataDxfId="10309"/>
    <tableColumn id="4" xr3:uid="{DBA1A9A4-10A9-41FF-9DC1-EBD46A7CDB81}" name="Column3" headerRowDxfId="10308" dataDxfId="10307"/>
    <tableColumn id="5" xr3:uid="{24309CDF-7813-426D-A9BB-C86A79C3D384}" name="Column4" headerRowDxfId="10306" dataDxfId="10305"/>
    <tableColumn id="6" xr3:uid="{53CC2081-76DF-4747-83E8-010DAF221013}" name="Column5" headerRowDxfId="10304" dataDxfId="10303"/>
    <tableColumn id="7" xr3:uid="{D2522331-8DB5-465E-B57A-FC4262B70ACD}" name="Column6" headerRowDxfId="10302" dataDxfId="10301"/>
    <tableColumn id="8" xr3:uid="{40E0B036-FE80-4C55-ACB8-DDB741F663D3}" name="Column7" headerRowDxfId="10300" dataDxfId="10299"/>
    <tableColumn id="9" xr3:uid="{1BA65703-410C-4F1C-9416-6A31CEB94B62}" name="Column8" headerRowDxfId="10298" dataDxfId="10297"/>
    <tableColumn id="10" xr3:uid="{90C8DE85-486E-4ADA-8ABF-A2B6213CA9BA}" name="Column9" headerRowDxfId="10296" dataDxfId="10295"/>
    <tableColumn id="11" xr3:uid="{9A84998D-CC5E-441F-87C5-BC3061305089}" name="Column10" headerRowDxfId="10294" dataDxfId="10293"/>
    <tableColumn id="12" xr3:uid="{C43320A8-7B56-4E36-9EB8-869DE1531794}" name="Column11" headerRowDxfId="10292" dataDxfId="10291"/>
    <tableColumn id="13" xr3:uid="{CF5DBA7B-B2A1-423D-BA86-1847142B2262}" name="Column12" headerRowDxfId="10290" dataDxfId="10289"/>
    <tableColumn id="14" xr3:uid="{B11A674B-D39C-430D-865A-3D14C4AE07BC}" name="Column13" headerRowDxfId="10288" dataDxfId="10287"/>
    <tableColumn id="15" xr3:uid="{5F066B6F-EEC1-4BCA-ABBC-7CAB4F326D76}" name="Cantrip" headerRowDxfId="10286" dataDxfId="10285"/>
    <tableColumn id="16" xr3:uid="{A3EE1755-9F8D-4F3A-8F44-00A2427C7B43}" name="1st Level" headerRowDxfId="10284" dataDxfId="10283"/>
    <tableColumn id="17" xr3:uid="{07DDABE7-6568-4365-AFC7-10DDD183B2FA}" name="2nd Level" headerRowDxfId="10282" dataDxfId="10281"/>
    <tableColumn id="1" xr3:uid="{1141AE4B-60C2-433C-81B1-7C6530909A23}" name="Column14" headerRowDxfId="10280" dataDxfId="10279"/>
  </tableColumns>
  <tableStyleInfo name="TableStyleMedium2" showFirstColumn="0" showLastColumn="0" showRowStripes="1" showColumnStripes="0"/>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7" xr:uid="{EEFFAC23-EE7E-4DBA-8615-89A2D659F2DE}" name="Table4932744178384089762370358" displayName="Table4932744178384089762370358" ref="B120:T129" headerRowCount="0" headerRowDxfId="10278" dataDxfId="10277" totalsRowDxfId="10276">
  <tableColumns count="19">
    <tableColumn id="2" xr3:uid="{89075E6B-0B91-4123-840C-B7C6996AE484}" name="Column1" headerRowDxfId="10275" dataDxfId="10274"/>
    <tableColumn id="3" xr3:uid="{08B7F59F-4C8A-441F-B608-575ABE7D0250}" name="Column2" headerRowDxfId="10273" dataDxfId="10272" totalsRowDxfId="10271"/>
    <tableColumn id="4" xr3:uid="{8EF78463-D8AE-449F-BF33-014BEF84D7AE}" name="Column3" headerRowDxfId="10270" dataDxfId="10269" totalsRowDxfId="10268"/>
    <tableColumn id="5" xr3:uid="{784F5D9A-9E89-42D3-93C3-CD242EDD9FD6}" name="Column4" headerRowDxfId="10267" dataDxfId="10266" totalsRowDxfId="10265"/>
    <tableColumn id="6" xr3:uid="{712C6118-2327-4B14-A1F4-4AA63670FC05}" name="Column5" headerRowDxfId="10264" dataDxfId="10263" totalsRowDxfId="10262"/>
    <tableColumn id="7" xr3:uid="{2D93BC92-C3EB-40CF-BDD9-A1C438B333BB}" name="Column6" headerRowDxfId="10261" dataDxfId="10260" totalsRowDxfId="10259"/>
    <tableColumn id="8" xr3:uid="{B41954F7-D8B7-4180-8782-1EE6EB24CAD4}" name="Column7" headerRowDxfId="10258" dataDxfId="10257" totalsRowDxfId="10256"/>
    <tableColumn id="9" xr3:uid="{449AFBDB-DCE9-4CA3-AE37-54721D534CF3}" name="Column8" headerRowDxfId="10255" dataDxfId="10254" totalsRowDxfId="10253"/>
    <tableColumn id="10" xr3:uid="{6C34BD1C-8659-4F1D-86F1-E4E2CBBD83DF}" name="Column9" headerRowDxfId="10252" dataDxfId="10251" totalsRowDxfId="10250"/>
    <tableColumn id="11" xr3:uid="{36324350-E24B-4782-95F4-B8C0AB5A3942}" name="Column10" headerRowDxfId="10249" dataDxfId="10248" totalsRowDxfId="10247"/>
    <tableColumn id="12" xr3:uid="{863EF27C-F271-4B7B-BCEE-103A98ABBE52}" name="Column11" headerRowDxfId="10246" dataDxfId="10245" totalsRowDxfId="10244"/>
    <tableColumn id="13" xr3:uid="{C3588F21-6BE5-4263-8607-6210CC798E7B}" name="Column12" headerRowDxfId="10243" dataDxfId="10242" totalsRowDxfId="10241"/>
    <tableColumn id="14" xr3:uid="{FE38F7D6-944D-424E-9FA2-EDD93DE8BAA3}" name="Column13" headerRowDxfId="10240" dataDxfId="10239" totalsRowDxfId="10238"/>
    <tableColumn id="15" xr3:uid="{046ACB19-83BD-42E2-8420-8C9F470FF423}" name="Cantrip" headerRowDxfId="10237" dataDxfId="10236"/>
    <tableColumn id="16" xr3:uid="{1E6CBFE9-CFBB-42F1-8332-A94132E91D8D}" name="1st Level" headerRowDxfId="10235" dataDxfId="10234"/>
    <tableColumn id="17" xr3:uid="{689213E1-CF28-4018-B8F3-2DA566934BD2}" name="2nd Level" headerRowDxfId="10233" dataDxfId="10232"/>
    <tableColumn id="18" xr3:uid="{1AE39386-8171-4978-89C6-29BE6F141A8D}" name="3rd Level" headerRowDxfId="10231" dataDxfId="10230"/>
    <tableColumn id="19" xr3:uid="{EB926560-172E-435F-A3DC-FE7F15091961}" name="4th Level" headerRowDxfId="10229" dataDxfId="10228"/>
    <tableColumn id="1" xr3:uid="{C0B2C949-EBBE-4488-BBA7-3E5D3799F218}" name="Column14" headerRowDxfId="10227" dataDxfId="10226" totalsRowDxfId="10225"/>
  </tableColumns>
  <tableStyleInfo name="TableStyleMedium2" showFirstColumn="0" showLastColumn="0" showRowStripes="1" showColumnStripes="0"/>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4" xr:uid="{21B409AA-254A-485D-84BB-7EC029C270B1}" name="Table62328442784841898268371425" displayName="Table62328442784841898268371425" ref="B171:T202" headerRowCount="0" headerRowDxfId="10224" dataDxfId="10223" totalsRowDxfId="10221" tableBorderDxfId="10222">
  <tableColumns count="19">
    <tableColumn id="2" xr3:uid="{1EBB6DDC-4690-4C51-B84C-4400DC6785D8}" name="Column2" headerRowDxfId="10220" dataDxfId="10219" totalsRowDxfId="10218"/>
    <tableColumn id="3" xr3:uid="{694B1760-DBC8-43D1-BCA4-75DF40D069F3}" name="Column3" headerRowDxfId="10217" dataDxfId="10216" totalsRowDxfId="10215"/>
    <tableColumn id="4" xr3:uid="{D9B02BB2-0C17-491B-B4D0-30C63F9B3AD5}" name="Column4" headerRowDxfId="10214" dataDxfId="10213" totalsRowDxfId="10212"/>
    <tableColumn id="5" xr3:uid="{78245D98-2928-4B55-BFAB-1E31879B7250}" name="Column5" headerRowDxfId="10211" dataDxfId="10210" totalsRowDxfId="10209"/>
    <tableColumn id="6" xr3:uid="{04086DA4-CE2F-4C02-8751-19E9A1235ADE}" name="Column6" headerRowDxfId="10208" dataDxfId="10207" totalsRowDxfId="10206"/>
    <tableColumn id="7" xr3:uid="{415D06E8-D456-438E-97AA-0ECEFD03CD84}" name="Column7" headerRowDxfId="10205" dataDxfId="10204" totalsRowDxfId="10203"/>
    <tableColumn id="8" xr3:uid="{D9A0157F-E822-4B94-ACB6-688834E26D51}" name="Column8" headerRowDxfId="10202" dataDxfId="10201" totalsRowDxfId="10200"/>
    <tableColumn id="9" xr3:uid="{531B8BD3-F8A3-429D-9C20-C0C4FB96C35F}" name="Column9" headerRowDxfId="10199" dataDxfId="10198" totalsRowDxfId="10197"/>
    <tableColumn id="10" xr3:uid="{E80D0E4F-E87A-4ED4-96FF-C2B9514289C3}" name="Column10" headerRowDxfId="10196" dataDxfId="10195" totalsRowDxfId="10194"/>
    <tableColumn id="11" xr3:uid="{15ECBE20-11FB-48C8-AC0F-939804FFDF4D}" name="Column11" headerRowDxfId="10193" dataDxfId="10192" totalsRowDxfId="10191"/>
    <tableColumn id="12" xr3:uid="{8E1294D3-126A-4B67-8AF2-91F3BBA118D2}" name="Column12" headerRowDxfId="10190" dataDxfId="10189" totalsRowDxfId="10188"/>
    <tableColumn id="13" xr3:uid="{197F52C8-DDFE-4E01-8694-915DBCD5F038}" name="Column13" headerRowDxfId="10187" dataDxfId="10186" totalsRowDxfId="10185"/>
    <tableColumn id="14" xr3:uid="{9C51C40F-B6CD-4384-922D-9AD6BA3C62FD}" name="Column14" headerRowDxfId="10184" dataDxfId="10183" totalsRowDxfId="10182"/>
    <tableColumn id="15" xr3:uid="{70CCA3AB-EAC7-43DA-AC67-F602A38B4C04}" name="Column15" headerRowDxfId="10181" dataDxfId="10180" totalsRowDxfId="10179"/>
    <tableColumn id="16" xr3:uid="{3CB7189D-0AA7-4A7A-90CD-C3EBC3E7DD5D}" name="Column16" headerRowDxfId="10178" dataDxfId="10177" totalsRowDxfId="10176"/>
    <tableColumn id="17" xr3:uid="{5C5AFC54-76CB-49CF-8DF7-4920FEFD5BA6}" name="Column17" headerRowDxfId="10175" dataDxfId="10174" totalsRowDxfId="10173"/>
    <tableColumn id="18" xr3:uid="{56A8DE77-7865-4EBB-B1F8-F80A071706A3}" name="Column18" headerRowDxfId="10172" dataDxfId="10171" totalsRowDxfId="10170"/>
    <tableColumn id="19" xr3:uid="{A28426F6-EA30-4B0E-BF17-D13093969D04}" name="Column19" headerRowDxfId="10169" dataDxfId="10168" totalsRowDxfId="10167"/>
    <tableColumn id="1" xr3:uid="{0F622645-41D0-46E0-A707-945A3175D61E}" name="Column1" headerRowDxfId="10166" dataDxfId="10165" totalsRowDxfId="10164"/>
  </tableColumns>
  <tableStyleInfo name="TableStyleMedium2" showFirstColumn="0" showLastColumn="0" showRowStripes="1" showColumnStripes="0"/>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5" xr:uid="{E7C99B67-76A9-48A5-9ACB-2F97208BDA6F}" name="Table64329443785842899270372426" displayName="Table64329443785842899270372426" ref="B307:T324" headerRowCount="0" totalsRowShown="0" headerRowDxfId="10163" dataDxfId="10162">
  <tableColumns count="19">
    <tableColumn id="2" xr3:uid="{9534F38B-59D8-47D1-ACF7-83EBCD14C8ED}" name="Column2" headerRowDxfId="10161" dataDxfId="10160"/>
    <tableColumn id="3" xr3:uid="{58391365-1FB8-4D54-85DA-1A1F7B18B2BE}" name="Column3" headerRowDxfId="10159" dataDxfId="10158"/>
    <tableColumn id="4" xr3:uid="{41AF9D40-954B-46DE-B417-D3B0453B3CC8}" name="Column4" headerRowDxfId="10157" dataDxfId="10156"/>
    <tableColumn id="5" xr3:uid="{B562ED25-B069-4C13-A4EF-A3AE81B6A9CD}" name="Column5" headerRowDxfId="10155" dataDxfId="10154"/>
    <tableColumn id="6" xr3:uid="{D3E3EE77-35DC-44B4-9A82-4763B5CC3BF2}" name="Column6" headerRowDxfId="10153" dataDxfId="10152"/>
    <tableColumn id="7" xr3:uid="{CB2D62D9-15EB-4749-A9ED-BD7E5ABF1FBF}" name="Column7" headerRowDxfId="10151" dataDxfId="10150"/>
    <tableColumn id="8" xr3:uid="{8A4E28B0-ED06-45DA-9F0A-15E70A82D71E}" name="Column8" headerRowDxfId="10149" dataDxfId="10148"/>
    <tableColumn id="9" xr3:uid="{1A8331EB-28D5-4CDB-B360-66E980918130}" name="Column9" headerRowDxfId="10147" dataDxfId="10146"/>
    <tableColumn id="10" xr3:uid="{36DDAB86-F6F8-41D5-9530-225796F6DA1F}" name="Column10" headerRowDxfId="10145" dataDxfId="10144"/>
    <tableColumn id="11" xr3:uid="{5A89A827-2AEE-4D65-8E96-B8CF209CF80D}" name="Column11" headerRowDxfId="10143" dataDxfId="10142"/>
    <tableColumn id="12" xr3:uid="{25BA9837-B6FC-459F-8278-F4EA84C7F4D1}" name="Column12" headerRowDxfId="10141" dataDxfId="10140"/>
    <tableColumn id="13" xr3:uid="{16780892-C32E-4D80-9760-E4AC70F39020}" name="Column13" headerRowDxfId="10139" dataDxfId="10138"/>
    <tableColumn id="14" xr3:uid="{82A26DEB-DD2F-4A66-8053-D9EE2EC078AD}" name="Column14" headerRowDxfId="10137" dataDxfId="10136"/>
    <tableColumn id="15" xr3:uid="{6D22BCC6-FFCD-4D20-B5E5-150CBA1513AC}" name="Column15" headerRowDxfId="10135" dataDxfId="10134"/>
    <tableColumn id="16" xr3:uid="{8CC08BBD-1854-4195-A60C-8BC0B9FD77E3}" name="Column16" headerRowDxfId="10133" dataDxfId="10132">
      <calculatedColumnFormula>IF($Q$324&gt;=O322,INDEX('Spell Tables'!$T$242:$T$271,MATCH(O322,('Spell Tables'!$R$242:$R$271),0))," ")</calculatedColumnFormula>
    </tableColumn>
    <tableColumn id="17" xr3:uid="{98981542-BB8D-4235-9194-403D11BCA9DC}" name="Column17" headerRowDxfId="10131" dataDxfId="10130">
      <calculatedColumnFormula>IF($R$324&gt;=O322,INDEX('Spell Tables'!$X$242:$X$275,MATCH(O322,('Spell Tables'!$V$242:$V$275),0))," ")</calculatedColumnFormula>
    </tableColumn>
    <tableColumn id="18" xr3:uid="{E484F803-F40D-413F-8BAF-7185D7A8D1F2}" name="Column18" headerRowDxfId="10129" dataDxfId="10128"/>
    <tableColumn id="19" xr3:uid="{840DF6F6-308F-4873-9A28-9D703B960EF1}" name="Column19" headerRowDxfId="10127" dataDxfId="10126"/>
    <tableColumn id="20" xr3:uid="{875F2DE7-2995-4AB2-AE6A-B14BDA9D2BB5}" name="Column20" headerRowDxfId="10125" dataDxfId="10124">
      <calculatedColumnFormula>IF($S$309&gt;=O307,INDEX('Spell Tables'!$AF$242:$AF$264,MATCH(O307,('Spell Tables'!$AD$242:$AD$264),0)),IF(AND($Q$11="wizard",$S$312&gt;=O307),INDEX('Spell Tables'!$AF$242:$AF$264,MATCH(O307,('Spell Tables'!$AD$242:$AD$264),0))," "))</calculatedColumnFormula>
    </tableColumn>
  </tableColumns>
  <tableStyleInfo name="TableStyleMedium2" showFirstColumn="0" showLastColumn="0" showRowStripes="1" showColumnStripes="0"/>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6" xr:uid="{E1AE0939-25D3-4D5E-8F67-BA83371C984D}" name="Table4967330444786843900309373427" displayName="Table4967330444786843900309373427" ref="B146:T155" headerRowCount="0" headerRowDxfId="10123" dataDxfId="10122" totalsRowDxfId="10121">
  <tableColumns count="19">
    <tableColumn id="2" xr3:uid="{1F0684D8-B8C7-4BB0-9E32-9C877D604F9B}" name="Column1" headerRowDxfId="10120" dataDxfId="10119" totalsRowDxfId="10118"/>
    <tableColumn id="3" xr3:uid="{92E1F803-CC68-45A3-A0B9-34803FE4DAEF}" name="Column2" headerRowDxfId="10117" dataDxfId="10116" totalsRowDxfId="10115"/>
    <tableColumn id="4" xr3:uid="{D039A8DB-3220-42D2-9ED2-436ACA110C6C}" name="Column3" headerRowDxfId="10114" dataDxfId="10113" totalsRowDxfId="10112"/>
    <tableColumn id="5" xr3:uid="{64C17503-F8FB-4EA6-AA38-CCDC4DCCD8DC}" name="Column4" headerRowDxfId="10111" dataDxfId="10110" totalsRowDxfId="10109"/>
    <tableColumn id="6" xr3:uid="{E1FB59D0-71CE-4721-B559-CA40B6D4587A}" name="Column5" headerRowDxfId="10108" dataDxfId="10107" totalsRowDxfId="10106"/>
    <tableColumn id="7" xr3:uid="{2B1D0620-B205-4109-92DC-8F4A26B5E1EE}" name="Column6" headerRowDxfId="10105" dataDxfId="10104" totalsRowDxfId="10103"/>
    <tableColumn id="8" xr3:uid="{A0F8D5DF-E615-4D07-94C0-9DCF39989D8C}" name="Column7" headerRowDxfId="10102" dataDxfId="10101" totalsRowDxfId="10100"/>
    <tableColumn id="9" xr3:uid="{1F5C667C-AC67-41D7-9E9E-9B912F0F1A60}" name="Column8" headerRowDxfId="10099" dataDxfId="10098" totalsRowDxfId="10097"/>
    <tableColumn id="10" xr3:uid="{7663A027-70AB-4402-B2E1-5DCD410C85A1}" name="Column9" headerRowDxfId="10096" dataDxfId="10095" totalsRowDxfId="10094"/>
    <tableColumn id="11" xr3:uid="{BEFFAB94-03DC-4A4F-B641-1E05263A2322}" name="Column10" headerRowDxfId="10093" dataDxfId="10092" totalsRowDxfId="10091"/>
    <tableColumn id="12" xr3:uid="{695D69B8-852B-4FE1-9D29-FA5869288682}" name="Column11" headerRowDxfId="10090" dataDxfId="10089" totalsRowDxfId="10088"/>
    <tableColumn id="13" xr3:uid="{864D6FB4-4478-401F-9A38-2451F0738E67}" name="Column12" headerRowDxfId="10087" dataDxfId="10086" totalsRowDxfId="10085"/>
    <tableColumn id="14" xr3:uid="{453EB8C9-9F08-4BE0-A68D-6526C8F52014}" name="Column13" headerRowDxfId="10084" dataDxfId="10083" totalsRowDxfId="10082"/>
    <tableColumn id="15" xr3:uid="{AD4DBA5E-961E-45AA-AFEC-156AA20D0E6B}" name="Cantrip" headerRowDxfId="10081" dataDxfId="10080" totalsRowDxfId="10079"/>
    <tableColumn id="16" xr3:uid="{2FEAF8F2-D807-404E-9215-56BE90D5F428}" name="1st Level" headerRowDxfId="10078" dataDxfId="10077" totalsRowDxfId="10076"/>
    <tableColumn id="17" xr3:uid="{94A39C18-5B37-4E34-AA75-02108306BDA1}" name="2nd Level" totalsRowFunction="custom" headerRowDxfId="10075" dataDxfId="10074" totalsRowDxfId="10073">
      <totalsRowFormula>IF(R15="way of the shadow","Silence"," ")</totalsRowFormula>
    </tableColumn>
    <tableColumn id="18" xr3:uid="{63054554-9CA1-4C3F-84DE-CAD29DE0F0EC}" name="3rd Level" headerRowDxfId="10072" dataDxfId="10071" totalsRowDxfId="10070"/>
    <tableColumn id="19" xr3:uid="{4B4157B4-F9DB-4FA8-9421-42837DEB0644}" name="4th Level" headerRowDxfId="10069" dataDxfId="10068" totalsRowDxfId="10067"/>
    <tableColumn id="1" xr3:uid="{FC484E8B-0DAA-4C4A-8AD1-0065C6F17120}" name="Column14" headerRowDxfId="10066" dataDxfId="10065" totalsRowDxfId="10064"/>
  </tableColumns>
  <tableStyleInfo name="TableStyleMedium2" showFirstColumn="0" showLastColumn="0" showRowStripes="1" showColumnStripes="0"/>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7" xr:uid="{4C274E1C-AD79-4E98-B2AC-DB93FA1E22EE}" name="Table69331445787844901310374428" displayName="Table69331445787844901310374428" ref="BN26:BS43" headerRowCount="0" totalsRowShown="0" headerRowDxfId="10063" dataDxfId="10062">
  <tableColumns count="6">
    <tableColumn id="1" xr3:uid="{ECC919A8-F131-4896-AD12-D53807A581E8}" name="Column1" headerRowDxfId="10061" dataDxfId="10060">
      <calculatedColumnFormula>_xlfn.RANK.EQ(BO26,$BO$26:$BO$43)</calculatedColumnFormula>
    </tableColumn>
    <tableColumn id="2" xr3:uid="{E7596A41-E4F2-4A76-91C0-89339C22CB5C}" name="Column2" headerRowDxfId="10059" dataDxfId="10058"/>
    <tableColumn id="3" xr3:uid="{CB7AA9B9-4A7A-4EC0-AD4A-4A25D020B8AF}" name="Column3" headerRowDxfId="10057" dataDxfId="10056">
      <calculatedColumnFormula>IF(OR(BM6&gt;=1,AV6&gt;=1),AH6," ")</calculatedColumnFormula>
    </tableColumn>
    <tableColumn id="4" xr3:uid="{2D7CBD4B-D743-4C65-B593-29075EECE4C3}" name="Column4" headerRowDxfId="10055" dataDxfId="10054"/>
    <tableColumn id="5" xr3:uid="{1F595A2E-B2A1-4376-A7F4-0F29A4869323}" name="Column5" headerRowDxfId="10053" dataDxfId="10052">
      <calculatedColumnFormula>_xlfn.RANK.EQ(BS26,$BS$26:$BS$43)</calculatedColumnFormula>
    </tableColumn>
    <tableColumn id="6" xr3:uid="{C2E63113-38F9-4057-B0D9-B471C35AF123}" name="Column6" headerRowDxfId="10051" dataDxfId="10050">
      <calculatedColumnFormula>IF(BO26=0,RAND(),0)</calculatedColumnFormula>
    </tableColumn>
  </tableColumns>
  <tableStyleInfo name="TableStyleMedium2" showFirstColumn="0" showLastColumn="0" showRowStripes="1" showColumnStripes="0"/>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8" xr:uid="{C39C621A-5FF6-4B3E-A18F-AF4BFCA602D4}" name="Table70332446788845902311375429" displayName="Table70332446788845902311375429" ref="BU26:BZ29" headerRowCount="0" totalsRowShown="0" headerRowDxfId="10049" dataDxfId="10048">
  <tableColumns count="6">
    <tableColumn id="1" xr3:uid="{E07A991E-FACC-4AD7-BB8C-EC4AEA5A8501}" name="Column1" headerRowDxfId="10047" dataDxfId="10046">
      <calculatedColumnFormula>_xlfn.RANK.EQ(BV26,$BV$26:$BV$29)</calculatedColumnFormula>
    </tableColumn>
    <tableColumn id="2" xr3:uid="{3DA48115-2890-4574-B587-6C7CCC7E9C7E}" name="Column2" headerRowDxfId="10045" dataDxfId="10044"/>
    <tableColumn id="3" xr3:uid="{73A5B0B3-2C45-4D89-815F-826153D2AB91}" name="Column3" headerRowDxfId="10043" dataDxfId="10042"/>
    <tableColumn id="4" xr3:uid="{E0B40DC4-583A-4C9F-A1E8-924EDD54D546}" name="Column4" headerRowDxfId="10041" dataDxfId="10040"/>
    <tableColumn id="5" xr3:uid="{B3CB8B31-AD1B-4E29-B5F1-F153B5D91BE2}" name="Column5" headerRowDxfId="10039" dataDxfId="10038">
      <calculatedColumnFormula>_xlfn.RANK.EQ(BZ26,$BZ$26:$BZ$29)</calculatedColumnFormula>
    </tableColumn>
    <tableColumn id="6" xr3:uid="{FBD4F8D8-C1A8-4931-9135-14F458BB6B0A}" name="Column6" headerRowDxfId="10037" dataDxfId="10036">
      <calculatedColumnFormula>IF(BV26=0,RAND(),0)</calculatedColumnFormula>
    </tableColumn>
  </tableColumns>
  <tableStyleInfo name="TableStyleMedium2" showFirstColumn="0" showLastColumn="0" showRowStripes="1" showColumnStripes="0"/>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9" xr:uid="{F4E2C5C8-09F7-4118-BDCF-1686988ABA25}" name="Table72333447789846903312376430" displayName="Table72333447789846903312376430" ref="BU30:BZ32" headerRowCount="0" totalsRowShown="0" headerRowDxfId="10035" dataDxfId="10034">
  <tableColumns count="6">
    <tableColumn id="1" xr3:uid="{4F88A16D-DA63-4E21-9AEF-B31C4344A814}" name="Column1" headerRowDxfId="10033" dataDxfId="10032">
      <calculatedColumnFormula>_xlfn.RANK.EQ(BV30,$BV$30:$BV$32)</calculatedColumnFormula>
    </tableColumn>
    <tableColumn id="2" xr3:uid="{AB1FF5AD-0EDB-439B-B756-F6872ACCC96A}" name="Column2" headerRowDxfId="10031" dataDxfId="10030"/>
    <tableColumn id="3" xr3:uid="{DA5B5D5A-9BCD-4985-ACAA-FFA1475F480E}" name="Column3" headerRowDxfId="10029" dataDxfId="10028"/>
    <tableColumn id="4" xr3:uid="{D5D9C48B-8D6F-43C1-A0CF-0BB918A0EFF3}" name="Column4" headerRowDxfId="10027" dataDxfId="10026"/>
    <tableColumn id="5" xr3:uid="{B4D33885-4725-4C9E-BA63-D22FE4778EE9}" name="Column5" headerRowDxfId="10025" dataDxfId="10024">
      <calculatedColumnFormula>_xlfn.RANK.EQ(BZ30,$BZ$30:$BZ$32)</calculatedColumnFormula>
    </tableColumn>
    <tableColumn id="6" xr3:uid="{72169F7E-0902-4D4F-84FE-B6A41EB59F65}" name="Column6" headerRowDxfId="10023" dataDxfId="10022">
      <calculatedColumnFormula>IF(BV30=0,RAND(),0)</calculatedColumnFormula>
    </tableColumn>
  </tableColumns>
  <tableStyleInfo name="TableStyleMedium2" showFirstColumn="0" showLastColumn="0" showRowStripes="1" showColumnStripes="0"/>
</table>
</file>

<file path=xl/tables/table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0" xr:uid="{0B3607B1-8B96-4CED-9C84-F62035E5491D}" name="Table60334448790847904313377431" displayName="Table60334448790847904313377431" ref="B240:T271" headerRowCount="0" totalsRowShown="0" headerRowDxfId="10021" dataDxfId="10020" tableBorderDxfId="10019">
  <tableColumns count="19">
    <tableColumn id="3" xr3:uid="{6F2F2F57-8D9F-4DF5-81DB-0B8931BDA971}" name="Column3" headerRowDxfId="10018" dataDxfId="10017"/>
    <tableColumn id="4" xr3:uid="{CB15C342-9331-42C5-9BEC-C95861B79736}" name="Column4" headerRowDxfId="10016" dataDxfId="10015"/>
    <tableColumn id="5" xr3:uid="{106C3EEC-CDCC-407E-BF95-791BAF202E73}" name="Column5" headerRowDxfId="10014" dataDxfId="10013"/>
    <tableColumn id="6" xr3:uid="{4A851377-069C-45FF-B7A7-5837DC127547}" name="Column6" headerRowDxfId="10012" dataDxfId="10011"/>
    <tableColumn id="7" xr3:uid="{FFCEE6D7-BBDA-4B84-BB07-05BC30ABEE0F}" name="Column7" headerRowDxfId="10010" dataDxfId="10009"/>
    <tableColumn id="8" xr3:uid="{BD3986A9-C285-4CB6-9564-8DBC4F9F8F44}" name="Column8" headerRowDxfId="10008" dataDxfId="10007"/>
    <tableColumn id="9" xr3:uid="{05096649-DBF0-487E-9772-C4AB4727F183}" name="Column9" headerRowDxfId="10006" dataDxfId="10005"/>
    <tableColumn id="10" xr3:uid="{76BFBCE0-8937-4A25-866D-3A9D292A079B}" name="Column10" headerRowDxfId="10004" dataDxfId="10003"/>
    <tableColumn id="11" xr3:uid="{799207A8-5853-4C97-A37B-EBF6C5E236A7}" name="Column11" headerRowDxfId="10002" dataDxfId="10001"/>
    <tableColumn id="12" xr3:uid="{7783B646-6C21-46C4-B69E-0A4504184267}" name="Column12" headerRowDxfId="10000" dataDxfId="9999"/>
    <tableColumn id="13" xr3:uid="{651E8D6E-854B-411C-9558-88C840A6855E}" name="Column13" headerRowDxfId="9998" dataDxfId="9997"/>
    <tableColumn id="14" xr3:uid="{74FAB270-6B57-47A2-A863-57CCDD1EE3CF}" name="Column14" headerRowDxfId="9996" dataDxfId="9995"/>
    <tableColumn id="15" xr3:uid="{D75E0475-8EC2-46BB-83ED-78DB6E1EA44A}" name="Column15" headerRowDxfId="9994" dataDxfId="9993"/>
    <tableColumn id="2" xr3:uid="{BC3B2BA6-BC46-4D8D-96A3-8BD25A7C65EC}" name="Column2" headerRowDxfId="9992" dataDxfId="9991"/>
    <tableColumn id="16" xr3:uid="{21597983-D961-41BA-8B21-B361BA235858}" name="Column16" headerRowDxfId="9990" dataDxfId="9989"/>
    <tableColumn id="17" xr3:uid="{E5DDACEC-2CBB-4132-ACAB-67576400E1A4}" name="Column17" headerRowDxfId="9988" dataDxfId="9987"/>
    <tableColumn id="18" xr3:uid="{B41E69D1-0A7A-4C48-92A3-322A89132422}" name="Column18" headerRowDxfId="9986" dataDxfId="9985"/>
    <tableColumn id="19" xr3:uid="{24D9A669-1CFC-4970-B0B9-DF15FEE46A88}" name="Column19" headerRowDxfId="9984" dataDxfId="9983"/>
    <tableColumn id="20" xr3:uid="{A8A47D18-1F3C-4970-8809-3E40F046B199}" name="Column20" headerRowDxfId="9982" dataDxfId="9981">
      <calculatedColumnFormula>IF(AND($Q$15="Otherworldly patron - great old one",T$244&gt;=O171),INDEX('Spell Tables'!$AF$226:$AF$231,MATCH(O171,('Spell Tables'!$AD$226:$AD$231),0)),IF(AND($Q$15="Otherworldly patron - fiend",T$244&gt;=O171),INDEX('Spell Tables'!$AF$210:$AF$215,MATCH(O171,('Spell Tables'!$AD$210:$AD$215),0)),IF(AND($Q$15="Otherworldly patron - archfey",T$244&gt;=O171),INDEX('Spell Tables'!$AF$194:$AF$199,MATCH(O171,('Spell Tables'!$AD$194:$AD$199),0)),IF($T$242&gt;=O171,INDEX($AL$80:$AL$89,MATCH(O171,($AJ$80:$AJ$89),0)),IF($T$246&gt;=O171,INDEX('Spell Tables'!$AF$168:$AF$177,MATCH(O171,('Spell Tables'!$AD$168:$AD$177),0)),IF($T$248&gt;=O171,INDEX('Spell Tables'!$AR$141:$AR$144,MATCH(O171,('Spell Tables'!$AP$141:$AP$144),0)),IF($T$250&gt;=O171,INDEX('Spell Tables'!$AB$119:$AB$123,MATCH(O171,('Spell Tables'!$Z$119:$Z$123),0)),IF($T$252&gt;=O171,INDEX('Spell Tables'!$AB$97:$AB$102,MATCH(O171,('Spell Tables'!$Z$97:$Z$102),0)),IF($T$254&gt;=O171,INDEX('Spell Tables'!$AR$70:$AR$75,MATCH(O171,('Spell Tables'!$AP$70:$AP$75),0)),IF($T$256&gt;=O171,INDEX('Spell Tables'!$AF$48:$AF$63,MATCH(O171,('Spell Tables'!$AD$48:$AD$63),0)),IF($T$258&gt;=O171,INDEX('Spell Tables'!$AF$26:$AF$33,MATCH(O171,('Spell Tables'!$AD$26:$AD$33),0)),IF($T$260&gt;=O171,INDEX('Spell Tables'!$AF$2:$AF$9,MATCH(O171,('Spell Tables'!$AD$2:$AD$9),0))," "))))))))))))</calculatedColumnFormula>
    </tableColumn>
  </tableColumns>
  <tableStyleInfo name="TableStyleMedium2" showFirstColumn="0" showLastColumn="0" showRowStripes="1" showColumnStripes="0"/>
</table>
</file>

<file path=xl/tables/table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1" xr:uid="{48DBCAAE-D1C6-438D-90D3-8B0BE593D96B}" name="Table200335449791848905314378432" displayName="Table200335449791848905314378432" ref="AJ43:AL53" headerRowCount="0" totalsRowShown="0" headerRowDxfId="9980" dataDxfId="9979">
  <tableColumns count="3">
    <tableColumn id="1" xr3:uid="{FE02149B-749A-403E-9E09-9CB1FB49B1DD}" name="Column1" headerRowDxfId="9978" dataDxfId="9977"/>
    <tableColumn id="2" xr3:uid="{5BF3439E-7FF6-48B9-A106-745D6111CE1F}" name="Column2" headerRowDxfId="9976" dataDxfId="9975">
      <calculatedColumnFormula>RAND()</calculatedColumnFormula>
    </tableColumn>
    <tableColumn id="3" xr3:uid="{3EB6AF3F-BE14-4F67-B836-80DA7FEA63AB}" name="Column3" headerRowDxfId="9974" dataDxfId="9973">
      <calculatedColumnFormula>AN12</calculatedColumnFormula>
    </tableColumn>
  </tableColumns>
  <tableStyleInfo name="TableStyleMedium2" showFirstColumn="0" showLastColumn="0" showRowStripes="1" showColumnStripes="0"/>
</table>
</file>

<file path=xl/tables/table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2" xr:uid="{78170409-1FAD-4442-9547-FDBCF17224E7}" name="Table201336450792849906315379433" displayName="Table201336450792849906315379433" ref="AJ55:AL65" headerRowCount="0" totalsRowShown="0" headerRowDxfId="9972" dataDxfId="9971">
  <tableColumns count="3">
    <tableColumn id="1" xr3:uid="{EEE66F3F-07FD-4423-8E6A-77640F7E9A31}" name="Column1" headerRowDxfId="9970" dataDxfId="9969">
      <calculatedColumnFormula>_xlfn.RANK.EQ(AK56,$L$308:$L$320)</calculatedColumnFormula>
    </tableColumn>
    <tableColumn id="2" xr3:uid="{69874A4D-8069-4BB6-8D24-A4C93993FC10}" name="Column2" headerRowDxfId="9968" dataDxfId="9967">
      <calculatedColumnFormula>IF(AL56=" ", 0,RAND())</calculatedColumnFormula>
    </tableColumn>
    <tableColumn id="3" xr3:uid="{CDFC002A-3509-40B8-AA9F-D658BD6B07C7}" name="Column3" headerRowDxfId="9966" dataDxfId="9965">
      <calculatedColumnFormula>AO12</calculatedColumnFormula>
    </tableColumn>
  </tableColumns>
  <tableStyleInfo name="TableStyleMedium2" showFirstColumn="0" showLastColumn="0" showRowStripes="1" showColumnStripes="0"/>
</table>
</file>

<file path=xl/tables/table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3" xr:uid="{B30DE9F0-7ED8-4BD7-BBFC-8378558DE4B4}" name="Table202337451793850907320380434" displayName="Table202337451793850907320380434" ref="AJ67:AL77" headerRowCount="0" totalsRowShown="0" headerRowDxfId="9964" dataDxfId="9963">
  <tableColumns count="3">
    <tableColumn id="1" xr3:uid="{F9CC46E2-57BB-4FB8-84BC-1274AD975311}" name="Column1" headerRowDxfId="9962" dataDxfId="9961"/>
    <tableColumn id="2" xr3:uid="{C43AB8C4-25CC-4BD2-9C68-528D2A9EDD3C}" name="Column2" headerRowDxfId="9960" dataDxfId="9959">
      <calculatedColumnFormula>IF(AL68=" ", 0,RAND())</calculatedColumnFormula>
    </tableColumn>
    <tableColumn id="3" xr3:uid="{32EF7F49-D577-40BB-ADF3-D0EA3FF24D02}" name="Column3" headerRowDxfId="9958" dataDxfId="9957">
      <calculatedColumnFormula>AP12</calculatedColumnFormula>
    </tableColumn>
  </tableColumns>
  <tableStyleInfo name="TableStyleMedium2" showFirstColumn="0" showLastColumn="0" showRowStripes="1" showColumnStripes="0"/>
</table>
</file>

<file path=xl/tables/table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4" xr:uid="{24270446-7239-400E-A2D2-F74A2C57B003}" name="Table203338452794851908321381435" displayName="Table203338452794851908321381435" ref="AJ79:AL89" headerRowCount="0" totalsRowShown="0" headerRowDxfId="9956" dataDxfId="9955">
  <tableColumns count="3">
    <tableColumn id="1" xr3:uid="{6B149781-79B4-47F4-A3F4-8A7C802071EE}" name="Column1" headerRowDxfId="9954" dataDxfId="9953"/>
    <tableColumn id="2" xr3:uid="{73652CB4-18F7-42AD-A954-12AE44B00A65}" name="Column2" headerRowDxfId="9952" dataDxfId="9951"/>
    <tableColumn id="3" xr3:uid="{1C1DE2B8-EFDE-4E5A-943C-0B074E77E824}" name="Column3" headerRowDxfId="9950" dataDxfId="9949"/>
  </tableColumns>
  <tableStyleInfo name="TableStyleMedium2" showFirstColumn="0" showLastColumn="0" showRowStripes="1" showColumnStripes="0"/>
</table>
</file>

<file path=xl/tables/table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5" xr:uid="{A0911A7A-E7E9-4125-80A3-2A57D7B0ABA6}" name="Table204339453795852909322382436" displayName="Table204339453795852909322382436" ref="AJ91:AL101" headerRowCount="0" totalsRowShown="0" headerRowDxfId="9948" dataDxfId="9947">
  <tableColumns count="3">
    <tableColumn id="1" xr3:uid="{CAA15C87-7622-4EC3-A674-9839CC2F071C}" name="Column1" headerRowDxfId="9946" dataDxfId="9945"/>
    <tableColumn id="2" xr3:uid="{59B9BA57-B0DF-4B99-8D65-F53AA4C51C21}" name="Column2" headerRowDxfId="9944" dataDxfId="9943"/>
    <tableColumn id="3" xr3:uid="{E1DC64C6-6403-4E75-8361-9C1CC4E15CD9}" name="Column3" headerRowDxfId="9942" dataDxfId="9941"/>
  </tableColumns>
  <tableStyleInfo name="TableStyleMedium2" showFirstColumn="0" showLastColumn="0" showRowStripes="1" showColumnStripes="0"/>
</table>
</file>

<file path=xl/tables/table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6" xr:uid="{72CF912F-6974-476A-9F1F-BDE654D7B67C}" name="Table205340454796853910326383437" displayName="Table205340454796853910326383437" ref="AJ103:AL113" headerRowCount="0" totalsRowShown="0" headerRowDxfId="9940" dataDxfId="9939">
  <tableColumns count="3">
    <tableColumn id="1" xr3:uid="{4B4EBA8E-1B33-4659-A204-BECE660F7552}" name="Column1" headerRowDxfId="9938" dataDxfId="9937"/>
    <tableColumn id="2" xr3:uid="{6CEDBBEC-55AF-4C4D-A1A1-E13E2906E2FE}" name="Column2" headerRowDxfId="9936" dataDxfId="9935"/>
    <tableColumn id="3" xr3:uid="{17A4F2DF-8A9C-4760-9892-595ABEDCFF47}" name="Column3" headerRowDxfId="9934" dataDxfId="9933"/>
  </tableColumns>
  <tableStyleInfo name="TableStyleMedium2" showFirstColumn="0" showLastColumn="0" showRowStripes="1" showColumnStripes="0"/>
</table>
</file>

<file path=xl/tables/table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7" xr:uid="{B2C12670-F681-476E-8288-B47294A829D1}" name="Table206341455797854911327384438" displayName="Table206341455797854911327384438" ref="AJ115:AL125" headerRowCount="0" totalsRowShown="0" headerRowDxfId="9932" dataDxfId="9931">
  <tableColumns count="3">
    <tableColumn id="1" xr3:uid="{496E724E-33B4-48D7-8EDA-41DD5EAB866A}" name="Column1" headerRowDxfId="9930" dataDxfId="9929"/>
    <tableColumn id="2" xr3:uid="{BB7DAD44-68E4-4C55-89C0-0AB64FE7F252}" name="Column2" headerRowDxfId="9928" dataDxfId="9927"/>
    <tableColumn id="3" xr3:uid="{5681B6F2-3564-4971-B7E4-1F3AA5CEE4A4}" name="Column3" headerRowDxfId="9926" dataDxfId="9925"/>
  </tableColumns>
  <tableStyleInfo name="TableStyleMedium2" showFirstColumn="0" showLastColumn="0" showRowStripes="1" showColumnStripes="0"/>
</table>
</file>

<file path=xl/tables/table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8" xr:uid="{0F74C85D-C222-42A5-8741-76B4DCC0CC8D}" name="Table207342456798855912328385439" displayName="Table207342456798855912328385439" ref="AJ127:AL137" headerRowCount="0" totalsRowShown="0" headerRowDxfId="9924" dataDxfId="9923">
  <tableColumns count="3">
    <tableColumn id="1" xr3:uid="{034E0AB7-B017-4535-8A21-7DA1146C7C61}" name="Column1" headerRowDxfId="9922" dataDxfId="9921"/>
    <tableColumn id="2" xr3:uid="{54A1D6A3-A26F-4DF8-BC26-E4E6B7211FDC}" name="Column2" headerRowDxfId="9920" dataDxfId="9919"/>
    <tableColumn id="3" xr3:uid="{3DEE2A98-19A0-4FF3-8425-D4A9369B762A}" name="Column3" headerRowDxfId="9918" dataDxfId="9917"/>
  </tableColumns>
  <tableStyleInfo name="TableStyleMedium2" showFirstColumn="0" showLastColumn="0" showRowStripes="1" showColumnStripes="0"/>
</table>
</file>

<file path=xl/tables/table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9" xr:uid="{BF089CDD-3A31-4F8F-A70D-A1ABEFEF7D8E}" name="Table208343457799856913329386440" displayName="Table208343457799856913329386440" ref="AJ139:AL149" headerRowCount="0" totalsRowShown="0" headerRowDxfId="9916" dataDxfId="9915">
  <tableColumns count="3">
    <tableColumn id="1" xr3:uid="{8FD81044-2A13-4FEB-8617-005AC393724A}" name="Column1" headerRowDxfId="9914" dataDxfId="9913"/>
    <tableColumn id="2" xr3:uid="{5C822E11-8829-4992-85E8-993A01B03D5E}" name="Column2" headerRowDxfId="9912" dataDxfId="9911"/>
    <tableColumn id="3" xr3:uid="{16FD0459-F4F4-4E63-A4A5-A8395AD977D8}" name="Column3" headerRowDxfId="9910" dataDxfId="9909"/>
  </tableColumns>
  <tableStyleInfo name="TableStyleMedium2" showFirstColumn="0" showLastColumn="0" showRowStripes="1" showColumnStripes="0"/>
</table>
</file>

<file path=xl/tables/table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0" xr:uid="{7321DBF8-05CC-4525-B6C8-6B0680243F33}" name="Table219344458800857914330387441" displayName="Table219344458800857914330387441" ref="AJ151:AL161" headerRowCount="0" totalsRowShown="0" headerRowDxfId="9908" dataDxfId="9907">
  <tableColumns count="3">
    <tableColumn id="1" xr3:uid="{31B7692C-2645-476F-A621-F7F9909C7D61}" name="Column1" headerRowDxfId="9906" dataDxfId="9905"/>
    <tableColumn id="2" xr3:uid="{43B33487-110A-40C6-B290-D460A1AE6D4F}" name="Column2" headerRowDxfId="9904" dataDxfId="9903"/>
    <tableColumn id="5" xr3:uid="{220EC316-8F31-4E27-ACD0-087682273E8E}" name="Column3" headerRowDxfId="9902" dataDxfId="9901"/>
  </tableColumns>
  <tableStyleInfo name="TableStyleMedium2" showFirstColumn="0" showLastColumn="0" showRowStripes="1" showColumnStripes="0"/>
</table>
</file>

<file path=xl/tables/table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1" xr:uid="{EDAC0F13-A500-4608-954F-EEC4D588E2EA}" name="Table220345459801858915331388442" displayName="Table220345459801858915331388442" ref="AJ163:AL173" headerRowCount="0" totalsRowShown="0" headerRowDxfId="9900" dataDxfId="9899">
  <tableColumns count="3">
    <tableColumn id="1" xr3:uid="{8128E604-C659-4B36-8CF3-0300116DB5CD}" name="Column1" headerRowDxfId="9898" dataDxfId="9897"/>
    <tableColumn id="2" xr3:uid="{C2B72A5F-DA7B-4D64-B526-DE50E7924181}" name="Column2" headerRowDxfId="9896" dataDxfId="9895"/>
    <tableColumn id="3" xr3:uid="{36622B74-301E-4C81-A193-4F7F5CE1D671}" name="Column3" headerRowDxfId="9894" dataDxfId="9893"/>
  </tableColumns>
  <tableStyleInfo name="TableStyleMedium2" showFirstColumn="0" showLastColumn="0" showRowStripes="1" showColumnStripes="0"/>
</table>
</file>

<file path=xl/tables/table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2" xr:uid="{9263F667-939B-4BCE-83C1-ECA22DF5ED75}" name="Table222346460802859916332389443" displayName="Table222346460802859916332389443" ref="AJ175:AL185" headerRowCount="0" totalsRowShown="0" headerRowDxfId="9892" dataDxfId="9891">
  <tableColumns count="3">
    <tableColumn id="1" xr3:uid="{8B5B0A9F-0B2D-4048-A893-D34DFFE7F02A}" name="Column1" headerRowDxfId="9890" dataDxfId="9889"/>
    <tableColumn id="2" xr3:uid="{94D04A56-9402-42D9-9CC2-24F1E85CEAA4}" name="Column2" headerRowDxfId="9888" dataDxfId="9887"/>
    <tableColumn id="3" xr3:uid="{0EBA565F-201F-4284-AA24-E350A645CAD4}" name="Column3" headerRowDxfId="9886" dataDxfId="9885"/>
  </tableColumns>
  <tableStyleInfo name="TableStyleMedium2" showFirstColumn="0" showLastColumn="0" showRowStripes="1" showColumnStripes="0"/>
</table>
</file>

<file path=xl/tables/table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3" xr:uid="{260CD2E3-2869-4DCC-B370-DCA0C7B40A26}" name="Table250347461803860917333390444" displayName="Table250347461803860917333390444" ref="AJ187:AL197" headerRowCount="0" totalsRowShown="0" headerRowDxfId="9884" dataDxfId="9883">
  <tableColumns count="3">
    <tableColumn id="1" xr3:uid="{EFCF0397-CB8C-413C-9304-2E757BB1E8C0}" name="Column1" headerRowDxfId="9882" dataDxfId="9881"/>
    <tableColumn id="2" xr3:uid="{CCDE1D1B-673A-4BE3-831F-0FD5322A2495}" name="Column2" headerRowDxfId="9880" dataDxfId="9879"/>
    <tableColumn id="3" xr3:uid="{4B52E51D-CC26-4AA6-8B69-E47129FC1F1C}" name="Column3" headerRowDxfId="9878" dataDxfId="9877"/>
  </tableColumns>
  <tableStyleInfo name="TableStyleMedium2" showFirstColumn="0" showLastColumn="0" showRowStripes="1" showColumnStripes="0"/>
</table>
</file>

<file path=xl/tables/table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4" xr:uid="{607946E9-8435-47EA-902B-6FBC5F300A37}" name="Table39348462804861918334391445" displayName="Table39348462804861918334391445" ref="CB1:CD7" headerRowCount="0" totalsRowShown="0" headerRowDxfId="9876" dataDxfId="9875">
  <tableColumns count="3">
    <tableColumn id="1" xr3:uid="{99EF04F8-577C-4681-B962-38AC3B3954F6}" name="Column1" dataDxfId="9874"/>
    <tableColumn id="2" xr3:uid="{77FC02F2-5246-49E1-9EBB-828E64B65A35}" name="Column2" dataDxfId="9873"/>
    <tableColumn id="3" xr3:uid="{4995CCC5-F7B3-49D6-AA51-555A669EEE10}" name="Column3" headerRowDxfId="9872" dataDxfId="9871"/>
  </tableColumns>
  <tableStyleInfo name="TableStyleMedium2" showFirstColumn="0" showLastColumn="0" showRowStripes="1" showColumnStripes="0"/>
</table>
</file>

<file path=xl/tables/table1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5" xr:uid="{384751D0-EF1D-4999-A60B-8B314C9A9C9D}" name="Table50349463805862919335392446" displayName="Table50349463805862919335392446" ref="CB29:CD34" headerRowCount="0" totalsRowShown="0" headerRowDxfId="9870" dataDxfId="9869">
  <tableColumns count="3">
    <tableColumn id="1" xr3:uid="{CC99ECC3-7922-4811-9B38-AF3E68A94BAB}" name="Column1" headerRowDxfId="9868" dataDxfId="9867"/>
    <tableColumn id="2" xr3:uid="{8245B045-AE2D-499E-B201-B03A7B8555C6}" name="Column2" headerRowDxfId="9866" dataDxfId="9865">
      <calculatedColumnFormula>RAND()</calculatedColumnFormula>
    </tableColumn>
    <tableColumn id="3" xr3:uid="{F674E504-E796-4DEE-B7D7-5EC0C1363BB0}" name="Column3" headerRowDxfId="9864" dataDxfId="9863"/>
  </tableColumns>
  <tableStyleInfo name="TableStyleMedium2" showFirstColumn="0" showLastColumn="0" showRowStripes="1" showColumnStripes="0"/>
</table>
</file>

<file path=xl/tables/table1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6" xr:uid="{D9149992-7995-4E81-9414-87F2EDD477B1}" name="Table51350464806863920336393447" displayName="Table51350464806863920336393447" ref="CB36:CD44" headerRowCount="0" totalsRowShown="0" headerRowDxfId="9862" dataDxfId="9861">
  <tableColumns count="3">
    <tableColumn id="1" xr3:uid="{743C4D7B-3CFC-4200-B07D-353F0B360668}" name="Column1" headerRowDxfId="9860" dataDxfId="9859"/>
    <tableColumn id="2" xr3:uid="{B3B6725A-14B8-445B-9F47-980104D3BF51}" name="Column2" headerRowDxfId="9858" dataDxfId="9857"/>
    <tableColumn id="3" xr3:uid="{61F004E6-562D-4CD5-A19B-6AF0000F8013}" name="Column3" headerRowDxfId="9856" dataDxfId="9855"/>
  </tableColumns>
  <tableStyleInfo name="TableStyleMedium2" showFirstColumn="0" showLastColumn="0" showRowStripes="1" showColumnStripes="0"/>
</table>
</file>

<file path=xl/tables/table1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7" xr:uid="{30438FA0-BACA-4A3B-9ED8-2C5D34E9548E}" name="Table52351465807864921337394448" displayName="Table52351465807864921337394448" ref="CB46:CD54" headerRowCount="0" totalsRowShown="0" headerRowDxfId="9854" dataDxfId="9853">
  <tableColumns count="3">
    <tableColumn id="1" xr3:uid="{2E68575E-7FA6-4400-8D5F-50CC10C4DB55}" name="Column1" headerRowDxfId="9852" dataDxfId="9851"/>
    <tableColumn id="2" xr3:uid="{5A8724EE-433F-4726-BF28-20F3532ED707}" name="Column2" headerRowDxfId="9850" dataDxfId="9849"/>
    <tableColumn id="3" xr3:uid="{091556D8-F9F9-458C-90AE-8FD277BC034D}" name="Column3" headerRowDxfId="9848" dataDxfId="9847"/>
  </tableColumns>
  <tableStyleInfo name="TableStyleMedium2" showFirstColumn="0" showLastColumn="0" showRowStripes="1" showColumnStripes="0"/>
</table>
</file>

<file path=xl/tables/table1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8" xr:uid="{92696FE3-9EAD-4374-BE6F-0DAF1C8866E8}" name="Table53352466808865922338395449" displayName="Table53352466808865922338395449" ref="CB56:CD62" headerRowCount="0" totalsRowShown="0" headerRowDxfId="9846" dataDxfId="9845">
  <tableColumns count="3">
    <tableColumn id="1" xr3:uid="{5847E816-B67A-4493-9B1D-9A073B20DABD}" name="Column1" headerRowDxfId="9844" dataDxfId="9843"/>
    <tableColumn id="2" xr3:uid="{CDC4B44E-AC02-4528-8248-ED4F31D0BF7A}" name="Column2" headerRowDxfId="9842" dataDxfId="9841"/>
    <tableColumn id="3" xr3:uid="{94142514-7F73-4BAD-AADA-6DAD06F0C8F2}" name="Column3" headerRowDxfId="9840" dataDxfId="9839"/>
  </tableColumns>
  <tableStyleInfo name="TableStyleMedium2" showFirstColumn="0" showLastColumn="0" showRowStripes="1" showColumnStripes="0"/>
</table>
</file>

<file path=xl/tables/table1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9" xr:uid="{0267AD02-4BFA-48DC-982B-600B0B239F87}" name="Table54353467809866923339396450" displayName="Table54353467809866923339396450" ref="CB64:CD70" headerRowCount="0" totalsRowShown="0" headerRowDxfId="9838" dataDxfId="9837">
  <tableColumns count="3">
    <tableColumn id="1" xr3:uid="{64CFB19A-F394-4625-AE01-06E67A15D72D}" name="Column1" headerRowDxfId="9836" dataDxfId="9835"/>
    <tableColumn id="2" xr3:uid="{AB93D65D-FE7D-46F1-8FA5-E2177068BA9C}" name="Column2" headerRowDxfId="9834" dataDxfId="9833"/>
    <tableColumn id="3" xr3:uid="{27736C67-D91D-45AA-AE4E-52A1396DBBFD}" name="Column3" headerRowDxfId="9832" dataDxfId="9831"/>
  </tableColumns>
  <tableStyleInfo name="TableStyleMedium2" showFirstColumn="0" showLastColumn="0" showRowStripes="1" showColumnStripes="0"/>
</table>
</file>

<file path=xl/tables/table1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0" xr:uid="{A89DFA54-1213-484A-8140-565FF96ABC3A}" name="Table55354468810867924340397451" displayName="Table55354468810867924340397451" ref="CB72:CD81" headerRowCount="0" totalsRowShown="0" headerRowDxfId="9830" dataDxfId="9829">
  <tableColumns count="3">
    <tableColumn id="1" xr3:uid="{5B59A465-9B39-4755-9C49-93DDD6F6CA4C}" name="Column1" headerRowDxfId="9828" dataDxfId="9827"/>
    <tableColumn id="2" xr3:uid="{345D71B3-56D3-41B5-8F51-7E93C849AF30}" name="Column2" headerRowDxfId="9826" dataDxfId="9825"/>
    <tableColumn id="3" xr3:uid="{C3D873FB-77B4-43C1-BD21-51A379D87242}" name="Column3" headerRowDxfId="9824" dataDxfId="9823"/>
  </tableColumns>
  <tableStyleInfo name="TableStyleMedium2" showFirstColumn="0" showLastColumn="0" showRowStripes="1" showColumnStripes="0"/>
</table>
</file>

<file path=xl/tables/table1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1" xr:uid="{EA127E4D-DF3F-4BD1-8BEC-FC11C4460EB1}" name="Table56355469811868925341398452" displayName="Table56355469811868925341398452" ref="CB83:CD94" headerRowCount="0" totalsRowShown="0" headerRowDxfId="9822" dataDxfId="9821">
  <tableColumns count="3">
    <tableColumn id="1" xr3:uid="{C0499A64-B962-41E5-99BD-CFA81C828EA1}" name="Column1" headerRowDxfId="9820" dataDxfId="9819"/>
    <tableColumn id="2" xr3:uid="{21E89063-8748-44A0-A354-B3D4F0C17C74}" name="Column2" headerRowDxfId="9818" dataDxfId="9817"/>
    <tableColumn id="3" xr3:uid="{66884C23-E739-40D1-A327-76DF9748B315}" name="Column3" headerRowDxfId="9816" dataDxfId="9815"/>
  </tableColumns>
  <tableStyleInfo name="TableStyleMedium2" showFirstColumn="0" showLastColumn="0" showRowStripes="1" showColumnStripes="0"/>
</table>
</file>

<file path=xl/tables/table1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2" xr:uid="{B0E8F3FE-619A-4286-A0F7-60AD62E251BB}" name="Table57356470812869926342399453" displayName="Table57356470812869926342399453" ref="CB96:CD102" headerRowCount="0" totalsRowShown="0" headerRowDxfId="9814" dataDxfId="9813">
  <tableColumns count="3">
    <tableColumn id="1" xr3:uid="{9CCE1B3B-CFB1-4FC6-A969-181EF8816B23}" name="Column1" headerRowDxfId="9812" dataDxfId="9811"/>
    <tableColumn id="2" xr3:uid="{34F1FE73-CBE0-4397-B09E-78FFFC6CC374}" name="Column2" headerRowDxfId="9810" dataDxfId="9809"/>
    <tableColumn id="3" xr3:uid="{4C3B54CF-C7B1-4D3E-B017-D3789EB41EA1}" name="Column3" headerRowDxfId="9808" dataDxfId="9807"/>
  </tableColumns>
  <tableStyleInfo name="TableStyleMedium2" showFirstColumn="0" showLastColumn="0" showRowStripes="1" showColumnStripes="0"/>
</table>
</file>

<file path=xl/tables/table1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3" xr:uid="{B06E1E1E-3760-4419-BE46-8BCB1D39FCA3}" name="Table58357471813870927343400454" displayName="Table58357471813870927343400454" ref="CB104:CD111" headerRowCount="0" totalsRowShown="0" headerRowDxfId="9806" dataDxfId="9805">
  <tableColumns count="3">
    <tableColumn id="1" xr3:uid="{7BD6E95E-5FE3-4CF7-824D-68CE4A432846}" name="Column1" headerRowDxfId="9804" dataDxfId="9803"/>
    <tableColumn id="2" xr3:uid="{7E6A171E-44E1-4E13-A0F1-C158DCD9157E}" name="Column2" headerRowDxfId="9802" dataDxfId="9801"/>
    <tableColumn id="3" xr3:uid="{90D80D17-CDC3-4003-8A82-05DCC7357227}" name="Column3" headerRowDxfId="9800" dataDxfId="9799"/>
  </tableColumns>
  <tableStyleInfo name="TableStyleMedium2" showFirstColumn="0" showLastColumn="0" showRowStripes="1" showColumnStripes="0"/>
</table>
</file>

<file path=xl/tables/table1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4" xr:uid="{22E8386C-7DDE-4F58-A773-1DE315279AD9}" name="Table59358472814871928344401455" displayName="Table59358472814871928344401455" ref="CB113:CD119" headerRowCount="0" totalsRowShown="0" headerRowDxfId="9798" dataDxfId="9797">
  <tableColumns count="3">
    <tableColumn id="1" xr3:uid="{BDA3DC75-C30F-4DB8-8712-D486C97F4322}" name="Column1" headerRowDxfId="9796" dataDxfId="9795"/>
    <tableColumn id="2" xr3:uid="{62124738-1099-44D2-B410-4AD56D5D638F}" name="Column2" headerRowDxfId="9794" dataDxfId="9793"/>
    <tableColumn id="3" xr3:uid="{3F236FD5-E80C-49BA-904C-B9AD0AC87061}" name="Column3" headerRowDxfId="9792" dataDxfId="9791"/>
  </tableColumns>
  <tableStyleInfo name="TableStyleMedium2" showFirstColumn="0" showLastColumn="0" showRowStripes="1" showColumnStripes="0"/>
</table>
</file>

<file path=xl/tables/table1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5" xr:uid="{27CF2EE3-732F-4EC9-A3E9-EE1E7C8EB16C}" name="Table81359473815872929345402456" displayName="Table81359473815872929345402456" ref="CB9:CD27" headerRowCount="0" totalsRowShown="0" headerRowDxfId="9790" dataDxfId="9789">
  <tableColumns count="3">
    <tableColumn id="1" xr3:uid="{36F49CCA-F8E8-41C2-8ED0-26E2EAE24ABB}" name="Column1" headerRowDxfId="9788" dataDxfId="9787"/>
    <tableColumn id="2" xr3:uid="{AF48F4AF-29FF-4A14-BD47-4B514FBEDBDB}" name="Column2" headerRowDxfId="9786" dataDxfId="9785"/>
    <tableColumn id="3" xr3:uid="{B3E67495-7A17-471F-90C9-AFFD2BDC0F6A}" name="Column3" headerRowDxfId="9784" dataDxfId="9783">
      <calculatedColumnFormula>RAND()</calculatedColumnFormula>
    </tableColumn>
  </tableColumns>
  <tableStyleInfo name="TableStyleMedium2" showFirstColumn="0" showLastColumn="0" showRowStripes="1" showColumnStripes="0"/>
</table>
</file>

<file path=xl/tables/table1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6" xr:uid="{85E90C9A-6ED3-487C-9DA0-A152EB7408A5}" name="Table264360474816873930346403457" displayName="Table264360474816873930346403457" ref="B14:B19" headerRowCount="0" totalsRowShown="0" headerRowDxfId="9782" dataDxfId="9781" tableBorderDxfId="9780">
  <tableColumns count="1">
    <tableColumn id="1" xr3:uid="{50155A8E-629E-47E0-A8E5-338CBD831C6A}" name="Column1" headerRowDxfId="9779" dataDxfId="9778"/>
  </tableColumns>
  <tableStyleInfo name="TableStyleMedium2" showFirstColumn="0" showLastColumn="0" showRowStripes="1" showColumnStripes="0"/>
</table>
</file>

<file path=xl/tables/table1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7" xr:uid="{7BCEB6C7-B9A0-4DBB-93CA-86B057DD54AF}" name="Table265361475817874931347404458" displayName="Table265361475817874931347404458" ref="S17:S26" headerRowCount="0" totalsRowShown="0" headerRowDxfId="9777" dataDxfId="9776" tableBorderDxfId="9775">
  <tableColumns count="1">
    <tableColumn id="1" xr3:uid="{6016CE8E-42A7-41B2-A6FA-5C131D48568B}" name="Column1" headerRowDxfId="9774" dataDxfId="9773"/>
  </tableColumns>
  <tableStyleInfo name="TableStyleMedium2" showFirstColumn="0" showLastColumn="0" showRowStripes="1" showColumnStripes="0"/>
</table>
</file>

<file path=xl/tables/table1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8" xr:uid="{43473D36-1AE6-400C-B350-C0BFC82E6364}" name="Table266362476818875932348405459" displayName="Table266362476818875932348405459" ref="O75:O85" headerRowCount="0" totalsRowShown="0" headerRowDxfId="9772" dataDxfId="9771" tableBorderDxfId="9770">
  <tableColumns count="1">
    <tableColumn id="1" xr3:uid="{DB641835-4A7F-4D63-BDBE-32625AB8E6D1}" name="Column1" headerRowDxfId="9769" dataDxfId="9768"/>
  </tableColumns>
  <tableStyleInfo name="TableStyleMedium2" showFirstColumn="0" showLastColumn="0" showRowStripes="1" showColumnStripes="0"/>
</table>
</file>

<file path=xl/tables/table1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9" xr:uid="{20120CC5-A9DF-4B26-863E-90035D14AD79}" name="Table268363477819876933349406460" displayName="Table268363477819876933349406460" ref="O14:O35" headerRowCount="0" totalsRowShown="0" headerRowDxfId="9767" dataDxfId="9766" tableBorderDxfId="9765">
  <tableColumns count="1">
    <tableColumn id="1" xr3:uid="{E60E4077-7ECF-408F-91B2-180F6CDD179F}" name="Column1" headerRowDxfId="9764" dataDxfId="9763"/>
  </tableColumns>
  <tableStyleInfo name="TableStyleMedium2" showFirstColumn="0" showLastColumn="0" showRowStripes="1" showColumnStripes="0"/>
</table>
</file>

<file path=xl/tables/table1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0" xr:uid="{EC3E3703-4CD9-4A02-BDFF-6F2A7624C366}" name="Table271364478820877934350407461" displayName="Table271364478820877934350407461" ref="Q14:Q30" headerRowCount="0" totalsRowShown="0" headerRowDxfId="9762" dataDxfId="9761" tableBorderDxfId="9760">
  <tableColumns count="1">
    <tableColumn id="1" xr3:uid="{2132854C-E605-4AAB-AA1B-84D50E0AAA09}" name="Column1" headerRowDxfId="9759" dataDxfId="9758"/>
  </tableColumns>
  <tableStyleInfo name="TableStyleMedium2" showFirstColumn="0" showLastColumn="0" showRowStripes="1" showColumnStripes="0"/>
</table>
</file>

<file path=xl/tables/table1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1" xr:uid="{33D76461-9CD5-4CF9-9E27-70A6625BA5E2}" name="Table272365479821878935351408462" displayName="Table272365479821878935351408462" ref="S10:S12" headerRowCount="0" totalsRowShown="0" headerRowDxfId="9757" dataDxfId="9756" tableBorderDxfId="9755">
  <tableColumns count="1">
    <tableColumn id="1" xr3:uid="{963E912C-A4DD-49D3-A770-0F58BAF8F816}" name="Column1" headerRowDxfId="9754" dataDxfId="9753"/>
  </tableColumns>
  <tableStyleInfo name="TableStyleMedium2" showFirstColumn="0" showLastColumn="0" showRowStripes="1" showColumnStripes="0"/>
</table>
</file>

<file path=xl/tables/table1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2" xr:uid="{A34C9448-DBF7-42D7-8DBA-84BB15B3BDCD}" name="Table273366480822879936352409463" displayName="Table273366480822879936352409463" ref="S14:S16" headerRowCount="0" totalsRowShown="0" headerRowDxfId="9752" dataDxfId="9751" tableBorderDxfId="9750">
  <tableColumns count="1">
    <tableColumn id="1" xr3:uid="{17F9B1C4-9542-41B3-8977-F5E1073281FD}" name="Column1" headerRowDxfId="9749" dataDxfId="9748"/>
  </tableColumns>
  <tableStyleInfo name="TableStyleMedium2" showFirstColumn="0" showLastColumn="0" showRowStripes="1" showColumnStripes="0"/>
</table>
</file>

<file path=xl/tables/table1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3" xr:uid="{56A4A871-4A69-4B01-8946-F1611D306ADB}" name="Table274367481823880937353410464" displayName="Table274367481823880937353410464" ref="P14:P28" headerRowCount="0" totalsRowShown="0" headerRowDxfId="9747" dataDxfId="9746" tableBorderDxfId="9745">
  <tableColumns count="1">
    <tableColumn id="1" xr3:uid="{DCAC3C88-AF09-4401-9851-707F7FBC4F9F}" name="Column1" headerRowDxfId="9744" dataDxfId="9743"/>
  </tableColumns>
  <tableStyleInfo name="TableStyleMedium2" showFirstColumn="0" showLastColumn="0" showRowStripes="1" showColumnStripes="0"/>
</table>
</file>

<file path=xl/tables/table1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4" xr:uid="{0A503A16-41E2-4E3E-9266-0AEE5024F530}" name="Table275368482824881938354411465" displayName="Table275368482824881938354411465" ref="R14:R26" headerRowCount="0" totalsRowShown="0" headerRowDxfId="9742" dataDxfId="9741" tableBorderDxfId="9740">
  <tableColumns count="1">
    <tableColumn id="1" xr3:uid="{68097D65-0C3F-4F5F-BBC9-8DD94AA89CBC}" name="Column1" headerRowDxfId="9739" dataDxfId="9738"/>
  </tableColumns>
  <tableStyleInfo name="TableStyleMedium2" showFirstColumn="0" showLastColumn="0" showRowStripes="1" showColumnStripes="0"/>
</table>
</file>

<file path=xl/tables/table1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5" xr:uid="{46521BCF-979B-4519-96D4-47B5B90DB75E}" name="Table276369483825882939355412466" displayName="Table276369483825882939355412466" ref="B37:P43" headerRowCount="0" totalsRowShown="0" headerRowDxfId="9737" dataDxfId="9736">
  <tableColumns count="15">
    <tableColumn id="2" xr3:uid="{C48051DA-5DA1-4613-9B06-4658D6E8D9C4}" name="Column2" headerRowDxfId="9735" dataDxfId="9734"/>
    <tableColumn id="3" xr3:uid="{143C8A15-C258-4906-9CD0-C626621EE3B9}" name="Column3" headerRowDxfId="9733" dataDxfId="9732"/>
    <tableColumn id="4" xr3:uid="{6357028C-A25E-4E03-B77F-CC397F7E3210}" name="Column4" headerRowDxfId="9731" dataDxfId="9730"/>
    <tableColumn id="5" xr3:uid="{CFBC3622-7845-4F73-AD31-01B49457C4DA}" name="Column5" headerRowDxfId="9729" dataDxfId="9728"/>
    <tableColumn id="6" xr3:uid="{B92E621A-C2C0-4E15-BAEF-73473A27ABF3}" name="Column6" headerRowDxfId="9727" dataDxfId="9726"/>
    <tableColumn id="7" xr3:uid="{A2DDFB06-5517-4783-B493-93CF55E00AC0}" name="Column7" headerRowDxfId="9725" dataDxfId="9724"/>
    <tableColumn id="8" xr3:uid="{10B7FD3D-3626-43D3-9238-4A56E495F7A7}" name="Column8" headerRowDxfId="9723" dataDxfId="9722"/>
    <tableColumn id="9" xr3:uid="{588C84FD-FE1D-41A7-AA1E-63FF9B586090}" name="Column9" headerRowDxfId="9721" dataDxfId="9720"/>
    <tableColumn id="10" xr3:uid="{40ABA85C-A3E2-4E0A-9789-FD788DBD22CB}" name="Column10" headerRowDxfId="9719" dataDxfId="9718">
      <calculatedColumnFormula>RANDBETWEEN(1,6)</calculatedColumnFormula>
    </tableColumn>
    <tableColumn id="11" xr3:uid="{D1935B06-80BF-4547-A2C0-343EA6A29083}" name="Column11" headerRowDxfId="9717" dataDxfId="9716">
      <calculatedColumnFormula>RANDBETWEEN(1,6)</calculatedColumnFormula>
    </tableColumn>
    <tableColumn id="12" xr3:uid="{B7967B65-B70C-48FD-8EFA-FAA30E796400}" name="Column12" headerRowDxfId="9715" dataDxfId="9714">
      <calculatedColumnFormula>RANDBETWEEN(1,6)</calculatedColumnFormula>
    </tableColumn>
    <tableColumn id="13" xr3:uid="{83A61D35-45FF-44C8-BB79-19902F7E5284}" name="Column13" headerRowDxfId="9713" dataDxfId="9712">
      <calculatedColumnFormula>RANDBETWEEN(1,6)</calculatedColumnFormula>
    </tableColumn>
    <tableColumn id="14" xr3:uid="{81BA2F34-B9D6-4116-8CCC-0E52246766D9}" name="Column14" headerRowDxfId="9711" dataDxfId="9710"/>
    <tableColumn id="15" xr3:uid="{70EA9180-907C-44FE-AC6A-C4207C26070D}" name="Column15" headerRowDxfId="9709" dataDxfId="9708"/>
    <tableColumn id="16" xr3:uid="{2D012A67-C63C-4ABB-B573-CDDA4AE93F0A}" name="Column16" headerRowDxfId="9707" dataDxfId="9706">
      <calculatedColumnFormula>VLOOKUP(O37,Table1[],2)</calculatedColumnFormula>
    </tableColumn>
  </tableColumns>
  <tableStyleInfo name="TableStyleMedium2" showFirstColumn="0" showLastColumn="0" showRowStripes="1" showColumnStripes="0"/>
</table>
</file>

<file path=xl/tables/table1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6" xr:uid="{28F138C4-8F74-4B34-9831-F60916527256}" name="Table277370484826883940356413467" displayName="Table277370484826883940356413467" ref="B45:P51" headerRowCount="0" totalsRowShown="0" headerRowDxfId="9705" dataDxfId="9704" tableBorderDxfId="9703">
  <tableColumns count="15">
    <tableColumn id="2" xr3:uid="{FAC9D520-AA62-412A-9C94-6343F4943E2D}" name="Column2" headerRowDxfId="9702" dataDxfId="9701"/>
    <tableColumn id="3" xr3:uid="{44313A61-925D-4428-997F-AF954AE8820F}" name="Column3" headerRowDxfId="9700" dataDxfId="9699"/>
    <tableColumn id="4" xr3:uid="{C1B875C0-26E9-4FE1-B927-36AB52738A72}" name="Column4" headerRowDxfId="9698" dataDxfId="9697"/>
    <tableColumn id="5" xr3:uid="{95EEE9D8-DBD9-479B-9E0F-A04A8952B25A}" name="Column5" headerRowDxfId="9696" dataDxfId="9695"/>
    <tableColumn id="6" xr3:uid="{F304F6E9-0190-4813-9066-5FCDDDFDC5A9}" name="Column6" headerRowDxfId="9694" dataDxfId="9693"/>
    <tableColumn id="7" xr3:uid="{FA05B664-6153-4CBD-B20D-313D433252AB}" name="Column7" headerRowDxfId="9692" dataDxfId="9691"/>
    <tableColumn id="8" xr3:uid="{6AABF042-1442-4A1C-BAC5-43D09EB282D7}" name="Column8" headerRowDxfId="9690" dataDxfId="9689"/>
    <tableColumn id="9" xr3:uid="{AA3E1EBA-BA40-4CE3-97F7-6EF10574A84C}" name="Column9" headerRowDxfId="9688" dataDxfId="9687"/>
    <tableColumn id="10" xr3:uid="{2651437A-771F-47FA-B1BF-85BFDCF083F8}" name="Column10" headerRowDxfId="9686" dataDxfId="9685"/>
    <tableColumn id="11" xr3:uid="{5188A3AF-9655-4AD2-9D46-EB6FB6F7E6CB}" name="Column11" headerRowDxfId="9684" dataDxfId="9683"/>
    <tableColumn id="12" xr3:uid="{725C54B0-BFE0-42D5-96DB-98F0AE325F79}" name="Column12" headerRowDxfId="9682" dataDxfId="9681"/>
    <tableColumn id="13" xr3:uid="{38BF7623-1CD2-436E-AB57-F1CD65DF4BB1}" name="Column13" headerRowDxfId="9680" dataDxfId="9679"/>
    <tableColumn id="14" xr3:uid="{7D5AD343-7B0B-47C8-B9CF-B8C9F185EA64}" name="Column14" headerRowDxfId="9678" dataDxfId="9677"/>
    <tableColumn id="15" xr3:uid="{10CC2BA0-8CD1-4A9B-90F1-BBA69CC74A87}" name="Column15" headerRowDxfId="9676" dataDxfId="9675"/>
    <tableColumn id="16" xr3:uid="{9A9C3021-CBE2-4597-BDD6-A5D4C9CAE6C6}" name="Column16" headerRowDxfId="9674" dataDxfId="9673">
      <calculatedColumnFormula>IF(O45="x",SUM(P37,$P$8),P37)</calculatedColumnFormula>
    </tableColumn>
  </tableColumns>
  <tableStyleInfo name="TableStyleMedium2" showFirstColumn="0" showLastColumn="0" showRowStripes="1" showColumnStripes="0"/>
</table>
</file>

<file path=xl/tables/table1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7" xr:uid="{2F55EAA1-8CBC-4BC4-ABFC-64C9C1A96999}" name="Table278371485827884941357414468" displayName="Table278371485827884941357414468" ref="O1:Q3" headerRowCount="0" totalsRowShown="0" headerRowDxfId="9672" dataDxfId="9671">
  <tableColumns count="3">
    <tableColumn id="15" xr3:uid="{2F8E8C1E-FB6D-4C2C-ADC3-B3C0CA74332D}" name="Column15" headerRowDxfId="9670" dataDxfId="9669"/>
    <tableColumn id="16" xr3:uid="{08B87253-EEB5-45FF-9B68-C4434544B8D1}" name="Column16" headerRowDxfId="9668" dataDxfId="9667"/>
    <tableColumn id="17" xr3:uid="{A2AEF0E6-BD00-49B0-B79C-19AEC34EFCB0}" name="Column17" headerRowDxfId="9666" dataDxfId="9665"/>
  </tableColumns>
  <tableStyleInfo name="TableStyleMedium2" showFirstColumn="0" showLastColumn="0" showRowStripes="1" showColumnStripes="0"/>
</table>
</file>

<file path=xl/tables/table1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8" xr:uid="{E8B1BAC7-1DF0-4538-815C-C523A3CDE5EB}" name="Table282373487829886943359415469" displayName="Table282373487829886943359415469" ref="B53:P72" headerRowCount="0" totalsRowShown="0" headerRowDxfId="9664" dataDxfId="9663">
  <tableColumns count="15">
    <tableColumn id="2" xr3:uid="{AC01D037-07EE-4682-BEDD-10125EB6B752}" name="Column2" headerRowDxfId="9662" dataDxfId="9661"/>
    <tableColumn id="3" xr3:uid="{95D72024-0226-4775-9951-1BAE2E08EDB4}" name="Column3" headerRowDxfId="9660" dataDxfId="9659"/>
    <tableColumn id="4" xr3:uid="{B38568B1-ABBA-4F06-8307-EBAC7484E417}" name="Column4" headerRowDxfId="9658" dataDxfId="9657"/>
    <tableColumn id="5" xr3:uid="{39BED796-566C-457D-8E32-30E8B6B33A05}" name="Column5" headerRowDxfId="9656" dataDxfId="9655"/>
    <tableColumn id="6" xr3:uid="{AD730015-F73F-47D4-80C4-9A1DF3AC060E}" name="Column6" headerRowDxfId="9654" dataDxfId="9653"/>
    <tableColumn id="7" xr3:uid="{E31530D1-32A7-49EF-B714-67E2E4F41970}" name="Column7" headerRowDxfId="9652" dataDxfId="9651"/>
    <tableColumn id="8" xr3:uid="{9AF03860-6B74-486F-9645-58CC13D507A5}" name="Column8" headerRowDxfId="9650" dataDxfId="9649"/>
    <tableColumn id="9" xr3:uid="{D4113D1D-6549-4CA3-B261-61E838E7E000}" name="Column9" headerRowDxfId="9648" dataDxfId="9647"/>
    <tableColumn id="10" xr3:uid="{38FB1BCC-CF76-4CA6-9D82-402980DCBD5F}" name="Column10" headerRowDxfId="9646" dataDxfId="9645"/>
    <tableColumn id="11" xr3:uid="{2EE36777-AD03-47EA-9FE7-43431D9B085A}" name="Column11" headerRowDxfId="9644" dataDxfId="9643"/>
    <tableColumn id="12" xr3:uid="{98CEA1BF-F0C0-4038-B6C2-0A87A65F10DE}" name="Column12" headerRowDxfId="9642" dataDxfId="9641"/>
    <tableColumn id="13" xr3:uid="{50913632-2F1C-4476-93BB-6059A5E2B4BD}" name="Column13" headerRowDxfId="9640" dataDxfId="9639"/>
    <tableColumn id="14" xr3:uid="{31B17181-0AF8-413F-9E1E-646237FBAFAD}" name="Column14" headerRowDxfId="9638" dataDxfId="9637"/>
    <tableColumn id="15" xr3:uid="{15A1B252-6611-43D3-9565-9AB9DB237E46}" name="Column15" headerRowDxfId="9636" dataDxfId="9635"/>
    <tableColumn id="16" xr3:uid="{10EDE7A8-2630-4265-A78F-14D1D4034424}" name="Column16" headerRowDxfId="9634" dataDxfId="9633"/>
  </tableColumns>
  <tableStyleInfo name="TableStyleMedium2" showFirstColumn="0" showLastColumn="0" showRowStripes="1" showColumnStripes="0"/>
</table>
</file>

<file path=xl/tables/table1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9" xr:uid="{46884971-0496-477A-AC93-9F5EEE7C4E9D}" name="Table283374488830887944360416470" displayName="Table283374488830887944360416470" ref="B75:B79" headerRowCount="0" totalsRowShown="0" headerRowDxfId="9632" dataDxfId="9631" tableBorderDxfId="9630">
  <tableColumns count="1">
    <tableColumn id="1" xr3:uid="{B8549115-DFB2-4C9A-B8BB-83E23D38759F}" name="Column1" headerRowDxfId="9629" dataDxfId="9628"/>
  </tableColumns>
  <tableStyleInfo name="TableStyleMedium2" showFirstColumn="0" showLastColumn="0" showRowStripes="1" showColumnStripes="0"/>
</table>
</file>

<file path=xl/tables/table1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0" xr:uid="{5818B4DF-D428-45CA-A947-EFD3C13A9413}" name="Table293375489831888945361417471" displayName="Table293375489831888945361417471" ref="AO44:AQ59" headerRowCount="0" totalsRowShown="0" headerRowDxfId="9627" dataDxfId="9626">
  <tableColumns count="3">
    <tableColumn id="1" xr3:uid="{D7449CBF-04CB-4BDA-9A55-43D64764C942}" name="Column1" headerRowDxfId="9625" dataDxfId="9624"/>
    <tableColumn id="2" xr3:uid="{1937AF0A-68D2-4381-B0A8-40AA0BA2B114}" name="Column2" headerRowDxfId="9623" dataDxfId="9622">
      <calculatedColumnFormula>IF(#REF!=" ", 0,RAND())</calculatedColumnFormula>
    </tableColumn>
    <tableColumn id="3" xr3:uid="{F8CCB650-D253-4204-9A85-A87389FEA5CA}" name="Column3" headerRowDxfId="9621" dataDxfId="9620">
      <calculatedColumnFormula>O28</calculatedColumnFormula>
    </tableColumn>
  </tableColumns>
  <tableStyleInfo name="TableStyleMedium2" showFirstColumn="0" showLastColumn="0" showRowStripes="1" showColumnStripes="0"/>
</table>
</file>

<file path=xl/tables/table1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3" xr:uid="{5137E60C-928C-4121-963F-1717F7579523}" name="Table302378492834891948364420474" displayName="Table302378492834891948364420474" ref="B102:P109" headerRowCount="0" totalsRowShown="0" headerRowDxfId="9619" dataDxfId="9618" tableBorderDxfId="9617">
  <tableColumns count="15">
    <tableColumn id="2" xr3:uid="{79677C18-0678-4CB5-B00B-4021BFB559E3}" name="Column2" headerRowDxfId="9616" dataDxfId="9615"/>
    <tableColumn id="3" xr3:uid="{A7DAFE93-45C7-490D-83B5-41488C9CD97F}" name="Column3" headerRowDxfId="9614" dataDxfId="9613"/>
    <tableColumn id="4" xr3:uid="{84FE643A-EEF8-49A9-A253-906124FFB689}" name="Column4" headerRowDxfId="9612" dataDxfId="9611"/>
    <tableColumn id="5" xr3:uid="{4DA315CE-B46C-428A-AE1A-02FB3B5060DA}" name="Column5" headerRowDxfId="9610" dataDxfId="9609"/>
    <tableColumn id="6" xr3:uid="{19D63829-7C9F-471B-9D7D-C8F7FB0F26E7}" name="Column6" headerRowDxfId="9608" dataDxfId="9607"/>
    <tableColumn id="7" xr3:uid="{E95A9D97-4E05-4B19-B8CD-B0E97D34565A}" name="Column7" headerRowDxfId="9606" dataDxfId="9605"/>
    <tableColumn id="8" xr3:uid="{96F79C73-6EB6-49BC-B6D3-44D7717BC5F7}" name="Column8" headerRowDxfId="9604" dataDxfId="9603"/>
    <tableColumn id="9" xr3:uid="{96F5EC1B-DB29-4250-BD93-29E2F59BBA55}" name="Column9" headerRowDxfId="9602" dataDxfId="9601"/>
    <tableColumn id="10" xr3:uid="{14B8120C-5500-448B-BF3D-04DE69FDF5B5}" name="Column10" headerRowDxfId="9600" dataDxfId="9599"/>
    <tableColumn id="11" xr3:uid="{829E77E9-A009-43A2-B3A0-11A676F90358}" name="Column11" headerRowDxfId="9598" dataDxfId="9597"/>
    <tableColumn id="12" xr3:uid="{AF625B10-3F74-4FCB-963F-7EDBB0706096}" name="Column12" headerRowDxfId="9596" dataDxfId="9595"/>
    <tableColumn id="13" xr3:uid="{625E9265-4501-414C-8A2E-D0444EA2B3FA}" name="Column13" headerRowDxfId="9594" dataDxfId="9593"/>
    <tableColumn id="14" xr3:uid="{A9E28F5C-DFDC-4BA3-9F5F-456CB44F3F70}" name="Column14" headerRowDxfId="9592" dataDxfId="9591"/>
    <tableColumn id="15" xr3:uid="{358C48FB-2391-43FD-A715-8187E865A190}" name="Column15" headerRowDxfId="9590" dataDxfId="9589"/>
    <tableColumn id="16" xr3:uid="{66857F3B-AAD4-4380-92EC-2EAD8CB1EE68}" name="Column16" headerRowDxfId="9588" dataDxfId="9587"/>
  </tableColumns>
  <tableStyleInfo name="TableStyleMedium2" showFirstColumn="0" showLastColumn="0" showRowStripes="1" showColumnStripes="0"/>
</table>
</file>

<file path=xl/tables/table1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4" xr:uid="{4F884BAA-5E63-4C16-950F-FAFAF275A26B}" name="Table303379493835892949365421475" displayName="Table303379493835892949365421475" ref="Q102:Q107" headerRowCount="0" totalsRowShown="0" headerRowDxfId="9586" dataDxfId="9585" tableBorderDxfId="9584">
  <tableColumns count="1">
    <tableColumn id="1" xr3:uid="{4F17023B-A0F4-4713-8491-813952F1B86F}" name="Column1" headerRowDxfId="9583" dataDxfId="9582"/>
  </tableColumns>
  <tableStyleInfo name="TableStyleMedium2" showFirstColumn="0" showLastColumn="0" showRowStripes="1" showColumnStripes="0"/>
</table>
</file>

<file path=xl/tables/table1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5" xr:uid="{6496518C-79BD-47DB-A3C7-F9663140517D}" name="Table304380494836893950366422476" displayName="Table304380494836893950366422476" ref="R102:R103" headerRowCount="0" totalsRowShown="0" headerRowDxfId="9581" dataDxfId="9580" tableBorderDxfId="9579">
  <tableColumns count="1">
    <tableColumn id="1" xr3:uid="{926F7A5B-A294-44F5-B856-16FECCAA913E}" name="Column1" headerRowDxfId="9578" dataDxfId="9577"/>
  </tableColumns>
  <tableStyleInfo name="TableStyleMedium2" showFirstColumn="0" showLastColumn="0" showRowStripes="1" showColumnStripes="0"/>
</table>
</file>

<file path=xl/tables/table1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6" xr:uid="{A3189699-8173-4E6D-92E1-1E49010B91EC}" name="Table305381495837894951367423477" displayName="Table305381495837894951367423477" ref="R104:R105" headerRowCount="0" totalsRowShown="0" headerRowDxfId="9576" dataDxfId="9575" tableBorderDxfId="9574">
  <tableColumns count="1">
    <tableColumn id="1" xr3:uid="{986B3169-8C61-48D2-B1B1-E2CF3CFD3BEE}" name="Column1" headerRowDxfId="9573" dataDxfId="9572">
      <calculatedColumnFormula>IF(COUNTIF(B91:B93,"*"&amp;"sling"&amp;"*"),RANDBETWEEN(6,13)&amp;" Sling Bullets"," ")</calculatedColumnFormula>
    </tableColumn>
  </tableColumns>
  <tableStyleInfo name="TableStyleMedium2" showFirstColumn="0" showLastColumn="0" showRowStripes="1" showColumnStripes="0"/>
</table>
</file>

<file path=xl/tables/table1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7" xr:uid="{CB351D5F-88B1-492D-B6B8-376A607AD94F}" name="Table306382496838895952368424478" displayName="Table306382496838895952368424478" ref="R106:R107" headerRowCount="0" totalsRowShown="0" headerRowDxfId="9571" dataDxfId="9570" tableBorderDxfId="9569">
  <tableColumns count="1">
    <tableColumn id="1" xr3:uid="{77589941-2E3A-4EAF-9AB4-2A3E4221564A}" name="Column1" headerRowDxfId="9568" dataDxfId="9567">
      <calculatedColumnFormula>IF(COUNTIF(B91:B93,"*"&amp;"longbow"&amp;"*"),RANDBETWEEN(10,24)&amp;" Arrows",IF(COUNTIF(B91:B93,"*"&amp;"shortbow"&amp;"*"),RANDBETWEEN(10,24)&amp;" Arrows",IF(COUNTIF(B91:B93,"*"&amp;"light crossbow"&amp;"*"),RANDBETWEEN(10,24)&amp;" Bolts",IF(COUNTIF(B91:B93,"*"&amp;"hand crossbow"&amp;"*"),RANDBETWEEN(10,24)&amp;" Bolts",IF(COUNTIF(B91:B93,"*"&amp;"heavy crossbow"&amp;"*"),RANDBETWEEN(10,24)&amp;" Bolts"," ")))))</calculatedColumnFormula>
    </tableColumn>
  </tableColumns>
  <tableStyleInfo name="TableStyleMedium2" showFirstColumn="0" showLastColumn="0" showRowStripes="1" showColumnStripes="0"/>
</table>
</file>

<file path=xl/tables/table1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2" xr:uid="{5AF96663-82CB-459A-8079-3147EE9FD621}" name="Table300376490832889946362418294943" displayName="Table300376490832889946362418294943" ref="B88:T90" headerRowCount="0" totalsRowShown="0" headerRowDxfId="9566" dataDxfId="9565" tableBorderDxfId="9564">
  <tableColumns count="19">
    <tableColumn id="2" xr3:uid="{331CD1ED-9261-4972-B6F6-21BA0ED7CDC1}" name="Column2" headerRowDxfId="9563" dataDxfId="9562"/>
    <tableColumn id="3" xr3:uid="{65CCDCB3-32CE-4CFB-B7CD-830AF6697D05}" name="Column3" headerRowDxfId="9561" dataDxfId="9560"/>
    <tableColumn id="4" xr3:uid="{70CC2086-4B53-4889-B383-F8603B8781DA}" name="Column4" headerRowDxfId="9559" dataDxfId="9558"/>
    <tableColumn id="5" xr3:uid="{935DA782-AA44-43A3-9E33-188E10A8F8A6}" name="Column5" headerRowDxfId="9557" dataDxfId="9556"/>
    <tableColumn id="6" xr3:uid="{1C6FB7BB-03E5-4583-9332-1C5E2824AF2D}" name="Column6" headerRowDxfId="9555" dataDxfId="9554"/>
    <tableColumn id="7" xr3:uid="{7BEC741C-9F5A-4473-B6A8-8A3D0A094F02}" name="Column7" headerRowDxfId="9553" dataDxfId="9552"/>
    <tableColumn id="8" xr3:uid="{140E069A-AF48-4D7E-A0AE-87C3BE7115F8}" name="Column8" headerRowDxfId="9551" dataDxfId="9550"/>
    <tableColumn id="9" xr3:uid="{3478C954-D407-44E8-9FC8-BEF8F20F48D1}" name="Column9" headerRowDxfId="9549" dataDxfId="9548"/>
    <tableColumn id="10" xr3:uid="{D5B5089A-FF2F-429D-B3BA-10308A446CA4}" name="Column10" headerRowDxfId="9547" dataDxfId="9546"/>
    <tableColumn id="11" xr3:uid="{071C461B-334D-4D21-AFDA-B3F4753A18AB}" name="Column11" headerRowDxfId="9545" dataDxfId="9544"/>
    <tableColumn id="12" xr3:uid="{B47EC2F4-9771-448B-B73D-D5A07785A6E3}" name="Column12" headerRowDxfId="9543" dataDxfId="9542"/>
    <tableColumn id="13" xr3:uid="{E336E292-EDB2-46D5-BC75-9A298F718113}" name="Column13" headerRowDxfId="9541" dataDxfId="9540"/>
    <tableColumn id="14" xr3:uid="{67BA75E9-FCF3-4E5B-8A3F-971241E5B409}" name="Column14" headerRowDxfId="9539" dataDxfId="9538"/>
    <tableColumn id="15" xr3:uid="{77BA4952-F317-421B-8CC5-1F6FC189BF76}" name="Column15" headerRowDxfId="9537" dataDxfId="9536"/>
    <tableColumn id="16" xr3:uid="{69145F71-F99A-46EF-A99D-F80D8476A53A}" name="Column16" headerRowDxfId="9535" dataDxfId="9534"/>
    <tableColumn id="17" xr3:uid="{096DA66F-5D29-4293-9B6C-F2F073FDC009}" name="Column17" headerRowDxfId="9533" dataDxfId="9532"/>
    <tableColumn id="18" xr3:uid="{459D5733-1169-47CC-95F7-9838584CFB53}" name="Column18" headerRowDxfId="9531" dataDxfId="9530"/>
    <tableColumn id="19" xr3:uid="{3797CBF7-4FAF-4482-B9F0-EA6288A0DCC2}" name="Column19" headerRowDxfId="9529" dataDxfId="9528"/>
    <tableColumn id="20" xr3:uid="{B3D4991F-2F56-4180-BDC6-B0EC62D64324}" name="Column20" headerRowDxfId="9527" dataDxfId="9526"/>
  </tableColumns>
  <tableStyleInfo name="TableStyleMedium2" showFirstColumn="0" showLastColumn="0" showRowStripes="1" showColumnStripes="0"/>
</table>
</file>

<file path=xl/tables/table1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3" xr:uid="{793ED5C9-F77A-4729-953A-C667669E3A6D}" name="Table301377491833890947363419301944" displayName="Table301377491833890947363419301944" ref="B91:S100" headerRowCount="0" totalsRowShown="0" headerRowDxfId="9525" dataDxfId="9524" tableBorderDxfId="9523">
  <tableColumns count="18">
    <tableColumn id="2" xr3:uid="{63AC3FF4-9710-4B58-B41A-C32E28042425}" name="Column2" headerRowDxfId="9522" dataDxfId="9521"/>
    <tableColumn id="3" xr3:uid="{17BB6B64-B419-4773-9794-85382895EBAF}" name="Column3" headerRowDxfId="9520" dataDxfId="9519"/>
    <tableColumn id="4" xr3:uid="{4DDBF177-C0B6-43E6-8287-9C3EDF477254}" name="Column4" headerRowDxfId="9518" dataDxfId="9517"/>
    <tableColumn id="5" xr3:uid="{0274D0FC-1DBD-4D71-BE15-A44D0F1477E2}" name="Column5" headerRowDxfId="9516" dataDxfId="9515"/>
    <tableColumn id="6" xr3:uid="{79E90311-E652-4BA9-AA81-F8D43994D7F1}" name="Column6" headerRowDxfId="9514" dataDxfId="9513"/>
    <tableColumn id="7" xr3:uid="{73EED523-432E-4EE3-9F92-CC5FC10D18BC}" name="Column7" headerRowDxfId="9512" dataDxfId="9511"/>
    <tableColumn id="8" xr3:uid="{5DA9785D-2C8A-49AA-B599-D8B6D3B86CA4}" name="Column8" headerRowDxfId="9510" dataDxfId="9509"/>
    <tableColumn id="9" xr3:uid="{3C9F3040-6574-498D-82AF-85CBD532714B}" name="Column9" headerRowDxfId="9508" dataDxfId="9507"/>
    <tableColumn id="10" xr3:uid="{7B7AE327-4F8F-43CD-A893-8C52008DA230}" name="Column10" headerRowDxfId="9506" dataDxfId="9505"/>
    <tableColumn id="11" xr3:uid="{6E398BCE-57D5-42CD-B59E-A5D688B166E0}" name="Column11" headerRowDxfId="9504" dataDxfId="9503"/>
    <tableColumn id="12" xr3:uid="{E1E09F4C-86EC-4365-9A0F-8E9CAB14137D}" name="Column12" headerRowDxfId="9502" dataDxfId="9501"/>
    <tableColumn id="13" xr3:uid="{276F2A1D-C88E-4195-B744-F10DDF1C7761}" name="Column13" headerRowDxfId="9500" dataDxfId="9499"/>
    <tableColumn id="14" xr3:uid="{1B406C87-FF93-4253-99D9-CB67C01AB3B2}" name="Column14" headerRowDxfId="9498" dataDxfId="9497"/>
    <tableColumn id="15" xr3:uid="{7D46CC6B-742A-443A-ADB9-9F15F9AB04A1}" name="Column15" headerRowDxfId="9496" dataDxfId="9495"/>
    <tableColumn id="16" xr3:uid="{CBF0BA0E-09B9-4FE6-BD19-FA3016689ACD}" name="Column16" headerRowDxfId="9494" dataDxfId="9493"/>
    <tableColumn id="17" xr3:uid="{85080C5B-4F1C-489A-844D-539EE21933D2}" name="Column17" headerRowDxfId="9492" dataDxfId="9491"/>
    <tableColumn id="18" xr3:uid="{92A14DF7-59EF-4CA2-8528-ECEC70BC0644}" name="Column18" headerRowDxfId="9490" dataDxfId="9489"/>
    <tableColumn id="19" xr3:uid="{A69BAE63-B438-4BC0-BE5E-82C0A5E5E86A}" name="Column19" headerRowDxfId="9488" dataDxfId="9487"/>
  </tableColumns>
  <tableStyleInfo name="TableStyleMedium2" showFirstColumn="0" showLastColumn="0" showRowStripes="1" showColumnStripes="0"/>
</table>
</file>

<file path=xl/tables/table1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8" xr:uid="{9DD1E36D-F38B-432D-956D-C070E40F2312}" name="Table4832644078283989661369479" displayName="Table4832644078283989661369479" ref="B113:R116" headerRowCount="0" totalsRowShown="0" headerRowDxfId="9486" dataDxfId="9485">
  <tableColumns count="17">
    <tableColumn id="2" xr3:uid="{306C10EE-67BA-4408-B9BA-86E035E89A0B}" name="Column1" headerRowDxfId="9484" dataDxfId="9483"/>
    <tableColumn id="3" xr3:uid="{744A9A3D-3092-4FC4-916D-F6DF4B391F2F}" name="Column2" headerRowDxfId="9482" dataDxfId="9481"/>
    <tableColumn id="4" xr3:uid="{F0FF14F0-3C49-4A24-AB8B-F7BFAD856611}" name="Column3" headerRowDxfId="9480" dataDxfId="9479"/>
    <tableColumn id="5" xr3:uid="{226DA5DB-97E9-44F4-92E8-76CE5C7C30BD}" name="Column4" headerRowDxfId="9478" dataDxfId="9477"/>
    <tableColumn id="6" xr3:uid="{BE7EDBC7-89F7-45EA-8864-2DA0A4114F3B}" name="Column5" headerRowDxfId="9476" dataDxfId="9475"/>
    <tableColumn id="7" xr3:uid="{A9D1E2F1-A480-4F2E-98A9-0212FF689B36}" name="Column6" headerRowDxfId="9474" dataDxfId="9473"/>
    <tableColumn id="8" xr3:uid="{77395921-002F-4DCF-9B51-D59A9351FB80}" name="Column7" headerRowDxfId="9472" dataDxfId="9471"/>
    <tableColumn id="9" xr3:uid="{5300A29F-5C0A-4987-B84E-945561F0C5E9}" name="Column8" headerRowDxfId="9470" dataDxfId="9469"/>
    <tableColumn id="10" xr3:uid="{34FB41EB-334E-4C72-8E6B-BCD8030DE2B1}" name="Column9" headerRowDxfId="9468" dataDxfId="9467"/>
    <tableColumn id="11" xr3:uid="{10752E92-B94C-47C5-9C46-5FCE7C926D26}" name="Column10" headerRowDxfId="9466" dataDxfId="9465"/>
    <tableColumn id="12" xr3:uid="{5A3F73BC-FDF5-477B-87D2-FDD6D5E3E04D}" name="Column11" headerRowDxfId="9464" dataDxfId="9463"/>
    <tableColumn id="13" xr3:uid="{D817C93C-497A-46A8-8033-5A4D880499E8}" name="Column12" headerRowDxfId="9462" dataDxfId="9461"/>
    <tableColumn id="14" xr3:uid="{0FF7BB8F-1FCF-44D1-A36E-F54EBB9A6BBA}" name="Column13" headerRowDxfId="9460" dataDxfId="9459"/>
    <tableColumn id="15" xr3:uid="{1A81067F-7135-4CD6-8667-F86F3A1AD2C7}" name="Cantrip" headerRowDxfId="9458" dataDxfId="9457"/>
    <tableColumn id="16" xr3:uid="{D104455A-7603-4945-A465-15CBE68942F3}" name="1st Level" headerRowDxfId="9456" dataDxfId="9455"/>
    <tableColumn id="17" xr3:uid="{5334C839-AC32-4BC3-9C81-C4C83890DBF7}" name="2nd Level" headerRowDxfId="9454" dataDxfId="9453"/>
    <tableColumn id="1" xr3:uid="{6C202035-13E6-4EEF-8156-FB2F6EDC9A90}" name="Column14" headerRowDxfId="9452" dataDxfId="9451"/>
  </tableColumns>
  <tableStyleInfo name="TableStyleMedium2" showFirstColumn="0" showLastColumn="0" showRowStripes="1" showColumnStripes="0"/>
</table>
</file>

<file path=xl/tables/table1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9" xr:uid="{5F850C3F-B170-4B99-9B5E-339C95CD30F8}" name="Table4932744178384089762370480" displayName="Table4932744178384089762370480" ref="B120:T129" headerRowCount="0" headerRowDxfId="9450" dataDxfId="9449" totalsRowDxfId="9448">
  <tableColumns count="19">
    <tableColumn id="2" xr3:uid="{12DA0918-90F7-4B7D-8EF5-988C17846610}" name="Column1" headerRowDxfId="9447" dataDxfId="9446"/>
    <tableColumn id="3" xr3:uid="{65C57448-FE15-4DB2-9F9F-868AFCFE2F68}" name="Column2" headerRowDxfId="9445" dataDxfId="9444" totalsRowDxfId="9443"/>
    <tableColumn id="4" xr3:uid="{82C66C43-F276-4A77-A1B7-4BCC38918427}" name="Column3" headerRowDxfId="9442" dataDxfId="9441" totalsRowDxfId="9440"/>
    <tableColumn id="5" xr3:uid="{6C9A9835-40C6-4D22-B8B0-D3D862943A8A}" name="Column4" headerRowDxfId="9439" dataDxfId="9438" totalsRowDxfId="9437"/>
    <tableColumn id="6" xr3:uid="{757EE02D-EA0F-4947-908A-B6EE3257C2A2}" name="Column5" headerRowDxfId="9436" dataDxfId="9435" totalsRowDxfId="9434"/>
    <tableColumn id="7" xr3:uid="{198EBDF8-610A-417E-9122-7167A6E8E6CA}" name="Column6" headerRowDxfId="9433" dataDxfId="9432" totalsRowDxfId="9431"/>
    <tableColumn id="8" xr3:uid="{47DBD897-02C0-40AF-875A-A931C9E9ED5C}" name="Column7" headerRowDxfId="9430" dataDxfId="9429" totalsRowDxfId="9428"/>
    <tableColumn id="9" xr3:uid="{6C24FE1E-01A6-44B9-B7F9-2B5B3D01E160}" name="Column8" headerRowDxfId="9427" dataDxfId="9426" totalsRowDxfId="9425"/>
    <tableColumn id="10" xr3:uid="{432B3BDF-8657-4A99-9CDD-C323F2E27EA1}" name="Column9" headerRowDxfId="9424" dataDxfId="9423" totalsRowDxfId="9422"/>
    <tableColumn id="11" xr3:uid="{B1951D5D-7BCB-4D18-A809-2289436A472B}" name="Column10" headerRowDxfId="9421" dataDxfId="9420" totalsRowDxfId="9419"/>
    <tableColumn id="12" xr3:uid="{38C121B6-7D22-4778-A96E-AD53C7250B20}" name="Column11" headerRowDxfId="9418" dataDxfId="9417" totalsRowDxfId="9416"/>
    <tableColumn id="13" xr3:uid="{70E59BDA-6DA0-4A54-9A86-43F888C822CA}" name="Column12" headerRowDxfId="9415" dataDxfId="9414" totalsRowDxfId="9413"/>
    <tableColumn id="14" xr3:uid="{768C5262-A56F-4BF4-8069-3FA0B512FD19}" name="Column13" headerRowDxfId="9412" dataDxfId="9411" totalsRowDxfId="9410"/>
    <tableColumn id="15" xr3:uid="{F660D916-3122-438B-9EFC-2ACB0C39AE3E}" name="Cantrip" headerRowDxfId="9409" dataDxfId="9408"/>
    <tableColumn id="16" xr3:uid="{C4EFAD88-B76E-4C78-9BDF-BC2E4B929EBA}" name="1st Level" headerRowDxfId="9407" dataDxfId="9406"/>
    <tableColumn id="17" xr3:uid="{3CD22C84-43A2-4D3D-9BE1-903D83CE22DC}" name="2nd Level" headerRowDxfId="9405" dataDxfId="9404"/>
    <tableColumn id="18" xr3:uid="{11AEEA4F-A006-4694-A185-8BF0C69380E4}" name="3rd Level" headerRowDxfId="9403" dataDxfId="9402"/>
    <tableColumn id="19" xr3:uid="{0ADB9043-E06C-4AC4-BD02-9BC0C1FD02AC}" name="4th Level" headerRowDxfId="9401" dataDxfId="9400"/>
    <tableColumn id="1" xr3:uid="{9430C48C-495B-4DB6-8941-84A058EAA71C}" name="Column14" headerRowDxfId="9399" dataDxfId="9398" totalsRowDxfId="9397"/>
  </tableColumns>
  <tableStyleInfo name="TableStyleMedium2" showFirstColumn="0" showLastColumn="0" showRowStripes="1" showColumnStripes="0"/>
</table>
</file>

<file path=xl/tables/table1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0" xr:uid="{526A16AA-5BF3-4C00-8150-A91D78D054C1}" name="Table62328442784841898268371481" displayName="Table62328442784841898268371481" ref="B171:T202" headerRowCount="0" headerRowDxfId="9396" dataDxfId="9395" totalsRowDxfId="9393" tableBorderDxfId="9394">
  <tableColumns count="19">
    <tableColumn id="2" xr3:uid="{F5EEE2B5-13D1-4D96-B944-AE0715527864}" name="Column2" headerRowDxfId="9392" dataDxfId="9391" totalsRowDxfId="9390"/>
    <tableColumn id="3" xr3:uid="{3B7F56AA-7738-4617-8990-430734641754}" name="Column3" headerRowDxfId="9389" dataDxfId="9388" totalsRowDxfId="9387"/>
    <tableColumn id="4" xr3:uid="{60BC35CC-48C2-4520-A4C7-E8479B5EA423}" name="Column4" headerRowDxfId="9386" dataDxfId="9385" totalsRowDxfId="9384"/>
    <tableColumn id="5" xr3:uid="{A713F031-B3AF-4ADF-956A-1E829AC30473}" name="Column5" headerRowDxfId="9383" dataDxfId="9382" totalsRowDxfId="9381"/>
    <tableColumn id="6" xr3:uid="{BF18F5CB-964E-4211-BD4F-7721A37C0B88}" name="Column6" headerRowDxfId="9380" dataDxfId="9379" totalsRowDxfId="9378"/>
    <tableColumn id="7" xr3:uid="{5AF442D1-08ED-4F72-967E-42B60916E83B}" name="Column7" headerRowDxfId="9377" dataDxfId="9376" totalsRowDxfId="9375"/>
    <tableColumn id="8" xr3:uid="{9036127E-6B0B-44E4-9536-A2AB19D7228F}" name="Column8" headerRowDxfId="9374" dataDxfId="9373" totalsRowDxfId="9372"/>
    <tableColumn id="9" xr3:uid="{E7696FF1-8142-4DEB-898A-BDBF97A90E98}" name="Column9" headerRowDxfId="9371" dataDxfId="9370" totalsRowDxfId="9369"/>
    <tableColumn id="10" xr3:uid="{6D2E25A3-AABE-4A18-B620-E20F0B9F26D2}" name="Column10" headerRowDxfId="9368" dataDxfId="9367" totalsRowDxfId="9366"/>
    <tableColumn id="11" xr3:uid="{7F28947B-524C-4850-B883-E1136F4E7451}" name="Column11" headerRowDxfId="9365" dataDxfId="9364" totalsRowDxfId="9363"/>
    <tableColumn id="12" xr3:uid="{875F2106-FC93-4166-887F-72CE4576ACE8}" name="Column12" headerRowDxfId="9362" dataDxfId="9361" totalsRowDxfId="9360"/>
    <tableColumn id="13" xr3:uid="{69FCFC2F-61BA-414E-B8AD-5B8C63600E30}" name="Column13" headerRowDxfId="9359" dataDxfId="9358" totalsRowDxfId="9357"/>
    <tableColumn id="14" xr3:uid="{DB857A8D-E309-4BD7-83FA-9B1FC94D11E2}" name="Column14" headerRowDxfId="9356" dataDxfId="9355" totalsRowDxfId="9354"/>
    <tableColumn id="15" xr3:uid="{B3C7DADA-9BBC-4AE1-AD07-6AC8C7EF81F9}" name="Column15" headerRowDxfId="9353" dataDxfId="9352" totalsRowDxfId="9351"/>
    <tableColumn id="16" xr3:uid="{0D13875C-F64C-4CA8-B57A-694963307FEE}" name="Column16" headerRowDxfId="9350" dataDxfId="9349" totalsRowDxfId="9348"/>
    <tableColumn id="17" xr3:uid="{69891678-FF48-4A4F-9138-C75564C8D726}" name="Column17" headerRowDxfId="9347" dataDxfId="9346" totalsRowDxfId="9345"/>
    <tableColumn id="18" xr3:uid="{355D2B76-4063-472D-8389-18CB6F81AE73}" name="Column18" headerRowDxfId="9344" dataDxfId="9343" totalsRowDxfId="9342"/>
    <tableColumn id="19" xr3:uid="{068E8EA4-CBCD-4809-9924-81116A8B412C}" name="Column19" headerRowDxfId="9341" dataDxfId="9340" totalsRowDxfId="9339"/>
    <tableColumn id="1" xr3:uid="{57CF9DD7-FD4A-481E-9CED-E76BC0F9A648}" name="Column1" headerRowDxfId="9338" dataDxfId="9337" totalsRowDxfId="9336"/>
  </tableColumns>
  <tableStyleInfo name="TableStyleMedium2" showFirstColumn="0" showLastColumn="0" showRowStripes="1" showColumnStripes="0"/>
</table>
</file>

<file path=xl/tables/table1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1" xr:uid="{D1A25E29-CFFD-4376-87B5-8136E826322F}" name="Table64329443785842899270372482" displayName="Table64329443785842899270372482" ref="B307:T324" headerRowCount="0" totalsRowShown="0" headerRowDxfId="9335" dataDxfId="9334">
  <tableColumns count="19">
    <tableColumn id="2" xr3:uid="{59264481-EFB4-4C22-BDAD-B94F3B09B565}" name="Column2" headerRowDxfId="9333" dataDxfId="9332"/>
    <tableColumn id="3" xr3:uid="{67C86A3B-8A82-40A1-8050-8250A9E34858}" name="Column3" headerRowDxfId="9331" dataDxfId="9330"/>
    <tableColumn id="4" xr3:uid="{BEAC146E-A385-44A7-83EA-E8AC7D5C2D34}" name="Column4" headerRowDxfId="9329" dataDxfId="9328"/>
    <tableColumn id="5" xr3:uid="{8D492FAF-5E81-4482-A7DB-A6AD30EDC5A5}" name="Column5" headerRowDxfId="9327" dataDxfId="9326"/>
    <tableColumn id="6" xr3:uid="{7362476B-FAB2-4F4A-8EAC-193DA035734F}" name="Column6" headerRowDxfId="9325" dataDxfId="9324"/>
    <tableColumn id="7" xr3:uid="{3C121E8F-2E8E-41B2-92B5-170E9F93712A}" name="Column7" headerRowDxfId="9323" dataDxfId="9322"/>
    <tableColumn id="8" xr3:uid="{E682B0D8-A813-43A9-8581-F532C1862BB8}" name="Column8" headerRowDxfId="9321" dataDxfId="9320"/>
    <tableColumn id="9" xr3:uid="{C048C746-1B5A-4847-9EBC-04526FA6A80E}" name="Column9" headerRowDxfId="9319" dataDxfId="9318"/>
    <tableColumn id="10" xr3:uid="{D0C07396-07B2-4368-8AB2-811F0236138D}" name="Column10" headerRowDxfId="9317" dataDxfId="9316"/>
    <tableColumn id="11" xr3:uid="{B3792101-ACD3-464E-A3DB-2A552A6FED80}" name="Column11" headerRowDxfId="9315" dataDxfId="9314"/>
    <tableColumn id="12" xr3:uid="{6A3F3883-F2B0-4B6C-8986-161049E1E75B}" name="Column12" headerRowDxfId="9313" dataDxfId="9312"/>
    <tableColumn id="13" xr3:uid="{2853148A-4B42-4F9D-944C-C6A3CE3DB21C}" name="Column13" headerRowDxfId="9311" dataDxfId="9310"/>
    <tableColumn id="14" xr3:uid="{FAA1E8A8-3235-4182-BEAE-CD0F6CE237EF}" name="Column14" headerRowDxfId="9309" dataDxfId="9308"/>
    <tableColumn id="15" xr3:uid="{D9C4E7A2-6F85-4C57-B891-41D7ECF41AD8}" name="Column15" headerRowDxfId="9307" dataDxfId="9306"/>
    <tableColumn id="16" xr3:uid="{01A694C0-613E-44E0-B212-578A3CEB208E}" name="Column16" headerRowDxfId="9305" dataDxfId="9304">
      <calculatedColumnFormula>IF($Q$324&gt;=O322,INDEX('Spell Tables'!$T$242:$T$271,MATCH(O322,('Spell Tables'!$R$242:$R$271),0))," ")</calculatedColumnFormula>
    </tableColumn>
    <tableColumn id="17" xr3:uid="{48CCA11B-6BF4-475C-9131-A34C38C7AA4A}" name="Column17" headerRowDxfId="9303" dataDxfId="9302">
      <calculatedColumnFormula>IF($R$324&gt;=O322,INDEX('Spell Tables'!$X$242:$X$275,MATCH(O322,('Spell Tables'!$V$242:$V$275),0))," ")</calculatedColumnFormula>
    </tableColumn>
    <tableColumn id="18" xr3:uid="{0BF54DA2-4502-46FD-A868-BE3C08041743}" name="Column18" headerRowDxfId="9301" dataDxfId="9300"/>
    <tableColumn id="19" xr3:uid="{76349518-22F0-42D2-9524-8B33BED82B75}" name="Column19" headerRowDxfId="9299" dataDxfId="9298"/>
    <tableColumn id="20" xr3:uid="{A571E011-851F-412C-ACCE-BA2F41F8D5FF}" name="Column20" headerRowDxfId="9297" dataDxfId="9296">
      <calculatedColumnFormula>IF($S$309&gt;=O307,INDEX('Spell Tables'!$AF$242:$AF$264,MATCH(O307,('Spell Tables'!$AD$242:$AD$264),0)),IF(AND($Q$11="wizard",$S$312&gt;=O307),INDEX('Spell Tables'!$AF$242:$AF$264,MATCH(O307,('Spell Tables'!$AD$242:$AD$264),0))," "))</calculatedColumnFormula>
    </tableColumn>
  </tableColumns>
  <tableStyleInfo name="TableStyleMedium2" showFirstColumn="0" showLastColumn="0" showRowStripes="1" showColumnStripes="0"/>
</table>
</file>

<file path=xl/tables/table1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2" xr:uid="{5C0EFAAE-BCF9-42F5-9F2F-EC5F4911B7D3}" name="Table4967330444786843900309373483" displayName="Table4967330444786843900309373483" ref="B146:T155" headerRowCount="0" headerRowDxfId="9295" dataDxfId="9294" totalsRowDxfId="9293">
  <tableColumns count="19">
    <tableColumn id="2" xr3:uid="{D7FA67C2-D7F0-49C3-BAFD-27CB1E39DFA4}" name="Column1" headerRowDxfId="9292" dataDxfId="9291" totalsRowDxfId="9290"/>
    <tableColumn id="3" xr3:uid="{57B5874B-74F2-4DA7-A5F9-C63C37C90C4B}" name="Column2" headerRowDxfId="9289" dataDxfId="9288" totalsRowDxfId="9287"/>
    <tableColumn id="4" xr3:uid="{ABC9CDE9-F5B4-4E8E-B970-0337A394D479}" name="Column3" headerRowDxfId="9286" dataDxfId="9285" totalsRowDxfId="9284"/>
    <tableColumn id="5" xr3:uid="{DE0DC707-777F-49C1-8D2B-0BD45607E9B3}" name="Column4" headerRowDxfId="9283" dataDxfId="9282" totalsRowDxfId="9281"/>
    <tableColumn id="6" xr3:uid="{B8ED5BC3-87C0-46AB-8FDC-2DBCC7AAA424}" name="Column5" headerRowDxfId="9280" dataDxfId="9279" totalsRowDxfId="9278"/>
    <tableColumn id="7" xr3:uid="{2FDE4483-5820-49D8-BFB9-1383C1E96B0F}" name="Column6" headerRowDxfId="9277" dataDxfId="9276" totalsRowDxfId="9275"/>
    <tableColumn id="8" xr3:uid="{3EDF212D-1C9D-42FD-9A3A-A3A2BCFB69A4}" name="Column7" headerRowDxfId="9274" dataDxfId="9273" totalsRowDxfId="9272"/>
    <tableColumn id="9" xr3:uid="{F6299D78-CB26-4DA5-B2FE-0C0058E41502}" name="Column8" headerRowDxfId="9271" dataDxfId="9270" totalsRowDxfId="9269"/>
    <tableColumn id="10" xr3:uid="{976E784C-CE3B-4FD5-BD96-57841C7F437D}" name="Column9" headerRowDxfId="9268" dataDxfId="9267" totalsRowDxfId="9266"/>
    <tableColumn id="11" xr3:uid="{37E5F10A-E206-4058-BF67-BB9179B235F0}" name="Column10" headerRowDxfId="9265" dataDxfId="9264" totalsRowDxfId="9263"/>
    <tableColumn id="12" xr3:uid="{8DAF0421-C4AD-4886-8417-184D2608D98E}" name="Column11" headerRowDxfId="9262" dataDxfId="9261" totalsRowDxfId="9260"/>
    <tableColumn id="13" xr3:uid="{4F711A0B-4E32-40D5-8E48-F2927B9C5352}" name="Column12" headerRowDxfId="9259" dataDxfId="9258" totalsRowDxfId="9257"/>
    <tableColumn id="14" xr3:uid="{B473A78D-7CE0-491D-82ED-1B41AD5923E0}" name="Column13" headerRowDxfId="9256" dataDxfId="9255" totalsRowDxfId="9254"/>
    <tableColumn id="15" xr3:uid="{1AB5E67C-999E-426F-B7BF-036DC533FA12}" name="Cantrip" headerRowDxfId="9253" dataDxfId="9252" totalsRowDxfId="9251"/>
    <tableColumn id="16" xr3:uid="{4C3861D2-B184-42F1-BCC3-61317BB89CE8}" name="1st Level" headerRowDxfId="9250" dataDxfId="9249" totalsRowDxfId="9248"/>
    <tableColumn id="17" xr3:uid="{691864D1-E2B4-408C-A1F9-1F4295BAD438}" name="2nd Level" totalsRowFunction="custom" headerRowDxfId="9247" dataDxfId="9246" totalsRowDxfId="9245">
      <totalsRowFormula>IF(R15="way of the shadow","Silence"," ")</totalsRowFormula>
    </tableColumn>
    <tableColumn id="18" xr3:uid="{B2E0EA48-FA59-4D35-8B4A-844EACE4CA94}" name="3rd Level" headerRowDxfId="9244" dataDxfId="9243" totalsRowDxfId="9242"/>
    <tableColumn id="19" xr3:uid="{4E69ECDF-3C89-422F-B5BF-17E5319BAA0D}" name="4th Level" headerRowDxfId="9241" dataDxfId="9240" totalsRowDxfId="9239"/>
    <tableColumn id="1" xr3:uid="{F43202D0-2FD5-41FE-BC5B-5FD97AA0AD7E}" name="Column14" headerRowDxfId="9238" dataDxfId="9237" totalsRowDxfId="9236"/>
  </tableColumns>
  <tableStyleInfo name="TableStyleMedium2" showFirstColumn="0" showLastColumn="0" showRowStripes="1" showColumnStripes="0"/>
</table>
</file>

<file path=xl/tables/table1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3" xr:uid="{39C6A9AE-C01A-47D2-8778-6FA536BDA5EC}" name="Table69331445787844901310374484" displayName="Table69331445787844901310374484" ref="BN26:BS43" headerRowCount="0" totalsRowShown="0" headerRowDxfId="9235" dataDxfId="9234">
  <tableColumns count="6">
    <tableColumn id="1" xr3:uid="{1DB02C83-1A69-41E9-B20B-4A0DC4FCC39F}" name="Column1" headerRowDxfId="9233" dataDxfId="9232">
      <calculatedColumnFormula>_xlfn.RANK.EQ(BO26,$BO$26:$BO$43)</calculatedColumnFormula>
    </tableColumn>
    <tableColumn id="2" xr3:uid="{9AB1DB42-8154-451B-AB5A-AF14BD38D766}" name="Column2" headerRowDxfId="9231" dataDxfId="9230"/>
    <tableColumn id="3" xr3:uid="{7DE9F6CC-9D95-4AC1-A7E4-FEC7E04A2CFE}" name="Column3" headerRowDxfId="9229" dataDxfId="9228">
      <calculatedColumnFormula>IF(OR(BM6&gt;=1,AV6&gt;=1),AH6," ")</calculatedColumnFormula>
    </tableColumn>
    <tableColumn id="4" xr3:uid="{488D94DB-60D3-4BBC-B5FB-3F8384C015A3}" name="Column4" headerRowDxfId="9227" dataDxfId="9226"/>
    <tableColumn id="5" xr3:uid="{89700E37-4B33-49C5-949C-3EEE01439D50}" name="Column5" headerRowDxfId="9225" dataDxfId="9224">
      <calculatedColumnFormula>_xlfn.RANK.EQ(BS26,$BS$26:$BS$43)</calculatedColumnFormula>
    </tableColumn>
    <tableColumn id="6" xr3:uid="{EA41EC8A-DC24-4984-B9F6-3C078509BC80}" name="Column6" headerRowDxfId="9223" dataDxfId="9222">
      <calculatedColumnFormula>IF(BO26=0,RAND(),0)</calculatedColumnFormula>
    </tableColumn>
  </tableColumns>
  <tableStyleInfo name="TableStyleMedium2" showFirstColumn="0" showLastColumn="0" showRowStripes="1" showColumnStripes="0"/>
</table>
</file>

<file path=xl/tables/table1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4" xr:uid="{8D1BFE89-34F7-4255-80C3-BA61E5EE0228}" name="Table70332446788845902311375485" displayName="Table70332446788845902311375485" ref="BU26:BZ29" headerRowCount="0" totalsRowShown="0" headerRowDxfId="9221" dataDxfId="9220">
  <tableColumns count="6">
    <tableColumn id="1" xr3:uid="{6BD7C77C-C171-4CA9-B546-5A48D6BAE5F6}" name="Column1" headerRowDxfId="9219" dataDxfId="9218">
      <calculatedColumnFormula>_xlfn.RANK.EQ(BV26,$BV$26:$BV$29)</calculatedColumnFormula>
    </tableColumn>
    <tableColumn id="2" xr3:uid="{8CFABD4E-A531-4BB7-AF39-91F5100D3E2F}" name="Column2" headerRowDxfId="9217" dataDxfId="9216"/>
    <tableColumn id="3" xr3:uid="{66A5CA18-A434-43FD-B288-51800CADDF3F}" name="Column3" headerRowDxfId="9215" dataDxfId="9214"/>
    <tableColumn id="4" xr3:uid="{EE418943-74CF-4A29-8D3F-E87FDAB10842}" name="Column4" headerRowDxfId="9213" dataDxfId="9212"/>
    <tableColumn id="5" xr3:uid="{BDC17640-563D-4DEC-BD03-1C0C4769162B}" name="Column5" headerRowDxfId="9211" dataDxfId="9210">
      <calculatedColumnFormula>_xlfn.RANK.EQ(BZ26,$BZ$26:$BZ$29)</calculatedColumnFormula>
    </tableColumn>
    <tableColumn id="6" xr3:uid="{28052B60-A145-415E-AB2B-3BAC3C92AF7D}" name="Column6" headerRowDxfId="9209" dataDxfId="9208">
      <calculatedColumnFormula>IF(BV26=0,RAND(),0)</calculatedColumnFormula>
    </tableColumn>
  </tableColumns>
  <tableStyleInfo name="TableStyleMedium2" showFirstColumn="0" showLastColumn="0" showRowStripes="1" showColumnStripes="0"/>
</table>
</file>

<file path=xl/tables/table1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5" xr:uid="{77CF275A-1129-47F9-9516-965D6D8BAF92}" name="Table72333447789846903312376486" displayName="Table72333447789846903312376486" ref="BU30:BZ32" headerRowCount="0" totalsRowShown="0" headerRowDxfId="9207" dataDxfId="9206">
  <tableColumns count="6">
    <tableColumn id="1" xr3:uid="{3366B08A-740D-4F13-87CB-99073511C2E9}" name="Column1" headerRowDxfId="9205" dataDxfId="9204">
      <calculatedColumnFormula>_xlfn.RANK.EQ(BV30,$BV$30:$BV$32)</calculatedColumnFormula>
    </tableColumn>
    <tableColumn id="2" xr3:uid="{5F30DB76-4AA5-46C2-8B61-9F344211EC59}" name="Column2" headerRowDxfId="9203" dataDxfId="9202"/>
    <tableColumn id="3" xr3:uid="{737474B5-3D37-4A56-A451-89C5B49C33CE}" name="Column3" headerRowDxfId="9201" dataDxfId="9200"/>
    <tableColumn id="4" xr3:uid="{5D47E075-C85D-45F6-9B35-F5BC9B654082}" name="Column4" headerRowDxfId="9199" dataDxfId="9198"/>
    <tableColumn id="5" xr3:uid="{A49C3520-3A8F-4C5B-9CFD-E8F8D8535BE7}" name="Column5" headerRowDxfId="9197" dataDxfId="9196">
      <calculatedColumnFormula>_xlfn.RANK.EQ(BZ30,$BZ$30:$BZ$32)</calculatedColumnFormula>
    </tableColumn>
    <tableColumn id="6" xr3:uid="{B306F8D1-A347-48A1-88FA-2179CA37A9B3}" name="Column6" headerRowDxfId="9195" dataDxfId="9194">
      <calculatedColumnFormula>IF(BV30=0,RAND(),0)</calculatedColumnFormula>
    </tableColumn>
  </tableColumns>
  <tableStyleInfo name="TableStyleMedium2" showFirstColumn="0" showLastColumn="0" showRowStripes="1" showColumnStripes="0"/>
</table>
</file>

<file path=xl/tables/table1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6" xr:uid="{62AAC41D-D07F-40F2-8DA3-37931E1CD1F5}" name="Table60334448790847904313377487" displayName="Table60334448790847904313377487" ref="B240:T271" headerRowCount="0" totalsRowShown="0" headerRowDxfId="9193" dataDxfId="9192" tableBorderDxfId="9191">
  <tableColumns count="19">
    <tableColumn id="3" xr3:uid="{45845506-F53B-4B0C-B586-F221AFB66C10}" name="Column3" headerRowDxfId="9190" dataDxfId="9189"/>
    <tableColumn id="4" xr3:uid="{876F8887-1498-4178-BCFD-2A40DCE330E9}" name="Column4" headerRowDxfId="9188" dataDxfId="9187"/>
    <tableColumn id="5" xr3:uid="{1DB62F05-CCCC-43CC-86C0-B494E486695E}" name="Column5" headerRowDxfId="9186" dataDxfId="9185"/>
    <tableColumn id="6" xr3:uid="{02CDB054-FA75-4036-AFDD-ED242CE931E6}" name="Column6" headerRowDxfId="9184" dataDxfId="9183"/>
    <tableColumn id="7" xr3:uid="{428F9B7F-1AC3-45E2-8404-1DD79B1B7DF7}" name="Column7" headerRowDxfId="9182" dataDxfId="9181"/>
    <tableColumn id="8" xr3:uid="{B516D491-6CC3-4E43-9DA7-4C94DCBF2C94}" name="Column8" headerRowDxfId="9180" dataDxfId="9179"/>
    <tableColumn id="9" xr3:uid="{08514558-716F-4720-8607-E38A487F2F90}" name="Column9" headerRowDxfId="9178" dataDxfId="9177"/>
    <tableColumn id="10" xr3:uid="{DD697B80-A3C4-461C-8EE9-EAF32D93FA1F}" name="Column10" headerRowDxfId="9176" dataDxfId="9175"/>
    <tableColumn id="11" xr3:uid="{EFF7D4CE-D00F-45CE-8698-32117F564B32}" name="Column11" headerRowDxfId="9174" dataDxfId="9173"/>
    <tableColumn id="12" xr3:uid="{30C7641B-9EEE-418B-BD6B-34875E7A4C10}" name="Column12" headerRowDxfId="9172" dataDxfId="9171"/>
    <tableColumn id="13" xr3:uid="{9E661C5E-DC30-4953-A4A2-99CF48BCDC69}" name="Column13" headerRowDxfId="9170" dataDxfId="9169"/>
    <tableColumn id="14" xr3:uid="{6702213E-C6F2-437B-8A8C-C000D8CB94FC}" name="Column14" headerRowDxfId="9168" dataDxfId="9167"/>
    <tableColumn id="15" xr3:uid="{9C35073D-47D3-42FE-9B6D-615CF96FAD34}" name="Column15" headerRowDxfId="9166" dataDxfId="9165"/>
    <tableColumn id="2" xr3:uid="{502A0C3E-9396-4CF0-B0AE-1DA8FCCDE0E0}" name="Column2" headerRowDxfId="9164" dataDxfId="9163"/>
    <tableColumn id="16" xr3:uid="{4A45D319-4842-43B0-B173-353E1A9B226F}" name="Column16" headerRowDxfId="9162" dataDxfId="9161"/>
    <tableColumn id="17" xr3:uid="{642E694C-37E2-469C-9FB0-78774EB04AA6}" name="Column17" headerRowDxfId="9160" dataDxfId="9159"/>
    <tableColumn id="18" xr3:uid="{4777FA14-6B3D-4583-A6FD-687AA250046F}" name="Column18" headerRowDxfId="9158" dataDxfId="9157"/>
    <tableColumn id="19" xr3:uid="{E32543DC-48B9-4D1B-A2CF-693C34F398FD}" name="Column19" headerRowDxfId="9156" dataDxfId="9155"/>
    <tableColumn id="20" xr3:uid="{81E16E1D-2C84-425D-9D2A-9EABBFA059E2}" name="Column20" headerRowDxfId="9154" dataDxfId="9153">
      <calculatedColumnFormula>IF(AND($Q$15="Otherworldly patron - great old one",T$244&gt;=O171),INDEX('Spell Tables'!$AF$226:$AF$231,MATCH(O171,('Spell Tables'!$AD$226:$AD$231),0)),IF(AND($Q$15="Otherworldly patron - fiend",T$244&gt;=O171),INDEX('Spell Tables'!$AF$210:$AF$215,MATCH(O171,('Spell Tables'!$AD$210:$AD$215),0)),IF(AND($Q$15="Otherworldly patron - archfey",T$244&gt;=O171),INDEX('Spell Tables'!$AF$194:$AF$199,MATCH(O171,('Spell Tables'!$AD$194:$AD$199),0)),IF($T$242&gt;=O171,INDEX($AL$80:$AL$89,MATCH(O171,($AJ$80:$AJ$89),0)),IF($T$246&gt;=O171,INDEX('Spell Tables'!$AF$168:$AF$177,MATCH(O171,('Spell Tables'!$AD$168:$AD$177),0)),IF($T$248&gt;=O171,INDEX('Spell Tables'!$AR$141:$AR$144,MATCH(O171,('Spell Tables'!$AP$141:$AP$144),0)),IF($T$250&gt;=O171,INDEX('Spell Tables'!$AB$119:$AB$123,MATCH(O171,('Spell Tables'!$Z$119:$Z$123),0)),IF($T$252&gt;=O171,INDEX('Spell Tables'!$AB$97:$AB$102,MATCH(O171,('Spell Tables'!$Z$97:$Z$102),0)),IF($T$254&gt;=O171,INDEX('Spell Tables'!$AR$70:$AR$75,MATCH(O171,('Spell Tables'!$AP$70:$AP$75),0)),IF($T$256&gt;=O171,INDEX('Spell Tables'!$AF$48:$AF$63,MATCH(O171,('Spell Tables'!$AD$48:$AD$63),0)),IF($T$258&gt;=O171,INDEX('Spell Tables'!$AF$26:$AF$33,MATCH(O171,('Spell Tables'!$AD$26:$AD$33),0)),IF($T$260&gt;=O171,INDEX('Spell Tables'!$AF$2:$AF$9,MATCH(O171,('Spell Tables'!$AD$2:$AD$9),0))," "))))))))))))</calculatedColumnFormula>
    </tableColumn>
  </tableColumns>
  <tableStyleInfo name="TableStyleMedium2" showFirstColumn="0" showLastColumn="0" showRowStripes="1" showColumnStripes="0"/>
</table>
</file>

<file path=xl/tables/table1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7" xr:uid="{8278DCEF-FDF8-480B-A4B7-C25329C1B8C3}" name="Table200335449791848905314378488" displayName="Table200335449791848905314378488" ref="AJ43:AL53" headerRowCount="0" totalsRowShown="0" headerRowDxfId="9152" dataDxfId="9151">
  <tableColumns count="3">
    <tableColumn id="1" xr3:uid="{A35D5D6B-8F45-44E8-8A53-3BC16E1E7F38}" name="Column1" headerRowDxfId="9150" dataDxfId="9149"/>
    <tableColumn id="2" xr3:uid="{0E55C42F-FA1C-4958-A810-BBBA3AEB58BD}" name="Column2" headerRowDxfId="9148" dataDxfId="9147">
      <calculatedColumnFormula>RAND()</calculatedColumnFormula>
    </tableColumn>
    <tableColumn id="3" xr3:uid="{76F72D27-59D0-4CA7-879A-39F22A585B3A}" name="Column3" headerRowDxfId="9146" dataDxfId="9145">
      <calculatedColumnFormula>AN12</calculatedColumnFormula>
    </tableColumn>
  </tableColumns>
  <tableStyleInfo name="TableStyleMedium2" showFirstColumn="0" showLastColumn="0" showRowStripes="1" showColumnStripes="0"/>
</table>
</file>

<file path=xl/tables/table1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8" xr:uid="{2540DD77-8EEA-4DCC-BC03-3F30000E5120}" name="Table201336450792849906315379489" displayName="Table201336450792849906315379489" ref="AJ55:AL65" headerRowCount="0" totalsRowShown="0" headerRowDxfId="9144" dataDxfId="9143">
  <tableColumns count="3">
    <tableColumn id="1" xr3:uid="{72D6C088-5F30-4D38-8AFF-AF1E9BCD629C}" name="Column1" headerRowDxfId="9142" dataDxfId="9141">
      <calculatedColumnFormula>_xlfn.RANK.EQ(AK56,$L$308:$L$320)</calculatedColumnFormula>
    </tableColumn>
    <tableColumn id="2" xr3:uid="{B07032C1-AFF2-4440-8B5C-0EBDE9292647}" name="Column2" headerRowDxfId="9140" dataDxfId="9139">
      <calculatedColumnFormula>IF(AL56=" ", 0,RAND())</calculatedColumnFormula>
    </tableColumn>
    <tableColumn id="3" xr3:uid="{D0156BE4-8978-4DCF-9C3B-12E8A4DE49DD}" name="Column3" headerRowDxfId="9138" dataDxfId="9137">
      <calculatedColumnFormula>AO12</calculatedColumnFormula>
    </tableColumn>
  </tableColumns>
  <tableStyleInfo name="TableStyleMedium2" showFirstColumn="0" showLastColumn="0" showRowStripes="1" showColumnStripes="0"/>
</table>
</file>

<file path=xl/tables/table1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9" xr:uid="{859597E9-FAB4-4DB7-A589-F0B4026D831E}" name="Table202337451793850907320380490" displayName="Table202337451793850907320380490" ref="AJ67:AL77" headerRowCount="0" totalsRowShown="0" headerRowDxfId="9136" dataDxfId="9135">
  <tableColumns count="3">
    <tableColumn id="1" xr3:uid="{B16E0E99-22EC-4BB0-BBFF-A64F75DD8BCD}" name="Column1" headerRowDxfId="9134" dataDxfId="9133"/>
    <tableColumn id="2" xr3:uid="{086B6D25-D27B-4943-B0A8-D93DB066FEFE}" name="Column2" headerRowDxfId="9132" dataDxfId="9131">
      <calculatedColumnFormula>IF(AL68=" ", 0,RAND())</calculatedColumnFormula>
    </tableColumn>
    <tableColumn id="3" xr3:uid="{A737D50D-622B-45F2-A333-3361B2A99F5B}" name="Column3" headerRowDxfId="9130" dataDxfId="9129">
      <calculatedColumnFormula>AP12</calculatedColumnFormula>
    </tableColumn>
  </tableColumns>
  <tableStyleInfo name="TableStyleMedium2" showFirstColumn="0" showLastColumn="0" showRowStripes="1" showColumnStripes="0"/>
</table>
</file>

<file path=xl/tables/table1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0" xr:uid="{4F0C7C36-3C16-4C8E-A727-FE01267687C9}" name="Table203338452794851908321381491" displayName="Table203338452794851908321381491" ref="AJ79:AL89" headerRowCount="0" totalsRowShown="0" headerRowDxfId="9128" dataDxfId="9127">
  <tableColumns count="3">
    <tableColumn id="1" xr3:uid="{14BCB7CB-C486-42F0-B035-792934A29902}" name="Column1" headerRowDxfId="9126" dataDxfId="9125"/>
    <tableColumn id="2" xr3:uid="{B763D110-6781-4999-B6DD-B9358175BD99}" name="Column2" headerRowDxfId="9124" dataDxfId="9123"/>
    <tableColumn id="3" xr3:uid="{EDA2078B-C083-4E0E-9F97-1BC3EA2F180C}" name="Column3" headerRowDxfId="9122" dataDxfId="9121"/>
  </tableColumns>
  <tableStyleInfo name="TableStyleMedium2" showFirstColumn="0" showLastColumn="0" showRowStripes="1" showColumnStripes="0"/>
</table>
</file>

<file path=xl/tables/table1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1" xr:uid="{0036E530-26BF-423E-BA86-BAFD072D2B01}" name="Table204339453795852909322382492" displayName="Table204339453795852909322382492" ref="AJ91:AL101" headerRowCount="0" totalsRowShown="0" headerRowDxfId="9120" dataDxfId="9119">
  <tableColumns count="3">
    <tableColumn id="1" xr3:uid="{0090F8AC-D0C7-437E-851B-9C1441C2445F}" name="Column1" headerRowDxfId="9118" dataDxfId="9117"/>
    <tableColumn id="2" xr3:uid="{B1057329-0B42-4FF2-B706-B6360E6266B4}" name="Column2" headerRowDxfId="9116" dataDxfId="9115"/>
    <tableColumn id="3" xr3:uid="{2E09C741-90BE-497E-A2CC-6EC2FAE64B37}" name="Column3" headerRowDxfId="9114" dataDxfId="9113"/>
  </tableColumns>
  <tableStyleInfo name="TableStyleMedium2" showFirstColumn="0" showLastColumn="0" showRowStripes="1" showColumnStripes="0"/>
</table>
</file>

<file path=xl/tables/table1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2" xr:uid="{6DFC8BFF-B228-4EAB-97F2-F979DA2A22AA}" name="Table205340454796853910326383493" displayName="Table205340454796853910326383493" ref="AJ103:AL113" headerRowCount="0" totalsRowShown="0" headerRowDxfId="9112" dataDxfId="9111">
  <tableColumns count="3">
    <tableColumn id="1" xr3:uid="{5D21E054-B979-47AF-B2FF-47DEA1941796}" name="Column1" headerRowDxfId="9110" dataDxfId="9109"/>
    <tableColumn id="2" xr3:uid="{608C7129-DBE2-42EA-8287-4E5CE0AFDC16}" name="Column2" headerRowDxfId="9108" dataDxfId="9107"/>
    <tableColumn id="3" xr3:uid="{570E23CC-39DF-4943-9E96-C2802285B7C1}" name="Column3" headerRowDxfId="9106" dataDxfId="9105"/>
  </tableColumns>
  <tableStyleInfo name="TableStyleMedium2" showFirstColumn="0" showLastColumn="0" showRowStripes="1" showColumnStripes="0"/>
</table>
</file>

<file path=xl/tables/table1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3" xr:uid="{49E17EC8-A504-427A-A9F6-82FE426FC42C}" name="Table206341455797854911327384494" displayName="Table206341455797854911327384494" ref="AJ115:AL125" headerRowCount="0" totalsRowShown="0" headerRowDxfId="9104" dataDxfId="9103">
  <tableColumns count="3">
    <tableColumn id="1" xr3:uid="{A38AB297-7AC5-4B6E-9C4C-D497042CFF9C}" name="Column1" headerRowDxfId="9102" dataDxfId="9101"/>
    <tableColumn id="2" xr3:uid="{8D07F18B-4430-4D8F-B457-E460ADCBFFE5}" name="Column2" headerRowDxfId="9100" dataDxfId="9099"/>
    <tableColumn id="3" xr3:uid="{17163D2F-3185-40D8-B6CA-0B9F236F1626}" name="Column3" headerRowDxfId="9098" dataDxfId="9097"/>
  </tableColumns>
  <tableStyleInfo name="TableStyleMedium2" showFirstColumn="0" showLastColumn="0" showRowStripes="1" showColumnStripes="0"/>
</table>
</file>

<file path=xl/tables/table1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4" xr:uid="{776F08B6-4F26-4FE8-8D49-26A00D54792E}" name="Table207342456798855912328385495" displayName="Table207342456798855912328385495" ref="AJ127:AL137" headerRowCount="0" totalsRowShown="0" headerRowDxfId="9096" dataDxfId="9095">
  <tableColumns count="3">
    <tableColumn id="1" xr3:uid="{A64764FC-32F5-46F2-A574-54D1B746BD4D}" name="Column1" headerRowDxfId="9094" dataDxfId="9093"/>
    <tableColumn id="2" xr3:uid="{80C442C4-8D59-45CC-8F02-FA4FA4E1FE2B}" name="Column2" headerRowDxfId="9092" dataDxfId="9091"/>
    <tableColumn id="3" xr3:uid="{4FF2885F-B40C-4943-9EFE-614647292542}" name="Column3" headerRowDxfId="9090" dataDxfId="9089"/>
  </tableColumns>
  <tableStyleInfo name="TableStyleMedium2" showFirstColumn="0" showLastColumn="0" showRowStripes="1" showColumnStripes="0"/>
</table>
</file>

<file path=xl/tables/table1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5" xr:uid="{6A3AA8A9-B1F4-4EF5-B1B6-C1BAD585CF99}" name="Table208343457799856913329386496" displayName="Table208343457799856913329386496" ref="AJ139:AL149" headerRowCount="0" totalsRowShown="0" headerRowDxfId="9088" dataDxfId="9087">
  <tableColumns count="3">
    <tableColumn id="1" xr3:uid="{D72CB92C-5E2B-4535-BAA4-D1EB2B9AFBFF}" name="Column1" headerRowDxfId="9086" dataDxfId="9085"/>
    <tableColumn id="2" xr3:uid="{354927C1-3588-4AA4-81EE-0BF07C17CE32}" name="Column2" headerRowDxfId="9084" dataDxfId="9083"/>
    <tableColumn id="3" xr3:uid="{4F13208A-7176-4CA8-B6CA-CEDCFC7FF5C3}" name="Column3" headerRowDxfId="9082" dataDxfId="9081"/>
  </tableColumns>
  <tableStyleInfo name="TableStyleMedium2" showFirstColumn="0" showLastColumn="0" showRowStripes="1" showColumnStripes="0"/>
</table>
</file>

<file path=xl/tables/table1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6" xr:uid="{6BF47574-D47E-4B7A-BDA6-53F9476D4E85}" name="Table219344458800857914330387497" displayName="Table219344458800857914330387497" ref="AJ151:AL161" headerRowCount="0" totalsRowShown="0" headerRowDxfId="9080" dataDxfId="9079">
  <tableColumns count="3">
    <tableColumn id="1" xr3:uid="{C4336C4A-BB01-4273-A85A-2C9E26DDDE20}" name="Column1" headerRowDxfId="9078" dataDxfId="9077"/>
    <tableColumn id="2" xr3:uid="{E953664F-C22C-4B2F-8410-E8463BA5F823}" name="Column2" headerRowDxfId="9076" dataDxfId="9075"/>
    <tableColumn id="5" xr3:uid="{48DBB8D5-B191-4609-A314-57358024BECE}" name="Column3" headerRowDxfId="9074" dataDxfId="9073"/>
  </tableColumns>
  <tableStyleInfo name="TableStyleMedium2" showFirstColumn="0" showLastColumn="0" showRowStripes="1" showColumnStripes="0"/>
</table>
</file>

<file path=xl/tables/table1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7" xr:uid="{2BB6A7F0-2BB1-454E-BE08-820474CB0066}" name="Table220345459801858915331388498" displayName="Table220345459801858915331388498" ref="AJ163:AL173" headerRowCount="0" totalsRowShown="0" headerRowDxfId="9072" dataDxfId="9071">
  <tableColumns count="3">
    <tableColumn id="1" xr3:uid="{438BA741-1D66-4275-A597-36B18E3C2AFD}" name="Column1" headerRowDxfId="9070" dataDxfId="9069"/>
    <tableColumn id="2" xr3:uid="{F21C6C7C-0A7C-422B-B9E0-083E1021BBC1}" name="Column2" headerRowDxfId="9068" dataDxfId="9067"/>
    <tableColumn id="3" xr3:uid="{DECE56A8-CAAB-4507-A4EA-53B47EEE8F6E}" name="Column3" headerRowDxfId="9066" dataDxfId="9065"/>
  </tableColumns>
  <tableStyleInfo name="TableStyleMedium2" showFirstColumn="0" showLastColumn="0" showRowStripes="1" showColumnStripes="0"/>
</table>
</file>

<file path=xl/tables/table1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8" xr:uid="{8BEB679F-F3E2-4E65-BC86-1D7947E2CC08}" name="Table222346460802859916332389499" displayName="Table222346460802859916332389499" ref="AJ175:AL185" headerRowCount="0" totalsRowShown="0" headerRowDxfId="9064" dataDxfId="9063">
  <tableColumns count="3">
    <tableColumn id="1" xr3:uid="{2F62EF98-56BD-4594-A077-E3DF2E426832}" name="Column1" headerRowDxfId="9062" dataDxfId="9061"/>
    <tableColumn id="2" xr3:uid="{7A9A6D1B-EFF2-4F66-BD20-D014C20B8D34}" name="Column2" headerRowDxfId="9060" dataDxfId="9059"/>
    <tableColumn id="3" xr3:uid="{93D722E6-7F65-48C9-892D-5AC74B614378}" name="Column3" headerRowDxfId="9058" dataDxfId="9057"/>
  </tableColumns>
  <tableStyleInfo name="TableStyleMedium2" showFirstColumn="0" showLastColumn="0" showRowStripes="1" showColumnStripes="0"/>
</table>
</file>

<file path=xl/tables/table1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9" xr:uid="{1EB04D2D-E245-424A-9948-023CD63AEFB0}" name="Table250347461803860917333390500" displayName="Table250347461803860917333390500" ref="AJ187:AL197" headerRowCount="0" totalsRowShown="0" headerRowDxfId="9056" dataDxfId="9055">
  <tableColumns count="3">
    <tableColumn id="1" xr3:uid="{8993450C-3E5F-47A0-BD47-372ADA3FC0B7}" name="Column1" headerRowDxfId="9054" dataDxfId="9053"/>
    <tableColumn id="2" xr3:uid="{99FC0D3E-EE33-432C-B69E-874FAEFDCC56}" name="Column2" headerRowDxfId="9052" dataDxfId="9051"/>
    <tableColumn id="3" xr3:uid="{3D940A43-924A-41DF-B2D1-04231685D06F}" name="Column3" headerRowDxfId="9050" dataDxfId="9049"/>
  </tableColumns>
  <tableStyleInfo name="TableStyleMedium2" showFirstColumn="0" showLastColumn="0" showRowStripes="1" showColumnStripes="0"/>
</table>
</file>

<file path=xl/tables/table1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0" xr:uid="{1BA44A4C-8A46-4DFC-B433-8FD83048503A}" name="Table39348462804861918334391501" displayName="Table39348462804861918334391501" ref="CB1:CD7" headerRowCount="0" totalsRowShown="0" headerRowDxfId="9048" dataDxfId="9047">
  <tableColumns count="3">
    <tableColumn id="1" xr3:uid="{9EA37B5A-26E2-4B97-A4EA-C046B2396C46}" name="Column1" dataDxfId="9046"/>
    <tableColumn id="2" xr3:uid="{885F9FDF-AB84-4FD9-A813-9F375C121DDE}" name="Column2" dataDxfId="9045"/>
    <tableColumn id="3" xr3:uid="{D456D958-B172-4CFF-B44C-46F6DC645809}" name="Column3" headerRowDxfId="9044" dataDxfId="9043"/>
  </tableColumns>
  <tableStyleInfo name="TableStyleMedium2" showFirstColumn="0" showLastColumn="0" showRowStripes="1" showColumnStripes="0"/>
</table>
</file>

<file path=xl/tables/table1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1" xr:uid="{9D3AC690-0BAE-4DE6-B46E-D87274803123}" name="Table50349463805862919335392502" displayName="Table50349463805862919335392502" ref="CB29:CD34" headerRowCount="0" totalsRowShown="0" headerRowDxfId="9042" dataDxfId="9041">
  <tableColumns count="3">
    <tableColumn id="1" xr3:uid="{D67CB442-DF34-4BCF-9ADA-2BAA7573AA84}" name="Column1" headerRowDxfId="9040" dataDxfId="9039"/>
    <tableColumn id="2" xr3:uid="{791036AA-3F42-45FF-A2CB-D1F993269B12}" name="Column2" headerRowDxfId="9038" dataDxfId="9037">
      <calculatedColumnFormula>RAND()</calculatedColumnFormula>
    </tableColumn>
    <tableColumn id="3" xr3:uid="{65029F67-FE80-437B-BDD3-83772B098534}" name="Column3" headerRowDxfId="9036" dataDxfId="9035"/>
  </tableColumns>
  <tableStyleInfo name="TableStyleMedium2" showFirstColumn="0" showLastColumn="0" showRowStripes="1" showColumnStripes="0"/>
</table>
</file>

<file path=xl/tables/table1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2" xr:uid="{37E636AC-227B-4C52-BF18-A0D3D430CED3}" name="Table51350464806863920336393503" displayName="Table51350464806863920336393503" ref="CB36:CD44" headerRowCount="0" totalsRowShown="0" headerRowDxfId="9034" dataDxfId="9033">
  <tableColumns count="3">
    <tableColumn id="1" xr3:uid="{785967E1-8DEF-4DFB-BE5D-127ECEC81A2D}" name="Column1" headerRowDxfId="9032" dataDxfId="9031"/>
    <tableColumn id="2" xr3:uid="{17E0F426-E970-4F0B-9ADB-9F3E235F80E8}" name="Column2" headerRowDxfId="9030" dataDxfId="9029"/>
    <tableColumn id="3" xr3:uid="{F8A26AD2-1A62-48DC-A028-C4522FA072B0}" name="Column3" headerRowDxfId="9028" dataDxfId="9027"/>
  </tableColumns>
  <tableStyleInfo name="TableStyleMedium2" showFirstColumn="0" showLastColumn="0" showRowStripes="1" showColumnStripes="0"/>
</table>
</file>

<file path=xl/tables/table1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3" xr:uid="{F881F4C2-C76D-41F2-A9D4-3BE26BD4D14D}" name="Table52351465807864921337394504" displayName="Table52351465807864921337394504" ref="CB46:CD54" headerRowCount="0" totalsRowShown="0" headerRowDxfId="9026" dataDxfId="9025">
  <tableColumns count="3">
    <tableColumn id="1" xr3:uid="{04A4F009-2880-44CE-B351-D5F382038228}" name="Column1" headerRowDxfId="9024" dataDxfId="9023"/>
    <tableColumn id="2" xr3:uid="{12D0162C-2FBC-436C-870E-0677C52E779E}" name="Column2" headerRowDxfId="9022" dataDxfId="9021"/>
    <tableColumn id="3" xr3:uid="{DB560D32-258D-4FBE-94DB-858D9D3D429F}" name="Column3" headerRowDxfId="9020" dataDxfId="9019"/>
  </tableColumns>
  <tableStyleInfo name="TableStyleMedium2" showFirstColumn="0" showLastColumn="0" showRowStripes="1" showColumnStripes="0"/>
</table>
</file>

<file path=xl/tables/table1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4" xr:uid="{A1A2E690-BDD3-48CB-B3AD-76B11AC4F441}" name="Table53352466808865922338395505" displayName="Table53352466808865922338395505" ref="CB56:CD62" headerRowCount="0" totalsRowShown="0" headerRowDxfId="9018" dataDxfId="9017">
  <tableColumns count="3">
    <tableColumn id="1" xr3:uid="{D200B42F-695F-4618-8E6F-779F74F452F7}" name="Column1" headerRowDxfId="9016" dataDxfId="9015"/>
    <tableColumn id="2" xr3:uid="{AEDE9BD6-87A6-4C42-91B1-B0E49139E6F5}" name="Column2" headerRowDxfId="9014" dataDxfId="9013"/>
    <tableColumn id="3" xr3:uid="{3EC47B70-7A3D-4119-A033-A0A973E38F56}" name="Column3" headerRowDxfId="9012" dataDxfId="9011"/>
  </tableColumns>
  <tableStyleInfo name="TableStyleMedium2" showFirstColumn="0" showLastColumn="0" showRowStripes="1" showColumnStripes="0"/>
</table>
</file>

<file path=xl/tables/table1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5" xr:uid="{C4206671-C89F-4F62-B7A4-8ECD291223AF}" name="Table54353467809866923339396506" displayName="Table54353467809866923339396506" ref="CB64:CD70" headerRowCount="0" totalsRowShown="0" headerRowDxfId="9010" dataDxfId="9009">
  <tableColumns count="3">
    <tableColumn id="1" xr3:uid="{E02F7723-5CE3-4C23-91C8-4EA20E2F8DAC}" name="Column1" headerRowDxfId="9008" dataDxfId="9007"/>
    <tableColumn id="2" xr3:uid="{445A7FE6-07A3-44BF-AF93-443A97D5331C}" name="Column2" headerRowDxfId="9006" dataDxfId="9005"/>
    <tableColumn id="3" xr3:uid="{69ECA78E-375F-4099-B858-FBEB5D7A5054}" name="Column3" headerRowDxfId="9004" dataDxfId="9003"/>
  </tableColumns>
  <tableStyleInfo name="TableStyleMedium2" showFirstColumn="0" showLastColumn="0" showRowStripes="1" showColumnStripes="0"/>
</table>
</file>

<file path=xl/tables/table1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6" xr:uid="{AF95CE49-DE74-49E7-B641-888F062C9502}" name="Table55354468810867924340397507" displayName="Table55354468810867924340397507" ref="CB72:CD81" headerRowCount="0" totalsRowShown="0" headerRowDxfId="9002" dataDxfId="9001">
  <tableColumns count="3">
    <tableColumn id="1" xr3:uid="{67F78C33-0DFB-4043-AACF-DFFBF3D614CA}" name="Column1" headerRowDxfId="9000" dataDxfId="8999"/>
    <tableColumn id="2" xr3:uid="{F4F63BCA-625E-4F98-906F-F9859F68850D}" name="Column2" headerRowDxfId="8998" dataDxfId="8997"/>
    <tableColumn id="3" xr3:uid="{5FE02B7A-64FD-45AC-BFAD-107DB0504FEB}" name="Column3" headerRowDxfId="8996" dataDxfId="8995"/>
  </tableColumns>
  <tableStyleInfo name="TableStyleMedium2" showFirstColumn="0" showLastColumn="0" showRowStripes="1" showColumnStripes="0"/>
</table>
</file>

<file path=xl/tables/table1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7" xr:uid="{2A84C3DB-31A7-42FC-BB0F-F3739261F756}" name="Table56355469811868925341398508" displayName="Table56355469811868925341398508" ref="CB83:CD94" headerRowCount="0" totalsRowShown="0" headerRowDxfId="8994" dataDxfId="8993">
  <tableColumns count="3">
    <tableColumn id="1" xr3:uid="{F93139A5-FC27-48B2-94BE-EAD6D80FA1FF}" name="Column1" headerRowDxfId="8992" dataDxfId="8991"/>
    <tableColumn id="2" xr3:uid="{A69FA44B-DAE9-4C2D-8384-07FC2C60429F}" name="Column2" headerRowDxfId="8990" dataDxfId="8989"/>
    <tableColumn id="3" xr3:uid="{9968F5D1-3BDA-4C45-98F4-6ABA2F378DF1}" name="Column3" headerRowDxfId="8988" dataDxfId="8987"/>
  </tableColumns>
  <tableStyleInfo name="TableStyleMedium2" showFirstColumn="0" showLastColumn="0" showRowStripes="1" showColumnStripes="0"/>
</table>
</file>

<file path=xl/tables/table1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8" xr:uid="{5B11A873-DFCC-4093-8005-96ADB9C3B88F}" name="Table57356470812869926342399509" displayName="Table57356470812869926342399509" ref="CB96:CD102" headerRowCount="0" totalsRowShown="0" headerRowDxfId="8986" dataDxfId="8985">
  <tableColumns count="3">
    <tableColumn id="1" xr3:uid="{38C098AD-AB1B-410A-B4FE-FDC70377E948}" name="Column1" headerRowDxfId="8984" dataDxfId="8983"/>
    <tableColumn id="2" xr3:uid="{A3AADA8B-2721-49E1-BB23-FD07E74A3DC2}" name="Column2" headerRowDxfId="8982" dataDxfId="8981"/>
    <tableColumn id="3" xr3:uid="{77ED9FA9-9D04-475D-8207-15D96E4912A8}" name="Column3" headerRowDxfId="8980" dataDxfId="8979"/>
  </tableColumns>
  <tableStyleInfo name="TableStyleMedium2" showFirstColumn="0" showLastColumn="0" showRowStripes="1" showColumnStripes="0"/>
</table>
</file>

<file path=xl/tables/table1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9" xr:uid="{560321DA-1785-411B-AE7D-6990B4C58F2F}" name="Table58357471813870927343400510" displayName="Table58357471813870927343400510" ref="CB104:CD111" headerRowCount="0" totalsRowShown="0" headerRowDxfId="8978" dataDxfId="8977">
  <tableColumns count="3">
    <tableColumn id="1" xr3:uid="{435D67EF-2790-4CF0-89C0-5D201D2CD2FD}" name="Column1" headerRowDxfId="8976" dataDxfId="8975"/>
    <tableColumn id="2" xr3:uid="{C113BF52-68B9-49AF-9F5A-D6461953D5A0}" name="Column2" headerRowDxfId="8974" dataDxfId="8973"/>
    <tableColumn id="3" xr3:uid="{608F418B-E7AC-4866-A30A-5F3C3250254E}" name="Column3" headerRowDxfId="8972" dataDxfId="8971"/>
  </tableColumns>
  <tableStyleInfo name="TableStyleMedium2" showFirstColumn="0" showLastColumn="0" showRowStripes="1" showColumnStripes="0"/>
</table>
</file>

<file path=xl/tables/table1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0" xr:uid="{C9ECF188-A60F-422A-9E0C-756AA95E230E}" name="Table59358472814871928344401511" displayName="Table59358472814871928344401511" ref="CB113:CD119" headerRowCount="0" totalsRowShown="0" headerRowDxfId="8970" dataDxfId="8969">
  <tableColumns count="3">
    <tableColumn id="1" xr3:uid="{19E62A11-191C-4AD4-94B6-4F5651D4F452}" name="Column1" headerRowDxfId="8968" dataDxfId="8967"/>
    <tableColumn id="2" xr3:uid="{908DE128-CBAA-4549-AE8F-48022063245A}" name="Column2" headerRowDxfId="8966" dataDxfId="8965"/>
    <tableColumn id="3" xr3:uid="{D1CD301E-4959-4AB6-9D29-BFFAF87683C6}" name="Column3" headerRowDxfId="8964" dataDxfId="8963"/>
  </tableColumns>
  <tableStyleInfo name="TableStyleMedium2" showFirstColumn="0" showLastColumn="0" showRowStripes="1" showColumnStripes="0"/>
</table>
</file>

<file path=xl/tables/table1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1" xr:uid="{C6A54712-F0D8-4D1B-A5F2-A0ECD8C6DA1C}" name="Table81359473815872929345402512" displayName="Table81359473815872929345402512" ref="CB9:CD27" headerRowCount="0" totalsRowShown="0" headerRowDxfId="8962" dataDxfId="8961">
  <tableColumns count="3">
    <tableColumn id="1" xr3:uid="{B3551EFF-D3DB-49A5-B538-62E102A8F535}" name="Column1" headerRowDxfId="8960" dataDxfId="8959"/>
    <tableColumn id="2" xr3:uid="{CF3753F7-C8CA-4E16-9FFA-4F45DFBD0177}" name="Column2" headerRowDxfId="8958" dataDxfId="8957"/>
    <tableColumn id="3" xr3:uid="{87F0FE6B-696B-45F8-AFC5-9F08359557D9}" name="Column3" headerRowDxfId="8956" dataDxfId="8955">
      <calculatedColumnFormula>RAND()</calculatedColumnFormula>
    </tableColumn>
  </tableColumns>
  <tableStyleInfo name="TableStyleMedium2" showFirstColumn="0" showLastColumn="0" showRowStripes="1" showColumnStripes="0"/>
</table>
</file>

<file path=xl/tables/table1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2" xr:uid="{4856A94D-BCFD-4301-8CFE-9CA4490464A4}" name="Table264360474816873930346403513" displayName="Table264360474816873930346403513" ref="B14:B19" headerRowCount="0" totalsRowShown="0" headerRowDxfId="8954" dataDxfId="8953" tableBorderDxfId="8952">
  <tableColumns count="1">
    <tableColumn id="1" xr3:uid="{4BFA0012-3BCE-4036-A771-64C8396E3406}" name="Column1" headerRowDxfId="8951" dataDxfId="8950"/>
  </tableColumns>
  <tableStyleInfo name="TableStyleMedium2" showFirstColumn="0" showLastColumn="0" showRowStripes="1" showColumnStripes="0"/>
</table>
</file>

<file path=xl/tables/table1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3" xr:uid="{A8FC1143-5264-42D8-8C43-BF5E34781075}" name="Table265361475817874931347404514" displayName="Table265361475817874931347404514" ref="S17:S26" headerRowCount="0" totalsRowShown="0" headerRowDxfId="8949" dataDxfId="8948" tableBorderDxfId="8947">
  <tableColumns count="1">
    <tableColumn id="1" xr3:uid="{9EF293FA-1A56-4065-924A-B816A4A4B369}" name="Column1" headerRowDxfId="8946" dataDxfId="8945"/>
  </tableColumns>
  <tableStyleInfo name="TableStyleMedium2" showFirstColumn="0" showLastColumn="0" showRowStripes="1" showColumnStripes="0"/>
</table>
</file>

<file path=xl/tables/table1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4" xr:uid="{AA9A18B7-EA06-45EB-BF42-7F177C716E82}" name="Table266362476818875932348405515" displayName="Table266362476818875932348405515" ref="O75:O85" headerRowCount="0" totalsRowShown="0" headerRowDxfId="8944" dataDxfId="8943" tableBorderDxfId="8942">
  <tableColumns count="1">
    <tableColumn id="1" xr3:uid="{411B9CD3-96A0-40F9-A76B-5979279EA2CA}" name="Column1" headerRowDxfId="8941" dataDxfId="8940"/>
  </tableColumns>
  <tableStyleInfo name="TableStyleMedium2" showFirstColumn="0" showLastColumn="0" showRowStripes="1" showColumnStripes="0"/>
</table>
</file>

<file path=xl/tables/table1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5" xr:uid="{736AA9B5-AC30-4CB7-90E1-72EEB22EB0B5}" name="Table268363477819876933349406516" displayName="Table268363477819876933349406516" ref="O14:O35" headerRowCount="0" totalsRowShown="0" headerRowDxfId="8939" dataDxfId="8938" tableBorderDxfId="8937">
  <tableColumns count="1">
    <tableColumn id="1" xr3:uid="{5C92F4A1-D5E8-470F-9FAE-1D7E9C631663}" name="Column1" headerRowDxfId="8936" dataDxfId="8935"/>
  </tableColumns>
  <tableStyleInfo name="TableStyleMedium2" showFirstColumn="0" showLastColumn="0" showRowStripes="1" showColumnStripes="0"/>
</table>
</file>

<file path=xl/tables/table1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6" xr:uid="{3B5A480F-E487-4A49-98AA-BE6B42658435}" name="Table271364478820877934350407517" displayName="Table271364478820877934350407517" ref="Q14:Q30" headerRowCount="0" totalsRowShown="0" headerRowDxfId="8934" dataDxfId="8933" tableBorderDxfId="8932">
  <tableColumns count="1">
    <tableColumn id="1" xr3:uid="{DFC1A0A3-AEDE-4CA9-8C5C-2ACEA5731471}" name="Column1" headerRowDxfId="8931" dataDxfId="8930"/>
  </tableColumns>
  <tableStyleInfo name="TableStyleMedium2" showFirstColumn="0" showLastColumn="0" showRowStripes="1" showColumnStripes="0"/>
</table>
</file>

<file path=xl/tables/table1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7" xr:uid="{4413BD33-3F16-4B16-8937-323AC5BE0817}" name="Table272365479821878935351408518" displayName="Table272365479821878935351408518" ref="S10:S12" headerRowCount="0" totalsRowShown="0" headerRowDxfId="8929" dataDxfId="8928" tableBorderDxfId="8927">
  <tableColumns count="1">
    <tableColumn id="1" xr3:uid="{3286C871-F464-4CAD-BD83-D96B43D9E6D1}" name="Column1" headerRowDxfId="8926" dataDxfId="8925"/>
  </tableColumns>
  <tableStyleInfo name="TableStyleMedium2" showFirstColumn="0" showLastColumn="0" showRowStripes="1" showColumnStripes="0"/>
</table>
</file>

<file path=xl/tables/table1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8" xr:uid="{38E2C33A-B9DE-4148-B64F-9DC3FF57E0BB}" name="Table273366480822879936352409519" displayName="Table273366480822879936352409519" ref="S14:S16" headerRowCount="0" totalsRowShown="0" headerRowDxfId="8924" dataDxfId="8923" tableBorderDxfId="8922">
  <tableColumns count="1">
    <tableColumn id="1" xr3:uid="{0BEE02D7-2983-416D-A14F-DAA42503B844}" name="Column1" headerRowDxfId="8921" dataDxfId="8920"/>
  </tableColumns>
  <tableStyleInfo name="TableStyleMedium2" showFirstColumn="0" showLastColumn="0" showRowStripes="1" showColumnStripes="0"/>
</table>
</file>

<file path=xl/tables/table1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9" xr:uid="{EAB3DF25-CAC4-4364-94D9-E744143C5904}" name="Table274367481823880937353410520" displayName="Table274367481823880937353410520" ref="P14:P28" headerRowCount="0" totalsRowShown="0" headerRowDxfId="8919" dataDxfId="8918" tableBorderDxfId="8917">
  <tableColumns count="1">
    <tableColumn id="1" xr3:uid="{8B61A391-5EBC-4952-93AE-7CE8CB39F57A}" name="Column1" headerRowDxfId="8916" dataDxfId="8915"/>
  </tableColumns>
  <tableStyleInfo name="TableStyleMedium2" showFirstColumn="0" showLastColumn="0" showRowStripes="1" showColumnStripes="0"/>
</table>
</file>

<file path=xl/tables/table1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0" xr:uid="{DDE6D26F-CCDF-4E95-BF0B-93CF074434CE}" name="Table275368482824881938354411521" displayName="Table275368482824881938354411521" ref="R14:R26" headerRowCount="0" totalsRowShown="0" headerRowDxfId="8914" dataDxfId="8913" tableBorderDxfId="8912">
  <tableColumns count="1">
    <tableColumn id="1" xr3:uid="{649E0C40-F962-44E9-8518-41CA229587A3}" name="Column1" headerRowDxfId="8911" dataDxfId="8910"/>
  </tableColumns>
  <tableStyleInfo name="TableStyleMedium2" showFirstColumn="0" showLastColumn="0" showRowStripes="1" showColumnStripes="0"/>
</table>
</file>

<file path=xl/tables/table1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1" xr:uid="{747B4F01-517D-4D2B-A1B7-4520A84BA718}" name="Table276369483825882939355412522" displayName="Table276369483825882939355412522" ref="B37:P43" headerRowCount="0" totalsRowShown="0" headerRowDxfId="8909" dataDxfId="8908">
  <tableColumns count="15">
    <tableColumn id="2" xr3:uid="{DF618A0C-6CA3-4B8C-9590-659BF128DC94}" name="Column2" headerRowDxfId="8907" dataDxfId="8906"/>
    <tableColumn id="3" xr3:uid="{705ED3A6-F767-43A8-A119-220C1AD23543}" name="Column3" headerRowDxfId="8905" dataDxfId="8904"/>
    <tableColumn id="4" xr3:uid="{AF29D944-E609-44CB-B6C8-D30BB2894896}" name="Column4" headerRowDxfId="8903" dataDxfId="8902"/>
    <tableColumn id="5" xr3:uid="{EC5A8F1B-B783-4370-AA04-70CE9EBC2988}" name="Column5" headerRowDxfId="8901" dataDxfId="8900"/>
    <tableColumn id="6" xr3:uid="{1596C86D-2966-451C-B40F-C838DE94EA1C}" name="Column6" headerRowDxfId="8899" dataDxfId="8898"/>
    <tableColumn id="7" xr3:uid="{8822AC3D-0400-4329-BF13-CEBA292EE3EA}" name="Column7" headerRowDxfId="8897" dataDxfId="8896"/>
    <tableColumn id="8" xr3:uid="{18481E33-44DE-4B46-8EA3-1F430A3BE2F9}" name="Column8" headerRowDxfId="8895" dataDxfId="8894"/>
    <tableColumn id="9" xr3:uid="{4E62DF2E-6ABA-4FFF-8200-3EFF3252BAD4}" name="Column9" headerRowDxfId="8893" dataDxfId="8892"/>
    <tableColumn id="10" xr3:uid="{DDA79E39-ECFA-4D37-9351-2053F25FFCBB}" name="Column10" headerRowDxfId="8891" dataDxfId="8890">
      <calculatedColumnFormula>RANDBETWEEN(1,6)</calculatedColumnFormula>
    </tableColumn>
    <tableColumn id="11" xr3:uid="{DFDE7F6B-E598-4645-B3FE-6F978A34F040}" name="Column11" headerRowDxfId="8889" dataDxfId="8888">
      <calculatedColumnFormula>RANDBETWEEN(1,6)</calculatedColumnFormula>
    </tableColumn>
    <tableColumn id="12" xr3:uid="{FDCFC675-5930-4F1D-B38A-F3800B193DF7}" name="Column12" headerRowDxfId="8887" dataDxfId="8886">
      <calculatedColumnFormula>RANDBETWEEN(1,6)</calculatedColumnFormula>
    </tableColumn>
    <tableColumn id="13" xr3:uid="{A181F7FA-03B0-49A3-8B3B-C0944332AC12}" name="Column13" headerRowDxfId="8885" dataDxfId="8884">
      <calculatedColumnFormula>RANDBETWEEN(1,6)</calculatedColumnFormula>
    </tableColumn>
    <tableColumn id="14" xr3:uid="{2F59AEA8-9330-4C47-A939-F235C476AB66}" name="Column14" headerRowDxfId="8883" dataDxfId="8882"/>
    <tableColumn id="15" xr3:uid="{8AEF4D67-4685-4FA1-88A2-10AF64557E99}" name="Column15" headerRowDxfId="8881" dataDxfId="8880"/>
    <tableColumn id="16" xr3:uid="{3998C3BD-C1A8-4AA2-9D8D-552A53F33984}" name="Column16" headerRowDxfId="8879" dataDxfId="8878">
      <calculatedColumnFormula>VLOOKUP(O37,Table1[],2)</calculatedColumnFormula>
    </tableColumn>
  </tableColumns>
  <tableStyleInfo name="TableStyleMedium2" showFirstColumn="0" showLastColumn="0" showRowStripes="1" showColumnStripes="0"/>
</table>
</file>

<file path=xl/tables/table1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2" xr:uid="{E33FF836-7DBC-4AB4-83AC-608342DA24EC}" name="Table277370484826883940356413523" displayName="Table277370484826883940356413523" ref="B45:P51" headerRowCount="0" totalsRowShown="0" headerRowDxfId="8877" dataDxfId="8876" tableBorderDxfId="8875">
  <tableColumns count="15">
    <tableColumn id="2" xr3:uid="{5BCB544D-3666-4B10-877F-510692B75358}" name="Column2" headerRowDxfId="8874" dataDxfId="8873"/>
    <tableColumn id="3" xr3:uid="{98271A6D-3A0A-4835-8DC2-E7810CDC44BA}" name="Column3" headerRowDxfId="8872" dataDxfId="8871"/>
    <tableColumn id="4" xr3:uid="{1FFC6585-EB58-4928-A73C-639AB683E85A}" name="Column4" headerRowDxfId="8870" dataDxfId="8869"/>
    <tableColumn id="5" xr3:uid="{B45B18D5-6F2D-4CEC-AD5F-74172DAE5108}" name="Column5" headerRowDxfId="8868" dataDxfId="8867"/>
    <tableColumn id="6" xr3:uid="{32BE2405-A4B4-4D61-A1B1-2E48F967F01D}" name="Column6" headerRowDxfId="8866" dataDxfId="8865"/>
    <tableColumn id="7" xr3:uid="{1D97E172-0D0E-47FC-8A06-9D94FD7E6E6C}" name="Column7" headerRowDxfId="8864" dataDxfId="8863"/>
    <tableColumn id="8" xr3:uid="{82847531-5975-4403-B5B4-E2CB7F262703}" name="Column8" headerRowDxfId="8862" dataDxfId="8861"/>
    <tableColumn id="9" xr3:uid="{4BEA9CB5-157B-4A04-8437-5026BBE3BBAD}" name="Column9" headerRowDxfId="8860" dataDxfId="8859"/>
    <tableColumn id="10" xr3:uid="{F8F8A1D1-DE18-4225-B28A-562554CB3ABD}" name="Column10" headerRowDxfId="8858" dataDxfId="8857"/>
    <tableColumn id="11" xr3:uid="{DF6E55FB-0F0E-45D6-B0DA-E437C94659EE}" name="Column11" headerRowDxfId="8856" dataDxfId="8855"/>
    <tableColumn id="12" xr3:uid="{E91D552B-E196-4C80-987A-455951F4177D}" name="Column12" headerRowDxfId="8854" dataDxfId="8853"/>
    <tableColumn id="13" xr3:uid="{D93DCDA7-5921-401C-92C6-5202B1493CE6}" name="Column13" headerRowDxfId="8852" dataDxfId="8851"/>
    <tableColumn id="14" xr3:uid="{E3C77F7E-9C06-4B51-8F81-026ED39EE9F3}" name="Column14" headerRowDxfId="8850" dataDxfId="8849"/>
    <tableColumn id="15" xr3:uid="{2A964709-4A3C-495A-81DD-59165C9F0DA8}" name="Column15" headerRowDxfId="8848" dataDxfId="8847"/>
    <tableColumn id="16" xr3:uid="{7ECD688D-304F-460B-8E9A-7B5A0DDBDB1A}" name="Column16" headerRowDxfId="8846" dataDxfId="8845">
      <calculatedColumnFormula>IF(O45="x",SUM(P37,$P$8),P37)</calculatedColumnFormula>
    </tableColumn>
  </tableColumns>
  <tableStyleInfo name="TableStyleMedium2" showFirstColumn="0" showLastColumn="0" showRowStripes="1" showColumnStripes="0"/>
</table>
</file>

<file path=xl/tables/table1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3" xr:uid="{2BCA5984-D343-4617-8CB2-D952025D748C}" name="Table278371485827884941357414524" displayName="Table278371485827884941357414524" ref="O1:Q3" headerRowCount="0" totalsRowShown="0" headerRowDxfId="8844" dataDxfId="8843">
  <tableColumns count="3">
    <tableColumn id="15" xr3:uid="{FAA7A02B-79AA-4FAB-B0AA-9562D9E121A0}" name="Column15" headerRowDxfId="8842" dataDxfId="8841"/>
    <tableColumn id="16" xr3:uid="{8E313318-E193-4222-8C6B-C5B1F057407C}" name="Column16" headerRowDxfId="8840" dataDxfId="8839"/>
    <tableColumn id="17" xr3:uid="{431A77BF-7CD6-485D-9B93-A8A50369EE72}" name="Column17" headerRowDxfId="8838" dataDxfId="8837"/>
  </tableColumns>
  <tableStyleInfo name="TableStyleMedium2" showFirstColumn="0" showLastColumn="0" showRowStripes="1" showColumnStripes="0"/>
</table>
</file>

<file path=xl/tables/table1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4" xr:uid="{25A07B03-FC0C-4993-952E-40F685C2C2DA}" name="Table282373487829886943359415525" displayName="Table282373487829886943359415525" ref="B53:P72" headerRowCount="0" totalsRowShown="0" headerRowDxfId="8836" dataDxfId="8835">
  <tableColumns count="15">
    <tableColumn id="2" xr3:uid="{A0BC61CF-EDED-46F8-8165-D1CC4801D221}" name="Column2" headerRowDxfId="8834" dataDxfId="8833"/>
    <tableColumn id="3" xr3:uid="{7035F1F7-8F72-43E2-B54C-A93479C86052}" name="Column3" headerRowDxfId="8832" dataDxfId="8831"/>
    <tableColumn id="4" xr3:uid="{14FD5CEF-AEA2-473B-B983-3E4E010BBB51}" name="Column4" headerRowDxfId="8830" dataDxfId="8829"/>
    <tableColumn id="5" xr3:uid="{C7DE0BBD-5CEC-42B7-BDE8-4EBED15883C6}" name="Column5" headerRowDxfId="8828" dataDxfId="8827"/>
    <tableColumn id="6" xr3:uid="{CDE63AB7-8550-43F2-9035-991B4BD83C2F}" name="Column6" headerRowDxfId="8826" dataDxfId="8825"/>
    <tableColumn id="7" xr3:uid="{8F62AE81-BFF9-4FD0-8F1D-EA9D0CA5C913}" name="Column7" headerRowDxfId="8824" dataDxfId="8823"/>
    <tableColumn id="8" xr3:uid="{F9896DB4-5657-41CF-BBAA-61A47CE11367}" name="Column8" headerRowDxfId="8822" dataDxfId="8821"/>
    <tableColumn id="9" xr3:uid="{DE4E4936-6EED-4CEC-9536-2932B35361AE}" name="Column9" headerRowDxfId="8820" dataDxfId="8819"/>
    <tableColumn id="10" xr3:uid="{49E07E18-F215-4233-9BF7-0E5296F53C0E}" name="Column10" headerRowDxfId="8818" dataDxfId="8817"/>
    <tableColumn id="11" xr3:uid="{C0D6AE62-F628-4DAB-B16D-7A064EA659B7}" name="Column11" headerRowDxfId="8816" dataDxfId="8815"/>
    <tableColumn id="12" xr3:uid="{4A57FE0C-8FEF-46B3-803A-BAE7668E1142}" name="Column12" headerRowDxfId="8814" dataDxfId="8813"/>
    <tableColumn id="13" xr3:uid="{E83256F0-FEBD-4C9C-A2BB-CAB93D589A7D}" name="Column13" headerRowDxfId="8812" dataDxfId="8811"/>
    <tableColumn id="14" xr3:uid="{3747B00C-A1F7-4DA2-9668-FE271F0051ED}" name="Column14" headerRowDxfId="8810" dataDxfId="8809"/>
    <tableColumn id="15" xr3:uid="{8209F80D-B1EC-4AFC-9207-2EE8B4936458}" name="Column15" headerRowDxfId="8808" dataDxfId="8807"/>
    <tableColumn id="16" xr3:uid="{C6319442-67AD-470D-BCD3-12C7C15C1E77}" name="Column16" headerRowDxfId="8806" dataDxfId="8805"/>
  </tableColumns>
  <tableStyleInfo name="TableStyleMedium2" showFirstColumn="0" showLastColumn="0" showRowStripes="1" showColumnStripes="0"/>
</table>
</file>

<file path=xl/tables/table1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5" xr:uid="{894AC15D-F8E0-4A7A-B33F-10244FF06B5F}" name="Table283374488830887944360416526" displayName="Table283374488830887944360416526" ref="B75:B79" headerRowCount="0" totalsRowShown="0" headerRowDxfId="8804" dataDxfId="8803" tableBorderDxfId="8802">
  <tableColumns count="1">
    <tableColumn id="1" xr3:uid="{C975F404-61C6-4701-8FB7-DC8FBEA68B30}" name="Column1" headerRowDxfId="8801" dataDxfId="8800"/>
  </tableColumns>
  <tableStyleInfo name="TableStyleMedium2" showFirstColumn="0" showLastColumn="0" showRowStripes="1" showColumnStripes="0"/>
</table>
</file>

<file path=xl/tables/table1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6" xr:uid="{42CEC142-B7B6-42BB-8582-28BE239B44D5}" name="Table293375489831888945361417527" displayName="Table293375489831888945361417527" ref="AO44:AQ59" headerRowCount="0" totalsRowShown="0" headerRowDxfId="8799" dataDxfId="8798">
  <tableColumns count="3">
    <tableColumn id="1" xr3:uid="{25FDAF5F-23F1-453B-A944-3CC5FB79A448}" name="Column1" headerRowDxfId="8797" dataDxfId="8796"/>
    <tableColumn id="2" xr3:uid="{5DB823BB-DACB-4464-B1DB-87CDB0E766B4}" name="Column2" headerRowDxfId="8795" dataDxfId="8794">
      <calculatedColumnFormula>IF(#REF!=" ", 0,RAND())</calculatedColumnFormula>
    </tableColumn>
    <tableColumn id="3" xr3:uid="{CA7882E0-5DB9-44D6-A9FA-E11345E0946D}" name="Column3" headerRowDxfId="8793" dataDxfId="8792">
      <calculatedColumnFormula>O28</calculatedColumnFormula>
    </tableColumn>
  </tableColumns>
  <tableStyleInfo name="TableStyleMedium2" showFirstColumn="0" showLastColumn="0" showRowStripes="1" showColumnStripes="0"/>
</table>
</file>

<file path=xl/tables/table1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9" xr:uid="{D1837A08-FBCF-4EA5-9FAD-D9982F75C858}" name="Table302378492834891948364420530" displayName="Table302378492834891948364420530" ref="B102:P109" headerRowCount="0" totalsRowShown="0" headerRowDxfId="8791" dataDxfId="8790" tableBorderDxfId="8789">
  <tableColumns count="15">
    <tableColumn id="2" xr3:uid="{373F0D53-A7D7-4E35-B9FB-53CFB1FB0BED}" name="Column2" headerRowDxfId="8788" dataDxfId="8787"/>
    <tableColumn id="3" xr3:uid="{F6BDC16D-FFDD-4958-B766-23F473FE0BC0}" name="Column3" headerRowDxfId="8786" dataDxfId="8785"/>
    <tableColumn id="4" xr3:uid="{2A3F83ED-E9F7-4EAA-A703-0ADBF07A343F}" name="Column4" headerRowDxfId="8784" dataDxfId="8783"/>
    <tableColumn id="5" xr3:uid="{C2720128-E958-4807-BAEC-E98DA1128A9C}" name="Column5" headerRowDxfId="8782" dataDxfId="8781"/>
    <tableColumn id="6" xr3:uid="{33E827C7-D48C-4847-859E-C6328A705F47}" name="Column6" headerRowDxfId="8780" dataDxfId="8779"/>
    <tableColumn id="7" xr3:uid="{D4431540-89EF-4770-85A3-C26725471938}" name="Column7" headerRowDxfId="8778" dataDxfId="8777"/>
    <tableColumn id="8" xr3:uid="{6988B4FF-D3F3-42C1-A273-EC1192E817BA}" name="Column8" headerRowDxfId="8776" dataDxfId="8775"/>
    <tableColumn id="9" xr3:uid="{1C288FA0-9B09-49EA-A7CA-48611DFBA2E1}" name="Column9" headerRowDxfId="8774" dataDxfId="8773"/>
    <tableColumn id="10" xr3:uid="{1D4893C4-6B67-415F-B4DA-50E8D9DBB199}" name="Column10" headerRowDxfId="8772" dataDxfId="8771"/>
    <tableColumn id="11" xr3:uid="{BAB3CB6C-AF49-416A-B983-3465549A4854}" name="Column11" headerRowDxfId="8770" dataDxfId="8769"/>
    <tableColumn id="12" xr3:uid="{34AD2763-3F27-412B-A424-9CBCE1947B90}" name="Column12" headerRowDxfId="8768" dataDxfId="8767"/>
    <tableColumn id="13" xr3:uid="{5F4E6DD4-A861-4900-8A37-6D5700869DF5}" name="Column13" headerRowDxfId="8766" dataDxfId="8765"/>
    <tableColumn id="14" xr3:uid="{6A2EA47F-83E7-416D-A098-792BA85CCBDE}" name="Column14" headerRowDxfId="8764" dataDxfId="8763"/>
    <tableColumn id="15" xr3:uid="{28FB7148-D388-4014-8414-66EC93D704E8}" name="Column15" headerRowDxfId="8762" dataDxfId="8761"/>
    <tableColumn id="16" xr3:uid="{DE013C8B-AD66-47CD-ADBF-0E967B4C7733}" name="Column16" headerRowDxfId="8760" dataDxfId="8759"/>
  </tableColumns>
  <tableStyleInfo name="TableStyleMedium2" showFirstColumn="0" showLastColumn="0" showRowStripes="1" showColumnStripes="0"/>
</table>
</file>

<file path=xl/tables/table1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0" xr:uid="{8E386C82-4A62-4058-81F4-F82DD4BFAB0B}" name="Table303379493835892949365421531" displayName="Table303379493835892949365421531" ref="Q102:Q107" headerRowCount="0" totalsRowShown="0" headerRowDxfId="8758" dataDxfId="8757" tableBorderDxfId="8756">
  <tableColumns count="1">
    <tableColumn id="1" xr3:uid="{42181367-F262-4CF7-BA2F-EAAB96D00909}" name="Column1" headerRowDxfId="8755" dataDxfId="8754"/>
  </tableColumns>
  <tableStyleInfo name="TableStyleMedium2" showFirstColumn="0" showLastColumn="0" showRowStripes="1" showColumnStripes="0"/>
</table>
</file>

<file path=xl/tables/table1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1" xr:uid="{3DD941BB-375D-473A-8A1B-BF76FFBD02DB}" name="Table304380494836893950366422532" displayName="Table304380494836893950366422532" ref="R102:R103" headerRowCount="0" totalsRowShown="0" headerRowDxfId="8753" dataDxfId="8752" tableBorderDxfId="8751">
  <tableColumns count="1">
    <tableColumn id="1" xr3:uid="{B5689D08-102E-4B0E-B0BB-67B2DB9948E9}" name="Column1" headerRowDxfId="8750" dataDxfId="8749"/>
  </tableColumns>
  <tableStyleInfo name="TableStyleMedium2" showFirstColumn="0" showLastColumn="0" showRowStripes="1" showColumnStripes="0"/>
</table>
</file>

<file path=xl/tables/table1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2" xr:uid="{47D7E617-CCAD-432C-9C5F-A44C64C03104}" name="Table305381495837894951367423533" displayName="Table305381495837894951367423533" ref="R104:R105" headerRowCount="0" totalsRowShown="0" headerRowDxfId="8748" dataDxfId="8747" tableBorderDxfId="8746">
  <tableColumns count="1">
    <tableColumn id="1" xr3:uid="{1E918E27-4843-4FAB-8C1D-454BD3E91365}" name="Column1" headerRowDxfId="8745" dataDxfId="8744">
      <calculatedColumnFormula>IF(COUNTIF(B91:B93,"*"&amp;"sling"&amp;"*"),RANDBETWEEN(6,13)&amp;" Sling Bullets"," ")</calculatedColumnFormula>
    </tableColumn>
  </tableColumns>
  <tableStyleInfo name="TableStyleMedium2" showFirstColumn="0" showLastColumn="0" showRowStripes="1" showColumnStripes="0"/>
</table>
</file>

<file path=xl/tables/table1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3" xr:uid="{744A66EB-88DB-48DF-9231-4BD76D0A4781}" name="Table306382496838895952368424534" displayName="Table306382496838895952368424534" ref="R106:R107" headerRowCount="0" totalsRowShown="0" headerRowDxfId="8743" dataDxfId="8742" tableBorderDxfId="8741">
  <tableColumns count="1">
    <tableColumn id="1" xr3:uid="{811A15E3-6DE6-4AD9-A896-96A7961E88B6}" name="Column1" headerRowDxfId="8740" dataDxfId="8739">
      <calculatedColumnFormula>IF(COUNTIF(B91:B93,"*"&amp;"longbow"&amp;"*"),RANDBETWEEN(10,24)&amp;" Arrows",IF(COUNTIF(B91:B93,"*"&amp;"shortbow"&amp;"*"),RANDBETWEEN(10,24)&amp;" Arrows",IF(COUNTIF(B91:B93,"*"&amp;"light crossbow"&amp;"*"),RANDBETWEEN(10,24)&amp;" Bolts",IF(COUNTIF(B91:B93,"*"&amp;"hand crossbow"&amp;"*"),RANDBETWEEN(10,24)&amp;" Bolts",IF(COUNTIF(B91:B93,"*"&amp;"heavy crossbow"&amp;"*"),RANDBETWEEN(10,24)&amp;" Bolts"," ")))))</calculatedColumnFormula>
    </tableColumn>
  </tableColumns>
  <tableStyleInfo name="TableStyleMedium2" showFirstColumn="0" showLastColumn="0" showRowStripes="1" showColumnStripes="0"/>
</table>
</file>

<file path=xl/tables/table1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0" xr:uid="{B010EFA1-27DA-4CB6-A61E-0ABDCECCE685}" name="Table300376490832889946362418294941" displayName="Table300376490832889946362418294941" ref="B88:T90" headerRowCount="0" totalsRowShown="0" headerRowDxfId="8738" dataDxfId="8737" tableBorderDxfId="8736">
  <tableColumns count="19">
    <tableColumn id="2" xr3:uid="{6479C955-CCFF-4626-B2D4-2B3250CA1714}" name="Column2" headerRowDxfId="8735" dataDxfId="8734"/>
    <tableColumn id="3" xr3:uid="{3161946A-30C0-412E-AE16-78133686DF40}" name="Column3" headerRowDxfId="8733" dataDxfId="8732"/>
    <tableColumn id="4" xr3:uid="{DE30E608-EC30-4FB4-9C77-5D307A741589}" name="Column4" headerRowDxfId="8731" dataDxfId="8730"/>
    <tableColumn id="5" xr3:uid="{6F30AC08-DB4E-4858-879F-27C4D4A7DE44}" name="Column5" headerRowDxfId="8729" dataDxfId="8728"/>
    <tableColumn id="6" xr3:uid="{6F44A59B-BBCD-4EF4-89F3-A07DB1CC6271}" name="Column6" headerRowDxfId="8727" dataDxfId="8726"/>
    <tableColumn id="7" xr3:uid="{D5440E4D-BD2B-46CB-AE24-245D5A36657A}" name="Column7" headerRowDxfId="8725" dataDxfId="8724"/>
    <tableColumn id="8" xr3:uid="{22288C4E-531F-43E9-B7CF-8EC922159CFF}" name="Column8" headerRowDxfId="8723" dataDxfId="8722"/>
    <tableColumn id="9" xr3:uid="{9939C518-624E-426D-9435-67E3344FDF71}" name="Column9" headerRowDxfId="8721" dataDxfId="8720"/>
    <tableColumn id="10" xr3:uid="{FCD58416-BC30-4CEB-9666-6860C8DCCC7D}" name="Column10" headerRowDxfId="8719" dataDxfId="8718"/>
    <tableColumn id="11" xr3:uid="{582E89A1-D393-40E7-BDB9-D81AFDC902C0}" name="Column11" headerRowDxfId="8717" dataDxfId="8716"/>
    <tableColumn id="12" xr3:uid="{70FCC7CF-3AEF-4F34-B40B-C5043C43CD48}" name="Column12" headerRowDxfId="8715" dataDxfId="8714"/>
    <tableColumn id="13" xr3:uid="{401809BC-FF88-4FD0-8162-EF51AEAFA8AF}" name="Column13" headerRowDxfId="8713" dataDxfId="8712"/>
    <tableColumn id="14" xr3:uid="{7B79C7F2-A8E8-4139-810B-11E3EF4CDC7A}" name="Column14" headerRowDxfId="8711" dataDxfId="8710"/>
    <tableColumn id="15" xr3:uid="{136E765C-9D96-474A-98B6-8E9C94E009C3}" name="Column15" headerRowDxfId="8709" dataDxfId="8708"/>
    <tableColumn id="16" xr3:uid="{4937FB32-C2F3-4E21-8743-C3A4FFB6C78C}" name="Column16" headerRowDxfId="8707" dataDxfId="8706"/>
    <tableColumn id="17" xr3:uid="{4929980C-F4FF-43DC-AD39-D86090C21332}" name="Column17" headerRowDxfId="8705" dataDxfId="8704"/>
    <tableColumn id="18" xr3:uid="{E711C73A-4084-4796-9A38-95E6EA492DB2}" name="Column18" headerRowDxfId="8703" dataDxfId="8702"/>
    <tableColumn id="19" xr3:uid="{8B8F99D6-AAE8-4487-9C4D-4BC8FCE63B11}" name="Column19" headerRowDxfId="8701" dataDxfId="8700"/>
    <tableColumn id="20" xr3:uid="{C52E33DA-F725-49DC-ABA6-B2175597EBB5}" name="Column20" headerRowDxfId="8699" dataDxfId="8698"/>
  </tableColumns>
  <tableStyleInfo name="TableStyleMedium2" showFirstColumn="0" showLastColumn="0" showRowStripes="1" showColumnStripes="0"/>
</table>
</file>

<file path=xl/tables/table1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1" xr:uid="{B41E9D21-AF81-49E5-A96D-B3B7F25C02E8}" name="Table301377491833890947363419301942" displayName="Table301377491833890947363419301942" ref="B91:S100" headerRowCount="0" totalsRowShown="0" headerRowDxfId="8697" dataDxfId="8696" tableBorderDxfId="8695">
  <tableColumns count="18">
    <tableColumn id="2" xr3:uid="{5EC13E0E-2D74-4628-BE78-0EEDD11D0D8F}" name="Column2" headerRowDxfId="8694" dataDxfId="8693"/>
    <tableColumn id="3" xr3:uid="{847DCC78-22AD-4C9C-B7DB-50ABAEAF4853}" name="Column3" headerRowDxfId="8692" dataDxfId="8691"/>
    <tableColumn id="4" xr3:uid="{42C6E349-6B7A-47CB-9398-72AB316CAFA0}" name="Column4" headerRowDxfId="8690" dataDxfId="8689"/>
    <tableColumn id="5" xr3:uid="{DEC9E247-1AAC-422A-8242-A06801B0F109}" name="Column5" headerRowDxfId="8688" dataDxfId="8687"/>
    <tableColumn id="6" xr3:uid="{10462E29-5501-462E-ABD3-3D8A41478640}" name="Column6" headerRowDxfId="8686" dataDxfId="8685"/>
    <tableColumn id="7" xr3:uid="{B5814D16-B51C-4314-A816-C02C6A78290E}" name="Column7" headerRowDxfId="8684" dataDxfId="8683"/>
    <tableColumn id="8" xr3:uid="{0B5F94C0-A34D-42D7-BDCC-6931548A3A37}" name="Column8" headerRowDxfId="8682" dataDxfId="8681"/>
    <tableColumn id="9" xr3:uid="{1C3BC211-306C-4A91-992E-C4D389017A9E}" name="Column9" headerRowDxfId="8680" dataDxfId="8679"/>
    <tableColumn id="10" xr3:uid="{71877F20-6635-4EDB-8142-55CB3B1C636F}" name="Column10" headerRowDxfId="8678" dataDxfId="8677"/>
    <tableColumn id="11" xr3:uid="{30E39AFA-E429-4120-91E2-DCB1BA738EED}" name="Column11" headerRowDxfId="8676" dataDxfId="8675"/>
    <tableColumn id="12" xr3:uid="{67300E78-4249-457F-BCB4-3CF46D8C5A64}" name="Column12" headerRowDxfId="8674" dataDxfId="8673"/>
    <tableColumn id="13" xr3:uid="{4ED5E18F-BA9B-46EF-BA25-A1935CFB023A}" name="Column13" headerRowDxfId="8672" dataDxfId="8671"/>
    <tableColumn id="14" xr3:uid="{F1BE24A6-3EE3-48A8-99A6-A54761722B78}" name="Column14" headerRowDxfId="8670" dataDxfId="8669"/>
    <tableColumn id="15" xr3:uid="{217C8988-0101-4146-B72A-6B88347F93E3}" name="Column15" headerRowDxfId="8668" dataDxfId="8667"/>
    <tableColumn id="16" xr3:uid="{F31022BD-3C0E-4F71-AAB9-20A8DBD4EE77}" name="Column16" headerRowDxfId="8666" dataDxfId="8665"/>
    <tableColumn id="17" xr3:uid="{16CFDEDF-9080-4E08-B0C7-09C04E9B8898}" name="Column17" headerRowDxfId="8664" dataDxfId="8663"/>
    <tableColumn id="18" xr3:uid="{65141CC0-8D62-425D-AA9A-CC6C3825CA0B}" name="Column18" headerRowDxfId="8662" dataDxfId="8661"/>
    <tableColumn id="19" xr3:uid="{CA60E826-C31A-48DD-BC2D-BD2A2B2305B0}" name="Column19" headerRowDxfId="8660" dataDxfId="8659"/>
  </tableColumns>
  <tableStyleInfo name="TableStyleMedium2" showFirstColumn="0" showLastColumn="0" showRowStripes="1" showColumnStripes="0"/>
</table>
</file>

<file path=xl/tables/table1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4" xr:uid="{6E03247D-5192-4086-AC71-7472C7CF6801}" name="Table4832644078283989661369535" displayName="Table4832644078283989661369535" ref="B113:R116" headerRowCount="0" totalsRowShown="0" headerRowDxfId="8658" dataDxfId="8657">
  <tableColumns count="17">
    <tableColumn id="2" xr3:uid="{25124D3F-BB0D-4851-8025-1F390D1F302E}" name="Column1" headerRowDxfId="8656" dataDxfId="8655"/>
    <tableColumn id="3" xr3:uid="{682C8E2B-55A2-49DE-A596-18D209DA5C56}" name="Column2" headerRowDxfId="8654" dataDxfId="8653"/>
    <tableColumn id="4" xr3:uid="{4BC7D4DE-4DD4-4FC6-B990-372FF043EAF0}" name="Column3" headerRowDxfId="8652" dataDxfId="8651"/>
    <tableColumn id="5" xr3:uid="{5AF3086E-7EEF-4317-AA47-FE733D230F15}" name="Column4" headerRowDxfId="8650" dataDxfId="8649"/>
    <tableColumn id="6" xr3:uid="{6111A640-B6BD-4496-AB7D-E272C0874510}" name="Column5" headerRowDxfId="8648" dataDxfId="8647"/>
    <tableColumn id="7" xr3:uid="{89B82F3C-02EB-4F51-A111-1AC0F5E439A0}" name="Column6" headerRowDxfId="8646" dataDxfId="8645"/>
    <tableColumn id="8" xr3:uid="{D8CC9AFA-3A88-4298-99BD-E8488023D0ED}" name="Column7" headerRowDxfId="8644" dataDxfId="8643"/>
    <tableColumn id="9" xr3:uid="{45E23F85-8C9F-4779-81F4-C2BB1C83C647}" name="Column8" headerRowDxfId="8642" dataDxfId="8641"/>
    <tableColumn id="10" xr3:uid="{D7191505-65D0-4AD3-923C-E130C04386D6}" name="Column9" headerRowDxfId="8640" dataDxfId="8639"/>
    <tableColumn id="11" xr3:uid="{8B21492C-1389-42AA-9B6F-B60DF9CFC408}" name="Column10" headerRowDxfId="8638" dataDxfId="8637"/>
    <tableColumn id="12" xr3:uid="{C6639ED0-4F04-4765-83EE-A2DEF503B09F}" name="Column11" headerRowDxfId="8636" dataDxfId="8635"/>
    <tableColumn id="13" xr3:uid="{27A6D587-A369-4852-81D0-A39C9082841E}" name="Column12" headerRowDxfId="8634" dataDxfId="8633"/>
    <tableColumn id="14" xr3:uid="{639BA928-7BE9-4EA4-A523-1CD8CB6BDF67}" name="Column13" headerRowDxfId="8632" dataDxfId="8631"/>
    <tableColumn id="15" xr3:uid="{0B3CB997-4579-40CB-A94B-B847368899B9}" name="Cantrip" headerRowDxfId="8630" dataDxfId="8629"/>
    <tableColumn id="16" xr3:uid="{8451F2D4-7686-4DFF-B149-51CE010FE140}" name="1st Level" headerRowDxfId="8628" dataDxfId="8627"/>
    <tableColumn id="17" xr3:uid="{5F727574-D060-433C-9062-C6F19B1A10D1}" name="2nd Level" headerRowDxfId="8626" dataDxfId="8625"/>
    <tableColumn id="1" xr3:uid="{07494886-2658-4C3A-A3F6-CD7A61393A29}" name="Column14" headerRowDxfId="8624" dataDxfId="8623"/>
  </tableColumns>
  <tableStyleInfo name="TableStyleMedium2" showFirstColumn="0" showLastColumn="0" showRowStripes="1" showColumnStripes="0"/>
</table>
</file>

<file path=xl/tables/table1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5" xr:uid="{692E0B7E-9DFA-43A7-BEAA-52EA43E37E9D}" name="Table4932744178384089762370536" displayName="Table4932744178384089762370536" ref="B120:T129" headerRowCount="0" headerRowDxfId="8622" dataDxfId="8621" totalsRowDxfId="8620">
  <tableColumns count="19">
    <tableColumn id="2" xr3:uid="{538EDAF9-59EF-4765-8EF8-96A49EDE0CB6}" name="Column1" headerRowDxfId="8619" dataDxfId="8618"/>
    <tableColumn id="3" xr3:uid="{E9910BE3-BF7A-4E2E-B71B-4C65E8AF0A5D}" name="Column2" headerRowDxfId="8617" dataDxfId="8616" totalsRowDxfId="8615"/>
    <tableColumn id="4" xr3:uid="{0C6617C3-B676-462B-A149-11E0BF9101E5}" name="Column3" headerRowDxfId="8614" dataDxfId="8613" totalsRowDxfId="8612"/>
    <tableColumn id="5" xr3:uid="{08F32DF8-7544-4539-8885-5BD0F5F74E54}" name="Column4" headerRowDxfId="8611" dataDxfId="8610" totalsRowDxfId="8609"/>
    <tableColumn id="6" xr3:uid="{B1FE7239-67A9-4346-B636-035D64BD66B2}" name="Column5" headerRowDxfId="8608" dataDxfId="8607" totalsRowDxfId="8606"/>
    <tableColumn id="7" xr3:uid="{9442762C-6F3B-423B-9473-E284302224FD}" name="Column6" headerRowDxfId="8605" dataDxfId="8604" totalsRowDxfId="8603"/>
    <tableColumn id="8" xr3:uid="{90EE6982-E2AF-466D-9154-2C365913D8C5}" name="Column7" headerRowDxfId="8602" dataDxfId="8601" totalsRowDxfId="8600"/>
    <tableColumn id="9" xr3:uid="{F1F9082E-186C-4769-A161-186C4591E358}" name="Column8" headerRowDxfId="8599" dataDxfId="8598" totalsRowDxfId="8597"/>
    <tableColumn id="10" xr3:uid="{FA02DB68-2D91-4DBC-801B-B9D5274CA4BF}" name="Column9" headerRowDxfId="8596" dataDxfId="8595" totalsRowDxfId="8594"/>
    <tableColumn id="11" xr3:uid="{F4CA8166-EFDD-4B95-A555-1413FFB3F113}" name="Column10" headerRowDxfId="8593" dataDxfId="8592" totalsRowDxfId="8591"/>
    <tableColumn id="12" xr3:uid="{755F0B3F-EE7B-497D-B75D-0A8E51D953A1}" name="Column11" headerRowDxfId="8590" dataDxfId="8589" totalsRowDxfId="8588"/>
    <tableColumn id="13" xr3:uid="{E523797B-FAB8-41D0-8936-C27183E0579E}" name="Column12" headerRowDxfId="8587" dataDxfId="8586" totalsRowDxfId="8585"/>
    <tableColumn id="14" xr3:uid="{E8BE3F38-CE6F-40EC-8985-60AAAD102F2F}" name="Column13" headerRowDxfId="8584" dataDxfId="8583" totalsRowDxfId="8582"/>
    <tableColumn id="15" xr3:uid="{48E9EAE6-D7DA-4E70-90DF-90E804B8AA50}" name="Cantrip" headerRowDxfId="8581" dataDxfId="8580"/>
    <tableColumn id="16" xr3:uid="{F47176B9-E319-4666-BE4B-49D0CC09469A}" name="1st Level" headerRowDxfId="8579" dataDxfId="8578"/>
    <tableColumn id="17" xr3:uid="{BC11A8EC-C861-4C82-9C33-B955C5C2F4C1}" name="2nd Level" headerRowDxfId="8577" dataDxfId="8576"/>
    <tableColumn id="18" xr3:uid="{DEE97DAA-F758-41C7-B548-6D8BE0BE821D}" name="3rd Level" headerRowDxfId="8575" dataDxfId="8574"/>
    <tableColumn id="19" xr3:uid="{339EF2B4-DEDB-4C6C-AD26-772DF3678463}" name="4th Level" headerRowDxfId="8573" dataDxfId="8572"/>
    <tableColumn id="1" xr3:uid="{5F47FA81-6DCD-46C5-B401-318C981ED24B}" name="Column14" headerRowDxfId="8571" dataDxfId="8570" totalsRowDxfId="8569"/>
  </tableColumns>
  <tableStyleInfo name="TableStyleMedium2" showFirstColumn="0" showLastColumn="0" showRowStripes="1" showColumnStripes="0"/>
</table>
</file>

<file path=xl/tables/table1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6" xr:uid="{AFD409AA-BDF2-46A7-9868-F17744E53363}" name="Table62328442784841898268371537" displayName="Table62328442784841898268371537" ref="B171:T202" headerRowCount="0" headerRowDxfId="8568" dataDxfId="8567" totalsRowDxfId="8565" tableBorderDxfId="8566">
  <tableColumns count="19">
    <tableColumn id="2" xr3:uid="{6CDC637A-BDD1-48A3-AA02-692D3247C69E}" name="Column2" headerRowDxfId="8564" dataDxfId="8563" totalsRowDxfId="8562"/>
    <tableColumn id="3" xr3:uid="{884218FF-A1C1-4FAD-AB66-55B6BC6607AD}" name="Column3" headerRowDxfId="8561" dataDxfId="8560" totalsRowDxfId="8559"/>
    <tableColumn id="4" xr3:uid="{3A62B2B2-4614-43B2-96EC-CB77B8B09F74}" name="Column4" headerRowDxfId="8558" dataDxfId="8557" totalsRowDxfId="8556"/>
    <tableColumn id="5" xr3:uid="{71EB4D94-D535-4A42-ADF6-000E878C6D21}" name="Column5" headerRowDxfId="8555" dataDxfId="8554" totalsRowDxfId="8553"/>
    <tableColumn id="6" xr3:uid="{F5067D6D-7531-4ACD-B153-75837EA2E2DF}" name="Column6" headerRowDxfId="8552" dataDxfId="8551" totalsRowDxfId="8550"/>
    <tableColumn id="7" xr3:uid="{60BC86D1-33BC-496F-805E-C24691E4036F}" name="Column7" headerRowDxfId="8549" dataDxfId="8548" totalsRowDxfId="8547"/>
    <tableColumn id="8" xr3:uid="{A74F6CE5-2886-430D-8613-1D02F57F341C}" name="Column8" headerRowDxfId="8546" dataDxfId="8545" totalsRowDxfId="8544"/>
    <tableColumn id="9" xr3:uid="{49750C70-877C-46F2-947E-16EA964016E7}" name="Column9" headerRowDxfId="8543" dataDxfId="8542" totalsRowDxfId="8541"/>
    <tableColumn id="10" xr3:uid="{54DCACAA-D51E-46D6-9FF7-E347B4DA5AAF}" name="Column10" headerRowDxfId="8540" dataDxfId="8539" totalsRowDxfId="8538"/>
    <tableColumn id="11" xr3:uid="{EF04CCAA-0D19-4D07-8632-B14A088BB375}" name="Column11" headerRowDxfId="8537" dataDxfId="8536" totalsRowDxfId="8535"/>
    <tableColumn id="12" xr3:uid="{6013E4E7-91EB-4E26-AA0D-9B6D7E574842}" name="Column12" headerRowDxfId="8534" dataDxfId="8533" totalsRowDxfId="8532"/>
    <tableColumn id="13" xr3:uid="{E743A4E9-A805-4EE2-94D6-8FB7BB8C260D}" name="Column13" headerRowDxfId="8531" dataDxfId="8530" totalsRowDxfId="8529"/>
    <tableColumn id="14" xr3:uid="{C7C8AAC6-894B-4253-BB43-DEB80ABE7BBC}" name="Column14" headerRowDxfId="8528" dataDxfId="8527" totalsRowDxfId="8526"/>
    <tableColumn id="15" xr3:uid="{18527FDD-DC49-4F32-91AA-C016CAFFFDC9}" name="Column15" headerRowDxfId="8525" dataDxfId="8524" totalsRowDxfId="8523"/>
    <tableColumn id="16" xr3:uid="{5ED81EC8-A2E5-44A9-A65A-83330FB4C320}" name="Column16" headerRowDxfId="8522" dataDxfId="8521" totalsRowDxfId="8520"/>
    <tableColumn id="17" xr3:uid="{5C65F116-A861-4A06-A9E0-B35A4B4A3922}" name="Column17" headerRowDxfId="8519" dataDxfId="8518" totalsRowDxfId="8517"/>
    <tableColumn id="18" xr3:uid="{99DD5F9C-C09C-4B28-B207-4782DD1C885D}" name="Column18" headerRowDxfId="8516" dataDxfId="8515" totalsRowDxfId="8514"/>
    <tableColumn id="19" xr3:uid="{EEEDCE24-C80C-4D99-BA35-B5060F0F9744}" name="Column19" headerRowDxfId="8513" dataDxfId="8512" totalsRowDxfId="8511"/>
    <tableColumn id="1" xr3:uid="{FD82FA08-27EB-461B-86D9-418A0CA1A12A}" name="Column1" headerRowDxfId="8510" dataDxfId="8509" totalsRowDxfId="8508"/>
  </tableColumns>
  <tableStyleInfo name="TableStyleMedium2" showFirstColumn="0" showLastColumn="0" showRowStripes="1" showColumnStripes="0"/>
</table>
</file>

<file path=xl/tables/table1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7" xr:uid="{4755805B-3DB9-457B-8BCE-0A1A26785359}" name="Table64329443785842899270372538" displayName="Table64329443785842899270372538" ref="B307:T324" headerRowCount="0" totalsRowShown="0" headerRowDxfId="8507" dataDxfId="8506">
  <tableColumns count="19">
    <tableColumn id="2" xr3:uid="{F6E729B7-BB09-48F8-8999-401A2AAA60B3}" name="Column2" headerRowDxfId="8505" dataDxfId="8504"/>
    <tableColumn id="3" xr3:uid="{B164E1F2-36D9-4673-B17F-3CFD32AEAAC6}" name="Column3" headerRowDxfId="8503" dataDxfId="8502"/>
    <tableColumn id="4" xr3:uid="{06115120-8F70-46B5-8557-DC370F04BDCF}" name="Column4" headerRowDxfId="8501" dataDxfId="8500"/>
    <tableColumn id="5" xr3:uid="{944F3C8A-B7A6-4DE2-8DFC-F6FCFC798F52}" name="Column5" headerRowDxfId="8499" dataDxfId="8498"/>
    <tableColumn id="6" xr3:uid="{56B11FDA-7101-4231-A5E8-5C31E7287B82}" name="Column6" headerRowDxfId="8497" dataDxfId="8496"/>
    <tableColumn id="7" xr3:uid="{A4C66B59-35AC-4FC8-8A0B-6C0A0D6E8A72}" name="Column7" headerRowDxfId="8495" dataDxfId="8494"/>
    <tableColumn id="8" xr3:uid="{53C35BD0-83D9-4CB4-B06C-E6AC81D23A90}" name="Column8" headerRowDxfId="8493" dataDxfId="8492"/>
    <tableColumn id="9" xr3:uid="{4FDFECF2-0466-4B61-A3A8-EAB1437207A6}" name="Column9" headerRowDxfId="8491" dataDxfId="8490"/>
    <tableColumn id="10" xr3:uid="{6CA6C0C1-421B-4296-A1AF-FD6A094DB590}" name="Column10" headerRowDxfId="8489" dataDxfId="8488"/>
    <tableColumn id="11" xr3:uid="{63385460-AEF0-4233-901D-30B454564ACD}" name="Column11" headerRowDxfId="8487" dataDxfId="8486"/>
    <tableColumn id="12" xr3:uid="{C5DCD94C-17F0-40CF-AA97-4725E9605888}" name="Column12" headerRowDxfId="8485" dataDxfId="8484"/>
    <tableColumn id="13" xr3:uid="{132BCAA7-D316-44A4-A8FB-80347D28B1CE}" name="Column13" headerRowDxfId="8483" dataDxfId="8482"/>
    <tableColumn id="14" xr3:uid="{1E2CC3C4-107C-43D6-81EA-7670571E070D}" name="Column14" headerRowDxfId="8481" dataDxfId="8480"/>
    <tableColumn id="15" xr3:uid="{D070997A-7890-40FC-B9A0-925EC46E3A18}" name="Column15" headerRowDxfId="8479" dataDxfId="8478"/>
    <tableColumn id="16" xr3:uid="{B33E4955-75FA-425E-875F-BDC0C3EF54B6}" name="Column16" headerRowDxfId="8477" dataDxfId="8476">
      <calculatedColumnFormula>IF($Q$324&gt;=O322,INDEX('Spell Tables'!$T$242:$T$271,MATCH(O322,('Spell Tables'!$R$242:$R$271),0))," ")</calculatedColumnFormula>
    </tableColumn>
    <tableColumn id="17" xr3:uid="{9EDD3B58-3D8D-4245-8884-B6252E058591}" name="Column17" headerRowDxfId="8475" dataDxfId="8474">
      <calculatedColumnFormula>IF($R$324&gt;=O322,INDEX('Spell Tables'!$X$242:$X$275,MATCH(O322,('Spell Tables'!$V$242:$V$275),0))," ")</calculatedColumnFormula>
    </tableColumn>
    <tableColumn id="18" xr3:uid="{989D3733-1309-4769-B921-B1B119AEB65B}" name="Column18" headerRowDxfId="8473" dataDxfId="8472"/>
    <tableColumn id="19" xr3:uid="{21E839EA-3138-49BB-8E10-FFB32354D4C0}" name="Column19" headerRowDxfId="8471" dataDxfId="8470"/>
    <tableColumn id="20" xr3:uid="{31CA6C80-E123-4CD5-BCB0-1E4C410E7982}" name="Column20" headerRowDxfId="8469" dataDxfId="8468">
      <calculatedColumnFormula>IF($S$309&gt;=O307,INDEX('Spell Tables'!$AF$242:$AF$264,MATCH(O307,('Spell Tables'!$AD$242:$AD$264),0)),IF(AND($Q$11="wizard",$S$312&gt;=O307),INDEX('Spell Tables'!$AF$242:$AF$264,MATCH(O307,('Spell Tables'!$AD$242:$AD$264),0))," "))</calculatedColumnFormula>
    </tableColumn>
  </tableColumns>
  <tableStyleInfo name="TableStyleMedium2" showFirstColumn="0" showLastColumn="0" showRowStripes="1" showColumnStripes="0"/>
</table>
</file>

<file path=xl/tables/table1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8" xr:uid="{888FF7E0-B85E-4403-B607-70DF2EE51FB1}" name="Table4967330444786843900309373539" displayName="Table4967330444786843900309373539" ref="B146:T155" headerRowCount="0" headerRowDxfId="8467" dataDxfId="8466" totalsRowDxfId="8465">
  <tableColumns count="19">
    <tableColumn id="2" xr3:uid="{7AAD27BB-20EB-4B15-9A77-3E91B7B09B38}" name="Column1" headerRowDxfId="8464" dataDxfId="8463" totalsRowDxfId="8462"/>
    <tableColumn id="3" xr3:uid="{23E40F3C-FE60-414D-9BC4-763A94DAE95C}" name="Column2" headerRowDxfId="8461" dataDxfId="8460" totalsRowDxfId="8459"/>
    <tableColumn id="4" xr3:uid="{97A741B0-BAD3-4199-8DB7-E4148BC8E2FB}" name="Column3" headerRowDxfId="8458" dataDxfId="8457" totalsRowDxfId="8456"/>
    <tableColumn id="5" xr3:uid="{51FCE844-3AEA-496E-9D26-4126302206DA}" name="Column4" headerRowDxfId="8455" dataDxfId="8454" totalsRowDxfId="8453"/>
    <tableColumn id="6" xr3:uid="{BF4E5D60-F41B-432B-9D0E-3304D1D80515}" name="Column5" headerRowDxfId="8452" dataDxfId="8451" totalsRowDxfId="8450"/>
    <tableColumn id="7" xr3:uid="{9FE487BB-5513-4987-ABA7-6E80195A5ECA}" name="Column6" headerRowDxfId="8449" dataDxfId="8448" totalsRowDxfId="8447"/>
    <tableColumn id="8" xr3:uid="{DB7F07B5-2FF5-4698-9AF7-1AF9CFA0BFDE}" name="Column7" headerRowDxfId="8446" dataDxfId="8445" totalsRowDxfId="8444"/>
    <tableColumn id="9" xr3:uid="{A6BC05AD-CCEF-4E6A-9217-6B58DF6D50D8}" name="Column8" headerRowDxfId="8443" dataDxfId="8442" totalsRowDxfId="8441"/>
    <tableColumn id="10" xr3:uid="{3553D84A-468D-4019-8C20-7971D8B167C3}" name="Column9" headerRowDxfId="8440" dataDxfId="8439" totalsRowDxfId="8438"/>
    <tableColumn id="11" xr3:uid="{E3D64E2E-C4A5-4516-B5A4-D81D0640778A}" name="Column10" headerRowDxfId="8437" dataDxfId="8436" totalsRowDxfId="8435"/>
    <tableColumn id="12" xr3:uid="{A85551F0-A5A7-4FFE-A963-DBBAE049FBC7}" name="Column11" headerRowDxfId="8434" dataDxfId="8433" totalsRowDxfId="8432"/>
    <tableColumn id="13" xr3:uid="{D7E44479-6BBA-4DA3-8954-575D1389C3FE}" name="Column12" headerRowDxfId="8431" dataDxfId="8430" totalsRowDxfId="8429"/>
    <tableColumn id="14" xr3:uid="{A617D37D-02DF-44B9-96E7-C380A81FE366}" name="Column13" headerRowDxfId="8428" dataDxfId="8427" totalsRowDxfId="8426"/>
    <tableColumn id="15" xr3:uid="{BD3592D2-CD7D-4179-9529-38A89732747C}" name="Cantrip" headerRowDxfId="8425" dataDxfId="8424" totalsRowDxfId="8423"/>
    <tableColumn id="16" xr3:uid="{F8B72AE9-A10B-4C65-B5CF-70DE1BA71390}" name="1st Level" headerRowDxfId="8422" dataDxfId="8421" totalsRowDxfId="8420"/>
    <tableColumn id="17" xr3:uid="{7E917728-5C1A-4DDC-BCEF-EB8D26432899}" name="2nd Level" totalsRowFunction="custom" headerRowDxfId="8419" dataDxfId="8418" totalsRowDxfId="8417">
      <totalsRowFormula>IF(R15="way of the shadow","Silence"," ")</totalsRowFormula>
    </tableColumn>
    <tableColumn id="18" xr3:uid="{A68F14C5-73D3-40F8-90F9-F94D590249F5}" name="3rd Level" headerRowDxfId="8416" dataDxfId="8415" totalsRowDxfId="8414"/>
    <tableColumn id="19" xr3:uid="{BF1538CC-7D23-42BF-9F92-3784264125B1}" name="4th Level" headerRowDxfId="8413" dataDxfId="8412" totalsRowDxfId="8411"/>
    <tableColumn id="1" xr3:uid="{D32323A7-03F5-4A6A-B473-CF37DD8E1930}" name="Column14" headerRowDxfId="8410" dataDxfId="8409" totalsRowDxfId="8408"/>
  </tableColumns>
  <tableStyleInfo name="TableStyleMedium2" showFirstColumn="0" showLastColumn="0" showRowStripes="1" showColumnStripes="0"/>
</table>
</file>

<file path=xl/tables/table1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9" xr:uid="{EDB6C348-AFDF-450E-A46D-D63B469AFBBC}" name="Table69331445787844901310374540" displayName="Table69331445787844901310374540" ref="BN26:BS43" headerRowCount="0" totalsRowShown="0" headerRowDxfId="8407" dataDxfId="8406">
  <tableColumns count="6">
    <tableColumn id="1" xr3:uid="{13D4D558-CC01-4667-AD50-E9B0AEDF2ED0}" name="Column1" headerRowDxfId="8405" dataDxfId="8404">
      <calculatedColumnFormula>_xlfn.RANK.EQ(BO26,$BO$26:$BO$43)</calculatedColumnFormula>
    </tableColumn>
    <tableColumn id="2" xr3:uid="{2076375A-AE59-422F-8FBC-C3E752A898E2}" name="Column2" headerRowDxfId="8403" dataDxfId="8402"/>
    <tableColumn id="3" xr3:uid="{AAC4EAE5-7897-434B-8A1C-CE504693D89B}" name="Column3" headerRowDxfId="8401" dataDxfId="8400">
      <calculatedColumnFormula>IF(OR(BM6&gt;=1,AV6&gt;=1),AH6," ")</calculatedColumnFormula>
    </tableColumn>
    <tableColumn id="4" xr3:uid="{141455B9-E923-4185-9350-AE728D2B51E7}" name="Column4" headerRowDxfId="8399" dataDxfId="8398"/>
    <tableColumn id="5" xr3:uid="{0E081867-AEB8-43CA-BE1A-0BEECD93BFD0}" name="Column5" headerRowDxfId="8397" dataDxfId="8396">
      <calculatedColumnFormula>_xlfn.RANK.EQ(BS26,$BS$26:$BS$43)</calculatedColumnFormula>
    </tableColumn>
    <tableColumn id="6" xr3:uid="{DBC45BD9-5CCB-4EF8-B1EE-4B4C49FCD929}" name="Column6" headerRowDxfId="8395" dataDxfId="8394">
      <calculatedColumnFormula>IF(BO26=0,RAND(),0)</calculatedColumnFormula>
    </tableColumn>
  </tableColumns>
  <tableStyleInfo name="TableStyleMedium2" showFirstColumn="0" showLastColumn="0" showRowStripes="1" showColumnStripes="0"/>
</table>
</file>

<file path=xl/tables/table1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0" xr:uid="{D9315271-27D6-445C-8C6E-2208E472C196}" name="Table70332446788845902311375541" displayName="Table70332446788845902311375541" ref="BU26:BZ29" headerRowCount="0" totalsRowShown="0" headerRowDxfId="8393" dataDxfId="8392">
  <tableColumns count="6">
    <tableColumn id="1" xr3:uid="{02E70C09-E919-4D21-8037-F7EF59791B89}" name="Column1" headerRowDxfId="8391" dataDxfId="8390">
      <calculatedColumnFormula>_xlfn.RANK.EQ(BV26,$BV$26:$BV$29)</calculatedColumnFormula>
    </tableColumn>
    <tableColumn id="2" xr3:uid="{C151BBD3-C655-4957-8003-A4A80333E7DB}" name="Column2" headerRowDxfId="8389" dataDxfId="8388"/>
    <tableColumn id="3" xr3:uid="{5A34010A-CEAD-490E-87F4-EA27D440889F}" name="Column3" headerRowDxfId="8387" dataDxfId="8386"/>
    <tableColumn id="4" xr3:uid="{9B418539-4BB3-4633-8F7B-49337A18897E}" name="Column4" headerRowDxfId="8385" dataDxfId="8384"/>
    <tableColumn id="5" xr3:uid="{75D22AC4-823D-4F4F-96FE-4062812F1597}" name="Column5" headerRowDxfId="8383" dataDxfId="8382">
      <calculatedColumnFormula>_xlfn.RANK.EQ(BZ26,$BZ$26:$BZ$29)</calculatedColumnFormula>
    </tableColumn>
    <tableColumn id="6" xr3:uid="{0A18A3FB-D408-4C14-8EEC-3343FA444B3F}" name="Column6" headerRowDxfId="8381" dataDxfId="8380">
      <calculatedColumnFormula>IF(BV26=0,RAND(),0)</calculatedColumnFormula>
    </tableColumn>
  </tableColumns>
  <tableStyleInfo name="TableStyleMedium2" showFirstColumn="0" showLastColumn="0" showRowStripes="1" showColumnStripes="0"/>
</table>
</file>

<file path=xl/tables/table1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1" xr:uid="{8483AE81-4437-49F8-B73D-23FFA1FCC6C2}" name="Table72333447789846903312376542" displayName="Table72333447789846903312376542" ref="BU30:BZ32" headerRowCount="0" totalsRowShown="0" headerRowDxfId="8379" dataDxfId="8378">
  <tableColumns count="6">
    <tableColumn id="1" xr3:uid="{4BCD8D73-A8D0-4CA2-BF4B-C5170ACE0D93}" name="Column1" headerRowDxfId="8377" dataDxfId="8376">
      <calculatedColumnFormula>_xlfn.RANK.EQ(BV30,$BV$30:$BV$32)</calculatedColumnFormula>
    </tableColumn>
    <tableColumn id="2" xr3:uid="{72010423-494C-4AF7-A560-999E95AB74FF}" name="Column2" headerRowDxfId="8375" dataDxfId="8374"/>
    <tableColumn id="3" xr3:uid="{AB81B819-3E28-4B6F-83F6-E295640DB6EA}" name="Column3" headerRowDxfId="8373" dataDxfId="8372"/>
    <tableColumn id="4" xr3:uid="{D413925D-392B-47D1-957F-16F79845F40E}" name="Column4" headerRowDxfId="8371" dataDxfId="8370"/>
    <tableColumn id="5" xr3:uid="{84BD1076-42E8-4A37-BF50-E03D85C48670}" name="Column5" headerRowDxfId="8369" dataDxfId="8368">
      <calculatedColumnFormula>_xlfn.RANK.EQ(BZ30,$BZ$30:$BZ$32)</calculatedColumnFormula>
    </tableColumn>
    <tableColumn id="6" xr3:uid="{D4C82818-350F-4369-B517-E553C884AF58}" name="Column6" headerRowDxfId="8367" dataDxfId="8366">
      <calculatedColumnFormula>IF(BV30=0,RAND(),0)</calculatedColumnFormula>
    </tableColumn>
  </tableColumns>
  <tableStyleInfo name="TableStyleMedium2" showFirstColumn="0" showLastColumn="0" showRowStripes="1" showColumnStripes="0"/>
</table>
</file>

<file path=xl/tables/table1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2" xr:uid="{64941308-D23C-483E-A597-C74756421A3E}" name="Table60334448790847904313377543" displayName="Table60334448790847904313377543" ref="B240:T271" headerRowCount="0" totalsRowShown="0" headerRowDxfId="8365" dataDxfId="8364" tableBorderDxfId="8363">
  <tableColumns count="19">
    <tableColumn id="3" xr3:uid="{D818476A-8DB5-4C74-9CA5-4130D862382A}" name="Column3" headerRowDxfId="8362" dataDxfId="8361"/>
    <tableColumn id="4" xr3:uid="{4C45441C-8642-44BF-977B-B3475C57B7A9}" name="Column4" headerRowDxfId="8360" dataDxfId="8359"/>
    <tableColumn id="5" xr3:uid="{B3DC0DFC-2294-4F90-887E-6BBFC646CF85}" name="Column5" headerRowDxfId="8358" dataDxfId="8357"/>
    <tableColumn id="6" xr3:uid="{F2AE947F-5EBF-435A-9627-1EEBED24206E}" name="Column6" headerRowDxfId="8356" dataDxfId="8355"/>
    <tableColumn id="7" xr3:uid="{8C716F67-E7EA-4026-B16E-CB6D0A83304D}" name="Column7" headerRowDxfId="8354" dataDxfId="8353"/>
    <tableColumn id="8" xr3:uid="{6B306600-B05C-4CC0-8E39-7F2A36C5E8A1}" name="Column8" headerRowDxfId="8352" dataDxfId="8351"/>
    <tableColumn id="9" xr3:uid="{21A890BC-3FAC-4DDD-82F3-9BE91E934100}" name="Column9" headerRowDxfId="8350" dataDxfId="8349"/>
    <tableColumn id="10" xr3:uid="{C2FE1980-87F4-4FBB-BEB4-F7B3F06BFFF9}" name="Column10" headerRowDxfId="8348" dataDxfId="8347"/>
    <tableColumn id="11" xr3:uid="{AE4460DA-8B62-4327-BC31-9BF70EC86067}" name="Column11" headerRowDxfId="8346" dataDxfId="8345"/>
    <tableColumn id="12" xr3:uid="{16610BEF-0146-42F0-A2DD-E9A6F7B776FA}" name="Column12" headerRowDxfId="8344" dataDxfId="8343"/>
    <tableColumn id="13" xr3:uid="{B113C03D-C3AD-4A11-93E7-295FE31DBC34}" name="Column13" headerRowDxfId="8342" dataDxfId="8341"/>
    <tableColumn id="14" xr3:uid="{5C90A735-E08F-43A4-A3A1-A4A303A3867F}" name="Column14" headerRowDxfId="8340" dataDxfId="8339"/>
    <tableColumn id="15" xr3:uid="{5AD6F88B-42D3-4D4F-8D04-FC729D950F4B}" name="Column15" headerRowDxfId="8338" dataDxfId="8337"/>
    <tableColumn id="2" xr3:uid="{1B93A626-EDC3-4330-8E72-EA80CC9A8885}" name="Column2" headerRowDxfId="8336" dataDxfId="8335"/>
    <tableColumn id="16" xr3:uid="{08D79700-E3FE-4094-966F-B43A0B80EB09}" name="Column16" headerRowDxfId="8334" dataDxfId="8333"/>
    <tableColumn id="17" xr3:uid="{696EA26A-D82E-4681-AEAD-92E8CBA08A1F}" name="Column17" headerRowDxfId="8332" dataDxfId="8331"/>
    <tableColumn id="18" xr3:uid="{DC2C24DE-FDA8-4978-BC1E-39511D19E2C5}" name="Column18" headerRowDxfId="8330" dataDxfId="8329"/>
    <tableColumn id="19" xr3:uid="{53EF4508-CD19-4E8B-BC69-C54FD4577672}" name="Column19" headerRowDxfId="8328" dataDxfId="8327"/>
    <tableColumn id="20" xr3:uid="{08BE459B-11A3-4633-899F-1C7E3382A1F1}" name="Column20" headerRowDxfId="8326" dataDxfId="8325">
      <calculatedColumnFormula>IF(AND($Q$15="Otherworldly patron - great old one",T$244&gt;=O171),INDEX('Spell Tables'!$AF$226:$AF$231,MATCH(O171,('Spell Tables'!$AD$226:$AD$231),0)),IF(AND($Q$15="Otherworldly patron - fiend",T$244&gt;=O171),INDEX('Spell Tables'!$AF$210:$AF$215,MATCH(O171,('Spell Tables'!$AD$210:$AD$215),0)),IF(AND($Q$15="Otherworldly patron - archfey",T$244&gt;=O171),INDEX('Spell Tables'!$AF$194:$AF$199,MATCH(O171,('Spell Tables'!$AD$194:$AD$199),0)),IF($T$242&gt;=O171,INDEX($AL$80:$AL$89,MATCH(O171,($AJ$80:$AJ$89),0)),IF($T$246&gt;=O171,INDEX('Spell Tables'!$AF$168:$AF$177,MATCH(O171,('Spell Tables'!$AD$168:$AD$177),0)),IF($T$248&gt;=O171,INDEX('Spell Tables'!$AR$141:$AR$144,MATCH(O171,('Spell Tables'!$AP$141:$AP$144),0)),IF($T$250&gt;=O171,INDEX('Spell Tables'!$AB$119:$AB$123,MATCH(O171,('Spell Tables'!$Z$119:$Z$123),0)),IF($T$252&gt;=O171,INDEX('Spell Tables'!$AB$97:$AB$102,MATCH(O171,('Spell Tables'!$Z$97:$Z$102),0)),IF($T$254&gt;=O171,INDEX('Spell Tables'!$AR$70:$AR$75,MATCH(O171,('Spell Tables'!$AP$70:$AP$75),0)),IF($T$256&gt;=O171,INDEX('Spell Tables'!$AF$48:$AF$63,MATCH(O171,('Spell Tables'!$AD$48:$AD$63),0)),IF($T$258&gt;=O171,INDEX('Spell Tables'!$AF$26:$AF$33,MATCH(O171,('Spell Tables'!$AD$26:$AD$33),0)),IF($T$260&gt;=O171,INDEX('Spell Tables'!$AF$2:$AF$9,MATCH(O171,('Spell Tables'!$AD$2:$AD$9),0))," "))))))))))))</calculatedColumnFormula>
    </tableColumn>
  </tableColumns>
  <tableStyleInfo name="TableStyleMedium2" showFirstColumn="0" showLastColumn="0" showRowStripes="1" showColumnStripes="0"/>
</table>
</file>

<file path=xl/tables/table1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3" xr:uid="{30EE97B1-D025-4693-BAFC-B9E2256F29C2}" name="Table200335449791848905314378544" displayName="Table200335449791848905314378544" ref="AJ43:AL53" headerRowCount="0" totalsRowShown="0" headerRowDxfId="8324" dataDxfId="8323">
  <tableColumns count="3">
    <tableColumn id="1" xr3:uid="{6C758E21-FB6E-46B0-BD59-05FFB19B477C}" name="Column1" headerRowDxfId="8322" dataDxfId="8321"/>
    <tableColumn id="2" xr3:uid="{9AA05EAD-73A2-45AB-8266-D7D7C7C3D909}" name="Column2" headerRowDxfId="8320" dataDxfId="8319">
      <calculatedColumnFormula>RAND()</calculatedColumnFormula>
    </tableColumn>
    <tableColumn id="3" xr3:uid="{12DE2DAD-BF1D-4ABA-A574-BE50487505BD}" name="Column3" headerRowDxfId="8318" dataDxfId="8317">
      <calculatedColumnFormula>AN12</calculatedColumnFormula>
    </tableColumn>
  </tableColumns>
  <tableStyleInfo name="TableStyleMedium2" showFirstColumn="0" showLastColumn="0" showRowStripes="1" showColumnStripes="0"/>
</table>
</file>

<file path=xl/tables/table1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4" xr:uid="{EEF7D879-AA18-4602-A118-BDDC10C4D39E}" name="Table201336450792849906315379545" displayName="Table201336450792849906315379545" ref="AJ55:AL65" headerRowCount="0" totalsRowShown="0" headerRowDxfId="8316" dataDxfId="8315">
  <tableColumns count="3">
    <tableColumn id="1" xr3:uid="{4C7F6963-07ED-4D80-956C-B39828AEF395}" name="Column1" headerRowDxfId="8314" dataDxfId="8313">
      <calculatedColumnFormula>_xlfn.RANK.EQ(AK56,$L$308:$L$320)</calculatedColumnFormula>
    </tableColumn>
    <tableColumn id="2" xr3:uid="{93AA9255-CC55-4FC1-85FD-B4622E48FA9C}" name="Column2" headerRowDxfId="8312" dataDxfId="8311">
      <calculatedColumnFormula>IF(AL56=" ", 0,RAND())</calculatedColumnFormula>
    </tableColumn>
    <tableColumn id="3" xr3:uid="{A4BA59DC-552D-4DEA-9E00-D32DB99454A3}" name="Column3" headerRowDxfId="8310" dataDxfId="8309">
      <calculatedColumnFormula>AO12</calculatedColumnFormula>
    </tableColumn>
  </tableColumns>
  <tableStyleInfo name="TableStyleMedium2" showFirstColumn="0" showLastColumn="0" showRowStripes="1" showColumnStripes="0"/>
</table>
</file>

<file path=xl/tables/table2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5" xr:uid="{507B14DF-0942-4ECA-8623-841B2C939B44}" name="Table202337451793850907320380546" displayName="Table202337451793850907320380546" ref="AJ67:AL77" headerRowCount="0" totalsRowShown="0" headerRowDxfId="8308" dataDxfId="8307">
  <tableColumns count="3">
    <tableColumn id="1" xr3:uid="{21159270-DEFD-4C04-8845-9E443422820D}" name="Column1" headerRowDxfId="8306" dataDxfId="8305"/>
    <tableColumn id="2" xr3:uid="{486B0291-5651-4AFA-B140-349D00E2A421}" name="Column2" headerRowDxfId="8304" dataDxfId="8303">
      <calculatedColumnFormula>IF(AL68=" ", 0,RAND())</calculatedColumnFormula>
    </tableColumn>
    <tableColumn id="3" xr3:uid="{C2CB3D55-9067-456D-89E1-032808E0F827}" name="Column3" headerRowDxfId="8302" dataDxfId="8301">
      <calculatedColumnFormula>AP12</calculatedColumnFormula>
    </tableColumn>
  </tableColumns>
  <tableStyleInfo name="TableStyleMedium2" showFirstColumn="0" showLastColumn="0" showRowStripes="1" showColumnStripes="0"/>
</table>
</file>

<file path=xl/tables/table2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6" xr:uid="{B131923F-01E7-4F17-9038-9E7ED3C88DB9}" name="Table203338452794851908321381547" displayName="Table203338452794851908321381547" ref="AJ79:AL89" headerRowCount="0" totalsRowShown="0" headerRowDxfId="8300" dataDxfId="8299">
  <tableColumns count="3">
    <tableColumn id="1" xr3:uid="{E67F04DF-6A58-4B9D-86F0-9623F8892E3F}" name="Column1" headerRowDxfId="8298" dataDxfId="8297"/>
    <tableColumn id="2" xr3:uid="{F877903E-994B-4142-B60B-605F3BD0F16A}" name="Column2" headerRowDxfId="8296" dataDxfId="8295"/>
    <tableColumn id="3" xr3:uid="{B67D8B05-199F-4764-93D0-ECFE7559416A}" name="Column3" headerRowDxfId="8294" dataDxfId="8293"/>
  </tableColumns>
  <tableStyleInfo name="TableStyleMedium2" showFirstColumn="0" showLastColumn="0" showRowStripes="1" showColumnStripes="0"/>
</table>
</file>

<file path=xl/tables/table2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7" xr:uid="{4B47764A-1DCB-4BAA-99AE-10E4E583304F}" name="Table204339453795852909322382548" displayName="Table204339453795852909322382548" ref="AJ91:AL101" headerRowCount="0" totalsRowShown="0" headerRowDxfId="8292" dataDxfId="8291">
  <tableColumns count="3">
    <tableColumn id="1" xr3:uid="{B09ED1E1-13A5-4ED6-9777-25E01749C04F}" name="Column1" headerRowDxfId="8290" dataDxfId="8289"/>
    <tableColumn id="2" xr3:uid="{B3782C95-C6BA-4B6B-B2AD-4A398F19AE1B}" name="Column2" headerRowDxfId="8288" dataDxfId="8287"/>
    <tableColumn id="3" xr3:uid="{CC08B1A2-C2B1-4806-9E3F-AD4822D4FFDA}" name="Column3" headerRowDxfId="8286" dataDxfId="8285"/>
  </tableColumns>
  <tableStyleInfo name="TableStyleMedium2" showFirstColumn="0" showLastColumn="0" showRowStripes="1" showColumnStripes="0"/>
</table>
</file>

<file path=xl/tables/table2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8" xr:uid="{B7A886E0-51B2-4F55-8541-C1D40E157B93}" name="Table205340454796853910326383549" displayName="Table205340454796853910326383549" ref="AJ103:AL113" headerRowCount="0" totalsRowShown="0" headerRowDxfId="8284" dataDxfId="8283">
  <tableColumns count="3">
    <tableColumn id="1" xr3:uid="{BF8C3DDE-00A8-47EE-83D1-87E7B7C01F1B}" name="Column1" headerRowDxfId="8282" dataDxfId="8281"/>
    <tableColumn id="2" xr3:uid="{933DDAE9-C2F5-44DD-9F23-A311296DEC8C}" name="Column2" headerRowDxfId="8280" dataDxfId="8279"/>
    <tableColumn id="3" xr3:uid="{7BADC4CC-0349-4384-A020-A48D5CBDC59B}" name="Column3" headerRowDxfId="8278" dataDxfId="8277"/>
  </tableColumns>
  <tableStyleInfo name="TableStyleMedium2" showFirstColumn="0" showLastColumn="0" showRowStripes="1" showColumnStripes="0"/>
</table>
</file>

<file path=xl/tables/table2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9" xr:uid="{A6F2D3DA-A928-485A-AF3D-6894476BDB28}" name="Table206341455797854911327384550" displayName="Table206341455797854911327384550" ref="AJ115:AL125" headerRowCount="0" totalsRowShown="0" headerRowDxfId="8276" dataDxfId="8275">
  <tableColumns count="3">
    <tableColumn id="1" xr3:uid="{0939B917-9DA3-4736-80BB-53ABF3B7A9A3}" name="Column1" headerRowDxfId="8274" dataDxfId="8273"/>
    <tableColumn id="2" xr3:uid="{BCA550D9-0024-4632-86B5-BD4AECE7D54A}" name="Column2" headerRowDxfId="8272" dataDxfId="8271"/>
    <tableColumn id="3" xr3:uid="{A6640E55-3A11-4B2D-AFEA-A2EC73F44D47}" name="Column3" headerRowDxfId="8270" dataDxfId="8269"/>
  </tableColumns>
  <tableStyleInfo name="TableStyleMedium2" showFirstColumn="0" showLastColumn="0" showRowStripes="1" showColumnStripes="0"/>
</table>
</file>

<file path=xl/tables/table2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0" xr:uid="{9C91C74C-6B6E-44D3-BF68-CC3B56BFDD2E}" name="Table207342456798855912328385551" displayName="Table207342456798855912328385551" ref="AJ127:AL137" headerRowCount="0" totalsRowShown="0" headerRowDxfId="8268" dataDxfId="8267">
  <tableColumns count="3">
    <tableColumn id="1" xr3:uid="{CCD81B9A-2022-4E26-ADD8-7064ACDC8AC4}" name="Column1" headerRowDxfId="8266" dataDxfId="8265"/>
    <tableColumn id="2" xr3:uid="{5E86795C-C4B6-4B32-8748-BD713C4C59DB}" name="Column2" headerRowDxfId="8264" dataDxfId="8263"/>
    <tableColumn id="3" xr3:uid="{847DD846-65CE-4854-A606-B6C7166D783B}" name="Column3" headerRowDxfId="8262" dataDxfId="8261"/>
  </tableColumns>
  <tableStyleInfo name="TableStyleMedium2" showFirstColumn="0" showLastColumn="0" showRowStripes="1" showColumnStripes="0"/>
</table>
</file>

<file path=xl/tables/table2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1" xr:uid="{F9D8E706-A294-407D-B081-034E1635FBAD}" name="Table208343457799856913329386552" displayName="Table208343457799856913329386552" ref="AJ139:AL149" headerRowCount="0" totalsRowShown="0" headerRowDxfId="8260" dataDxfId="8259">
  <tableColumns count="3">
    <tableColumn id="1" xr3:uid="{D26663C0-9A78-4A7B-AA47-50FCAFA4ED8D}" name="Column1" headerRowDxfId="8258" dataDxfId="8257"/>
    <tableColumn id="2" xr3:uid="{1E34EF07-BDB7-4E6C-BBD7-4FE765164C82}" name="Column2" headerRowDxfId="8256" dataDxfId="8255"/>
    <tableColumn id="3" xr3:uid="{D0023E02-AD61-4B47-9413-062C8A71EFCD}" name="Column3" headerRowDxfId="8254" dataDxfId="8253"/>
  </tableColumns>
  <tableStyleInfo name="TableStyleMedium2" showFirstColumn="0" showLastColumn="0" showRowStripes="1" showColumnStripes="0"/>
</table>
</file>

<file path=xl/tables/table2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2" xr:uid="{22773191-C448-411D-B403-9D307B654E7E}" name="Table219344458800857914330387553" displayName="Table219344458800857914330387553" ref="AJ151:AL161" headerRowCount="0" totalsRowShown="0" headerRowDxfId="8252" dataDxfId="8251">
  <tableColumns count="3">
    <tableColumn id="1" xr3:uid="{18052A2E-72F6-4B6B-BBCA-22C55B33E561}" name="Column1" headerRowDxfId="8250" dataDxfId="8249"/>
    <tableColumn id="2" xr3:uid="{299D7AC4-F409-4274-AAD1-C8E4A1977E43}" name="Column2" headerRowDxfId="8248" dataDxfId="8247"/>
    <tableColumn id="5" xr3:uid="{EAAD65D1-D3C9-456B-B27A-4B501FEB5E01}" name="Column3" headerRowDxfId="8246" dataDxfId="8245"/>
  </tableColumns>
  <tableStyleInfo name="TableStyleMedium2" showFirstColumn="0" showLastColumn="0" showRowStripes="1" showColumnStripes="0"/>
</table>
</file>

<file path=xl/tables/table2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3" xr:uid="{AFC5EC05-A599-40F7-BEF0-3E5CBBE399DC}" name="Table220345459801858915331388554" displayName="Table220345459801858915331388554" ref="AJ163:AL173" headerRowCount="0" totalsRowShown="0" headerRowDxfId="8244" dataDxfId="8243">
  <tableColumns count="3">
    <tableColumn id="1" xr3:uid="{2A1A8FF2-9775-46DF-8C9C-9675E0CDF6A1}" name="Column1" headerRowDxfId="8242" dataDxfId="8241"/>
    <tableColumn id="2" xr3:uid="{314A7E47-95C7-4699-82B6-F7B60570769B}" name="Column2" headerRowDxfId="8240" dataDxfId="8239"/>
    <tableColumn id="3" xr3:uid="{F5EB1884-9289-4030-82EB-440EE8B8A44B}" name="Column3" headerRowDxfId="8238" dataDxfId="8237"/>
  </tableColumns>
  <tableStyleInfo name="TableStyleMedium2" showFirstColumn="0" showLastColumn="0" showRowStripes="1" showColumnStripes="0"/>
</table>
</file>

<file path=xl/tables/table2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4" xr:uid="{DBA9C7EC-2A99-4420-BEB1-E77E7371AB15}" name="Table222346460802859916332389555" displayName="Table222346460802859916332389555" ref="AJ175:AL185" headerRowCount="0" totalsRowShown="0" headerRowDxfId="8236" dataDxfId="8235">
  <tableColumns count="3">
    <tableColumn id="1" xr3:uid="{1B372A79-107D-4079-8DD6-A16980E9EF41}" name="Column1" headerRowDxfId="8234" dataDxfId="8233"/>
    <tableColumn id="2" xr3:uid="{4D46B300-3EFE-4401-ABE4-3E61E97FB9E1}" name="Column2" headerRowDxfId="8232" dataDxfId="8231"/>
    <tableColumn id="3" xr3:uid="{C7A400D4-3277-4D91-81EF-8AD7FA1FE30D}" name="Column3" headerRowDxfId="8230" dataDxfId="8229"/>
  </tableColumns>
  <tableStyleInfo name="TableStyleMedium2" showFirstColumn="0" showLastColumn="0" showRowStripes="1" showColumnStripes="0"/>
</table>
</file>

<file path=xl/tables/table2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5" xr:uid="{38A9A9ED-0BF4-4FEF-83DA-D5A543165520}" name="Table250347461803860917333390556" displayName="Table250347461803860917333390556" ref="AJ187:AL197" headerRowCount="0" totalsRowShown="0" headerRowDxfId="8228" dataDxfId="8227">
  <tableColumns count="3">
    <tableColumn id="1" xr3:uid="{FCCBA5F9-D02A-4199-A20B-43A854D9D399}" name="Column1" headerRowDxfId="8226" dataDxfId="8225"/>
    <tableColumn id="2" xr3:uid="{1D8DDD3B-9483-4122-994A-3158B251F253}" name="Column2" headerRowDxfId="8224" dataDxfId="8223"/>
    <tableColumn id="3" xr3:uid="{0711199E-776D-49C9-917C-345F147FDD3C}" name="Column3" headerRowDxfId="8222" dataDxfId="8221"/>
  </tableColumns>
  <tableStyleInfo name="TableStyleMedium2" showFirstColumn="0" showLastColumn="0" showRowStripes="1" showColumnStripes="0"/>
</table>
</file>

<file path=xl/tables/table2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6" xr:uid="{01832F30-283D-4304-9069-5C01B8DA60FC}" name="Table39348462804861918334391557" displayName="Table39348462804861918334391557" ref="CB1:CD7" headerRowCount="0" totalsRowShown="0" headerRowDxfId="8220" dataDxfId="8219">
  <tableColumns count="3">
    <tableColumn id="1" xr3:uid="{612CBCE9-F70A-4903-B9FF-F54AB6204ECE}" name="Column1" dataDxfId="8218"/>
    <tableColumn id="2" xr3:uid="{92F57FED-A37A-401D-9DAC-9A82D334149A}" name="Column2" dataDxfId="8217"/>
    <tableColumn id="3" xr3:uid="{EF4D285A-758A-425E-AA3D-1F2EA5C4CA1D}" name="Column3" headerRowDxfId="8216" dataDxfId="8215"/>
  </tableColumns>
  <tableStyleInfo name="TableStyleMedium2" showFirstColumn="0" showLastColumn="0" showRowStripes="1" showColumnStripes="0"/>
</table>
</file>

<file path=xl/tables/table2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7" xr:uid="{1CF49FAB-3872-4F2C-BC38-E267862350E1}" name="Table50349463805862919335392558" displayName="Table50349463805862919335392558" ref="CB29:CD34" headerRowCount="0" totalsRowShown="0" headerRowDxfId="8214" dataDxfId="8213">
  <tableColumns count="3">
    <tableColumn id="1" xr3:uid="{E50EC30B-6BA9-4EFB-B69A-66FDF7676F95}" name="Column1" headerRowDxfId="8212" dataDxfId="8211"/>
    <tableColumn id="2" xr3:uid="{A6CE9931-1AB9-4357-97F8-FC608B9041C4}" name="Column2" headerRowDxfId="8210" dataDxfId="8209">
      <calculatedColumnFormula>RAND()</calculatedColumnFormula>
    </tableColumn>
    <tableColumn id="3" xr3:uid="{202AE130-FFAC-4434-8E95-791928435279}" name="Column3" headerRowDxfId="8208" dataDxfId="8207"/>
  </tableColumns>
  <tableStyleInfo name="TableStyleMedium2" showFirstColumn="0" showLastColumn="0" showRowStripes="1" showColumnStripes="0"/>
</table>
</file>

<file path=xl/tables/table2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8" xr:uid="{901865A0-3852-46BB-A5D1-4011CEDD72AB}" name="Table51350464806863920336393559" displayName="Table51350464806863920336393559" ref="CB36:CD44" headerRowCount="0" totalsRowShown="0" headerRowDxfId="8206" dataDxfId="8205">
  <tableColumns count="3">
    <tableColumn id="1" xr3:uid="{B2C970BE-59E9-4F5C-A40C-3461963CAA1A}" name="Column1" headerRowDxfId="8204" dataDxfId="8203"/>
    <tableColumn id="2" xr3:uid="{9F6E608F-9EA7-4980-9611-1D74ABD334B6}" name="Column2" headerRowDxfId="8202" dataDxfId="8201"/>
    <tableColumn id="3" xr3:uid="{E4189596-4EA4-43C6-8CED-F31BBDFA988D}" name="Column3" headerRowDxfId="8200" dataDxfId="8199"/>
  </tableColumns>
  <tableStyleInfo name="TableStyleMedium2" showFirstColumn="0" showLastColumn="0" showRowStripes="1" showColumnStripes="0"/>
</table>
</file>

<file path=xl/tables/table2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9" xr:uid="{2DE4BE1B-B205-4DBD-A086-F467ACEFA350}" name="Table52351465807864921337394560" displayName="Table52351465807864921337394560" ref="CB46:CD54" headerRowCount="0" totalsRowShown="0" headerRowDxfId="8198" dataDxfId="8197">
  <tableColumns count="3">
    <tableColumn id="1" xr3:uid="{84BC488B-A524-41D2-B489-EB11D1D02B04}" name="Column1" headerRowDxfId="8196" dataDxfId="8195"/>
    <tableColumn id="2" xr3:uid="{D044C24A-4682-454C-B727-B3B853B695A1}" name="Column2" headerRowDxfId="8194" dataDxfId="8193"/>
    <tableColumn id="3" xr3:uid="{8FAA2A6F-42FD-412E-B24E-7EB2435864A1}" name="Column3" headerRowDxfId="8192" dataDxfId="8191"/>
  </tableColumns>
  <tableStyleInfo name="TableStyleMedium2" showFirstColumn="0" showLastColumn="0" showRowStripes="1" showColumnStripes="0"/>
</table>
</file>

<file path=xl/tables/table2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0" xr:uid="{9FC7989E-3DE6-45C3-AA45-3D263D85DFC2}" name="Table53352466808865922338395561" displayName="Table53352466808865922338395561" ref="CB56:CD62" headerRowCount="0" totalsRowShown="0" headerRowDxfId="8190" dataDxfId="8189">
  <tableColumns count="3">
    <tableColumn id="1" xr3:uid="{357091A4-12D2-4803-9852-5824A6951095}" name="Column1" headerRowDxfId="8188" dataDxfId="8187"/>
    <tableColumn id="2" xr3:uid="{3A7A1038-3AE4-4B8D-9F6C-969E92FA3660}" name="Column2" headerRowDxfId="8186" dataDxfId="8185"/>
    <tableColumn id="3" xr3:uid="{0A61FDA3-CCE2-446E-BC34-E34071FC4217}" name="Column3" headerRowDxfId="8184" dataDxfId="8183"/>
  </tableColumns>
  <tableStyleInfo name="TableStyleMedium2" showFirstColumn="0" showLastColumn="0" showRowStripes="1" showColumnStripes="0"/>
</table>
</file>

<file path=xl/tables/table2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1" xr:uid="{DA8E874E-3D1E-4B65-A7CB-66E1980A7A33}" name="Table54353467809866923339396562" displayName="Table54353467809866923339396562" ref="CB64:CD70" headerRowCount="0" totalsRowShown="0" headerRowDxfId="8182" dataDxfId="8181">
  <tableColumns count="3">
    <tableColumn id="1" xr3:uid="{AE765982-5DFD-4559-80AA-0BA13FD8933C}" name="Column1" headerRowDxfId="8180" dataDxfId="8179"/>
    <tableColumn id="2" xr3:uid="{CE9114C1-7B4F-41AF-B903-9F966C73ED0C}" name="Column2" headerRowDxfId="8178" dataDxfId="8177"/>
    <tableColumn id="3" xr3:uid="{4D8FBB64-CF6D-45BA-A8D3-7E529ED03DEF}" name="Column3" headerRowDxfId="8176" dataDxfId="8175"/>
  </tableColumns>
  <tableStyleInfo name="TableStyleMedium2" showFirstColumn="0" showLastColumn="0" showRowStripes="1" showColumnStripes="0"/>
</table>
</file>

<file path=xl/tables/table2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2" xr:uid="{31067155-67D0-45AD-9745-E3B373363C29}" name="Table55354468810867924340397563" displayName="Table55354468810867924340397563" ref="CB72:CD81" headerRowCount="0" totalsRowShown="0" headerRowDxfId="8174" dataDxfId="8173">
  <tableColumns count="3">
    <tableColumn id="1" xr3:uid="{5E7135D0-8F43-45EB-BBB7-51179FAFA8E0}" name="Column1" headerRowDxfId="8172" dataDxfId="8171"/>
    <tableColumn id="2" xr3:uid="{6B0E4B8B-CF41-4077-B89D-35A6B6B68C21}" name="Column2" headerRowDxfId="8170" dataDxfId="8169"/>
    <tableColumn id="3" xr3:uid="{F5FC60CB-E3EF-4820-AB86-0344F909215A}" name="Column3" headerRowDxfId="8168" dataDxfId="8167"/>
  </tableColumns>
  <tableStyleInfo name="TableStyleMedium2" showFirstColumn="0" showLastColumn="0" showRowStripes="1" showColumnStripes="0"/>
</table>
</file>

<file path=xl/tables/table2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3" xr:uid="{8F23C3A8-5CD2-43D9-80EE-A1031A098292}" name="Table56355469811868925341398564" displayName="Table56355469811868925341398564" ref="CB83:CD94" headerRowCount="0" totalsRowShown="0" headerRowDxfId="8166" dataDxfId="8165">
  <tableColumns count="3">
    <tableColumn id="1" xr3:uid="{556DC590-9A67-4D61-B811-E7629F8209D7}" name="Column1" headerRowDxfId="8164" dataDxfId="8163"/>
    <tableColumn id="2" xr3:uid="{2531C31E-3A00-48F5-8A6F-6247A2D72924}" name="Column2" headerRowDxfId="8162" dataDxfId="8161"/>
    <tableColumn id="3" xr3:uid="{6F1700C3-BBDA-4538-98EE-8046D63A29B1}" name="Column3" headerRowDxfId="8160" dataDxfId="8159"/>
  </tableColumns>
  <tableStyleInfo name="TableStyleMedium2" showFirstColumn="0" showLastColumn="0" showRowStripes="1" showColumnStripes="0"/>
</table>
</file>

<file path=xl/tables/table2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4" xr:uid="{2078EA77-5C98-44E8-8E5E-D0D15A25D625}" name="Table57356470812869926342399565" displayName="Table57356470812869926342399565" ref="CB96:CD102" headerRowCount="0" totalsRowShown="0" headerRowDxfId="8158" dataDxfId="8157">
  <tableColumns count="3">
    <tableColumn id="1" xr3:uid="{F3FC6208-42F6-4DE5-BC44-45082C365816}" name="Column1" headerRowDxfId="8156" dataDxfId="8155"/>
    <tableColumn id="2" xr3:uid="{5E9742CF-06B7-439C-8D19-FF2C95830384}" name="Column2" headerRowDxfId="8154" dataDxfId="8153"/>
    <tableColumn id="3" xr3:uid="{99EE8EE1-C5BC-4DCA-A6FE-D9D85A4C74D7}" name="Column3" headerRowDxfId="8152" dataDxfId="8151"/>
  </tableColumns>
  <tableStyleInfo name="TableStyleMedium2" showFirstColumn="0" showLastColumn="0" showRowStripes="1" showColumnStripes="0"/>
</table>
</file>

<file path=xl/tables/table2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5" xr:uid="{E0A2AEA6-619F-4285-830E-24F5A8DD8160}" name="Table58357471813870927343400566" displayName="Table58357471813870927343400566" ref="CB104:CD111" headerRowCount="0" totalsRowShown="0" headerRowDxfId="8150" dataDxfId="8149">
  <tableColumns count="3">
    <tableColumn id="1" xr3:uid="{E1078484-D865-41C9-B225-2C5C34DE54D1}" name="Column1" headerRowDxfId="8148" dataDxfId="8147"/>
    <tableColumn id="2" xr3:uid="{893918FF-8D60-42B3-9A43-6C3B7ED01742}" name="Column2" headerRowDxfId="8146" dataDxfId="8145"/>
    <tableColumn id="3" xr3:uid="{ADAD33D1-7555-41D1-B115-574276AF9A34}" name="Column3" headerRowDxfId="8144" dataDxfId="8143"/>
  </tableColumns>
  <tableStyleInfo name="TableStyleMedium2" showFirstColumn="0" showLastColumn="0" showRowStripes="1" showColumnStripes="0"/>
</table>
</file>

<file path=xl/tables/table2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6" xr:uid="{C24D3BF5-C3A8-442B-A179-7CEA7F26C17F}" name="Table59358472814871928344401567" displayName="Table59358472814871928344401567" ref="CB113:CD119" headerRowCount="0" totalsRowShown="0" headerRowDxfId="8142" dataDxfId="8141">
  <tableColumns count="3">
    <tableColumn id="1" xr3:uid="{B2B39367-A208-407B-A391-CEC046FFC2DE}" name="Column1" headerRowDxfId="8140" dataDxfId="8139"/>
    <tableColumn id="2" xr3:uid="{17D5C545-BFED-473A-BC17-1F5FC437C139}" name="Column2" headerRowDxfId="8138" dataDxfId="8137"/>
    <tableColumn id="3" xr3:uid="{341E701C-3F9C-4FCA-8B6C-F74A8EBC0707}" name="Column3" headerRowDxfId="8136" dataDxfId="8135"/>
  </tableColumns>
  <tableStyleInfo name="TableStyleMedium2" showFirstColumn="0" showLastColumn="0" showRowStripes="1" showColumnStripes="0"/>
</table>
</file>

<file path=xl/tables/table2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7" xr:uid="{F486559A-1CE7-457C-821C-418FED68F869}" name="Table81359473815872929345402568" displayName="Table81359473815872929345402568" ref="CB9:CD27" headerRowCount="0" totalsRowShown="0" headerRowDxfId="8134" dataDxfId="8133">
  <tableColumns count="3">
    <tableColumn id="1" xr3:uid="{1FEE37DA-C03F-4B19-A153-B21E257BFF32}" name="Column1" headerRowDxfId="8132" dataDxfId="8131"/>
    <tableColumn id="2" xr3:uid="{1428A913-D427-4803-AF06-9AE79DC71968}" name="Column2" headerRowDxfId="8130" dataDxfId="8129"/>
    <tableColumn id="3" xr3:uid="{2F7BFB9E-39FB-4BF6-8D4D-224C5AFC2750}" name="Column3" headerRowDxfId="8128" dataDxfId="8127">
      <calculatedColumnFormula>RAND()</calculatedColumnFormula>
    </tableColumn>
  </tableColumns>
  <tableStyleInfo name="TableStyleMedium2" showFirstColumn="0" showLastColumn="0" showRowStripes="1" showColumnStripes="0"/>
</table>
</file>

<file path=xl/tables/table2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8" xr:uid="{434E6A93-74B1-4199-AAE6-21D39371E409}" name="Table264360474816873930346403569" displayName="Table264360474816873930346403569" ref="B14:B19" headerRowCount="0" totalsRowShown="0" headerRowDxfId="8126" dataDxfId="8125" tableBorderDxfId="8124">
  <tableColumns count="1">
    <tableColumn id="1" xr3:uid="{45B7CB16-1DD0-4F71-80C2-88C95DE78EDB}" name="Column1" headerRowDxfId="8123" dataDxfId="8122"/>
  </tableColumns>
  <tableStyleInfo name="TableStyleMedium2" showFirstColumn="0" showLastColumn="0" showRowStripes="1" showColumnStripes="0"/>
</table>
</file>

<file path=xl/tables/table2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9" xr:uid="{2C0B6D4F-088D-4B97-BC85-C0B9A7F427D6}" name="Table265361475817874931347404570" displayName="Table265361475817874931347404570" ref="S17:S26" headerRowCount="0" totalsRowShown="0" headerRowDxfId="8121" dataDxfId="8120" tableBorderDxfId="8119">
  <tableColumns count="1">
    <tableColumn id="1" xr3:uid="{4F7B7789-671F-4B7B-8CE7-3FB9281DA402}" name="Column1" headerRowDxfId="8118" dataDxfId="8117"/>
  </tableColumns>
  <tableStyleInfo name="TableStyleMedium2" showFirstColumn="0" showLastColumn="0" showRowStripes="1" showColumnStripes="0"/>
</table>
</file>

<file path=xl/tables/table2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0" xr:uid="{35A561C0-723F-4C89-A937-A1F190982763}" name="Table266362476818875932348405571" displayName="Table266362476818875932348405571" ref="O75:O85" headerRowCount="0" totalsRowShown="0" headerRowDxfId="8116" dataDxfId="8115" tableBorderDxfId="8114">
  <tableColumns count="1">
    <tableColumn id="1" xr3:uid="{CE3BE21E-ED47-45FD-802C-BB4DF12CE677}" name="Column1" headerRowDxfId="8113" dataDxfId="8112"/>
  </tableColumns>
  <tableStyleInfo name="TableStyleMedium2" showFirstColumn="0" showLastColumn="0" showRowStripes="1" showColumnStripes="0"/>
</table>
</file>

<file path=xl/tables/table2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1" xr:uid="{BEDBF830-5C58-4232-8E1E-8732F0C022F7}" name="Table268363477819876933349406572" displayName="Table268363477819876933349406572" ref="O14:O35" headerRowCount="0" totalsRowShown="0" headerRowDxfId="8111" dataDxfId="8110" tableBorderDxfId="8109">
  <tableColumns count="1">
    <tableColumn id="1" xr3:uid="{DB9BFCA2-4392-477B-A137-52DCBB8FE272}" name="Column1" headerRowDxfId="8108" dataDxfId="8107"/>
  </tableColumns>
  <tableStyleInfo name="TableStyleMedium2" showFirstColumn="0" showLastColumn="0" showRowStripes="1" showColumnStripes="0"/>
</table>
</file>

<file path=xl/tables/table2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2" xr:uid="{05FA6579-3AA0-4182-8477-8B1BF13C53AA}" name="Table271364478820877934350407573" displayName="Table271364478820877934350407573" ref="Q14:Q30" headerRowCount="0" totalsRowShown="0" headerRowDxfId="8106" dataDxfId="8105" tableBorderDxfId="8104">
  <tableColumns count="1">
    <tableColumn id="1" xr3:uid="{B392C878-4204-475B-89F8-3EDAFCD95663}" name="Column1" headerRowDxfId="8103" dataDxfId="8102"/>
  </tableColumns>
  <tableStyleInfo name="TableStyleMedium2" showFirstColumn="0" showLastColumn="0" showRowStripes="1" showColumnStripes="0"/>
</table>
</file>

<file path=xl/tables/table2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3" xr:uid="{DAF2B75F-8369-409A-90A6-4A90D30176B8}" name="Table272365479821878935351408574" displayName="Table272365479821878935351408574" ref="S10:S12" headerRowCount="0" totalsRowShown="0" headerRowDxfId="8101" dataDxfId="8100" tableBorderDxfId="8099">
  <tableColumns count="1">
    <tableColumn id="1" xr3:uid="{AE4EF781-A3A5-4B69-9A7D-701A61FED6E0}" name="Column1" headerRowDxfId="8098" dataDxfId="8097"/>
  </tableColumns>
  <tableStyleInfo name="TableStyleMedium2" showFirstColumn="0" showLastColumn="0" showRowStripes="1" showColumnStripes="0"/>
</table>
</file>

<file path=xl/tables/table2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4" xr:uid="{68BCFCB2-4036-4E29-B4D3-5A61BA2B3FC6}" name="Table273366480822879936352409575" displayName="Table273366480822879936352409575" ref="S14:S16" headerRowCount="0" totalsRowShown="0" headerRowDxfId="8096" dataDxfId="8095" tableBorderDxfId="8094">
  <tableColumns count="1">
    <tableColumn id="1" xr3:uid="{60CE55B8-1FEF-4C21-8A97-C6B8F0107036}" name="Column1" headerRowDxfId="8093" dataDxfId="8092"/>
  </tableColumns>
  <tableStyleInfo name="TableStyleMedium2" showFirstColumn="0" showLastColumn="0" showRowStripes="1" showColumnStripes="0"/>
</table>
</file>

<file path=xl/tables/table2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5" xr:uid="{373E41E7-C166-49FE-B56A-EE00AB6C7B69}" name="Table274367481823880937353410576" displayName="Table274367481823880937353410576" ref="P14:P28" headerRowCount="0" totalsRowShown="0" headerRowDxfId="8091" dataDxfId="8090" tableBorderDxfId="8089">
  <tableColumns count="1">
    <tableColumn id="1" xr3:uid="{AA4E7294-351B-4376-9ABA-A7835B558C36}" name="Column1" headerRowDxfId="8088" dataDxfId="8087"/>
  </tableColumns>
  <tableStyleInfo name="TableStyleMedium2" showFirstColumn="0" showLastColumn="0" showRowStripes="1" showColumnStripes="0"/>
</table>
</file>

<file path=xl/tables/table2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6" xr:uid="{C3EA745E-5B64-4CF3-AEFA-D548DC6A7EB0}" name="Table275368482824881938354411577" displayName="Table275368482824881938354411577" ref="R14:R26" headerRowCount="0" totalsRowShown="0" headerRowDxfId="8086" dataDxfId="8085" tableBorderDxfId="8084">
  <tableColumns count="1">
    <tableColumn id="1" xr3:uid="{4011335B-6D10-4A50-855A-7DA72072816E}" name="Column1" headerRowDxfId="8083" dataDxfId="8082"/>
  </tableColumns>
  <tableStyleInfo name="TableStyleMedium2" showFirstColumn="0" showLastColumn="0" showRowStripes="1" showColumnStripes="0"/>
</table>
</file>

<file path=xl/tables/table2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7" xr:uid="{B7A29E40-24B7-48FA-8EA4-FCB51405D6DF}" name="Table276369483825882939355412578" displayName="Table276369483825882939355412578" ref="B37:P43" headerRowCount="0" totalsRowShown="0" headerRowDxfId="8081" dataDxfId="8080">
  <tableColumns count="15">
    <tableColumn id="2" xr3:uid="{D957E782-DDA0-4CE5-B049-66B4D83E6EA5}" name="Column2" headerRowDxfId="8079" dataDxfId="8078"/>
    <tableColumn id="3" xr3:uid="{76F351D9-37EC-4597-84AB-881BBCF4B7CE}" name="Column3" headerRowDxfId="8077" dataDxfId="8076"/>
    <tableColumn id="4" xr3:uid="{9D8F6DDB-5468-4B97-900B-469EC93D29B3}" name="Column4" headerRowDxfId="8075" dataDxfId="8074"/>
    <tableColumn id="5" xr3:uid="{BEB5CE16-9D25-4CE0-88E1-676473147A40}" name="Column5" headerRowDxfId="8073" dataDxfId="8072"/>
    <tableColumn id="6" xr3:uid="{ED752195-929B-4A83-9F29-B6751D4E118B}" name="Column6" headerRowDxfId="8071" dataDxfId="8070"/>
    <tableColumn id="7" xr3:uid="{6429658C-4866-45A8-9C6B-2E8A8E366AA2}" name="Column7" headerRowDxfId="8069" dataDxfId="8068"/>
    <tableColumn id="8" xr3:uid="{4A25D769-9052-4CE0-A521-134407C690A9}" name="Column8" headerRowDxfId="8067" dataDxfId="8066"/>
    <tableColumn id="9" xr3:uid="{A9EBE594-5835-41A5-96F9-7084235CF847}" name="Column9" headerRowDxfId="8065" dataDxfId="8064"/>
    <tableColumn id="10" xr3:uid="{B5587CAD-DF23-43A5-975E-453573FCBED1}" name="Column10" headerRowDxfId="8063" dataDxfId="8062">
      <calculatedColumnFormula>RANDBETWEEN(1,6)</calculatedColumnFormula>
    </tableColumn>
    <tableColumn id="11" xr3:uid="{822DF5AA-390B-4C68-A780-D555A3FEE5DD}" name="Column11" headerRowDxfId="8061" dataDxfId="8060">
      <calculatedColumnFormula>RANDBETWEEN(1,6)</calculatedColumnFormula>
    </tableColumn>
    <tableColumn id="12" xr3:uid="{83A219C1-1B22-4A4A-BEEE-7A4ADD37AA70}" name="Column12" headerRowDxfId="8059" dataDxfId="8058">
      <calculatedColumnFormula>RANDBETWEEN(1,6)</calculatedColumnFormula>
    </tableColumn>
    <tableColumn id="13" xr3:uid="{208AA1ED-EA20-4D4E-AEB5-AB6200F7FEEE}" name="Column13" headerRowDxfId="8057" dataDxfId="8056">
      <calculatedColumnFormula>RANDBETWEEN(1,6)</calculatedColumnFormula>
    </tableColumn>
    <tableColumn id="14" xr3:uid="{BF4D4D6F-C1B2-4E90-A600-BF3CFBEEE70B}" name="Column14" headerRowDxfId="8055" dataDxfId="8054"/>
    <tableColumn id="15" xr3:uid="{BC3D2437-037F-4206-96E3-991907ECC6CD}" name="Column15" headerRowDxfId="8053" dataDxfId="8052"/>
    <tableColumn id="16" xr3:uid="{C5B6E6CF-C7B9-4AB6-8B75-9EA8DB114201}" name="Column16" headerRowDxfId="8051" dataDxfId="8050">
      <calculatedColumnFormula>VLOOKUP(O37,Table1[],2)</calculatedColumnFormula>
    </tableColumn>
  </tableColumns>
  <tableStyleInfo name="TableStyleMedium2" showFirstColumn="0" showLastColumn="0" showRowStripes="1" showColumnStripes="0"/>
</table>
</file>

<file path=xl/tables/table2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8" xr:uid="{9512E12A-C3E8-4044-81E8-C2E1114AEB99}" name="Table277370484826883940356413579" displayName="Table277370484826883940356413579" ref="B45:P51" headerRowCount="0" totalsRowShown="0" headerRowDxfId="8049" dataDxfId="8048" tableBorderDxfId="8047">
  <tableColumns count="15">
    <tableColumn id="2" xr3:uid="{9EC8F429-CE7C-48FF-BE41-3BF082F60BAD}" name="Column2" headerRowDxfId="8046" dataDxfId="8045"/>
    <tableColumn id="3" xr3:uid="{C04CCB64-400A-47FA-A953-5D75C51F7A87}" name="Column3" headerRowDxfId="8044" dataDxfId="8043"/>
    <tableColumn id="4" xr3:uid="{37A534DF-0A24-410E-A2CA-3B2BB0480622}" name="Column4" headerRowDxfId="8042" dataDxfId="8041"/>
    <tableColumn id="5" xr3:uid="{608703FE-2C2F-47B7-9561-50D152437D31}" name="Column5" headerRowDxfId="8040" dataDxfId="8039"/>
    <tableColumn id="6" xr3:uid="{87B8A54C-1369-4A4D-B6C3-13E620083636}" name="Column6" headerRowDxfId="8038" dataDxfId="8037"/>
    <tableColumn id="7" xr3:uid="{A77E3964-85EE-404F-9809-F28EF30DA2F3}" name="Column7" headerRowDxfId="8036" dataDxfId="8035"/>
    <tableColumn id="8" xr3:uid="{AC3D71F2-B938-4FC6-9077-5CA8C7BA918C}" name="Column8" headerRowDxfId="8034" dataDxfId="8033"/>
    <tableColumn id="9" xr3:uid="{AE58595B-A155-4817-A433-082E155810AF}" name="Column9" headerRowDxfId="8032" dataDxfId="8031"/>
    <tableColumn id="10" xr3:uid="{232FE76E-EA8D-4156-AE33-B0C53BC5C844}" name="Column10" headerRowDxfId="8030" dataDxfId="8029"/>
    <tableColumn id="11" xr3:uid="{57586C45-A3BE-45F0-9AEC-D9FC0C9C59E2}" name="Column11" headerRowDxfId="8028" dataDxfId="8027"/>
    <tableColumn id="12" xr3:uid="{371B6459-F9E2-4DA0-B350-A6030D50FC95}" name="Column12" headerRowDxfId="8026" dataDxfId="8025"/>
    <tableColumn id="13" xr3:uid="{564EEA60-FBE9-46D1-BC6D-215CC2C11369}" name="Column13" headerRowDxfId="8024" dataDxfId="8023"/>
    <tableColumn id="14" xr3:uid="{E5DBE944-F4B6-4FDE-9269-2CA7F3D57E7D}" name="Column14" headerRowDxfId="8022" dataDxfId="8021"/>
    <tableColumn id="15" xr3:uid="{6D0B2934-EA54-4A0A-BD5B-78599201ED34}" name="Column15" headerRowDxfId="8020" dataDxfId="8019"/>
    <tableColumn id="16" xr3:uid="{E8D8AC10-62DC-4063-B264-2894383B155A}" name="Column16" headerRowDxfId="8018" dataDxfId="8017">
      <calculatedColumnFormula>IF(O45="x",SUM(P37,$P$8),P37)</calculatedColumnFormula>
    </tableColumn>
  </tableColumns>
  <tableStyleInfo name="TableStyleMedium2" showFirstColumn="0" showLastColumn="0" showRowStripes="1" showColumnStripes="0"/>
</table>
</file>

<file path=xl/tables/table2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9" xr:uid="{7E2C9BE4-F294-48C0-AF30-75DF3EA80DA3}" name="Table278371485827884941357414580" displayName="Table278371485827884941357414580" ref="O1:Q3" headerRowCount="0" totalsRowShown="0" headerRowDxfId="8016" dataDxfId="8015">
  <tableColumns count="3">
    <tableColumn id="15" xr3:uid="{11442963-5531-484A-804F-27217EEA3738}" name="Column15" headerRowDxfId="8014" dataDxfId="8013"/>
    <tableColumn id="16" xr3:uid="{C1E17CF8-13CE-4E11-B25D-D33273E76236}" name="Column16" headerRowDxfId="8012" dataDxfId="8011"/>
    <tableColumn id="17" xr3:uid="{90D35B1A-88C2-4D62-9352-27BD85D3ECE0}" name="Column17" headerRowDxfId="8010" dataDxfId="8009"/>
  </tableColumns>
  <tableStyleInfo name="TableStyleMedium2" showFirstColumn="0" showLastColumn="0" showRowStripes="1" showColumnStripes="0"/>
</table>
</file>

<file path=xl/tables/table2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0" xr:uid="{A63CD70F-6699-497F-B811-F3418E0D6F3F}" name="Table282373487829886943359415581" displayName="Table282373487829886943359415581" ref="B53:P72" headerRowCount="0" totalsRowShown="0" headerRowDxfId="8008" dataDxfId="8007">
  <tableColumns count="15">
    <tableColumn id="2" xr3:uid="{F849DCDB-5084-467B-95F2-E3235FEFF177}" name="Column2" headerRowDxfId="8006" dataDxfId="8005"/>
    <tableColumn id="3" xr3:uid="{3328ACDA-1C74-4F1F-9E0A-DAC5FCC223D7}" name="Column3" headerRowDxfId="8004" dataDxfId="8003"/>
    <tableColumn id="4" xr3:uid="{C8766209-6043-4313-BDF0-42C22FDB0E44}" name="Column4" headerRowDxfId="8002" dataDxfId="8001"/>
    <tableColumn id="5" xr3:uid="{63D6B04A-A8C3-4B1B-B941-59FB93E78958}" name="Column5" headerRowDxfId="8000" dataDxfId="7999"/>
    <tableColumn id="6" xr3:uid="{0DD5CCB4-0212-4AB1-8C8C-A37ACFC19928}" name="Column6" headerRowDxfId="7998" dataDxfId="7997"/>
    <tableColumn id="7" xr3:uid="{FE37E8C2-6C17-4030-8F06-7DC7418336DB}" name="Column7" headerRowDxfId="7996" dataDxfId="7995"/>
    <tableColumn id="8" xr3:uid="{8F7297E5-165C-4D93-B3C3-2014E9EDC1AF}" name="Column8" headerRowDxfId="7994" dataDxfId="7993"/>
    <tableColumn id="9" xr3:uid="{930E6A65-98DF-4BEB-B1E4-48ED880786BE}" name="Column9" headerRowDxfId="7992" dataDxfId="7991"/>
    <tableColumn id="10" xr3:uid="{C6CB7BA2-2887-41B8-9FDA-F90CE5D0A209}" name="Column10" headerRowDxfId="7990" dataDxfId="7989"/>
    <tableColumn id="11" xr3:uid="{5CEE36AD-2905-4F2D-8E3D-8F3B50D4272C}" name="Column11" headerRowDxfId="7988" dataDxfId="7987"/>
    <tableColumn id="12" xr3:uid="{5410EFA7-8813-45BA-B2D4-D7694D532A86}" name="Column12" headerRowDxfId="7986" dataDxfId="7985"/>
    <tableColumn id="13" xr3:uid="{4B6305F8-F0AF-4C13-94E8-EA496C1A98E0}" name="Column13" headerRowDxfId="7984" dataDxfId="7983"/>
    <tableColumn id="14" xr3:uid="{8A579134-42C5-460B-9981-FFF73F753479}" name="Column14" headerRowDxfId="7982" dataDxfId="7981"/>
    <tableColumn id="15" xr3:uid="{A0E42C2A-1D80-4028-BE54-60280AFABD55}" name="Column15" headerRowDxfId="7980" dataDxfId="7979"/>
    <tableColumn id="16" xr3:uid="{FC320E98-AEDE-426C-83C1-FDECAF839DBA}" name="Column16" headerRowDxfId="7978" dataDxfId="7977"/>
  </tableColumns>
  <tableStyleInfo name="TableStyleMedium2" showFirstColumn="0" showLastColumn="0" showRowStripes="1" showColumnStripes="0"/>
</table>
</file>

<file path=xl/tables/table2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1" xr:uid="{78764D9B-172A-4BDF-8EE6-9381221DA878}" name="Table283374488830887944360416582" displayName="Table283374488830887944360416582" ref="B75:B79" headerRowCount="0" totalsRowShown="0" headerRowDxfId="7976" dataDxfId="7975" tableBorderDxfId="7974">
  <tableColumns count="1">
    <tableColumn id="1" xr3:uid="{DDA7ECE9-AAF6-407B-A89A-5F7CA56F97C1}" name="Column1" headerRowDxfId="7973" dataDxfId="7972"/>
  </tableColumns>
  <tableStyleInfo name="TableStyleMedium2" showFirstColumn="0" showLastColumn="0" showRowStripes="1" showColumnStripes="0"/>
</table>
</file>

<file path=xl/tables/table2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2" xr:uid="{5D1FDD4B-4346-4FA4-BB98-897B80F02AE3}" name="Table293375489831888945361417583" displayName="Table293375489831888945361417583" ref="AO44:AQ59" headerRowCount="0" totalsRowShown="0" headerRowDxfId="7971" dataDxfId="7970">
  <tableColumns count="3">
    <tableColumn id="1" xr3:uid="{E66E7946-D007-4201-9B27-D5AAC13B40C2}" name="Column1" headerRowDxfId="7969" dataDxfId="7968"/>
    <tableColumn id="2" xr3:uid="{B6249E96-0ACD-451B-A194-8C6112001D8D}" name="Column2" headerRowDxfId="7967" dataDxfId="7966">
      <calculatedColumnFormula>IF(#REF!=" ", 0,RAND())</calculatedColumnFormula>
    </tableColumn>
    <tableColumn id="3" xr3:uid="{488042CF-86B4-4658-85EF-59709D3B0758}" name="Column3" headerRowDxfId="7965" dataDxfId="7964">
      <calculatedColumnFormula>O28</calculatedColumnFormula>
    </tableColumn>
  </tableColumns>
  <tableStyleInfo name="TableStyleMedium2" showFirstColumn="0" showLastColumn="0" showRowStripes="1" showColumnStripes="0"/>
</table>
</file>

<file path=xl/tables/table2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5" xr:uid="{14222DBD-6007-4F9D-AA56-510FC469D275}" name="Table302378492834891948364420586" displayName="Table302378492834891948364420586" ref="B102:P109" headerRowCount="0" totalsRowShown="0" headerRowDxfId="7963" dataDxfId="7962" tableBorderDxfId="7961">
  <tableColumns count="15">
    <tableColumn id="2" xr3:uid="{37A8C48C-86CD-46AB-BBED-2493F3C6A9C9}" name="Column2" headerRowDxfId="7960" dataDxfId="7959"/>
    <tableColumn id="3" xr3:uid="{423CC952-BC62-4617-8F8B-892310AB098D}" name="Column3" headerRowDxfId="7958" dataDxfId="7957"/>
    <tableColumn id="4" xr3:uid="{1B65DADC-ACAD-4420-9FF1-35C0731D3A28}" name="Column4" headerRowDxfId="7956" dataDxfId="7955"/>
    <tableColumn id="5" xr3:uid="{F618567A-544D-4115-A335-8592BBCDDD75}" name="Column5" headerRowDxfId="7954" dataDxfId="7953"/>
    <tableColumn id="6" xr3:uid="{211B9AD1-3448-4A74-ADD6-06FBB807FBCD}" name="Column6" headerRowDxfId="7952" dataDxfId="7951"/>
    <tableColumn id="7" xr3:uid="{62D7B4B0-7002-4AA2-9EF1-4E55566B27A3}" name="Column7" headerRowDxfId="7950" dataDxfId="7949"/>
    <tableColumn id="8" xr3:uid="{43725656-7802-48A8-8D42-9856131553D4}" name="Column8" headerRowDxfId="7948" dataDxfId="7947"/>
    <tableColumn id="9" xr3:uid="{5F0B5DFB-96AE-40F4-B267-507941B2B3D9}" name="Column9" headerRowDxfId="7946" dataDxfId="7945"/>
    <tableColumn id="10" xr3:uid="{225513D7-93AE-4E42-9018-915FB57D6811}" name="Column10" headerRowDxfId="7944" dataDxfId="7943"/>
    <tableColumn id="11" xr3:uid="{F42DD774-BA56-4F21-B774-F8B88145AAA7}" name="Column11" headerRowDxfId="7942" dataDxfId="7941"/>
    <tableColumn id="12" xr3:uid="{EF3EA5B7-CBCB-4FDB-9B86-5202FC4FCDFD}" name="Column12" headerRowDxfId="7940" dataDxfId="7939"/>
    <tableColumn id="13" xr3:uid="{0CB4441C-D524-4D48-BC26-1500C5AC9515}" name="Column13" headerRowDxfId="7938" dataDxfId="7937"/>
    <tableColumn id="14" xr3:uid="{61C79F0D-21C7-49F3-9108-6958A1A775C3}" name="Column14" headerRowDxfId="7936" dataDxfId="7935"/>
    <tableColumn id="15" xr3:uid="{08060E41-8E2A-45DB-9FFA-5E6B2F1E8C37}" name="Column15" headerRowDxfId="7934" dataDxfId="7933"/>
    <tableColumn id="16" xr3:uid="{C497DBA2-D89E-4525-8F34-593A4202B7FF}" name="Column16" headerRowDxfId="7932" dataDxfId="7931"/>
  </tableColumns>
  <tableStyleInfo name="TableStyleMedium2" showFirstColumn="0" showLastColumn="0" showRowStripes="1" showColumnStripes="0"/>
</table>
</file>

<file path=xl/tables/table2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6" xr:uid="{9DE10F64-B0B3-4D86-B8BE-133ED919665E}" name="Table303379493835892949365421587" displayName="Table303379493835892949365421587" ref="Q102:Q107" headerRowCount="0" totalsRowShown="0" headerRowDxfId="7930" dataDxfId="7929" tableBorderDxfId="7928">
  <tableColumns count="1">
    <tableColumn id="1" xr3:uid="{12E1030F-5F68-4250-BCC3-60018294E357}" name="Column1" headerRowDxfId="7927" dataDxfId="7926"/>
  </tableColumns>
  <tableStyleInfo name="TableStyleMedium2" showFirstColumn="0" showLastColumn="0" showRowStripes="1" showColumnStripes="0"/>
</table>
</file>

<file path=xl/tables/table2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7" xr:uid="{2356A80C-3635-4408-AEB4-45326B073FF5}" name="Table304380494836893950366422588" displayName="Table304380494836893950366422588" ref="R102:R103" headerRowCount="0" totalsRowShown="0" headerRowDxfId="7925" dataDxfId="7924" tableBorderDxfId="7923">
  <tableColumns count="1">
    <tableColumn id="1" xr3:uid="{F063C9F0-1182-414A-AB54-17E447284110}" name="Column1" headerRowDxfId="7922" dataDxfId="7921"/>
  </tableColumns>
  <tableStyleInfo name="TableStyleMedium2" showFirstColumn="0" showLastColumn="0" showRowStripes="1" showColumnStripes="0"/>
</table>
</file>

<file path=xl/tables/table2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8" xr:uid="{F90185E5-10D5-4B39-8ABC-4C47B22D0026}" name="Table305381495837894951367423589" displayName="Table305381495837894951367423589" ref="R104:R105" headerRowCount="0" totalsRowShown="0" headerRowDxfId="7920" dataDxfId="7919" tableBorderDxfId="7918">
  <tableColumns count="1">
    <tableColumn id="1" xr3:uid="{1D12D31C-71AC-454F-8987-291BE58B0874}" name="Column1" headerRowDxfId="7917" dataDxfId="7916">
      <calculatedColumnFormula>IF(COUNTIF(B91:B93,"*"&amp;"sling"&amp;"*"),RANDBETWEEN(6,13)&amp;" Sling Bullets"," ")</calculatedColumnFormula>
    </tableColumn>
  </tableColumns>
  <tableStyleInfo name="TableStyleMedium2" showFirstColumn="0" showLastColumn="0" showRowStripes="1" showColumnStripes="0"/>
</table>
</file>

<file path=xl/tables/table2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9" xr:uid="{A66C1FB0-8033-495D-AAE0-FE029BE8958E}" name="Table306382496838895952368424590" displayName="Table306382496838895952368424590" ref="R106:R107" headerRowCount="0" totalsRowShown="0" headerRowDxfId="7915" dataDxfId="7914" tableBorderDxfId="7913">
  <tableColumns count="1">
    <tableColumn id="1" xr3:uid="{5E7B45AE-24E7-4836-B2A6-9C39A13B2C72}" name="Column1" headerRowDxfId="7912" dataDxfId="7911">
      <calculatedColumnFormula>IF(COUNTIF(B91:B93,"*"&amp;"longbow"&amp;"*"),RANDBETWEEN(10,24)&amp;" Arrows",IF(COUNTIF(B91:B93,"*"&amp;"shortbow"&amp;"*"),RANDBETWEEN(10,24)&amp;" Arrows",IF(COUNTIF(B91:B93,"*"&amp;"light crossbow"&amp;"*"),RANDBETWEEN(10,24)&amp;" Bolts",IF(COUNTIF(B91:B93,"*"&amp;"hand crossbow"&amp;"*"),RANDBETWEEN(10,24)&amp;" Bolts",IF(COUNTIF(B91:B93,"*"&amp;"heavy crossbow"&amp;"*"),RANDBETWEEN(10,24)&amp;" Bolts"," ")))))</calculatedColumnFormula>
    </tableColumn>
  </tableColumns>
  <tableStyleInfo name="TableStyleMedium2" showFirstColumn="0" showLastColumn="0" showRowStripes="1" showColumnStripes="0"/>
</table>
</file>

<file path=xl/tables/table2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8" xr:uid="{98C2A7A2-7402-45BC-9D8C-5D8FCCDBA5DA}" name="Table300376490832889946362418294939" displayName="Table300376490832889946362418294939" ref="B88:T90" headerRowCount="0" totalsRowShown="0" headerRowDxfId="7910" dataDxfId="7909" tableBorderDxfId="7908">
  <tableColumns count="19">
    <tableColumn id="2" xr3:uid="{DEACA3CA-FD45-4A33-B032-1D9EB13DDBD2}" name="Column2" headerRowDxfId="7907" dataDxfId="7906"/>
    <tableColumn id="3" xr3:uid="{5ABA26A2-6EA4-471E-A122-46FB84C3130B}" name="Column3" headerRowDxfId="7905" dataDxfId="7904"/>
    <tableColumn id="4" xr3:uid="{B9FAF949-E72B-4F7C-94F7-B20670708E1C}" name="Column4" headerRowDxfId="7903" dataDxfId="7902"/>
    <tableColumn id="5" xr3:uid="{298C1BD4-B29E-4247-BA28-9731EDE7BDDC}" name="Column5" headerRowDxfId="7901" dataDxfId="7900"/>
    <tableColumn id="6" xr3:uid="{2C72DD93-749A-4AB6-A03C-839D81D02ADF}" name="Column6" headerRowDxfId="7899" dataDxfId="7898"/>
    <tableColumn id="7" xr3:uid="{58429A35-6E44-45E0-A740-7321D9CE261E}" name="Column7" headerRowDxfId="7897" dataDxfId="7896"/>
    <tableColumn id="8" xr3:uid="{E459D0C1-1226-4FA5-ADCB-7199AEA1FEEF}" name="Column8" headerRowDxfId="7895" dataDxfId="7894"/>
    <tableColumn id="9" xr3:uid="{7DC199ED-09F5-486D-B23B-89A84884C1B8}" name="Column9" headerRowDxfId="7893" dataDxfId="7892"/>
    <tableColumn id="10" xr3:uid="{22F30F42-7DAA-4F14-87AA-C72835B9C28F}" name="Column10" headerRowDxfId="7891" dataDxfId="7890"/>
    <tableColumn id="11" xr3:uid="{0C9D1CB2-4BB9-4B7A-9F8C-009AE9110FFF}" name="Column11" headerRowDxfId="7889" dataDxfId="7888"/>
    <tableColumn id="12" xr3:uid="{43E37225-EF17-4956-92D3-B8689363C724}" name="Column12" headerRowDxfId="7887" dataDxfId="7886"/>
    <tableColumn id="13" xr3:uid="{7E50A368-BC31-42DE-AC1E-12667131B9FF}" name="Column13" headerRowDxfId="7885" dataDxfId="7884"/>
    <tableColumn id="14" xr3:uid="{613A96F3-416E-4000-91CB-72D8797461C3}" name="Column14" headerRowDxfId="7883" dataDxfId="7882"/>
    <tableColumn id="15" xr3:uid="{C82B5771-60F3-46D1-B19C-F45DC09DDEB3}" name="Column15" headerRowDxfId="7881" dataDxfId="7880"/>
    <tableColumn id="16" xr3:uid="{7A2A2DEE-3E09-4686-B6A9-E11DDCEF8B20}" name="Column16" headerRowDxfId="7879" dataDxfId="7878"/>
    <tableColumn id="17" xr3:uid="{D3E1B069-4E09-4343-BBD0-908871061025}" name="Column17" headerRowDxfId="7877" dataDxfId="7876"/>
    <tableColumn id="18" xr3:uid="{F49374F1-89B2-49A8-9C36-7671FE65239B}" name="Column18" headerRowDxfId="7875" dataDxfId="7874"/>
    <tableColumn id="19" xr3:uid="{D6CEE523-5829-4B85-8297-E1CC45983A65}" name="Column19" headerRowDxfId="7873" dataDxfId="7872"/>
    <tableColumn id="20" xr3:uid="{0383A6A1-8C4D-4828-87DB-E0F1F48E10FF}" name="Column20" headerRowDxfId="7871" dataDxfId="7870"/>
  </tableColumns>
  <tableStyleInfo name="TableStyleMedium2" showFirstColumn="0" showLastColumn="0" showRowStripes="1" showColumnStripes="0"/>
</table>
</file>

<file path=xl/tables/table2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9" xr:uid="{850FA70A-2819-42E7-8030-E10F003FAA00}" name="Table301377491833890947363419301940" displayName="Table301377491833890947363419301940" ref="B91:S100" headerRowCount="0" totalsRowShown="0" headerRowDxfId="7869" dataDxfId="7868" tableBorderDxfId="7867">
  <tableColumns count="18">
    <tableColumn id="2" xr3:uid="{111DC914-63BF-4BA4-B460-3B91FFF75448}" name="Column2" headerRowDxfId="7866" dataDxfId="7865"/>
    <tableColumn id="3" xr3:uid="{BD779162-9537-4C29-BE11-0809DB3FD468}" name="Column3" headerRowDxfId="7864" dataDxfId="7863"/>
    <tableColumn id="4" xr3:uid="{AD9D0938-6DDE-4FF0-97CD-D61E1E70ABBC}" name="Column4" headerRowDxfId="7862" dataDxfId="7861"/>
    <tableColumn id="5" xr3:uid="{B214369A-3D86-4CB5-8278-12949A0C24A4}" name="Column5" headerRowDxfId="7860" dataDxfId="7859"/>
    <tableColumn id="6" xr3:uid="{0A3CD990-B583-4E0E-9752-F65B7FB84DA8}" name="Column6" headerRowDxfId="7858" dataDxfId="7857"/>
    <tableColumn id="7" xr3:uid="{901ACA98-E374-48B5-8BA6-7C87504A71C3}" name="Column7" headerRowDxfId="7856" dataDxfId="7855"/>
    <tableColumn id="8" xr3:uid="{9DF44F89-6493-428D-A195-A1BD314525E3}" name="Column8" headerRowDxfId="7854" dataDxfId="7853"/>
    <tableColumn id="9" xr3:uid="{BC60EF5A-93F4-437B-B609-2E5D6CDF7C14}" name="Column9" headerRowDxfId="7852" dataDxfId="7851"/>
    <tableColumn id="10" xr3:uid="{2FB69A03-6BB3-48E5-B846-990D6528EC9B}" name="Column10" headerRowDxfId="7850" dataDxfId="7849"/>
    <tableColumn id="11" xr3:uid="{6C02F38C-2130-4588-ABDD-0D740B300176}" name="Column11" headerRowDxfId="7848" dataDxfId="7847"/>
    <tableColumn id="12" xr3:uid="{598EF510-0F0D-4E66-8AB6-87FB7719CEB3}" name="Column12" headerRowDxfId="7846" dataDxfId="7845"/>
    <tableColumn id="13" xr3:uid="{1EBC8FDF-F26F-47F4-8F2E-CBDA0260A7FA}" name="Column13" headerRowDxfId="7844" dataDxfId="7843"/>
    <tableColumn id="14" xr3:uid="{97C08243-D673-4F84-B17D-4EA7500BE944}" name="Column14" headerRowDxfId="7842" dataDxfId="7841"/>
    <tableColumn id="15" xr3:uid="{7D8B15C3-CCB5-447C-9303-E0605B7132A5}" name="Column15" headerRowDxfId="7840" dataDxfId="7839"/>
    <tableColumn id="16" xr3:uid="{80CB3C4D-34A8-4957-BF87-55CB33F26591}" name="Column16" headerRowDxfId="7838" dataDxfId="7837"/>
    <tableColumn id="17" xr3:uid="{6416C143-58F7-4D1D-91F8-8A24986D7CB3}" name="Column17" headerRowDxfId="7836" dataDxfId="7835"/>
    <tableColumn id="18" xr3:uid="{16F7C4F6-CBC2-4EE2-84AA-14238F1493DE}" name="Column18" headerRowDxfId="7834" dataDxfId="7833"/>
    <tableColumn id="19" xr3:uid="{F03B9BF6-FB5B-481F-B4EC-7ABDF5C89DAD}" name="Column19" headerRowDxfId="7832" dataDxfId="7831"/>
  </tableColumns>
  <tableStyleInfo name="TableStyleMedium2" showFirstColumn="0" showLastColumn="0" showRowStripes="1" showColumnStripes="0"/>
</table>
</file>

<file path=xl/tables/table2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0" xr:uid="{D366D912-9CBC-48E7-9508-113996A98310}" name="Table4832644078283989661369591" displayName="Table4832644078283989661369591" ref="B113:R116" headerRowCount="0" totalsRowShown="0" headerRowDxfId="7830" dataDxfId="7829">
  <tableColumns count="17">
    <tableColumn id="2" xr3:uid="{93187851-D826-4427-AA4F-D42D891CB439}" name="Column1" headerRowDxfId="7828" dataDxfId="7827"/>
    <tableColumn id="3" xr3:uid="{BB299D68-B1D5-47AE-BC95-7CE6B7EA5C2F}" name="Column2" headerRowDxfId="7826" dataDxfId="7825"/>
    <tableColumn id="4" xr3:uid="{6424FA33-5CAA-4958-BF53-ED0BBA565CF6}" name="Column3" headerRowDxfId="7824" dataDxfId="7823"/>
    <tableColumn id="5" xr3:uid="{32D02ED2-9C5A-42BE-B741-0A4094330821}" name="Column4" headerRowDxfId="7822" dataDxfId="7821"/>
    <tableColumn id="6" xr3:uid="{A40B5A9E-B6C4-4727-8C64-2EA173E8F7D1}" name="Column5" headerRowDxfId="7820" dataDxfId="7819"/>
    <tableColumn id="7" xr3:uid="{B18E0487-981B-4798-A682-2FED70D65AFB}" name="Column6" headerRowDxfId="7818" dataDxfId="7817"/>
    <tableColumn id="8" xr3:uid="{D5B3AE42-D08B-40C1-BC13-F6B74BCF70F0}" name="Column7" headerRowDxfId="7816" dataDxfId="7815"/>
    <tableColumn id="9" xr3:uid="{B3C53221-CD88-4E88-A7A3-E4FF9E4004F3}" name="Column8" headerRowDxfId="7814" dataDxfId="7813"/>
    <tableColumn id="10" xr3:uid="{C57A069D-A674-4CF0-AB7C-9F0EA53323B0}" name="Column9" headerRowDxfId="7812" dataDxfId="7811"/>
    <tableColumn id="11" xr3:uid="{C416C12B-93EE-4E47-9505-07F672C92931}" name="Column10" headerRowDxfId="7810" dataDxfId="7809"/>
    <tableColumn id="12" xr3:uid="{FA10361A-9AA8-428C-B843-06C6C2AC6BBE}" name="Column11" headerRowDxfId="7808" dataDxfId="7807"/>
    <tableColumn id="13" xr3:uid="{B4A277D4-2823-4C73-9E7A-3410BECB2FA9}" name="Column12" headerRowDxfId="7806" dataDxfId="7805"/>
    <tableColumn id="14" xr3:uid="{0A9E1B98-18FD-4707-8B39-0677537C78DD}" name="Column13" headerRowDxfId="7804" dataDxfId="7803"/>
    <tableColumn id="15" xr3:uid="{D12B980C-9132-48AB-89F1-C2EBBC647B4D}" name="Cantrip" headerRowDxfId="7802" dataDxfId="7801"/>
    <tableColumn id="16" xr3:uid="{469601DD-DB1B-414E-A478-73BF623FDCD0}" name="1st Level" headerRowDxfId="7800" dataDxfId="7799"/>
    <tableColumn id="17" xr3:uid="{8BCD2B09-3BFB-4A03-B98E-BB38BF1252C2}" name="2nd Level" headerRowDxfId="7798" dataDxfId="7797"/>
    <tableColumn id="1" xr3:uid="{23837A69-C902-497B-9651-0AC519205D36}" name="Column14" headerRowDxfId="7796" dataDxfId="7795"/>
  </tableColumns>
  <tableStyleInfo name="TableStyleMedium2" showFirstColumn="0" showLastColumn="0" showRowStripes="1" showColumnStripes="0"/>
</table>
</file>

<file path=xl/tables/table2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1" xr:uid="{7F37A408-C23A-4B5A-80DF-280E9175053E}" name="Table4932744178384089762370592" displayName="Table4932744178384089762370592" ref="B120:T129" headerRowCount="0" headerRowDxfId="7794" dataDxfId="7793" totalsRowDxfId="7792">
  <tableColumns count="19">
    <tableColumn id="2" xr3:uid="{90A4B0F1-C90E-40B7-B84D-01B4DB619737}" name="Column1" headerRowDxfId="7791" dataDxfId="7790"/>
    <tableColumn id="3" xr3:uid="{E76D391C-859D-4FD0-9920-A408A529EC15}" name="Column2" headerRowDxfId="7789" dataDxfId="7788" totalsRowDxfId="7787"/>
    <tableColumn id="4" xr3:uid="{DDF9F4B7-56A6-463B-9BB1-325E65298BBE}" name="Column3" headerRowDxfId="7786" dataDxfId="7785" totalsRowDxfId="7784"/>
    <tableColumn id="5" xr3:uid="{7C2E3BF0-7E0C-4BBB-B08D-5DDFDE5AB61B}" name="Column4" headerRowDxfId="7783" dataDxfId="7782" totalsRowDxfId="7781"/>
    <tableColumn id="6" xr3:uid="{689F11A6-27EA-48B4-BACD-DB29F1CE739A}" name="Column5" headerRowDxfId="7780" dataDxfId="7779" totalsRowDxfId="7778"/>
    <tableColumn id="7" xr3:uid="{C6DF466A-6C1D-4544-90B1-1078ED6ADE17}" name="Column6" headerRowDxfId="7777" dataDxfId="7776" totalsRowDxfId="7775"/>
    <tableColumn id="8" xr3:uid="{3E9645A8-E1BE-4D34-9E4E-CD2C90531AFE}" name="Column7" headerRowDxfId="7774" dataDxfId="7773" totalsRowDxfId="7772"/>
    <tableColumn id="9" xr3:uid="{B2938BD8-188F-4268-BB14-238412454299}" name="Column8" headerRowDxfId="7771" dataDxfId="7770" totalsRowDxfId="7769"/>
    <tableColumn id="10" xr3:uid="{DE4DA024-9F41-40E0-81E9-B2E16B146EF9}" name="Column9" headerRowDxfId="7768" dataDxfId="7767" totalsRowDxfId="7766"/>
    <tableColumn id="11" xr3:uid="{2FB6F18A-C677-4C50-8353-9868F6C54C19}" name="Column10" headerRowDxfId="7765" dataDxfId="7764" totalsRowDxfId="7763"/>
    <tableColumn id="12" xr3:uid="{4C96CB4A-6FA5-4B76-9657-3E8B2ABEC186}" name="Column11" headerRowDxfId="7762" dataDxfId="7761" totalsRowDxfId="7760"/>
    <tableColumn id="13" xr3:uid="{643BBF88-5601-48F4-9000-A4A5B1F436EE}" name="Column12" headerRowDxfId="7759" dataDxfId="7758" totalsRowDxfId="7757"/>
    <tableColumn id="14" xr3:uid="{05A6BF7C-6826-467A-84BD-5E986875A367}" name="Column13" headerRowDxfId="7756" dataDxfId="7755" totalsRowDxfId="7754"/>
    <tableColumn id="15" xr3:uid="{AE63ABAA-7444-4C43-9FBE-8DC3A26CE692}" name="Cantrip" headerRowDxfId="7753" dataDxfId="7752"/>
    <tableColumn id="16" xr3:uid="{88BFE0D0-8CF7-4D92-AF4C-5A98FB2B25D0}" name="1st Level" headerRowDxfId="7751" dataDxfId="7750"/>
    <tableColumn id="17" xr3:uid="{1464284F-7B5E-40D8-95CF-621F1954AEF8}" name="2nd Level" headerRowDxfId="7749" dataDxfId="7748"/>
    <tableColumn id="18" xr3:uid="{5337341D-FD9E-43ED-8C18-D65B62DCC11A}" name="3rd Level" headerRowDxfId="7747" dataDxfId="7746"/>
    <tableColumn id="19" xr3:uid="{8C2DB16C-42D2-49AD-816F-96694B773019}" name="4th Level" headerRowDxfId="7745" dataDxfId="7744"/>
    <tableColumn id="1" xr3:uid="{FB565AA4-3F86-4D70-A8C3-9756A4ABA206}" name="Column14" headerRowDxfId="7743" dataDxfId="7742" totalsRowDxfId="7741"/>
  </tableColumns>
  <tableStyleInfo name="TableStyleMedium2" showFirstColumn="0" showLastColumn="0" showRowStripes="1" showColumnStripes="0"/>
</table>
</file>

<file path=xl/tables/table2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2" xr:uid="{DE10509E-5483-4874-91A8-4861A95FA00E}" name="Table62328442784841898268371593" displayName="Table62328442784841898268371593" ref="B171:T202" headerRowCount="0" headerRowDxfId="7740" dataDxfId="7739" totalsRowDxfId="7737" tableBorderDxfId="7738">
  <tableColumns count="19">
    <tableColumn id="2" xr3:uid="{34BC3CF1-7EF3-4E42-B235-1FA2B40F29D6}" name="Column2" headerRowDxfId="7736" dataDxfId="7735" totalsRowDxfId="7734"/>
    <tableColumn id="3" xr3:uid="{D2C82A98-2265-41E2-8B54-0FFEAB032EAE}" name="Column3" headerRowDxfId="7733" dataDxfId="7732" totalsRowDxfId="7731"/>
    <tableColumn id="4" xr3:uid="{0D34D262-6497-4366-8350-CD39944D9DE6}" name="Column4" headerRowDxfId="7730" dataDxfId="7729" totalsRowDxfId="7728"/>
    <tableColumn id="5" xr3:uid="{7F42B251-EC22-4915-BECF-20AD4E3C410B}" name="Column5" headerRowDxfId="7727" dataDxfId="7726" totalsRowDxfId="7725"/>
    <tableColumn id="6" xr3:uid="{155A3E54-DD0C-4498-BE3D-4E2C05599289}" name="Column6" headerRowDxfId="7724" dataDxfId="7723" totalsRowDxfId="7722"/>
    <tableColumn id="7" xr3:uid="{932CAC7E-64DB-4194-A68E-EC31245C61B7}" name="Column7" headerRowDxfId="7721" dataDxfId="7720" totalsRowDxfId="7719"/>
    <tableColumn id="8" xr3:uid="{D2BEEC76-BE60-4678-AAE3-B9923F9F9216}" name="Column8" headerRowDxfId="7718" dataDxfId="7717" totalsRowDxfId="7716"/>
    <tableColumn id="9" xr3:uid="{36108EE0-0DC9-442B-B953-CCAACFA13AB9}" name="Column9" headerRowDxfId="7715" dataDxfId="7714" totalsRowDxfId="7713"/>
    <tableColumn id="10" xr3:uid="{D607C557-B2E2-4D9F-AE64-4A8AD04AA3CF}" name="Column10" headerRowDxfId="7712" dataDxfId="7711" totalsRowDxfId="7710"/>
    <tableColumn id="11" xr3:uid="{FEFC9A8B-1C6B-413A-BEB0-EAA75FB4C1BD}" name="Column11" headerRowDxfId="7709" dataDxfId="7708" totalsRowDxfId="7707"/>
    <tableColumn id="12" xr3:uid="{FFBDE707-5DC4-4C52-8342-6C09D602614A}" name="Column12" headerRowDxfId="7706" dataDxfId="7705" totalsRowDxfId="7704"/>
    <tableColumn id="13" xr3:uid="{8B2DA4AC-859B-4CDE-9C9A-67FEBE98B899}" name="Column13" headerRowDxfId="7703" dataDxfId="7702" totalsRowDxfId="7701"/>
    <tableColumn id="14" xr3:uid="{46306728-F4DA-4529-B3D7-223E122398EC}" name="Column14" headerRowDxfId="7700" dataDxfId="7699" totalsRowDxfId="7698"/>
    <tableColumn id="15" xr3:uid="{03DE7B21-CF5C-4830-8420-0CAFC1C82B84}" name="Column15" headerRowDxfId="7697" dataDxfId="7696" totalsRowDxfId="7695"/>
    <tableColumn id="16" xr3:uid="{2DB3D8AA-C58D-44CB-A124-395D712B4D09}" name="Column16" headerRowDxfId="7694" dataDxfId="7693" totalsRowDxfId="7692"/>
    <tableColumn id="17" xr3:uid="{5B654578-8F6A-433F-BEE6-E6C602F99B1C}" name="Column17" headerRowDxfId="7691" dataDxfId="7690" totalsRowDxfId="7689"/>
    <tableColumn id="18" xr3:uid="{72C4E123-ADC8-4FCB-ACE7-989ECB515EED}" name="Column18" headerRowDxfId="7688" dataDxfId="7687" totalsRowDxfId="7686"/>
    <tableColumn id="19" xr3:uid="{39E53F6E-4C19-4A8C-AD3E-E63AD705CAC1}" name="Column19" headerRowDxfId="7685" dataDxfId="7684" totalsRowDxfId="7683"/>
    <tableColumn id="1" xr3:uid="{15F1929F-FE83-46E1-A8DA-31FFFD153C46}" name="Column1" headerRowDxfId="7682" dataDxfId="7681" totalsRowDxfId="7680"/>
  </tableColumns>
  <tableStyleInfo name="TableStyleMedium2" showFirstColumn="0" showLastColumn="0" showRowStripes="1" showColumnStripes="0"/>
</table>
</file>

<file path=xl/tables/table2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3" xr:uid="{685DAE5E-4199-44CF-BAEA-F705747AB8CF}" name="Table64329443785842899270372594" displayName="Table64329443785842899270372594" ref="B307:T324" headerRowCount="0" totalsRowShown="0" headerRowDxfId="7679" dataDxfId="7678">
  <tableColumns count="19">
    <tableColumn id="2" xr3:uid="{36A3F678-4BBE-4127-AADC-C11C83480249}" name="Column2" headerRowDxfId="7677" dataDxfId="7676"/>
    <tableColumn id="3" xr3:uid="{0960055A-E45E-45A6-8222-F45FB2787A8C}" name="Column3" headerRowDxfId="7675" dataDxfId="7674"/>
    <tableColumn id="4" xr3:uid="{CF7119E7-70D8-4801-86C2-B139FD4D6E14}" name="Column4" headerRowDxfId="7673" dataDxfId="7672"/>
    <tableColumn id="5" xr3:uid="{D8CD4F45-A1CA-4A4E-A235-251375AE741F}" name="Column5" headerRowDxfId="7671" dataDxfId="7670"/>
    <tableColumn id="6" xr3:uid="{BAFBB66B-0175-46A6-8D0B-773E34C7ED2C}" name="Column6" headerRowDxfId="7669" dataDxfId="7668"/>
    <tableColumn id="7" xr3:uid="{3CEA6FDB-1EE1-4263-95D3-83E355A07B07}" name="Column7" headerRowDxfId="7667" dataDxfId="7666"/>
    <tableColumn id="8" xr3:uid="{3DC0AF53-9015-430B-8AA0-4F24F9F95F37}" name="Column8" headerRowDxfId="7665" dataDxfId="7664"/>
    <tableColumn id="9" xr3:uid="{BFE0382A-137D-4E80-94DC-4FEDCE66568B}" name="Column9" headerRowDxfId="7663" dataDxfId="7662"/>
    <tableColumn id="10" xr3:uid="{55EAF4B6-75DD-4779-9D7F-028670756647}" name="Column10" headerRowDxfId="7661" dataDxfId="7660"/>
    <tableColumn id="11" xr3:uid="{4C10B53F-85E5-474B-B82B-340217709679}" name="Column11" headerRowDxfId="7659" dataDxfId="7658"/>
    <tableColumn id="12" xr3:uid="{52C453AE-454D-46C3-BBCF-27572A0B4CFB}" name="Column12" headerRowDxfId="7657" dataDxfId="7656"/>
    <tableColumn id="13" xr3:uid="{93459EE1-0CEE-4106-9A4A-F83B7929BA21}" name="Column13" headerRowDxfId="7655" dataDxfId="7654"/>
    <tableColumn id="14" xr3:uid="{15A3E717-5E62-4C81-ADE5-02D033F78ECD}" name="Column14" headerRowDxfId="7653" dataDxfId="7652"/>
    <tableColumn id="15" xr3:uid="{48BDDA79-6F2B-4632-BCF4-264ADBBE1EF0}" name="Column15" headerRowDxfId="7651" dataDxfId="7650"/>
    <tableColumn id="16" xr3:uid="{9296EECE-0F38-4818-A868-AC095BE78446}" name="Column16" headerRowDxfId="7649" dataDxfId="7648">
      <calculatedColumnFormula>IF($Q$324&gt;=O322,INDEX('Spell Tables'!$T$242:$T$271,MATCH(O322,('Spell Tables'!$R$242:$R$271),0))," ")</calculatedColumnFormula>
    </tableColumn>
    <tableColumn id="17" xr3:uid="{184F4F5C-D74C-4194-B221-021F6E406DE9}" name="Column17" headerRowDxfId="7647" dataDxfId="7646">
      <calculatedColumnFormula>IF($R$324&gt;=O322,INDEX('Spell Tables'!$X$242:$X$275,MATCH(O322,('Spell Tables'!$V$242:$V$275),0))," ")</calculatedColumnFormula>
    </tableColumn>
    <tableColumn id="18" xr3:uid="{6AF0F957-13D8-470E-8F92-87EDB811DDDA}" name="Column18" headerRowDxfId="7645" dataDxfId="7644"/>
    <tableColumn id="19" xr3:uid="{DF12F083-AAAB-4DE0-A29A-A290AD1D5B12}" name="Column19" headerRowDxfId="7643" dataDxfId="7642"/>
    <tableColumn id="20" xr3:uid="{4CF8E13F-DB19-4580-BCA1-2CE3095D0C84}" name="Column20" headerRowDxfId="7641" dataDxfId="7640">
      <calculatedColumnFormula>IF($S$309&gt;=O307,INDEX('Spell Tables'!$AF$242:$AF$264,MATCH(O307,('Spell Tables'!$AD$242:$AD$264),0)),IF(AND($Q$11="wizard",$S$312&gt;=O307),INDEX('Spell Tables'!$AF$242:$AF$264,MATCH(O307,('Spell Tables'!$AD$242:$AD$264),0))," "))</calculatedColumnFormula>
    </tableColumn>
  </tableColumns>
  <tableStyleInfo name="TableStyleMedium2" showFirstColumn="0" showLastColumn="0" showRowStripes="1" showColumnStripes="0"/>
</table>
</file>

<file path=xl/tables/table2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4" xr:uid="{507CA7E8-F524-4873-B2E7-772DAD2496B2}" name="Table4967330444786843900309373595" displayName="Table4967330444786843900309373595" ref="B146:T155" headerRowCount="0" headerRowDxfId="7639" dataDxfId="7638" totalsRowDxfId="7637">
  <tableColumns count="19">
    <tableColumn id="2" xr3:uid="{70E09BD6-EBF7-46A8-96CA-F888F79DB557}" name="Column1" headerRowDxfId="7636" dataDxfId="7635" totalsRowDxfId="7634"/>
    <tableColumn id="3" xr3:uid="{28883760-3A9D-4CB7-8A61-1C78740D84EE}" name="Column2" headerRowDxfId="7633" dataDxfId="7632" totalsRowDxfId="7631"/>
    <tableColumn id="4" xr3:uid="{E60B82F6-B977-467B-A76D-216179DA6368}" name="Column3" headerRowDxfId="7630" dataDxfId="7629" totalsRowDxfId="7628"/>
    <tableColumn id="5" xr3:uid="{27A9912D-1196-4882-A79A-01D3AE786849}" name="Column4" headerRowDxfId="7627" dataDxfId="7626" totalsRowDxfId="7625"/>
    <tableColumn id="6" xr3:uid="{3E687602-B6EC-412A-BF70-90B37A6DB828}" name="Column5" headerRowDxfId="7624" dataDxfId="7623" totalsRowDxfId="7622"/>
    <tableColumn id="7" xr3:uid="{48703FF3-D4E2-4AFC-AD8A-0C05CE8C11E7}" name="Column6" headerRowDxfId="7621" dataDxfId="7620" totalsRowDxfId="7619"/>
    <tableColumn id="8" xr3:uid="{68867AAD-FB99-4236-8606-4782B90EFF67}" name="Column7" headerRowDxfId="7618" dataDxfId="7617" totalsRowDxfId="7616"/>
    <tableColumn id="9" xr3:uid="{2E6B1D3A-B0C0-438D-90FE-C3149E7EF77E}" name="Column8" headerRowDxfId="7615" dataDxfId="7614" totalsRowDxfId="7613"/>
    <tableColumn id="10" xr3:uid="{E5E8E112-3ED4-4A0D-8E6C-570E052F94C8}" name="Column9" headerRowDxfId="7612" dataDxfId="7611" totalsRowDxfId="7610"/>
    <tableColumn id="11" xr3:uid="{8E887C0D-CB17-4C51-B740-A504D21E3137}" name="Column10" headerRowDxfId="7609" dataDxfId="7608" totalsRowDxfId="7607"/>
    <tableColumn id="12" xr3:uid="{C62BD7B8-A96E-4897-A9FC-4F79A4642A91}" name="Column11" headerRowDxfId="7606" dataDxfId="7605" totalsRowDxfId="7604"/>
    <tableColumn id="13" xr3:uid="{605799EA-0BBD-468A-8583-5CE93BDB7394}" name="Column12" headerRowDxfId="7603" dataDxfId="7602" totalsRowDxfId="7601"/>
    <tableColumn id="14" xr3:uid="{C24C29E4-EA3D-465A-B892-DFB275FA933A}" name="Column13" headerRowDxfId="7600" dataDxfId="7599" totalsRowDxfId="7598"/>
    <tableColumn id="15" xr3:uid="{9001BECA-6F0B-49D2-A8FF-CEC78DDD2B2A}" name="Cantrip" headerRowDxfId="7597" dataDxfId="7596" totalsRowDxfId="7595"/>
    <tableColumn id="16" xr3:uid="{6A9D08FF-7C96-498C-AE66-7ECDB56A9CDB}" name="1st Level" headerRowDxfId="7594" dataDxfId="7593" totalsRowDxfId="7592"/>
    <tableColumn id="17" xr3:uid="{A38C49CF-EE3E-4BC8-AB74-12EFB1F89C29}" name="2nd Level" totalsRowFunction="custom" headerRowDxfId="7591" dataDxfId="7590" totalsRowDxfId="7589">
      <totalsRowFormula>IF(R15="way of the shadow","Silence"," ")</totalsRowFormula>
    </tableColumn>
    <tableColumn id="18" xr3:uid="{D292D8F8-4FFE-4AB5-823C-4CA316D7EF17}" name="3rd Level" headerRowDxfId="7588" dataDxfId="7587" totalsRowDxfId="7586"/>
    <tableColumn id="19" xr3:uid="{120649CA-6E44-4B6B-8B86-D1B71C1B1918}" name="4th Level" headerRowDxfId="7585" dataDxfId="7584" totalsRowDxfId="7583"/>
    <tableColumn id="1" xr3:uid="{10DF4ACF-F382-4E06-9716-D72A9FF88271}" name="Column14" headerRowDxfId="7582" dataDxfId="7581" totalsRowDxfId="7580"/>
  </tableColumns>
  <tableStyleInfo name="TableStyleMedium2" showFirstColumn="0" showLastColumn="0" showRowStripes="1" showColumnStripes="0"/>
</table>
</file>

<file path=xl/tables/table2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5" xr:uid="{C30F5D6B-E60B-4BDD-8F7B-40AC4667F92B}" name="Table69331445787844901310374596" displayName="Table69331445787844901310374596" ref="BN26:BS43" headerRowCount="0" totalsRowShown="0" headerRowDxfId="7579" dataDxfId="7578">
  <tableColumns count="6">
    <tableColumn id="1" xr3:uid="{D4F517F6-808C-4672-BF32-B1454556166C}" name="Column1" headerRowDxfId="7577" dataDxfId="7576">
      <calculatedColumnFormula>_xlfn.RANK.EQ(BO26,$BO$26:$BO$43)</calculatedColumnFormula>
    </tableColumn>
    <tableColumn id="2" xr3:uid="{9C7BD4AF-3637-4B21-AF6F-DC291B42EAAF}" name="Column2" headerRowDxfId="7575" dataDxfId="7574"/>
    <tableColumn id="3" xr3:uid="{4C4BD4AC-C002-4A78-934C-E76E4EFF4E7F}" name="Column3" headerRowDxfId="7573" dataDxfId="7572">
      <calculatedColumnFormula>IF(OR(BM6&gt;=1,AV6&gt;=1),AH6," ")</calculatedColumnFormula>
    </tableColumn>
    <tableColumn id="4" xr3:uid="{AD4D22ED-477B-43A7-9DAB-FDE5492C7935}" name="Column4" headerRowDxfId="7571" dataDxfId="7570"/>
    <tableColumn id="5" xr3:uid="{EB46C66B-78F5-4CD3-BAF9-D4EEF7EC3AAF}" name="Column5" headerRowDxfId="7569" dataDxfId="7568">
      <calculatedColumnFormula>_xlfn.RANK.EQ(BS26,$BS$26:$BS$43)</calculatedColumnFormula>
    </tableColumn>
    <tableColumn id="6" xr3:uid="{B5467EE5-854B-4162-A80C-AD15D9756F4C}" name="Column6" headerRowDxfId="7567" dataDxfId="7566">
      <calculatedColumnFormula>IF(BO26=0,RAND(),0)</calculatedColumnFormula>
    </tableColumn>
  </tableColumns>
  <tableStyleInfo name="TableStyleMedium2" showFirstColumn="0" showLastColumn="0" showRowStripes="1" showColumnStripes="0"/>
</table>
</file>

<file path=xl/tables/table2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6" xr:uid="{310F0424-BAC2-42AA-8804-EFF1FE64A55A}" name="Table70332446788845902311375597" displayName="Table70332446788845902311375597" ref="BU26:BZ29" headerRowCount="0" totalsRowShown="0" headerRowDxfId="7565" dataDxfId="7564">
  <tableColumns count="6">
    <tableColumn id="1" xr3:uid="{04750F97-767B-42DB-B5A1-C8CD02A621B0}" name="Column1" headerRowDxfId="7563" dataDxfId="7562">
      <calculatedColumnFormula>_xlfn.RANK.EQ(BV26,$BV$26:$BV$29)</calculatedColumnFormula>
    </tableColumn>
    <tableColumn id="2" xr3:uid="{0C53EA7F-0072-4F3E-A54D-AE22697183B3}" name="Column2" headerRowDxfId="7561" dataDxfId="7560"/>
    <tableColumn id="3" xr3:uid="{0018858A-2928-4384-A512-E298DDC6BC02}" name="Column3" headerRowDxfId="7559" dataDxfId="7558"/>
    <tableColumn id="4" xr3:uid="{C2D254E4-0E6C-47BD-80FA-553527177C64}" name="Column4" headerRowDxfId="7557" dataDxfId="7556"/>
    <tableColumn id="5" xr3:uid="{F4FD342B-82B5-4DCB-A239-8F1EA9FF0954}" name="Column5" headerRowDxfId="7555" dataDxfId="7554">
      <calculatedColumnFormula>_xlfn.RANK.EQ(BZ26,$BZ$26:$BZ$29)</calculatedColumnFormula>
    </tableColumn>
    <tableColumn id="6" xr3:uid="{04E30434-C1F0-4BAA-A9CB-CF1FA8890BBB}" name="Column6" headerRowDxfId="7553" dataDxfId="7552">
      <calculatedColumnFormula>IF(BV26=0,RAND(),0)</calculatedColumnFormula>
    </tableColumn>
  </tableColumns>
  <tableStyleInfo name="TableStyleMedium2" showFirstColumn="0" showLastColumn="0" showRowStripes="1" showColumnStripes="0"/>
</table>
</file>

<file path=xl/tables/table2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7" xr:uid="{729A99DA-E84B-4296-99A8-1E2B59B2C648}" name="Table72333447789846903312376598" displayName="Table72333447789846903312376598" ref="BU30:BZ32" headerRowCount="0" totalsRowShown="0" headerRowDxfId="7551" dataDxfId="7550">
  <tableColumns count="6">
    <tableColumn id="1" xr3:uid="{C79F7420-0FC8-432E-8FD6-C05CDF7669AE}" name="Column1" headerRowDxfId="7549" dataDxfId="7548">
      <calculatedColumnFormula>_xlfn.RANK.EQ(BV30,$BV$30:$BV$32)</calculatedColumnFormula>
    </tableColumn>
    <tableColumn id="2" xr3:uid="{0EEC1843-FEC9-410F-B73F-EB51AC8966F4}" name="Column2" headerRowDxfId="7547" dataDxfId="7546"/>
    <tableColumn id="3" xr3:uid="{71829D75-F189-4BF3-A2A6-D9F2D20B0EC3}" name="Column3" headerRowDxfId="7545" dataDxfId="7544"/>
    <tableColumn id="4" xr3:uid="{ACD520B5-0D65-44BC-82E4-EA25618507BA}" name="Column4" headerRowDxfId="7543" dataDxfId="7542"/>
    <tableColumn id="5" xr3:uid="{D59C6867-86F6-4F0D-82B0-072A1F0E9A16}" name="Column5" headerRowDxfId="7541" dataDxfId="7540">
      <calculatedColumnFormula>_xlfn.RANK.EQ(BZ30,$BZ$30:$BZ$32)</calculatedColumnFormula>
    </tableColumn>
    <tableColumn id="6" xr3:uid="{3E3F192B-8684-485C-AFBF-44D289D21A57}" name="Column6" headerRowDxfId="7539" dataDxfId="7538">
      <calculatedColumnFormula>IF(BV30=0,RAND(),0)</calculatedColumnFormula>
    </tableColumn>
  </tableColumns>
  <tableStyleInfo name="TableStyleMedium2" showFirstColumn="0" showLastColumn="0" showRowStripes="1" showColumnStripes="0"/>
</table>
</file>

<file path=xl/tables/table2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8" xr:uid="{058C9D74-4096-49C7-A1B0-C7154DC470C4}" name="Table60334448790847904313377599" displayName="Table60334448790847904313377599" ref="B240:T271" headerRowCount="0" totalsRowShown="0" headerRowDxfId="7537" dataDxfId="7536" tableBorderDxfId="7535">
  <tableColumns count="19">
    <tableColumn id="3" xr3:uid="{3C92F8E6-C5BE-4A88-AB09-C8E8147427ED}" name="Column3" headerRowDxfId="7534" dataDxfId="7533"/>
    <tableColumn id="4" xr3:uid="{41D96F04-D245-4CCD-A122-1ED9A2B6D60C}" name="Column4" headerRowDxfId="7532" dataDxfId="7531"/>
    <tableColumn id="5" xr3:uid="{E4112890-407F-4DF7-9DFD-63BDA01F384C}" name="Column5" headerRowDxfId="7530" dataDxfId="7529"/>
    <tableColumn id="6" xr3:uid="{632129E2-D6DD-4FC1-AF02-5B54CA167E47}" name="Column6" headerRowDxfId="7528" dataDxfId="7527"/>
    <tableColumn id="7" xr3:uid="{305D1F75-DEB2-490B-A43F-B1FAE9CC4947}" name="Column7" headerRowDxfId="7526" dataDxfId="7525"/>
    <tableColumn id="8" xr3:uid="{AAC6FF23-4EA1-4A6D-802A-3DB3115D5255}" name="Column8" headerRowDxfId="7524" dataDxfId="7523"/>
    <tableColumn id="9" xr3:uid="{BA97A6D4-59CB-4ED1-BF9C-8DBEF1DC56E3}" name="Column9" headerRowDxfId="7522" dataDxfId="7521"/>
    <tableColumn id="10" xr3:uid="{22B36E60-B44C-4F54-84E7-208ABB53D9A4}" name="Column10" headerRowDxfId="7520" dataDxfId="7519"/>
    <tableColumn id="11" xr3:uid="{FD5A9A1E-62E8-4A43-BCE6-F8ECFE9D0B04}" name="Column11" headerRowDxfId="7518" dataDxfId="7517"/>
    <tableColumn id="12" xr3:uid="{2E396FCC-FC89-4833-8533-3E6ED2290E6D}" name="Column12" headerRowDxfId="7516" dataDxfId="7515"/>
    <tableColumn id="13" xr3:uid="{3A261E74-24B7-41D9-907B-BEAFAE28AE58}" name="Column13" headerRowDxfId="7514" dataDxfId="7513"/>
    <tableColumn id="14" xr3:uid="{25B5BFE6-B88C-4DFC-A6D6-481C619C0454}" name="Column14" headerRowDxfId="7512" dataDxfId="7511"/>
    <tableColumn id="15" xr3:uid="{7A843361-1105-4E82-89DF-B6242E5EA686}" name="Column15" headerRowDxfId="7510" dataDxfId="7509"/>
    <tableColumn id="2" xr3:uid="{1E8645BA-8DDA-41ED-9FC8-4BD70B35B38E}" name="Column2" headerRowDxfId="7508" dataDxfId="7507"/>
    <tableColumn id="16" xr3:uid="{C82AA097-C7E4-420D-BAEA-4176AE3C953B}" name="Column16" headerRowDxfId="7506" dataDxfId="7505"/>
    <tableColumn id="17" xr3:uid="{C9478504-76FF-4B34-87E7-95C704C1F1C3}" name="Column17" headerRowDxfId="7504" dataDxfId="7503"/>
    <tableColumn id="18" xr3:uid="{311F2E44-EE6E-49CD-87BE-FF53A72E0356}" name="Column18" headerRowDxfId="7502" dataDxfId="7501"/>
    <tableColumn id="19" xr3:uid="{5C066465-D536-4677-BE2C-7D12BA2291E9}" name="Column19" headerRowDxfId="7500" dataDxfId="7499"/>
    <tableColumn id="20" xr3:uid="{14264EE1-EB9E-469A-9EF3-68D841EDADA9}" name="Column20" headerRowDxfId="7498" dataDxfId="7497">
      <calculatedColumnFormula>IF(AND($Q$15="Otherworldly patron - great old one",T$244&gt;=O171),INDEX('Spell Tables'!$AF$226:$AF$231,MATCH(O171,('Spell Tables'!$AD$226:$AD$231),0)),IF(AND($Q$15="Otherworldly patron - fiend",T$244&gt;=O171),INDEX('Spell Tables'!$AF$210:$AF$215,MATCH(O171,('Spell Tables'!$AD$210:$AD$215),0)),IF(AND($Q$15="Otherworldly patron - archfey",T$244&gt;=O171),INDEX('Spell Tables'!$AF$194:$AF$199,MATCH(O171,('Spell Tables'!$AD$194:$AD$199),0)),IF($T$242&gt;=O171,INDEX($AL$80:$AL$89,MATCH(O171,($AJ$80:$AJ$89),0)),IF($T$246&gt;=O171,INDEX('Spell Tables'!$AF$168:$AF$177,MATCH(O171,('Spell Tables'!$AD$168:$AD$177),0)),IF($T$248&gt;=O171,INDEX('Spell Tables'!$AR$141:$AR$144,MATCH(O171,('Spell Tables'!$AP$141:$AP$144),0)),IF($T$250&gt;=O171,INDEX('Spell Tables'!$AB$119:$AB$123,MATCH(O171,('Spell Tables'!$Z$119:$Z$123),0)),IF($T$252&gt;=O171,INDEX('Spell Tables'!$AB$97:$AB$102,MATCH(O171,('Spell Tables'!$Z$97:$Z$102),0)),IF($T$254&gt;=O171,INDEX('Spell Tables'!$AR$70:$AR$75,MATCH(O171,('Spell Tables'!$AP$70:$AP$75),0)),IF($T$256&gt;=O171,INDEX('Spell Tables'!$AF$48:$AF$63,MATCH(O171,('Spell Tables'!$AD$48:$AD$63),0)),IF($T$258&gt;=O171,INDEX('Spell Tables'!$AF$26:$AF$33,MATCH(O171,('Spell Tables'!$AD$26:$AD$33),0)),IF($T$260&gt;=O171,INDEX('Spell Tables'!$AF$2:$AF$9,MATCH(O171,('Spell Tables'!$AD$2:$AD$9),0))," "))))))))))))</calculatedColumnFormula>
    </tableColumn>
  </tableColumns>
  <tableStyleInfo name="TableStyleMedium2" showFirstColumn="0" showLastColumn="0" showRowStripes="1" showColumnStripes="0"/>
</table>
</file>

<file path=xl/tables/table2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9" xr:uid="{3D380A9C-D8FC-4A07-9EBB-CF20F5F281DC}" name="Table200335449791848905314378600" displayName="Table200335449791848905314378600" ref="AJ43:AL53" headerRowCount="0" totalsRowShown="0" headerRowDxfId="7496" dataDxfId="7495">
  <tableColumns count="3">
    <tableColumn id="1" xr3:uid="{83D01625-C27B-4462-A957-34367C1348E8}" name="Column1" headerRowDxfId="7494" dataDxfId="7493"/>
    <tableColumn id="2" xr3:uid="{E44A0CD1-DF54-4DE3-A311-CB4C1097930B}" name="Column2" headerRowDxfId="7492" dataDxfId="7491">
      <calculatedColumnFormula>RAND()</calculatedColumnFormula>
    </tableColumn>
    <tableColumn id="3" xr3:uid="{D808FA14-9273-47E5-A084-415FC6E8C5D5}" name="Column3" headerRowDxfId="7490" dataDxfId="7489">
      <calculatedColumnFormula>AN12</calculatedColumnFormula>
    </tableColumn>
  </tableColumns>
  <tableStyleInfo name="TableStyleMedium2" showFirstColumn="0" showLastColumn="0" showRowStripes="1" showColumnStripes="0"/>
</table>
</file>

<file path=xl/tables/table2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0" xr:uid="{BC785996-65B5-41BF-9A41-71E48E08C026}" name="Table201336450792849906315379601" displayName="Table201336450792849906315379601" ref="AJ55:AL65" headerRowCount="0" totalsRowShown="0" headerRowDxfId="7488" dataDxfId="7487">
  <tableColumns count="3">
    <tableColumn id="1" xr3:uid="{77CAB09E-9B50-4D7D-9E86-B4A527A265ED}" name="Column1" headerRowDxfId="7486" dataDxfId="7485">
      <calculatedColumnFormula>_xlfn.RANK.EQ(AK56,$L$308:$L$320)</calculatedColumnFormula>
    </tableColumn>
    <tableColumn id="2" xr3:uid="{E2B7F6B7-F166-4065-BB46-999164E02DE2}" name="Column2" headerRowDxfId="7484" dataDxfId="7483">
      <calculatedColumnFormula>IF(AL56=" ", 0,RAND())</calculatedColumnFormula>
    </tableColumn>
    <tableColumn id="3" xr3:uid="{049D42D6-0278-476F-B137-C90FBEB6DF24}" name="Column3" headerRowDxfId="7482" dataDxfId="7481">
      <calculatedColumnFormula>AO12</calculatedColumnFormula>
    </tableColumn>
  </tableColumns>
  <tableStyleInfo name="TableStyleMedium2" showFirstColumn="0" showLastColumn="0" showRowStripes="1" showColumnStripes="0"/>
</table>
</file>

<file path=xl/tables/table2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1" xr:uid="{D6BF1352-84C9-479D-96A3-F494A350796E}" name="Table202337451793850907320380602" displayName="Table202337451793850907320380602" ref="AJ67:AL77" headerRowCount="0" totalsRowShown="0" headerRowDxfId="7480" dataDxfId="7479">
  <tableColumns count="3">
    <tableColumn id="1" xr3:uid="{7F9229EE-81F3-4DF1-A4C5-FF7334780961}" name="Column1" headerRowDxfId="7478" dataDxfId="7477"/>
    <tableColumn id="2" xr3:uid="{DDA1F109-A29F-4342-8C39-545D760C9E67}" name="Column2" headerRowDxfId="7476" dataDxfId="7475">
      <calculatedColumnFormula>IF(AL68=" ", 0,RAND())</calculatedColumnFormula>
    </tableColumn>
    <tableColumn id="3" xr3:uid="{F8598904-247C-468F-8118-122DCA7FE005}" name="Column3" headerRowDxfId="7474" dataDxfId="7473">
      <calculatedColumnFormula>AP12</calculatedColumnFormula>
    </tableColumn>
  </tableColumns>
  <tableStyleInfo name="TableStyleMedium2" showFirstColumn="0" showLastColumn="0" showRowStripes="1" showColumnStripes="0"/>
</table>
</file>

<file path=xl/tables/table2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2" xr:uid="{50E5C578-D9F6-402D-A91D-077B5A4CB284}" name="Table203338452794851908321381603" displayName="Table203338452794851908321381603" ref="AJ79:AL89" headerRowCount="0" totalsRowShown="0" headerRowDxfId="7472" dataDxfId="7471">
  <tableColumns count="3">
    <tableColumn id="1" xr3:uid="{0BB3249D-0402-426D-8871-B91312BCE887}" name="Column1" headerRowDxfId="7470" dataDxfId="7469"/>
    <tableColumn id="2" xr3:uid="{ABC24C83-CC97-4B29-8D1F-040F9DDF8536}" name="Column2" headerRowDxfId="7468" dataDxfId="7467"/>
    <tableColumn id="3" xr3:uid="{1A6ACAEC-4715-41A2-A788-4921D532A929}" name="Column3" headerRowDxfId="7466" dataDxfId="7465"/>
  </tableColumns>
  <tableStyleInfo name="TableStyleMedium2" showFirstColumn="0" showLastColumn="0" showRowStripes="1" showColumnStripes="0"/>
</table>
</file>

<file path=xl/tables/table2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3" xr:uid="{F8ACE6D6-7A0C-4F6D-A58A-552BE46D81D8}" name="Table204339453795852909322382604" displayName="Table204339453795852909322382604" ref="AJ91:AL101" headerRowCount="0" totalsRowShown="0" headerRowDxfId="7464" dataDxfId="7463">
  <tableColumns count="3">
    <tableColumn id="1" xr3:uid="{579BE8AC-FB95-464D-9DD6-C5C71A7DCAB6}" name="Column1" headerRowDxfId="7462" dataDxfId="7461"/>
    <tableColumn id="2" xr3:uid="{54A8C242-A6DC-49D4-B410-0BB3A88859A1}" name="Column2" headerRowDxfId="7460" dataDxfId="7459"/>
    <tableColumn id="3" xr3:uid="{E8EC4216-6DD3-48B7-8698-0007FA89A802}" name="Column3" headerRowDxfId="7458" dataDxfId="7457"/>
  </tableColumns>
  <tableStyleInfo name="TableStyleMedium2" showFirstColumn="0" showLastColumn="0" showRowStripes="1" showColumnStripes="0"/>
</table>
</file>

<file path=xl/tables/table2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4" xr:uid="{0BD12EBB-7044-413A-BC25-60904F8CFA21}" name="Table205340454796853910326383605" displayName="Table205340454796853910326383605" ref="AJ103:AL113" headerRowCount="0" totalsRowShown="0" headerRowDxfId="7456" dataDxfId="7455">
  <tableColumns count="3">
    <tableColumn id="1" xr3:uid="{FF6155F6-02EB-46FE-96E5-F0A45EFCC9C9}" name="Column1" headerRowDxfId="7454" dataDxfId="7453"/>
    <tableColumn id="2" xr3:uid="{FADF14C7-3A2A-450E-B151-1C4E351D8854}" name="Column2" headerRowDxfId="7452" dataDxfId="7451"/>
    <tableColumn id="3" xr3:uid="{4F0D3504-E2D4-48B8-9FCA-9F48197EA3B6}" name="Column3" headerRowDxfId="7450" dataDxfId="7449"/>
  </tableColumns>
  <tableStyleInfo name="TableStyleMedium2" showFirstColumn="0" showLastColumn="0" showRowStripes="1" showColumnStripes="0"/>
</table>
</file>

<file path=xl/tables/table2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5" xr:uid="{A732CDED-6DAA-49E8-87EF-3750A8769C89}" name="Table206341455797854911327384606" displayName="Table206341455797854911327384606" ref="AJ115:AL125" headerRowCount="0" totalsRowShown="0" headerRowDxfId="7448" dataDxfId="7447">
  <tableColumns count="3">
    <tableColumn id="1" xr3:uid="{7E87CE10-AB85-462D-B881-D249FFA0243C}" name="Column1" headerRowDxfId="7446" dataDxfId="7445"/>
    <tableColumn id="2" xr3:uid="{40583668-46EF-4E12-8317-491BCE6E85E1}" name="Column2" headerRowDxfId="7444" dataDxfId="7443"/>
    <tableColumn id="3" xr3:uid="{181B47BB-D0A5-48F8-80F8-248B0E88BDC2}" name="Column3" headerRowDxfId="7442" dataDxfId="7441"/>
  </tableColumns>
  <tableStyleInfo name="TableStyleMedium2" showFirstColumn="0" showLastColumn="0" showRowStripes="1" showColumnStripes="0"/>
</table>
</file>

<file path=xl/tables/table2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6" xr:uid="{4743B672-65D3-4837-BCB6-1D107904A846}" name="Table207342456798855912328385607" displayName="Table207342456798855912328385607" ref="AJ127:AL137" headerRowCount="0" totalsRowShown="0" headerRowDxfId="7440" dataDxfId="7439">
  <tableColumns count="3">
    <tableColumn id="1" xr3:uid="{71F45E18-28D5-43BF-90CF-ED6791CA9EBB}" name="Column1" headerRowDxfId="7438" dataDxfId="7437"/>
    <tableColumn id="2" xr3:uid="{92D977DA-D7A2-4259-BF7F-E1C00D40075E}" name="Column2" headerRowDxfId="7436" dataDxfId="7435"/>
    <tableColumn id="3" xr3:uid="{277E75F5-669C-4F8E-B304-8676C727CCFF}" name="Column3" headerRowDxfId="7434" dataDxfId="7433"/>
  </tableColumns>
  <tableStyleInfo name="TableStyleMedium2" showFirstColumn="0" showLastColumn="0" showRowStripes="1" showColumnStripes="0"/>
</table>
</file>

<file path=xl/tables/table2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7" xr:uid="{F3880B34-6E95-44DE-8518-24A0FE8161EC}" name="Table208343457799856913329386608" displayName="Table208343457799856913329386608" ref="AJ139:AL149" headerRowCount="0" totalsRowShown="0" headerRowDxfId="7432" dataDxfId="7431">
  <tableColumns count="3">
    <tableColumn id="1" xr3:uid="{C1952018-2E49-4760-AC70-6ACAB8743D18}" name="Column1" headerRowDxfId="7430" dataDxfId="7429"/>
    <tableColumn id="2" xr3:uid="{48937AB0-ABEB-413B-8D66-AE71EA6CF9C9}" name="Column2" headerRowDxfId="7428" dataDxfId="7427"/>
    <tableColumn id="3" xr3:uid="{32350BA0-039B-4DEC-A91B-D4174677B1F6}" name="Column3" headerRowDxfId="7426" dataDxfId="7425"/>
  </tableColumns>
  <tableStyleInfo name="TableStyleMedium2" showFirstColumn="0" showLastColumn="0" showRowStripes="1" showColumnStripes="0"/>
</table>
</file>

<file path=xl/tables/table2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8" xr:uid="{A9956D01-3F70-4D6E-9380-9CCC1DD363D1}" name="Table219344458800857914330387609" displayName="Table219344458800857914330387609" ref="AJ151:AL161" headerRowCount="0" totalsRowShown="0" headerRowDxfId="7424" dataDxfId="7423">
  <tableColumns count="3">
    <tableColumn id="1" xr3:uid="{6B2F7A84-B767-4B42-A484-9EE09CEE9994}" name="Column1" headerRowDxfId="7422" dataDxfId="7421"/>
    <tableColumn id="2" xr3:uid="{D3D011E2-47A0-4EE0-83C4-CC0905498ECD}" name="Column2" headerRowDxfId="7420" dataDxfId="7419"/>
    <tableColumn id="5" xr3:uid="{D01713CB-EE70-4742-9124-363091A34F12}" name="Column3" headerRowDxfId="7418" dataDxfId="7417"/>
  </tableColumns>
  <tableStyleInfo name="TableStyleMedium2" showFirstColumn="0" showLastColumn="0" showRowStripes="1" showColumnStripes="0"/>
</table>
</file>

<file path=xl/tables/table2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9" xr:uid="{CDFA7581-6047-4E22-8570-EB041C54ECE2}" name="Table220345459801858915331388610" displayName="Table220345459801858915331388610" ref="AJ163:AL173" headerRowCount="0" totalsRowShown="0" headerRowDxfId="7416" dataDxfId="7415">
  <tableColumns count="3">
    <tableColumn id="1" xr3:uid="{C94ABA7C-A889-4164-8035-F60EA6B2DB79}" name="Column1" headerRowDxfId="7414" dataDxfId="7413"/>
    <tableColumn id="2" xr3:uid="{ECF12B5A-544B-4C80-9D9E-C80EF442BDA3}" name="Column2" headerRowDxfId="7412" dataDxfId="7411"/>
    <tableColumn id="3" xr3:uid="{C0036217-5B1D-4416-9F3A-A77A7BA94884}" name="Column3" headerRowDxfId="7410" dataDxfId="7409"/>
  </tableColumns>
  <tableStyleInfo name="TableStyleMedium2" showFirstColumn="0" showLastColumn="0" showRowStripes="1" showColumnStripes="0"/>
</table>
</file>

<file path=xl/tables/table2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0" xr:uid="{BF8F72CC-A60B-485E-BC91-021AA5276FAC}" name="Table222346460802859916332389611" displayName="Table222346460802859916332389611" ref="AJ175:AL185" headerRowCount="0" totalsRowShown="0" headerRowDxfId="7408" dataDxfId="7407">
  <tableColumns count="3">
    <tableColumn id="1" xr3:uid="{EC54781E-BA66-4DCE-997E-46C8085D744E}" name="Column1" headerRowDxfId="7406" dataDxfId="7405"/>
    <tableColumn id="2" xr3:uid="{D666E49D-62D3-4967-8711-CB1EA3F669C8}" name="Column2" headerRowDxfId="7404" dataDxfId="7403"/>
    <tableColumn id="3" xr3:uid="{79D6099A-5CDC-4053-ADDC-67FCD98C1E82}" name="Column3" headerRowDxfId="7402" dataDxfId="7401"/>
  </tableColumns>
  <tableStyleInfo name="TableStyleMedium2" showFirstColumn="0" showLastColumn="0" showRowStripes="1" showColumnStripes="0"/>
</table>
</file>

<file path=xl/tables/table2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1" xr:uid="{4D8CA657-B18F-40E8-AE9A-7B3BDCC726DE}" name="Table250347461803860917333390612" displayName="Table250347461803860917333390612" ref="AJ187:AL197" headerRowCount="0" totalsRowShown="0" headerRowDxfId="7400" dataDxfId="7399">
  <tableColumns count="3">
    <tableColumn id="1" xr3:uid="{15DA8D4B-8E8C-4A57-9FF6-00B172B08133}" name="Column1" headerRowDxfId="7398" dataDxfId="7397"/>
    <tableColumn id="2" xr3:uid="{AC87035D-1321-4E0A-B4C6-C9465539BBA0}" name="Column2" headerRowDxfId="7396" dataDxfId="7395"/>
    <tableColumn id="3" xr3:uid="{E4994467-ECE3-4099-8D9E-585110597E22}" name="Column3" headerRowDxfId="7394" dataDxfId="7393"/>
  </tableColumns>
  <tableStyleInfo name="TableStyleMedium2" showFirstColumn="0" showLastColumn="0" showRowStripes="1" showColumnStripes="0"/>
</table>
</file>

<file path=xl/tables/table2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2" xr:uid="{B4C7F6AE-8D5E-4A56-8BB7-8DB548A3FAB0}" name="Table39348462804861918334391613" displayName="Table39348462804861918334391613" ref="CB1:CD7" headerRowCount="0" totalsRowShown="0" headerRowDxfId="7392" dataDxfId="7391">
  <tableColumns count="3">
    <tableColumn id="1" xr3:uid="{CD3E86D6-6BB4-4B5F-A3D7-87D0BD9927BE}" name="Column1" dataDxfId="7390"/>
    <tableColumn id="2" xr3:uid="{11A9DA49-F4FF-4600-A2BE-FDB373EF77A0}" name="Column2" dataDxfId="7389"/>
    <tableColumn id="3" xr3:uid="{90090EF4-45A3-4384-B06E-4471B7A1B62F}" name="Column3" headerRowDxfId="7388" dataDxfId="7387"/>
  </tableColumns>
  <tableStyleInfo name="TableStyleMedium2" showFirstColumn="0" showLastColumn="0" showRowStripes="1" showColumnStripes="0"/>
</table>
</file>

<file path=xl/tables/table2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3" xr:uid="{4A40B74A-AD02-40AB-9B05-126269E8EE5F}" name="Table50349463805862919335392614" displayName="Table50349463805862919335392614" ref="CB29:CD34" headerRowCount="0" totalsRowShown="0" headerRowDxfId="7386" dataDxfId="7385">
  <tableColumns count="3">
    <tableColumn id="1" xr3:uid="{3AB67D47-37FA-4EC3-A3F1-ADC699160C27}" name="Column1" headerRowDxfId="7384" dataDxfId="7383"/>
    <tableColumn id="2" xr3:uid="{1B58EA69-3683-48BB-8914-0E78318A24BE}" name="Column2" headerRowDxfId="7382" dataDxfId="7381">
      <calculatedColumnFormula>RAND()</calculatedColumnFormula>
    </tableColumn>
    <tableColumn id="3" xr3:uid="{7F909462-A7F7-470E-81C1-DC2FFE343C2A}" name="Column3" headerRowDxfId="7380" dataDxfId="7379"/>
  </tableColumns>
  <tableStyleInfo name="TableStyleMedium2" showFirstColumn="0" showLastColumn="0" showRowStripes="1" showColumnStripes="0"/>
</table>
</file>

<file path=xl/tables/table2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4" xr:uid="{2CA0AA81-7C36-43D8-B484-EDCB0F47C05C}" name="Table51350464806863920336393615" displayName="Table51350464806863920336393615" ref="CB36:CD44" headerRowCount="0" totalsRowShown="0" headerRowDxfId="7378" dataDxfId="7377">
  <tableColumns count="3">
    <tableColumn id="1" xr3:uid="{8055BC85-BB9F-412B-89BE-899138B56D01}" name="Column1" headerRowDxfId="7376" dataDxfId="7375"/>
    <tableColumn id="2" xr3:uid="{14FAC437-14A6-4B40-948C-BA1994842AF8}" name="Column2" headerRowDxfId="7374" dataDxfId="7373"/>
    <tableColumn id="3" xr3:uid="{68101738-54C8-4EB7-AA89-AE31EE47CA99}" name="Column3" headerRowDxfId="7372" dataDxfId="7371"/>
  </tableColumns>
  <tableStyleInfo name="TableStyleMedium2" showFirstColumn="0" showLastColumn="0" showRowStripes="1" showColumnStripes="0"/>
</table>
</file>

<file path=xl/tables/table2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5" xr:uid="{5EC98DB8-93A6-489D-A1DC-9A0369C53664}" name="Table52351465807864921337394616" displayName="Table52351465807864921337394616" ref="CB46:CD54" headerRowCount="0" totalsRowShown="0" headerRowDxfId="7370" dataDxfId="7369">
  <tableColumns count="3">
    <tableColumn id="1" xr3:uid="{423E0EEB-50F2-49D4-A5FB-2A2551B94F22}" name="Column1" headerRowDxfId="7368" dataDxfId="7367"/>
    <tableColumn id="2" xr3:uid="{9AAA0A15-3B8E-4585-A82A-A317E6B7A893}" name="Column2" headerRowDxfId="7366" dataDxfId="7365"/>
    <tableColumn id="3" xr3:uid="{02E3ABF4-8021-4FFF-A238-E9B98C19C23A}" name="Column3" headerRowDxfId="7364" dataDxfId="7363"/>
  </tableColumns>
  <tableStyleInfo name="TableStyleMedium2" showFirstColumn="0" showLastColumn="0" showRowStripes="1" showColumnStripes="0"/>
</table>
</file>

<file path=xl/tables/table2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6" xr:uid="{76294816-FD61-4DA8-988D-94B2EE276F49}" name="Table53352466808865922338395617" displayName="Table53352466808865922338395617" ref="CB56:CD62" headerRowCount="0" totalsRowShown="0" headerRowDxfId="7362" dataDxfId="7361">
  <tableColumns count="3">
    <tableColumn id="1" xr3:uid="{4329990D-1A92-46AA-B4CC-534DA6909A20}" name="Column1" headerRowDxfId="7360" dataDxfId="7359"/>
    <tableColumn id="2" xr3:uid="{7659F251-783B-4ED6-AA7B-1A0524B09E5A}" name="Column2" headerRowDxfId="7358" dataDxfId="7357"/>
    <tableColumn id="3" xr3:uid="{38135566-F863-4BD1-92EF-397A073C8FEF}" name="Column3" headerRowDxfId="7356" dataDxfId="7355"/>
  </tableColumns>
  <tableStyleInfo name="TableStyleMedium2" showFirstColumn="0" showLastColumn="0" showRowStripes="1" showColumnStripes="0"/>
</table>
</file>

<file path=xl/tables/table2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7" xr:uid="{564C76CA-A95E-4D91-89F7-B293096AB31B}" name="Table54353467809866923339396618" displayName="Table54353467809866923339396618" ref="CB64:CD70" headerRowCount="0" totalsRowShown="0" headerRowDxfId="7354" dataDxfId="7353">
  <tableColumns count="3">
    <tableColumn id="1" xr3:uid="{777C47DC-1449-46A6-8857-D36C884251BF}" name="Column1" headerRowDxfId="7352" dataDxfId="7351"/>
    <tableColumn id="2" xr3:uid="{F7CF8F1A-1781-49EF-AD5D-626B120BAD36}" name="Column2" headerRowDxfId="7350" dataDxfId="7349"/>
    <tableColumn id="3" xr3:uid="{3CAF00AB-22AF-4CBF-B656-3D4E55145726}" name="Column3" headerRowDxfId="7348" dataDxfId="7347"/>
  </tableColumns>
  <tableStyleInfo name="TableStyleMedium2" showFirstColumn="0" showLastColumn="0" showRowStripes="1" showColumnStripes="0"/>
</table>
</file>

<file path=xl/tables/table2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8" xr:uid="{2303943D-339B-4D2C-828F-E89FB5828836}" name="Table55354468810867924340397619" displayName="Table55354468810867924340397619" ref="CB72:CD81" headerRowCount="0" totalsRowShown="0" headerRowDxfId="7346" dataDxfId="7345">
  <tableColumns count="3">
    <tableColumn id="1" xr3:uid="{97B03684-E3E8-4EED-AE9F-1D305510F00D}" name="Column1" headerRowDxfId="7344" dataDxfId="7343"/>
    <tableColumn id="2" xr3:uid="{5360A856-014A-49AD-B07B-C47413F99F35}" name="Column2" headerRowDxfId="7342" dataDxfId="7341"/>
    <tableColumn id="3" xr3:uid="{C708F9ED-2FBE-4FC6-A354-72A1420D236A}" name="Column3" headerRowDxfId="7340" dataDxfId="7339"/>
  </tableColumns>
  <tableStyleInfo name="TableStyleMedium2" showFirstColumn="0" showLastColumn="0" showRowStripes="1" showColumnStripes="0"/>
</table>
</file>

<file path=xl/tables/table2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9" xr:uid="{21646EFF-DF5D-44F1-9C73-4EF4331F9D92}" name="Table56355469811868925341398620" displayName="Table56355469811868925341398620" ref="CB83:CD94" headerRowCount="0" totalsRowShown="0" headerRowDxfId="7338" dataDxfId="7337">
  <tableColumns count="3">
    <tableColumn id="1" xr3:uid="{6C6403C7-7DE1-4000-856C-B19F1EBF8582}" name="Column1" headerRowDxfId="7336" dataDxfId="7335"/>
    <tableColumn id="2" xr3:uid="{1206B7BE-33F2-4CBD-9931-E96392A3C3F0}" name="Column2" headerRowDxfId="7334" dataDxfId="7333"/>
    <tableColumn id="3" xr3:uid="{54E92B36-B628-4F91-9E07-3D4A721C1B10}" name="Column3" headerRowDxfId="7332" dataDxfId="7331"/>
  </tableColumns>
  <tableStyleInfo name="TableStyleMedium2" showFirstColumn="0" showLastColumn="0" showRowStripes="1" showColumnStripes="0"/>
</table>
</file>

<file path=xl/tables/table2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0" xr:uid="{BB12DAFB-368E-429D-9296-67E62B6FD29D}" name="Table57356470812869926342399621" displayName="Table57356470812869926342399621" ref="CB96:CD102" headerRowCount="0" totalsRowShown="0" headerRowDxfId="7330" dataDxfId="7329">
  <tableColumns count="3">
    <tableColumn id="1" xr3:uid="{65E98CA1-CDBB-4BFE-B8EB-6640135A032B}" name="Column1" headerRowDxfId="7328" dataDxfId="7327"/>
    <tableColumn id="2" xr3:uid="{859C7439-8459-4E82-8329-5CEFBD231FCB}" name="Column2" headerRowDxfId="7326" dataDxfId="7325"/>
    <tableColumn id="3" xr3:uid="{FE0DA1D4-6BDA-4717-BB16-C992D146EF68}" name="Column3" headerRowDxfId="7324" dataDxfId="7323"/>
  </tableColumns>
  <tableStyleInfo name="TableStyleMedium2" showFirstColumn="0" showLastColumn="0" showRowStripes="1" showColumnStripes="0"/>
</table>
</file>

<file path=xl/tables/table2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1" xr:uid="{4C9C9900-7DD0-44E3-8FDB-01AFE1588E70}" name="Table58357471813870927343400622" displayName="Table58357471813870927343400622" ref="CB104:CD111" headerRowCount="0" totalsRowShown="0" headerRowDxfId="7322" dataDxfId="7321">
  <tableColumns count="3">
    <tableColumn id="1" xr3:uid="{A68B1426-E95A-45EB-829D-ED1CFC31F9CB}" name="Column1" headerRowDxfId="7320" dataDxfId="7319"/>
    <tableColumn id="2" xr3:uid="{1FD26166-E640-4DC1-A6DE-EBA2DB4311F7}" name="Column2" headerRowDxfId="7318" dataDxfId="7317"/>
    <tableColumn id="3" xr3:uid="{9D1A649D-4541-4E84-BE7D-7A040EC846C4}" name="Column3" headerRowDxfId="7316" dataDxfId="7315"/>
  </tableColumns>
  <tableStyleInfo name="TableStyleMedium2" showFirstColumn="0" showLastColumn="0" showRowStripes="1" showColumnStripes="0"/>
</table>
</file>

<file path=xl/tables/table2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2" xr:uid="{ACA246A7-6713-458B-8DE2-521859E6A886}" name="Table59358472814871928344401623" displayName="Table59358472814871928344401623" ref="CB113:CD119" headerRowCount="0" totalsRowShown="0" headerRowDxfId="7314" dataDxfId="7313">
  <tableColumns count="3">
    <tableColumn id="1" xr3:uid="{BD28854F-E692-4F0E-9F0D-17EAF1530832}" name="Column1" headerRowDxfId="7312" dataDxfId="7311"/>
    <tableColumn id="2" xr3:uid="{E4C14467-6816-4A6A-A9DC-530E68629CDB}" name="Column2" headerRowDxfId="7310" dataDxfId="7309"/>
    <tableColumn id="3" xr3:uid="{5637EFC8-FBAE-4136-BD21-90166B843D98}" name="Column3" headerRowDxfId="7308" dataDxfId="7307"/>
  </tableColumns>
  <tableStyleInfo name="TableStyleMedium2" showFirstColumn="0" showLastColumn="0" showRowStripes="1" showColumnStripes="0"/>
</table>
</file>

<file path=xl/tables/table2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3" xr:uid="{E542B4A0-FBD6-4873-B2B8-B55B25096F35}" name="Table81359473815872929345402624" displayName="Table81359473815872929345402624" ref="CB9:CD27" headerRowCount="0" totalsRowShown="0" headerRowDxfId="7306" dataDxfId="7305">
  <tableColumns count="3">
    <tableColumn id="1" xr3:uid="{C756401A-5F9F-43B7-A774-8CFE30C1AFEF}" name="Column1" headerRowDxfId="7304" dataDxfId="7303"/>
    <tableColumn id="2" xr3:uid="{D6D30D8B-A90C-49E1-AB81-E11136BE46ED}" name="Column2" headerRowDxfId="7302" dataDxfId="7301"/>
    <tableColumn id="3" xr3:uid="{7910AFCC-244A-4A8E-A2BC-BC723CC94873}" name="Column3" headerRowDxfId="7300" dataDxfId="7299">
      <calculatedColumnFormula>RAND()</calculatedColumnFormula>
    </tableColumn>
  </tableColumns>
  <tableStyleInfo name="TableStyleMedium2" showFirstColumn="0" showLastColumn="0" showRowStripes="1" showColumnStripes="0"/>
</table>
</file>

<file path=xl/tables/table2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4" xr:uid="{57D34811-9EBA-452F-961E-CE6A0FCA845C}" name="Table264360474816873930346403625" displayName="Table264360474816873930346403625" ref="B14:B19" headerRowCount="0" totalsRowShown="0" headerRowDxfId="7298" dataDxfId="7297" tableBorderDxfId="7296">
  <tableColumns count="1">
    <tableColumn id="1" xr3:uid="{60C46E84-A70F-4493-9A6E-A1622E137C5A}" name="Column1" headerRowDxfId="7295" dataDxfId="7294"/>
  </tableColumns>
  <tableStyleInfo name="TableStyleMedium2" showFirstColumn="0" showLastColumn="0" showRowStripes="1" showColumnStripes="0"/>
</table>
</file>

<file path=xl/tables/table2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5" xr:uid="{C4FEC26E-AEC7-4248-AC71-9D80FC0C0163}" name="Table265361475817874931347404626" displayName="Table265361475817874931347404626" ref="S17:S26" headerRowCount="0" totalsRowShown="0" headerRowDxfId="7293" dataDxfId="7292" tableBorderDxfId="7291">
  <tableColumns count="1">
    <tableColumn id="1" xr3:uid="{BE4A25B3-E17C-4BFE-8C3F-D3B2E25991BF}" name="Column1" headerRowDxfId="7290" dataDxfId="7289"/>
  </tableColumns>
  <tableStyleInfo name="TableStyleMedium2" showFirstColumn="0" showLastColumn="0" showRowStripes="1" showColumnStripes="0"/>
</table>
</file>

<file path=xl/tables/table2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6" xr:uid="{837B185B-BE4F-4053-B2C3-77F43AF9FE10}" name="Table266362476818875932348405627" displayName="Table266362476818875932348405627" ref="O75:O85" headerRowCount="0" totalsRowShown="0" headerRowDxfId="7288" dataDxfId="7287" tableBorderDxfId="7286">
  <tableColumns count="1">
    <tableColumn id="1" xr3:uid="{D52C983A-C81C-4891-920D-45F31247C189}" name="Column1" headerRowDxfId="7285" dataDxfId="7284"/>
  </tableColumns>
  <tableStyleInfo name="TableStyleMedium2" showFirstColumn="0" showLastColumn="0" showRowStripes="1" showColumnStripes="0"/>
</table>
</file>

<file path=xl/tables/table2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7" xr:uid="{5EEE626B-2A78-4CAA-A25F-6FC061F1A70A}" name="Table268363477819876933349406628" displayName="Table268363477819876933349406628" ref="O14:O35" headerRowCount="0" totalsRowShown="0" headerRowDxfId="7283" dataDxfId="7282" tableBorderDxfId="7281">
  <tableColumns count="1">
    <tableColumn id="1" xr3:uid="{C8C7943F-2611-4AB1-A2E9-0667BA342DF6}" name="Column1" headerRowDxfId="7280" dataDxfId="7279"/>
  </tableColumns>
  <tableStyleInfo name="TableStyleMedium2" showFirstColumn="0" showLastColumn="0" showRowStripes="1" showColumnStripes="0"/>
</table>
</file>

<file path=xl/tables/table2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8" xr:uid="{FDB6AADB-397C-4B88-8D63-5757E317113C}" name="Table271364478820877934350407629" displayName="Table271364478820877934350407629" ref="Q14:Q30" headerRowCount="0" totalsRowShown="0" headerRowDxfId="7278" dataDxfId="7277" tableBorderDxfId="7276">
  <tableColumns count="1">
    <tableColumn id="1" xr3:uid="{744EF7F3-445F-4EB4-A036-F0E85749714B}" name="Column1" headerRowDxfId="7275" dataDxfId="7274"/>
  </tableColumns>
  <tableStyleInfo name="TableStyleMedium2" showFirstColumn="0" showLastColumn="0" showRowStripes="1" showColumnStripes="0"/>
</table>
</file>

<file path=xl/tables/table2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9" xr:uid="{B5DEB546-8298-4FBF-9D94-6AAA5CD598A8}" name="Table272365479821878935351408630" displayName="Table272365479821878935351408630" ref="S10:S12" headerRowCount="0" totalsRowShown="0" headerRowDxfId="7273" dataDxfId="7272" tableBorderDxfId="7271">
  <tableColumns count="1">
    <tableColumn id="1" xr3:uid="{C1095638-D75C-4FE2-8FC5-B5AC83AEDDBB}" name="Column1" headerRowDxfId="7270" dataDxfId="7269"/>
  </tableColumns>
  <tableStyleInfo name="TableStyleMedium2" showFirstColumn="0" showLastColumn="0" showRowStripes="1" showColumnStripes="0"/>
</table>
</file>

<file path=xl/tables/table2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0" xr:uid="{CE55F78D-A858-40AD-84E5-F565FB383DE9}" name="Table273366480822879936352409631" displayName="Table273366480822879936352409631" ref="S14:S16" headerRowCount="0" totalsRowShown="0" headerRowDxfId="7268" dataDxfId="7267" tableBorderDxfId="7266">
  <tableColumns count="1">
    <tableColumn id="1" xr3:uid="{40DCCB62-B229-4173-99AD-79F8F98FE127}" name="Column1" headerRowDxfId="7265" dataDxfId="7264"/>
  </tableColumns>
  <tableStyleInfo name="TableStyleMedium2" showFirstColumn="0" showLastColumn="0" showRowStripes="1" showColumnStripes="0"/>
</table>
</file>

<file path=xl/tables/table2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1" xr:uid="{9A6085E6-C839-4C72-AB9C-AE0FDD5FF351}" name="Table274367481823880937353410632" displayName="Table274367481823880937353410632" ref="P14:P28" headerRowCount="0" totalsRowShown="0" headerRowDxfId="7263" dataDxfId="7262" tableBorderDxfId="7261">
  <tableColumns count="1">
    <tableColumn id="1" xr3:uid="{BB3A822A-6D8A-4D16-AD37-429D96BC53A5}" name="Column1" headerRowDxfId="7260" dataDxfId="7259"/>
  </tableColumns>
  <tableStyleInfo name="TableStyleMedium2" showFirstColumn="0" showLastColumn="0" showRowStripes="1" showColumnStripes="0"/>
</table>
</file>

<file path=xl/tables/table2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2" xr:uid="{9D102150-6A9F-4F45-A49B-443BF5B121E0}" name="Table275368482824881938354411633" displayName="Table275368482824881938354411633" ref="R14:R26" headerRowCount="0" totalsRowShown="0" headerRowDxfId="7258" dataDxfId="7257" tableBorderDxfId="7256">
  <tableColumns count="1">
    <tableColumn id="1" xr3:uid="{8FBFBA33-433C-4BE2-A6F9-DB94D2ACB38D}" name="Column1" headerRowDxfId="7255" dataDxfId="7254"/>
  </tableColumns>
  <tableStyleInfo name="TableStyleMedium2" showFirstColumn="0" showLastColumn="0" showRowStripes="1" showColumnStripes="0"/>
</table>
</file>

<file path=xl/tables/table2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3" xr:uid="{41BDB311-1B63-49E1-9F50-383B70BA80DE}" name="Table276369483825882939355412634" displayName="Table276369483825882939355412634" ref="B37:P43" headerRowCount="0" totalsRowShown="0" headerRowDxfId="7253" dataDxfId="7252">
  <tableColumns count="15">
    <tableColumn id="2" xr3:uid="{6501CBFC-3B4A-4535-89B3-6152BEA9802C}" name="Column2" headerRowDxfId="7251" dataDxfId="7250"/>
    <tableColumn id="3" xr3:uid="{AFD74354-A816-468F-80BF-3EBD21DD0A86}" name="Column3" headerRowDxfId="7249" dataDxfId="7248"/>
    <tableColumn id="4" xr3:uid="{9E964739-D3B7-402F-A543-BE865702B00A}" name="Column4" headerRowDxfId="7247" dataDxfId="7246"/>
    <tableColumn id="5" xr3:uid="{2424304E-CDC3-40EE-BD85-3255AFBF3698}" name="Column5" headerRowDxfId="7245" dataDxfId="7244"/>
    <tableColumn id="6" xr3:uid="{21773CD6-ED82-4D25-9638-E5DF76C186DA}" name="Column6" headerRowDxfId="7243" dataDxfId="7242"/>
    <tableColumn id="7" xr3:uid="{268070E5-1AC9-4D6C-A557-8AD3E82D261E}" name="Column7" headerRowDxfId="7241" dataDxfId="7240"/>
    <tableColumn id="8" xr3:uid="{9DE9F142-BA3D-4284-8E32-9979D30657C4}" name="Column8" headerRowDxfId="7239" dataDxfId="7238"/>
    <tableColumn id="9" xr3:uid="{BF28510C-058E-4FC7-9BA7-ED7A4E298B40}" name="Column9" headerRowDxfId="7237" dataDxfId="7236"/>
    <tableColumn id="10" xr3:uid="{952E8E9F-BFEC-4CE4-A0F9-C553CF988147}" name="Column10" headerRowDxfId="7235" dataDxfId="7234">
      <calculatedColumnFormula>RANDBETWEEN(1,6)</calculatedColumnFormula>
    </tableColumn>
    <tableColumn id="11" xr3:uid="{CF27C927-E6F1-4D4D-A6C7-229A7309924A}" name="Column11" headerRowDxfId="7233" dataDxfId="7232">
      <calculatedColumnFormula>RANDBETWEEN(1,6)</calculatedColumnFormula>
    </tableColumn>
    <tableColumn id="12" xr3:uid="{9313A60F-28A8-4592-B290-A550407E0E74}" name="Column12" headerRowDxfId="7231" dataDxfId="7230">
      <calculatedColumnFormula>RANDBETWEEN(1,6)</calculatedColumnFormula>
    </tableColumn>
    <tableColumn id="13" xr3:uid="{78E663A4-D23D-4325-B8B5-7DC7AA1D5E7F}" name="Column13" headerRowDxfId="7229" dataDxfId="7228">
      <calculatedColumnFormula>RANDBETWEEN(1,6)</calculatedColumnFormula>
    </tableColumn>
    <tableColumn id="14" xr3:uid="{128D808B-4A2F-4D8A-835C-8871F85D360E}" name="Column14" headerRowDxfId="7227" dataDxfId="7226"/>
    <tableColumn id="15" xr3:uid="{915F06A3-267F-422A-BB19-1BFC2425744E}" name="Column15" headerRowDxfId="7225" dataDxfId="7224"/>
    <tableColumn id="16" xr3:uid="{4BB16F58-B885-41F6-9A26-36E459DC8935}" name="Column16" headerRowDxfId="7223" dataDxfId="7222">
      <calculatedColumnFormula>VLOOKUP(O37,Table1[],2)</calculatedColumnFormula>
    </tableColumn>
  </tableColumns>
  <tableStyleInfo name="TableStyleMedium2" showFirstColumn="0" showLastColumn="0" showRowStripes="1" showColumnStripes="0"/>
</table>
</file>

<file path=xl/tables/table2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4" xr:uid="{97A690EB-A951-4EF6-9CBA-EE4180414BE4}" name="Table277370484826883940356413635" displayName="Table277370484826883940356413635" ref="B45:P51" headerRowCount="0" totalsRowShown="0" headerRowDxfId="7221" dataDxfId="7220" tableBorderDxfId="7219">
  <tableColumns count="15">
    <tableColumn id="2" xr3:uid="{D4EF1E07-4A97-4209-A4BA-124FB3507000}" name="Column2" headerRowDxfId="7218" dataDxfId="7217"/>
    <tableColumn id="3" xr3:uid="{606698E2-0232-407F-9361-897693BAFADE}" name="Column3" headerRowDxfId="7216" dataDxfId="7215"/>
    <tableColumn id="4" xr3:uid="{2428F761-807A-466A-A7FD-EC4C5FFE0E95}" name="Column4" headerRowDxfId="7214" dataDxfId="7213"/>
    <tableColumn id="5" xr3:uid="{09384032-B0AC-4997-87BC-5195322D37EF}" name="Column5" headerRowDxfId="7212" dataDxfId="7211"/>
    <tableColumn id="6" xr3:uid="{4ADF15E8-81C6-4327-9F3C-C31BCE12BBF6}" name="Column6" headerRowDxfId="7210" dataDxfId="7209"/>
    <tableColumn id="7" xr3:uid="{7661DE02-90E8-42A5-B633-895AF6965744}" name="Column7" headerRowDxfId="7208" dataDxfId="7207"/>
    <tableColumn id="8" xr3:uid="{0670225D-B97C-431E-8CB9-02309255E51E}" name="Column8" headerRowDxfId="7206" dataDxfId="7205"/>
    <tableColumn id="9" xr3:uid="{222A0ECE-379B-48B7-9EF5-19ED646A51C4}" name="Column9" headerRowDxfId="7204" dataDxfId="7203"/>
    <tableColumn id="10" xr3:uid="{06113686-01B1-41BD-A6F3-AF22707061D4}" name="Column10" headerRowDxfId="7202" dataDxfId="7201"/>
    <tableColumn id="11" xr3:uid="{B333DFE2-99E6-424F-B0F9-5A2BAE5D18E5}" name="Column11" headerRowDxfId="7200" dataDxfId="7199"/>
    <tableColumn id="12" xr3:uid="{AD6BEBCC-A0BF-409F-A94E-9D8B4088B490}" name="Column12" headerRowDxfId="7198" dataDxfId="7197"/>
    <tableColumn id="13" xr3:uid="{78EA45C8-11CE-4D11-8E67-736DF26F214B}" name="Column13" headerRowDxfId="7196" dataDxfId="7195"/>
    <tableColumn id="14" xr3:uid="{2FD714AB-A376-4C72-9FFF-8A899EC1298A}" name="Column14" headerRowDxfId="7194" dataDxfId="7193"/>
    <tableColumn id="15" xr3:uid="{85801D69-19DB-4EEA-88DD-2E9335445874}" name="Column15" headerRowDxfId="7192" dataDxfId="7191"/>
    <tableColumn id="16" xr3:uid="{3A088BCA-D082-46DD-9FB4-3D294BA267C3}" name="Column16" headerRowDxfId="7190" dataDxfId="7189">
      <calculatedColumnFormula>IF(O45="x",SUM(P37,$P$8),P37)</calculatedColumnFormula>
    </tableColumn>
  </tableColumns>
  <tableStyleInfo name="TableStyleMedium2" showFirstColumn="0" showLastColumn="0" showRowStripes="1" showColumnStripes="0"/>
</table>
</file>

<file path=xl/tables/table2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5" xr:uid="{12378B71-9C7E-4E4D-AF6C-5E7FD6CF59A0}" name="Table278371485827884941357414636" displayName="Table278371485827884941357414636" ref="O1:Q3" headerRowCount="0" totalsRowShown="0" headerRowDxfId="7188" dataDxfId="7187">
  <tableColumns count="3">
    <tableColumn id="15" xr3:uid="{0E7A844E-D15A-45FB-92F0-A5BAD4A3D221}" name="Column15" headerRowDxfId="7186" dataDxfId="7185"/>
    <tableColumn id="16" xr3:uid="{F5ADD473-B2F4-445E-B9BE-0D194B9BE967}" name="Column16" headerRowDxfId="7184" dataDxfId="7183"/>
    <tableColumn id="17" xr3:uid="{24F7B5E6-8382-4EC3-9E50-78685D013B00}" name="Column17" headerRowDxfId="7182" dataDxfId="7181"/>
  </tableColumns>
  <tableStyleInfo name="TableStyleMedium2" showFirstColumn="0" showLastColumn="0" showRowStripes="1" showColumnStripes="0"/>
</table>
</file>

<file path=xl/tables/table2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6" xr:uid="{9EEBC690-3ED2-4037-8341-658440A562AB}" name="Table282373487829886943359415637" displayName="Table282373487829886943359415637" ref="B53:P72" headerRowCount="0" totalsRowShown="0" headerRowDxfId="7180" dataDxfId="7179">
  <tableColumns count="15">
    <tableColumn id="2" xr3:uid="{CD682B7E-9C1F-4BDB-B553-B494603C9D6E}" name="Column2" headerRowDxfId="7178" dataDxfId="7177"/>
    <tableColumn id="3" xr3:uid="{E663DC24-85B2-46CA-BD15-A9F3D326FA3A}" name="Column3" headerRowDxfId="7176" dataDxfId="7175"/>
    <tableColumn id="4" xr3:uid="{61A3B443-BE3F-451E-A74A-2332EF142768}" name="Column4" headerRowDxfId="7174" dataDxfId="7173"/>
    <tableColumn id="5" xr3:uid="{650F8A78-A0CC-40F4-A606-B92B1A57FEFF}" name="Column5" headerRowDxfId="7172" dataDxfId="7171"/>
    <tableColumn id="6" xr3:uid="{5F53A728-1062-40F0-98A1-5C9726FF7554}" name="Column6" headerRowDxfId="7170" dataDxfId="7169"/>
    <tableColumn id="7" xr3:uid="{3F517981-2BC3-46A5-84BA-09C9D8F3F649}" name="Column7" headerRowDxfId="7168" dataDxfId="7167"/>
    <tableColumn id="8" xr3:uid="{99D332B2-E196-4FFC-9D62-E0EAB9C881AF}" name="Column8" headerRowDxfId="7166" dataDxfId="7165"/>
    <tableColumn id="9" xr3:uid="{AF1DFD41-6D4B-4553-875E-10D21E47FB9D}" name="Column9" headerRowDxfId="7164" dataDxfId="7163"/>
    <tableColumn id="10" xr3:uid="{ADC9C819-1357-4D53-9CB4-1F4979A281AC}" name="Column10" headerRowDxfId="7162" dataDxfId="7161"/>
    <tableColumn id="11" xr3:uid="{B26D7818-65E1-43B6-AFD1-3BF7055EF5E6}" name="Column11" headerRowDxfId="7160" dataDxfId="7159"/>
    <tableColumn id="12" xr3:uid="{D4829646-D78D-4AE8-9CEF-66CCBC774E1C}" name="Column12" headerRowDxfId="7158" dataDxfId="7157"/>
    <tableColumn id="13" xr3:uid="{C6BD5A97-1976-41A2-A651-EDDFD5D379AE}" name="Column13" headerRowDxfId="7156" dataDxfId="7155"/>
    <tableColumn id="14" xr3:uid="{229229D5-D6A9-469A-AEEC-16F3741FF644}" name="Column14" headerRowDxfId="7154" dataDxfId="7153"/>
    <tableColumn id="15" xr3:uid="{CD580FBC-6052-4E33-B786-1EF2179747D0}" name="Column15" headerRowDxfId="7152" dataDxfId="7151"/>
    <tableColumn id="16" xr3:uid="{6163C5A8-9148-4182-A8AF-B404F42C061D}" name="Column16" headerRowDxfId="7150" dataDxfId="7149"/>
  </tableColumns>
  <tableStyleInfo name="TableStyleMedium2" showFirstColumn="0" showLastColumn="0" showRowStripes="1" showColumnStripes="0"/>
</table>
</file>

<file path=xl/tables/table2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7" xr:uid="{8E1D830E-68CB-44EF-84F9-932FA3111470}" name="Table283374488830887944360416638" displayName="Table283374488830887944360416638" ref="B75:B79" headerRowCount="0" totalsRowShown="0" headerRowDxfId="7148" dataDxfId="7147" tableBorderDxfId="7146">
  <tableColumns count="1">
    <tableColumn id="1" xr3:uid="{AD894E53-7028-4298-B24E-16648683E7D2}" name="Column1" headerRowDxfId="7145" dataDxfId="7144"/>
  </tableColumns>
  <tableStyleInfo name="TableStyleMedium2" showFirstColumn="0" showLastColumn="0" showRowStripes="1" showColumnStripes="0"/>
</table>
</file>

<file path=xl/tables/table2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8" xr:uid="{5FBE4572-5080-4E93-AA08-CDFE2BA9BA87}" name="Table293375489831888945361417639" displayName="Table293375489831888945361417639" ref="AO44:AQ59" headerRowCount="0" totalsRowShown="0" headerRowDxfId="7143" dataDxfId="7142">
  <tableColumns count="3">
    <tableColumn id="1" xr3:uid="{06B2665A-323B-4CB5-99B5-CA0388606E14}" name="Column1" headerRowDxfId="7141" dataDxfId="7140"/>
    <tableColumn id="2" xr3:uid="{A4306235-AFAF-43E9-ABB3-768B2A404AAB}" name="Column2" headerRowDxfId="7139" dataDxfId="7138">
      <calculatedColumnFormula>IF(#REF!=" ", 0,RAND())</calculatedColumnFormula>
    </tableColumn>
    <tableColumn id="3" xr3:uid="{206EC09F-A3DB-46B6-AC8A-FA73917303E5}" name="Column3" headerRowDxfId="7137" dataDxfId="7136">
      <calculatedColumnFormula>O28</calculatedColumnFormula>
    </tableColumn>
  </tableColumns>
  <tableStyleInfo name="TableStyleMedium2" showFirstColumn="0" showLastColumn="0" showRowStripes="1" showColumnStripes="0"/>
</table>
</file>

<file path=xl/tables/table2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1" xr:uid="{ECB4C1B2-EABB-4DD8-B13B-8D141668BC2D}" name="Table302378492834891948364420642" displayName="Table302378492834891948364420642" ref="B102:P109" headerRowCount="0" totalsRowShown="0" headerRowDxfId="7135" dataDxfId="7134" tableBorderDxfId="7133">
  <tableColumns count="15">
    <tableColumn id="2" xr3:uid="{8A80EF7C-A4FD-4C95-A3F5-F35DA71D5BB3}" name="Column2" headerRowDxfId="7132" dataDxfId="7131"/>
    <tableColumn id="3" xr3:uid="{E4D2B40A-CBD3-4F42-BF64-AF50A7736E4E}" name="Column3" headerRowDxfId="7130" dataDxfId="7129"/>
    <tableColumn id="4" xr3:uid="{E0AD1461-2AEC-4801-A9E0-3DDFE8856959}" name="Column4" headerRowDxfId="7128" dataDxfId="7127"/>
    <tableColumn id="5" xr3:uid="{62160457-F7E4-4C01-AFC0-B0F97B8A2CAE}" name="Column5" headerRowDxfId="7126" dataDxfId="7125"/>
    <tableColumn id="6" xr3:uid="{A21AD381-6039-4963-A10A-319472877D5F}" name="Column6" headerRowDxfId="7124" dataDxfId="7123"/>
    <tableColumn id="7" xr3:uid="{0F90B87C-9D1D-438A-BD9D-42AD43A9A8F5}" name="Column7" headerRowDxfId="7122" dataDxfId="7121"/>
    <tableColumn id="8" xr3:uid="{3D662B4F-2CDF-49ED-8F5D-FDEC0C123EB9}" name="Column8" headerRowDxfId="7120" dataDxfId="7119"/>
    <tableColumn id="9" xr3:uid="{BCE85AC6-4F84-48D6-BD67-B31C7E85B782}" name="Column9" headerRowDxfId="7118" dataDxfId="7117"/>
    <tableColumn id="10" xr3:uid="{6D1437C5-849E-4FB4-9004-E0024573996F}" name="Column10" headerRowDxfId="7116" dataDxfId="7115"/>
    <tableColumn id="11" xr3:uid="{B95520BF-98D8-4C12-9766-221C4D23EF31}" name="Column11" headerRowDxfId="7114" dataDxfId="7113"/>
    <tableColumn id="12" xr3:uid="{342956CC-BAAD-4866-A753-ED93FACA5E62}" name="Column12" headerRowDxfId="7112" dataDxfId="7111"/>
    <tableColumn id="13" xr3:uid="{ED87F3D5-48AF-4357-90C6-1F131CD54AAA}" name="Column13" headerRowDxfId="7110" dataDxfId="7109"/>
    <tableColumn id="14" xr3:uid="{77A1E8C7-78B8-46B1-B654-DFD854C36867}" name="Column14" headerRowDxfId="7108" dataDxfId="7107"/>
    <tableColumn id="15" xr3:uid="{D4C2AF04-7140-4456-A810-1C5E49FE4B48}" name="Column15" headerRowDxfId="7106" dataDxfId="7105"/>
    <tableColumn id="16" xr3:uid="{CE41C4D2-2701-4273-97B2-7CB72914A97A}" name="Column16" headerRowDxfId="7104" dataDxfId="7103"/>
  </tableColumns>
  <tableStyleInfo name="TableStyleMedium2" showFirstColumn="0" showLastColumn="0" showRowStripes="1" showColumnStripes="0"/>
</table>
</file>

<file path=xl/tables/table2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2" xr:uid="{A5041AB3-E9A2-45A2-8FB9-A19D10E0E2DC}" name="Table303379493835892949365421643" displayName="Table303379493835892949365421643" ref="Q102:Q107" headerRowCount="0" totalsRowShown="0" headerRowDxfId="7102" dataDxfId="7101" tableBorderDxfId="7100">
  <tableColumns count="1">
    <tableColumn id="1" xr3:uid="{E38BD862-F785-4DA5-B313-342720B5DFF6}" name="Column1" headerRowDxfId="7099" dataDxfId="7098"/>
  </tableColumns>
  <tableStyleInfo name="TableStyleMedium2" showFirstColumn="0" showLastColumn="0" showRowStripes="1" showColumnStripes="0"/>
</table>
</file>

<file path=xl/tables/table2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3" xr:uid="{900CAD28-D88B-46AC-94F8-2FAD961F3E3B}" name="Table304380494836893950366422644" displayName="Table304380494836893950366422644" ref="R102:R103" headerRowCount="0" totalsRowShown="0" headerRowDxfId="7097" dataDxfId="7096" tableBorderDxfId="7095">
  <tableColumns count="1">
    <tableColumn id="1" xr3:uid="{4DF8B9FD-A049-4A8F-A306-C9D90D0CF979}" name="Column1" headerRowDxfId="7094" dataDxfId="7093"/>
  </tableColumns>
  <tableStyleInfo name="TableStyleMedium2" showFirstColumn="0" showLastColumn="0" showRowStripes="1" showColumnStripes="0"/>
</table>
</file>

<file path=xl/tables/table2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4" xr:uid="{90D7F0F1-F395-4F29-8B55-0029C29C0329}" name="Table305381495837894951367423645" displayName="Table305381495837894951367423645" ref="R104:R105" headerRowCount="0" totalsRowShown="0" headerRowDxfId="7092" dataDxfId="7091" tableBorderDxfId="7090">
  <tableColumns count="1">
    <tableColumn id="1" xr3:uid="{020B111F-968D-4006-9611-DDAF988753C6}" name="Column1" headerRowDxfId="7089" dataDxfId="7088">
      <calculatedColumnFormula>IF(COUNTIF(B91:B93,"*"&amp;"sling"&amp;"*"),RANDBETWEEN(6,13)&amp;" Sling Bullets"," ")</calculatedColumnFormula>
    </tableColumn>
  </tableColumns>
  <tableStyleInfo name="TableStyleMedium2" showFirstColumn="0" showLastColumn="0" showRowStripes="1" showColumnStripes="0"/>
</table>
</file>

<file path=xl/tables/table2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5" xr:uid="{F8EA60BB-881D-462B-8107-1512A76A6908}" name="Table306382496838895952368424646" displayName="Table306382496838895952368424646" ref="R106:R107" headerRowCount="0" totalsRowShown="0" headerRowDxfId="7087" dataDxfId="7086" tableBorderDxfId="7085">
  <tableColumns count="1">
    <tableColumn id="1" xr3:uid="{D42BBC28-BF44-4229-9588-6966F8B0A3C3}" name="Column1" headerRowDxfId="7084" dataDxfId="7083">
      <calculatedColumnFormula>IF(COUNTIF(B91:B93,"*"&amp;"longbow"&amp;"*"),RANDBETWEEN(10,24)&amp;" Arrows",IF(COUNTIF(B91:B93,"*"&amp;"shortbow"&amp;"*"),RANDBETWEEN(10,24)&amp;" Arrows",IF(COUNTIF(B91:B93,"*"&amp;"light crossbow"&amp;"*"),RANDBETWEEN(10,24)&amp;" Bolts",IF(COUNTIF(B91:B93,"*"&amp;"hand crossbow"&amp;"*"),RANDBETWEEN(10,24)&amp;" Bolts",IF(COUNTIF(B91:B93,"*"&amp;"heavy crossbow"&amp;"*"),RANDBETWEEN(10,24)&amp;" Bolts"," ")))))</calculatedColumnFormula>
    </tableColumn>
  </tableColumns>
  <tableStyleInfo name="TableStyleMedium2" showFirstColumn="0" showLastColumn="0" showRowStripes="1" showColumnStripes="0"/>
</table>
</file>

<file path=xl/tables/table2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6" xr:uid="{43F504C1-CD46-481E-A9A8-DEFAAB5DDC66}" name="Table300376490832889946362418294937" displayName="Table300376490832889946362418294937" ref="B88:T90" headerRowCount="0" totalsRowShown="0" headerRowDxfId="7082" dataDxfId="7081" tableBorderDxfId="7080">
  <tableColumns count="19">
    <tableColumn id="2" xr3:uid="{E0579E4D-DF00-4956-B1E2-7D27FC996D96}" name="Column2" headerRowDxfId="7079" dataDxfId="7078"/>
    <tableColumn id="3" xr3:uid="{EF03451A-E99A-4B55-954F-8AABF05EDC2D}" name="Column3" headerRowDxfId="7077" dataDxfId="7076"/>
    <tableColumn id="4" xr3:uid="{9BD70821-3936-4D49-A518-4B2C887D2556}" name="Column4" headerRowDxfId="7075" dataDxfId="7074"/>
    <tableColumn id="5" xr3:uid="{24788814-7341-4ADF-910A-242561928999}" name="Column5" headerRowDxfId="7073" dataDxfId="7072"/>
    <tableColumn id="6" xr3:uid="{0D011DF3-8D14-448A-A868-70E01A21C013}" name="Column6" headerRowDxfId="7071" dataDxfId="7070"/>
    <tableColumn id="7" xr3:uid="{A55F1925-B1CD-4A66-B3E3-4FD2CBF9B085}" name="Column7" headerRowDxfId="7069" dataDxfId="7068"/>
    <tableColumn id="8" xr3:uid="{6C8664C1-116F-4CD1-9C0A-06AECB5D6B46}" name="Column8" headerRowDxfId="7067" dataDxfId="7066"/>
    <tableColumn id="9" xr3:uid="{C59241FF-18B9-4C6E-9307-7379EA8CF47E}" name="Column9" headerRowDxfId="7065" dataDxfId="7064"/>
    <tableColumn id="10" xr3:uid="{A318AF30-AE0A-4DCC-B008-69E289D335C0}" name="Column10" headerRowDxfId="7063" dataDxfId="7062"/>
    <tableColumn id="11" xr3:uid="{C346DBA6-F1A2-4651-9F6B-358EC557F82D}" name="Column11" headerRowDxfId="7061" dataDxfId="7060"/>
    <tableColumn id="12" xr3:uid="{A9EC1096-B16F-4F39-BFB3-05F7A7C17978}" name="Column12" headerRowDxfId="7059" dataDxfId="7058"/>
    <tableColumn id="13" xr3:uid="{02EF9958-D10A-4595-9B4A-253998834ACB}" name="Column13" headerRowDxfId="7057" dataDxfId="7056"/>
    <tableColumn id="14" xr3:uid="{079B3E4D-AAE9-4F50-8211-C51B3B870EC7}" name="Column14" headerRowDxfId="7055" dataDxfId="7054"/>
    <tableColumn id="15" xr3:uid="{9377F8F5-0103-4ED8-B7D9-FD7ED0C5D6AB}" name="Column15" headerRowDxfId="7053" dataDxfId="7052"/>
    <tableColumn id="16" xr3:uid="{67ACAE97-607E-48C4-92A8-DE57A390FD09}" name="Column16" headerRowDxfId="7051" dataDxfId="7050"/>
    <tableColumn id="17" xr3:uid="{0982C01E-95F7-436E-B917-79466E2328E2}" name="Column17" headerRowDxfId="7049" dataDxfId="7048"/>
    <tableColumn id="18" xr3:uid="{7B166B74-EAD3-4D12-86C4-231D43B09479}" name="Column18" headerRowDxfId="7047" dataDxfId="7046"/>
    <tableColumn id="19" xr3:uid="{195CFC79-8A33-46AA-89CF-8BF009A19E66}" name="Column19" headerRowDxfId="7045" dataDxfId="7044"/>
    <tableColumn id="20" xr3:uid="{83DE3CED-BA5F-4D03-A162-13C964B4411B}" name="Column20" headerRowDxfId="7043" dataDxfId="7042"/>
  </tableColumns>
  <tableStyleInfo name="TableStyleMedium2" showFirstColumn="0" showLastColumn="0" showRowStripes="1" showColumnStripes="0"/>
</table>
</file>

<file path=xl/tables/table3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7" xr:uid="{44B00BF2-9FB1-4288-8419-5FF109F4FCFA}" name="Table301377491833890947363419301938" displayName="Table301377491833890947363419301938" ref="B91:S100" headerRowCount="0" totalsRowShown="0" headerRowDxfId="7041" dataDxfId="7040" tableBorderDxfId="7039">
  <tableColumns count="18">
    <tableColumn id="2" xr3:uid="{F53E40E2-66EA-4D66-A1C6-2849C0C524B6}" name="Column2" headerRowDxfId="7038" dataDxfId="7037"/>
    <tableColumn id="3" xr3:uid="{1863C36D-A7F6-4903-AA3B-1AE6C1C459EA}" name="Column3" headerRowDxfId="7036" dataDxfId="7035"/>
    <tableColumn id="4" xr3:uid="{AA24B476-727F-4D0A-96EE-4CF311A1C1DA}" name="Column4" headerRowDxfId="7034" dataDxfId="7033"/>
    <tableColumn id="5" xr3:uid="{C7D5334B-E373-453B-BD17-C0AE418C4579}" name="Column5" headerRowDxfId="7032" dataDxfId="7031"/>
    <tableColumn id="6" xr3:uid="{7419F144-26B6-48BF-9A2F-9AF88FFAE15E}" name="Column6" headerRowDxfId="7030" dataDxfId="7029"/>
    <tableColumn id="7" xr3:uid="{642C537D-6DBC-476A-A086-2ED365472107}" name="Column7" headerRowDxfId="7028" dataDxfId="7027"/>
    <tableColumn id="8" xr3:uid="{E84F75F0-37E1-4629-8E29-DEF53A90EF38}" name="Column8" headerRowDxfId="7026" dataDxfId="7025"/>
    <tableColumn id="9" xr3:uid="{33C1E4E2-8975-41B0-9493-0163609B2F91}" name="Column9" headerRowDxfId="7024" dataDxfId="7023"/>
    <tableColumn id="10" xr3:uid="{3A71C22A-638C-47B8-B92F-CD7EC3B46121}" name="Column10" headerRowDxfId="7022" dataDxfId="7021"/>
    <tableColumn id="11" xr3:uid="{731D415C-58A7-4FDA-AF94-4212FDAA3A42}" name="Column11" headerRowDxfId="7020" dataDxfId="7019"/>
    <tableColumn id="12" xr3:uid="{C88A0F3E-06C7-4D4C-A5AD-CCFEA674031B}" name="Column12" headerRowDxfId="7018" dataDxfId="7017"/>
    <tableColumn id="13" xr3:uid="{089B5638-8497-4F0C-984C-5EA701696C5F}" name="Column13" headerRowDxfId="7016" dataDxfId="7015"/>
    <tableColumn id="14" xr3:uid="{AC0ECEF1-A039-4B59-9B4B-23BC8237339C}" name="Column14" headerRowDxfId="7014" dataDxfId="7013"/>
    <tableColumn id="15" xr3:uid="{468A7388-4F6B-4AFA-9BF8-89C66879FB37}" name="Column15" headerRowDxfId="7012" dataDxfId="7011"/>
    <tableColumn id="16" xr3:uid="{6EFFEA66-B0AB-4629-9C85-F44474D7A7C0}" name="Column16" headerRowDxfId="7010" dataDxfId="7009"/>
    <tableColumn id="17" xr3:uid="{15A6AD1A-BEFE-4332-BD3B-6CD413511E7E}" name="Column17" headerRowDxfId="7008" dataDxfId="7007"/>
    <tableColumn id="18" xr3:uid="{44B6B5F3-7E0D-4FBB-AC3F-E6BFC239281B}" name="Column18" headerRowDxfId="7006" dataDxfId="7005"/>
    <tableColumn id="19" xr3:uid="{0AD11FF8-5AB1-48DD-A4E1-C73E2F21D8B5}" name="Column19" headerRowDxfId="7004" dataDxfId="7003"/>
  </tableColumns>
  <tableStyleInfo name="TableStyleMedium2" showFirstColumn="0" showLastColumn="0" showRowStripes="1" showColumnStripes="0"/>
</table>
</file>

<file path=xl/tables/table3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6" xr:uid="{BEE568C4-381B-4C54-B053-AB0F87E50AEF}" name="Table4832644078283989661369647" displayName="Table4832644078283989661369647" ref="B113:R116" headerRowCount="0" totalsRowShown="0" headerRowDxfId="7002" dataDxfId="7001">
  <tableColumns count="17">
    <tableColumn id="2" xr3:uid="{F8F269AD-2D19-4A8D-A329-633963BF7D57}" name="Column1" headerRowDxfId="7000" dataDxfId="6999"/>
    <tableColumn id="3" xr3:uid="{534F96DE-783E-4DEA-98F9-0BCE0E4E2A22}" name="Column2" headerRowDxfId="6998" dataDxfId="6997"/>
    <tableColumn id="4" xr3:uid="{C923D2CA-7F72-4BF5-8010-EFF63E4F3C78}" name="Column3" headerRowDxfId="6996" dataDxfId="6995"/>
    <tableColumn id="5" xr3:uid="{8F947044-3CC5-44A5-A3C5-BF027ED8F246}" name="Column4" headerRowDxfId="6994" dataDxfId="6993"/>
    <tableColumn id="6" xr3:uid="{ADD6089C-CEFF-4EDD-BBE9-ACC86E34FFA3}" name="Column5" headerRowDxfId="6992" dataDxfId="6991"/>
    <tableColumn id="7" xr3:uid="{124CE53E-9F45-49E2-9098-DCBC979D7603}" name="Column6" headerRowDxfId="6990" dataDxfId="6989"/>
    <tableColumn id="8" xr3:uid="{EF5334EA-52EB-4055-94CE-25F086EE85F1}" name="Column7" headerRowDxfId="6988" dataDxfId="6987"/>
    <tableColumn id="9" xr3:uid="{B0376E6B-3C6C-4640-9343-DB0F872FAAF7}" name="Column8" headerRowDxfId="6986" dataDxfId="6985"/>
    <tableColumn id="10" xr3:uid="{D3801FA0-4033-4F19-B6BA-A0D87663CA2A}" name="Column9" headerRowDxfId="6984" dataDxfId="6983"/>
    <tableColumn id="11" xr3:uid="{611B68D9-EC82-4CEE-A89E-FC138DC678E6}" name="Column10" headerRowDxfId="6982" dataDxfId="6981"/>
    <tableColumn id="12" xr3:uid="{0D95AD02-0E8A-4AFD-A74D-67CCE5C9BCC1}" name="Column11" headerRowDxfId="6980" dataDxfId="6979"/>
    <tableColumn id="13" xr3:uid="{2FA27D92-DA51-491F-BC5C-01C6BD0C9644}" name="Column12" headerRowDxfId="6978" dataDxfId="6977"/>
    <tableColumn id="14" xr3:uid="{327CCAEF-1F81-4D34-A371-CCFC426A8269}" name="Column13" headerRowDxfId="6976" dataDxfId="6975"/>
    <tableColumn id="15" xr3:uid="{F1B6FDAB-6B48-4AE4-BC31-810EF72B6ADD}" name="Cantrip" headerRowDxfId="6974" dataDxfId="6973"/>
    <tableColumn id="16" xr3:uid="{C8F4B2B0-7E4A-4CDE-B857-8E6A940B7CFE}" name="1st Level" headerRowDxfId="6972" dataDxfId="6971"/>
    <tableColumn id="17" xr3:uid="{B8F03389-FBED-431D-8A89-8E0B3F951C04}" name="2nd Level" headerRowDxfId="6970" dataDxfId="6969"/>
    <tableColumn id="1" xr3:uid="{5A25E8DF-6F9A-45B3-A842-BCCE04565765}" name="Column14" headerRowDxfId="6968" dataDxfId="6967"/>
  </tableColumns>
  <tableStyleInfo name="TableStyleMedium2" showFirstColumn="0" showLastColumn="0" showRowStripes="1" showColumnStripes="0"/>
</table>
</file>

<file path=xl/tables/table3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7" xr:uid="{4359B414-04D6-4C24-9BE8-58A521DD86B5}" name="Table4932744178384089762370648" displayName="Table4932744178384089762370648" ref="B120:T129" headerRowCount="0" headerRowDxfId="6966" dataDxfId="6965" totalsRowDxfId="6964">
  <tableColumns count="19">
    <tableColumn id="2" xr3:uid="{C5DC2865-6170-4F9F-A6AD-415069FF41E5}" name="Column1" headerRowDxfId="6963" dataDxfId="6962"/>
    <tableColumn id="3" xr3:uid="{33D682CD-8A88-4CE8-9C7B-4DE89326891D}" name="Column2" headerRowDxfId="6961" dataDxfId="6960" totalsRowDxfId="6959"/>
    <tableColumn id="4" xr3:uid="{A4C7DC4B-0519-4243-B821-8049EDC7FE47}" name="Column3" headerRowDxfId="6958" dataDxfId="6957" totalsRowDxfId="6956"/>
    <tableColumn id="5" xr3:uid="{419B9FCE-BFC7-4FEB-B97E-31F326AD65C5}" name="Column4" headerRowDxfId="6955" dataDxfId="6954" totalsRowDxfId="6953"/>
    <tableColumn id="6" xr3:uid="{42EABE56-074A-4521-A8E6-492EF390C7E2}" name="Column5" headerRowDxfId="6952" dataDxfId="6951" totalsRowDxfId="6950"/>
    <tableColumn id="7" xr3:uid="{6F73F233-601B-4E80-9747-2E532BFFC233}" name="Column6" headerRowDxfId="6949" dataDxfId="6948" totalsRowDxfId="6947"/>
    <tableColumn id="8" xr3:uid="{17910067-8CCA-47CB-B22A-CBCEA1A06277}" name="Column7" headerRowDxfId="6946" dataDxfId="6945" totalsRowDxfId="6944"/>
    <tableColumn id="9" xr3:uid="{9BC9A5F6-3D01-4E4F-BE03-7B6414C1B509}" name="Column8" headerRowDxfId="6943" dataDxfId="6942" totalsRowDxfId="6941"/>
    <tableColumn id="10" xr3:uid="{1C99A58A-74C2-411B-861A-6A1DF9C93C68}" name="Column9" headerRowDxfId="6940" dataDxfId="6939" totalsRowDxfId="6938"/>
    <tableColumn id="11" xr3:uid="{D9232CFC-A5C0-475C-84BE-B4B984E87914}" name="Column10" headerRowDxfId="6937" dataDxfId="6936" totalsRowDxfId="6935"/>
    <tableColumn id="12" xr3:uid="{4745A66D-5F82-4850-BA72-A072A8B34784}" name="Column11" headerRowDxfId="6934" dataDxfId="6933" totalsRowDxfId="6932"/>
    <tableColumn id="13" xr3:uid="{40C53E88-B24F-4900-B87B-87770B4C6713}" name="Column12" headerRowDxfId="6931" dataDxfId="6930" totalsRowDxfId="6929"/>
    <tableColumn id="14" xr3:uid="{50EC1024-D2EA-403B-8835-B1CBA863CD31}" name="Column13" headerRowDxfId="6928" dataDxfId="6927" totalsRowDxfId="6926"/>
    <tableColumn id="15" xr3:uid="{CD5E94A1-F6D8-436F-93C1-E9A933EBD17C}" name="Cantrip" headerRowDxfId="6925" dataDxfId="6924"/>
    <tableColumn id="16" xr3:uid="{2B9A84FC-7916-47A4-8E1B-84EE2598DFDC}" name="1st Level" headerRowDxfId="6923" dataDxfId="6922"/>
    <tableColumn id="17" xr3:uid="{DAFC4576-8444-4917-9B12-B140B886A166}" name="2nd Level" headerRowDxfId="6921" dataDxfId="6920"/>
    <tableColumn id="18" xr3:uid="{8A563608-24EB-4F67-A697-C26D8BF85E78}" name="3rd Level" headerRowDxfId="6919" dataDxfId="6918"/>
    <tableColumn id="19" xr3:uid="{92449D77-3E5A-4139-B79F-ADC44112B109}" name="4th Level" headerRowDxfId="6917" dataDxfId="6916"/>
    <tableColumn id="1" xr3:uid="{A2DE4DDC-6D71-48B7-9B53-84EF47EFB908}" name="Column14" headerRowDxfId="6915" dataDxfId="6914" totalsRowDxfId="6913"/>
  </tableColumns>
  <tableStyleInfo name="TableStyleMedium2" showFirstColumn="0" showLastColumn="0" showRowStripes="1" showColumnStripes="0"/>
</table>
</file>

<file path=xl/tables/table3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8" xr:uid="{17744B3A-3585-46A8-A867-E1952BFEA3F5}" name="Table62328442784841898268371649" displayName="Table62328442784841898268371649" ref="B171:T202" headerRowCount="0" headerRowDxfId="6912" dataDxfId="6911" totalsRowDxfId="6909" tableBorderDxfId="6910">
  <tableColumns count="19">
    <tableColumn id="2" xr3:uid="{12DB9D71-15C1-4BD8-9B6B-60E118ADF39A}" name="Column2" headerRowDxfId="6908" dataDxfId="6907" totalsRowDxfId="6906"/>
    <tableColumn id="3" xr3:uid="{0F6048D8-5B83-4F84-ADA7-2E23D1FE58B6}" name="Column3" headerRowDxfId="6905" dataDxfId="6904" totalsRowDxfId="6903"/>
    <tableColumn id="4" xr3:uid="{FE95F37B-004A-49B5-B517-ABAAA107303F}" name="Column4" headerRowDxfId="6902" dataDxfId="6901" totalsRowDxfId="6900"/>
    <tableColumn id="5" xr3:uid="{39BC3F58-E04A-46E3-A804-E12079427ACE}" name="Column5" headerRowDxfId="6899" dataDxfId="6898" totalsRowDxfId="6897"/>
    <tableColumn id="6" xr3:uid="{73D76D51-F9A4-472E-AA02-4297979C808E}" name="Column6" headerRowDxfId="6896" dataDxfId="6895" totalsRowDxfId="6894"/>
    <tableColumn id="7" xr3:uid="{E051D018-4E30-44D9-BE08-B890ECF82AEC}" name="Column7" headerRowDxfId="6893" dataDxfId="6892" totalsRowDxfId="6891"/>
    <tableColumn id="8" xr3:uid="{147FBE59-1471-4BC1-9AA3-763AC4002536}" name="Column8" headerRowDxfId="6890" dataDxfId="6889" totalsRowDxfId="6888"/>
    <tableColumn id="9" xr3:uid="{0A83907A-C45B-4473-9144-9974FFDADA39}" name="Column9" headerRowDxfId="6887" dataDxfId="6886" totalsRowDxfId="6885"/>
    <tableColumn id="10" xr3:uid="{F05F6370-0213-4388-A583-29CC546C0E46}" name="Column10" headerRowDxfId="6884" dataDxfId="6883" totalsRowDxfId="6882"/>
    <tableColumn id="11" xr3:uid="{CE1241EE-ABF5-49AE-82A2-3EB011E25257}" name="Column11" headerRowDxfId="6881" dataDxfId="6880" totalsRowDxfId="6879"/>
    <tableColumn id="12" xr3:uid="{6CF5E322-2765-42E2-9188-A99C6B95CCBB}" name="Column12" headerRowDxfId="6878" dataDxfId="6877" totalsRowDxfId="6876"/>
    <tableColumn id="13" xr3:uid="{821F7565-11E9-41B5-ABA7-802DDC2310F5}" name="Column13" headerRowDxfId="6875" dataDxfId="6874" totalsRowDxfId="6873"/>
    <tableColumn id="14" xr3:uid="{5C4E8CC2-334E-4363-AD9B-70943B817B84}" name="Column14" headerRowDxfId="6872" dataDxfId="6871" totalsRowDxfId="6870"/>
    <tableColumn id="15" xr3:uid="{E63591A8-9E50-4948-A69B-AB4F347BC2DC}" name="Column15" headerRowDxfId="6869" dataDxfId="6868" totalsRowDxfId="6867"/>
    <tableColumn id="16" xr3:uid="{5C20C5F3-D4B8-4134-93B0-64A5BBA48A4B}" name="Column16" headerRowDxfId="6866" dataDxfId="6865" totalsRowDxfId="6864"/>
    <tableColumn id="17" xr3:uid="{672FA16D-A1E9-4B25-9430-3071F04FC1A7}" name="Column17" headerRowDxfId="6863" dataDxfId="6862" totalsRowDxfId="6861"/>
    <tableColumn id="18" xr3:uid="{58F22890-3F5F-40F5-8192-59FA1342DD46}" name="Column18" headerRowDxfId="6860" dataDxfId="6859" totalsRowDxfId="6858"/>
    <tableColumn id="19" xr3:uid="{CBF48217-E6EB-4871-8361-D121B3603CD7}" name="Column19" headerRowDxfId="6857" dataDxfId="6856" totalsRowDxfId="6855"/>
    <tableColumn id="1" xr3:uid="{CB6306E7-E07F-4EF9-8DF2-EE5ED912A083}" name="Column1" headerRowDxfId="6854" dataDxfId="6853" totalsRowDxfId="6852"/>
  </tableColumns>
  <tableStyleInfo name="TableStyleMedium2" showFirstColumn="0" showLastColumn="0" showRowStripes="1" showColumnStripes="0"/>
</table>
</file>

<file path=xl/tables/table3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9" xr:uid="{70C66169-66C3-4783-A7CA-75A3809064E1}" name="Table64329443785842899270372650" displayName="Table64329443785842899270372650" ref="B307:T324" headerRowCount="0" totalsRowShown="0" headerRowDxfId="6851" dataDxfId="6850">
  <tableColumns count="19">
    <tableColumn id="2" xr3:uid="{5D728D8F-3CE4-4A52-A94A-319A7572CD1B}" name="Column2" headerRowDxfId="6849" dataDxfId="6848"/>
    <tableColumn id="3" xr3:uid="{009868BB-F0AC-4BF1-AD90-570CA09BB12C}" name="Column3" headerRowDxfId="6847" dataDxfId="6846"/>
    <tableColumn id="4" xr3:uid="{E88D09B9-B8FF-4F2E-9CEC-40A1E24C0B06}" name="Column4" headerRowDxfId="6845" dataDxfId="6844"/>
    <tableColumn id="5" xr3:uid="{D2EF5B72-5C84-4FA7-B70D-C9EF430EBE0E}" name="Column5" headerRowDxfId="6843" dataDxfId="6842"/>
    <tableColumn id="6" xr3:uid="{4C250C1E-A3B8-4500-981A-13BAED4A7800}" name="Column6" headerRowDxfId="6841" dataDxfId="6840"/>
    <tableColumn id="7" xr3:uid="{317655DF-0928-4C11-8C09-1CEEF6D157C3}" name="Column7" headerRowDxfId="6839" dataDxfId="6838"/>
    <tableColumn id="8" xr3:uid="{EBE2A137-7CBC-4ED8-971B-485D528C4D59}" name="Column8" headerRowDxfId="6837" dataDxfId="6836"/>
    <tableColumn id="9" xr3:uid="{D4AC0FAC-8A26-463A-BE4A-0ECC77C68210}" name="Column9" headerRowDxfId="6835" dataDxfId="6834"/>
    <tableColumn id="10" xr3:uid="{501DC8F0-5E42-488A-9F88-797ED9F6C1F6}" name="Column10" headerRowDxfId="6833" dataDxfId="6832"/>
    <tableColumn id="11" xr3:uid="{F2F9F681-B4CE-4DAA-9EA4-3FCF1C65F72B}" name="Column11" headerRowDxfId="6831" dataDxfId="6830"/>
    <tableColumn id="12" xr3:uid="{B16503D4-98B1-40DE-A278-261D89C95980}" name="Column12" headerRowDxfId="6829" dataDxfId="6828"/>
    <tableColumn id="13" xr3:uid="{17DC5304-7179-413D-828E-C3EA3B3BC08E}" name="Column13" headerRowDxfId="6827" dataDxfId="6826"/>
    <tableColumn id="14" xr3:uid="{FABEC937-EB8F-4365-8B0E-5761B3FDA34B}" name="Column14" headerRowDxfId="6825" dataDxfId="6824"/>
    <tableColumn id="15" xr3:uid="{7DCFF075-B72B-4905-97B9-FC1FB7330D05}" name="Column15" headerRowDxfId="6823" dataDxfId="6822"/>
    <tableColumn id="16" xr3:uid="{3D54D1FE-CBCA-4EE2-B72A-74589D0A0146}" name="Column16" headerRowDxfId="6821" dataDxfId="6820">
      <calculatedColumnFormula>IF($Q$324&gt;=O322,INDEX('Spell Tables'!$T$242:$T$271,MATCH(O322,('Spell Tables'!$R$242:$R$271),0))," ")</calculatedColumnFormula>
    </tableColumn>
    <tableColumn id="17" xr3:uid="{EFA80A7E-0D37-41E8-AB9E-15FE5538E5E5}" name="Column17" headerRowDxfId="6819" dataDxfId="6818">
      <calculatedColumnFormula>IF($R$324&gt;=O322,INDEX('Spell Tables'!$X$242:$X$275,MATCH(O322,('Spell Tables'!$V$242:$V$275),0))," ")</calculatedColumnFormula>
    </tableColumn>
    <tableColumn id="18" xr3:uid="{8D69F004-FDDE-4A0D-BAC3-22279E9D78D4}" name="Column18" headerRowDxfId="6817" dataDxfId="6816"/>
    <tableColumn id="19" xr3:uid="{9AD9123B-6813-405D-840C-B452FF55288A}" name="Column19" headerRowDxfId="6815" dataDxfId="6814"/>
    <tableColumn id="20" xr3:uid="{12EB65D9-3715-4EF2-8F5A-3D71D995E4BC}" name="Column20" headerRowDxfId="6813" dataDxfId="6812">
      <calculatedColumnFormula>IF($S$309&gt;=O307,INDEX('Spell Tables'!$AF$242:$AF$264,MATCH(O307,('Spell Tables'!$AD$242:$AD$264),0)),IF(AND($Q$11="wizard",$S$312&gt;=O307),INDEX('Spell Tables'!$AF$242:$AF$264,MATCH(O307,('Spell Tables'!$AD$242:$AD$264),0))," "))</calculatedColumnFormula>
    </tableColumn>
  </tableColumns>
  <tableStyleInfo name="TableStyleMedium2" showFirstColumn="0" showLastColumn="0" showRowStripes="1" showColumnStripes="0"/>
</table>
</file>

<file path=xl/tables/table3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0" xr:uid="{56D1E0C4-367F-4D5D-B8D2-C9E8A78F9889}" name="Table4967330444786843900309373651" displayName="Table4967330444786843900309373651" ref="B146:T155" headerRowCount="0" headerRowDxfId="6811" dataDxfId="6810" totalsRowDxfId="6809">
  <tableColumns count="19">
    <tableColumn id="2" xr3:uid="{4CA9EDA9-1691-4F99-A2D8-EAE4B6BEE4EF}" name="Column1" headerRowDxfId="6808" dataDxfId="6807" totalsRowDxfId="6806"/>
    <tableColumn id="3" xr3:uid="{E1F0DB1B-D926-48FE-BCE4-9407CBD92246}" name="Column2" headerRowDxfId="6805" dataDxfId="6804" totalsRowDxfId="6803"/>
    <tableColumn id="4" xr3:uid="{F7B7DF26-6A0A-4D46-9E55-6C72251C4243}" name="Column3" headerRowDxfId="6802" dataDxfId="6801" totalsRowDxfId="6800"/>
    <tableColumn id="5" xr3:uid="{777DA4C5-D8B4-4E13-84F7-19E9395CE510}" name="Column4" headerRowDxfId="6799" dataDxfId="6798" totalsRowDxfId="6797"/>
    <tableColumn id="6" xr3:uid="{ED1D506D-C17C-4197-980D-3A651ADD092C}" name="Column5" headerRowDxfId="6796" dataDxfId="6795" totalsRowDxfId="6794"/>
    <tableColumn id="7" xr3:uid="{8A07653A-C779-4B07-994E-D7BA795E569C}" name="Column6" headerRowDxfId="6793" dataDxfId="6792" totalsRowDxfId="6791"/>
    <tableColumn id="8" xr3:uid="{1EFFDFD7-A472-41C1-8A8D-0FFF11E42E81}" name="Column7" headerRowDxfId="6790" dataDxfId="6789" totalsRowDxfId="6788"/>
    <tableColumn id="9" xr3:uid="{322D50CF-61E7-4963-BBB1-1FFD9BD30151}" name="Column8" headerRowDxfId="6787" dataDxfId="6786" totalsRowDxfId="6785"/>
    <tableColumn id="10" xr3:uid="{8DBCDFD0-CF98-4DA4-AEC5-DBB154C00690}" name="Column9" headerRowDxfId="6784" dataDxfId="6783" totalsRowDxfId="6782"/>
    <tableColumn id="11" xr3:uid="{3A937994-E4A0-465E-AD4E-F562DF1562D2}" name="Column10" headerRowDxfId="6781" dataDxfId="6780" totalsRowDxfId="6779"/>
    <tableColumn id="12" xr3:uid="{4DD0E871-C176-48EC-8A94-5A7E4A73FA7A}" name="Column11" headerRowDxfId="6778" dataDxfId="6777" totalsRowDxfId="6776"/>
    <tableColumn id="13" xr3:uid="{5AA4DD6B-8F08-41B3-8239-51FD26AC3E67}" name="Column12" headerRowDxfId="6775" dataDxfId="6774" totalsRowDxfId="6773"/>
    <tableColumn id="14" xr3:uid="{9B340655-DA08-42C6-B09E-7EEC0A6D358E}" name="Column13" headerRowDxfId="6772" dataDxfId="6771" totalsRowDxfId="6770"/>
    <tableColumn id="15" xr3:uid="{5B98F1F2-8BDB-4BC3-8E8C-7EF7C2FA731A}" name="Cantrip" headerRowDxfId="6769" dataDxfId="6768" totalsRowDxfId="6767"/>
    <tableColumn id="16" xr3:uid="{A08A17F1-171E-4CAD-841C-891B154F1979}" name="1st Level" headerRowDxfId="6766" dataDxfId="6765" totalsRowDxfId="6764"/>
    <tableColumn id="17" xr3:uid="{D40066A7-F6FA-4BBA-BD1E-94BA16EA8CA3}" name="2nd Level" totalsRowFunction="custom" headerRowDxfId="6763" dataDxfId="6762" totalsRowDxfId="6761">
      <totalsRowFormula>IF(R15="way of the shadow","Silence"," ")</totalsRowFormula>
    </tableColumn>
    <tableColumn id="18" xr3:uid="{E9C38612-3D8A-4FBF-9A5A-8AD702A3EED2}" name="3rd Level" headerRowDxfId="6760" dataDxfId="6759" totalsRowDxfId="6758"/>
    <tableColumn id="19" xr3:uid="{035FF97B-39D2-4443-BD44-DE1B1FD7D43A}" name="4th Level" headerRowDxfId="6757" dataDxfId="6756" totalsRowDxfId="6755"/>
    <tableColumn id="1" xr3:uid="{DDD0CAA0-BED1-4AB6-9E56-F198D76DD376}" name="Column14" headerRowDxfId="6754" dataDxfId="6753" totalsRowDxfId="6752"/>
  </tableColumns>
  <tableStyleInfo name="TableStyleMedium2" showFirstColumn="0" showLastColumn="0" showRowStripes="1" showColumnStripes="0"/>
</table>
</file>

<file path=xl/tables/table3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1" xr:uid="{CAA933B3-F2D7-435B-8F73-1BD32A05F5AF}" name="Table69331445787844901310374652" displayName="Table69331445787844901310374652" ref="BN26:BS43" headerRowCount="0" totalsRowShown="0" headerRowDxfId="6751" dataDxfId="6750">
  <tableColumns count="6">
    <tableColumn id="1" xr3:uid="{6C0D421A-FB48-48C2-8CE3-B913E33C93D8}" name="Column1" headerRowDxfId="6749" dataDxfId="6748">
      <calculatedColumnFormula>_xlfn.RANK.EQ(BO26,$BO$26:$BO$43)</calculatedColumnFormula>
    </tableColumn>
    <tableColumn id="2" xr3:uid="{D6BADCBE-C0CC-4BAB-99FD-7FB6AE3227DB}" name="Column2" headerRowDxfId="6747" dataDxfId="6746"/>
    <tableColumn id="3" xr3:uid="{C2454057-C6BB-421A-A229-83DCDDA7482B}" name="Column3" headerRowDxfId="6745" dataDxfId="6744">
      <calculatedColumnFormula>IF(OR(BM6&gt;=1,AV6&gt;=1),AH6," ")</calculatedColumnFormula>
    </tableColumn>
    <tableColumn id="4" xr3:uid="{C5153CEE-42EA-498E-BE74-9D7F6A016130}" name="Column4" headerRowDxfId="6743" dataDxfId="6742"/>
    <tableColumn id="5" xr3:uid="{750CB4D0-6004-4BFB-8555-77DC7F3526C0}" name="Column5" headerRowDxfId="6741" dataDxfId="6740">
      <calculatedColumnFormula>_xlfn.RANK.EQ(BS26,$BS$26:$BS$43)</calculatedColumnFormula>
    </tableColumn>
    <tableColumn id="6" xr3:uid="{482E0C21-77E3-4B04-A42C-35D036E7F894}" name="Column6" headerRowDxfId="6739" dataDxfId="6738">
      <calculatedColumnFormula>IF(BO26=0,RAND(),0)</calculatedColumnFormula>
    </tableColumn>
  </tableColumns>
  <tableStyleInfo name="TableStyleMedium2" showFirstColumn="0" showLastColumn="0" showRowStripes="1" showColumnStripes="0"/>
</table>
</file>

<file path=xl/tables/table3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2" xr:uid="{9571D6B8-A0A3-4186-B5E6-55FC29968672}" name="Table70332446788845902311375653" displayName="Table70332446788845902311375653" ref="BU26:BZ29" headerRowCount="0" totalsRowShown="0" headerRowDxfId="6737" dataDxfId="6736">
  <tableColumns count="6">
    <tableColumn id="1" xr3:uid="{E4DE4244-7332-4AD3-8D52-2693CE530F80}" name="Column1" headerRowDxfId="6735" dataDxfId="6734">
      <calculatedColumnFormula>_xlfn.RANK.EQ(BV26,$BV$26:$BV$29)</calculatedColumnFormula>
    </tableColumn>
    <tableColumn id="2" xr3:uid="{9A4A8BA8-2CDC-467E-9181-15DAFA35C303}" name="Column2" headerRowDxfId="6733" dataDxfId="6732"/>
    <tableColumn id="3" xr3:uid="{96C59188-8942-4B1C-8CC2-1541F01363FA}" name="Column3" headerRowDxfId="6731" dataDxfId="6730"/>
    <tableColumn id="4" xr3:uid="{B2BAD0C8-244B-46FA-BD70-EEF1C44BCB58}" name="Column4" headerRowDxfId="6729" dataDxfId="6728"/>
    <tableColumn id="5" xr3:uid="{553E321F-4A05-49AB-83F6-094F605B3818}" name="Column5" headerRowDxfId="6727" dataDxfId="6726">
      <calculatedColumnFormula>_xlfn.RANK.EQ(BZ26,$BZ$26:$BZ$29)</calculatedColumnFormula>
    </tableColumn>
    <tableColumn id="6" xr3:uid="{3ACCF418-DAB6-4557-A15E-4E5F104E1C5B}" name="Column6" headerRowDxfId="6725" dataDxfId="6724">
      <calculatedColumnFormula>IF(BV26=0,RAND(),0)</calculatedColumnFormula>
    </tableColumn>
  </tableColumns>
  <tableStyleInfo name="TableStyleMedium2" showFirstColumn="0" showLastColumn="0" showRowStripes="1" showColumnStripes="0"/>
</table>
</file>

<file path=xl/tables/table3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3" xr:uid="{4131E70D-7F2B-402B-8014-0F7B9C5B11D8}" name="Table72333447789846903312376654" displayName="Table72333447789846903312376654" ref="BU30:BZ32" headerRowCount="0" totalsRowShown="0" headerRowDxfId="6723" dataDxfId="6722">
  <tableColumns count="6">
    <tableColumn id="1" xr3:uid="{D4E646AE-59DA-4FE4-8576-E730146299EB}" name="Column1" headerRowDxfId="6721" dataDxfId="6720">
      <calculatedColumnFormula>_xlfn.RANK.EQ(BV30,$BV$30:$BV$32)</calculatedColumnFormula>
    </tableColumn>
    <tableColumn id="2" xr3:uid="{563DA33E-10B6-47B9-9890-EB9E2FEC21F5}" name="Column2" headerRowDxfId="6719" dataDxfId="6718"/>
    <tableColumn id="3" xr3:uid="{D5D72508-DCC9-4CA6-8349-8F756F852EAE}" name="Column3" headerRowDxfId="6717" dataDxfId="6716"/>
    <tableColumn id="4" xr3:uid="{3F77756A-B58E-4E16-A2D8-77D226EEDB02}" name="Column4" headerRowDxfId="6715" dataDxfId="6714"/>
    <tableColumn id="5" xr3:uid="{135946A2-E5E7-4A19-8554-041AFAD7D040}" name="Column5" headerRowDxfId="6713" dataDxfId="6712">
      <calculatedColumnFormula>_xlfn.RANK.EQ(BZ30,$BZ$30:$BZ$32)</calculatedColumnFormula>
    </tableColumn>
    <tableColumn id="6" xr3:uid="{79145C55-E576-4F1C-A3C2-A3A9E92D4ADF}" name="Column6" headerRowDxfId="6711" dataDxfId="6710">
      <calculatedColumnFormula>IF(BV30=0,RAND(),0)</calculatedColumnFormula>
    </tableColumn>
  </tableColumns>
  <tableStyleInfo name="TableStyleMedium2" showFirstColumn="0" showLastColumn="0" showRowStripes="1" showColumnStripes="0"/>
</table>
</file>

<file path=xl/tables/table3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4" xr:uid="{41C44ABC-680A-473A-A493-8E579DE47CA1}" name="Table60334448790847904313377655" displayName="Table60334448790847904313377655" ref="B240:T271" headerRowCount="0" totalsRowShown="0" headerRowDxfId="6709" dataDxfId="6708" tableBorderDxfId="6707">
  <tableColumns count="19">
    <tableColumn id="3" xr3:uid="{2CA4E2AB-4131-4008-9D4E-DA41448DDC60}" name="Column3" headerRowDxfId="6706" dataDxfId="6705"/>
    <tableColumn id="4" xr3:uid="{2DDFADBE-A8B2-42DA-ADC7-5D386AAC9124}" name="Column4" headerRowDxfId="6704" dataDxfId="6703"/>
    <tableColumn id="5" xr3:uid="{1AED9A75-FD54-4FE9-B523-F69C3F67034A}" name="Column5" headerRowDxfId="6702" dataDxfId="6701"/>
    <tableColumn id="6" xr3:uid="{529DAC9A-6FDB-4861-B405-40E153793DFA}" name="Column6" headerRowDxfId="6700" dataDxfId="6699"/>
    <tableColumn id="7" xr3:uid="{BD1DD72B-69A1-4517-A223-1F14E71E046B}" name="Column7" headerRowDxfId="6698" dataDxfId="6697"/>
    <tableColumn id="8" xr3:uid="{A496367F-DE4B-4A3E-A45D-C304484363BC}" name="Column8" headerRowDxfId="6696" dataDxfId="6695"/>
    <tableColumn id="9" xr3:uid="{E4445CA3-F97C-4A72-8664-C8E02B63198A}" name="Column9" headerRowDxfId="6694" dataDxfId="6693"/>
    <tableColumn id="10" xr3:uid="{F97BAF0A-DAD8-4CBF-9349-17BB6BF66DB0}" name="Column10" headerRowDxfId="6692" dataDxfId="6691"/>
    <tableColumn id="11" xr3:uid="{42F30BF8-9BDC-4E28-9645-44A41B06A179}" name="Column11" headerRowDxfId="6690" dataDxfId="6689"/>
    <tableColumn id="12" xr3:uid="{3465DCC7-1055-40AF-9544-FB0340D44984}" name="Column12" headerRowDxfId="6688" dataDxfId="6687"/>
    <tableColumn id="13" xr3:uid="{AC0D7DC5-239D-48F8-B61F-0538A6C8FD38}" name="Column13" headerRowDxfId="6686" dataDxfId="6685"/>
    <tableColumn id="14" xr3:uid="{FDCDE5A3-93B2-4D79-8D5F-E31C9C111BE3}" name="Column14" headerRowDxfId="6684" dataDxfId="6683"/>
    <tableColumn id="15" xr3:uid="{32BF58CF-767D-4410-8D84-CB43FDDAC652}" name="Column15" headerRowDxfId="6682" dataDxfId="6681"/>
    <tableColumn id="2" xr3:uid="{95AC2442-3A13-47F5-89D9-B908609E00AF}" name="Column2" headerRowDxfId="6680" dataDxfId="6679"/>
    <tableColumn id="16" xr3:uid="{23EA9D9F-A0B2-4C7B-821A-A99F10CB38C1}" name="Column16" headerRowDxfId="6678" dataDxfId="6677"/>
    <tableColumn id="17" xr3:uid="{710B13FE-7B6A-430F-B739-5D64669B473F}" name="Column17" headerRowDxfId="6676" dataDxfId="6675"/>
    <tableColumn id="18" xr3:uid="{F5138F0D-37B6-4A6C-BFF0-3CE1E4371368}" name="Column18" headerRowDxfId="6674" dataDxfId="6673"/>
    <tableColumn id="19" xr3:uid="{187EA345-C519-48B9-8FE8-FF3E7ACC72D0}" name="Column19" headerRowDxfId="6672" dataDxfId="6671"/>
    <tableColumn id="20" xr3:uid="{F34DCD25-1DC1-465C-A3C5-0E7110B15C01}" name="Column20" headerRowDxfId="6670" dataDxfId="6669">
      <calculatedColumnFormula>IF(AND($Q$15="Otherworldly patron - great old one",T$244&gt;=O171),INDEX('Spell Tables'!$AF$226:$AF$231,MATCH(O171,('Spell Tables'!$AD$226:$AD$231),0)),IF(AND($Q$15="Otherworldly patron - fiend",T$244&gt;=O171),INDEX('Spell Tables'!$AF$210:$AF$215,MATCH(O171,('Spell Tables'!$AD$210:$AD$215),0)),IF(AND($Q$15="Otherworldly patron - archfey",T$244&gt;=O171),INDEX('Spell Tables'!$AF$194:$AF$199,MATCH(O171,('Spell Tables'!$AD$194:$AD$199),0)),IF($T$242&gt;=O171,INDEX($AL$80:$AL$89,MATCH(O171,($AJ$80:$AJ$89),0)),IF($T$246&gt;=O171,INDEX('Spell Tables'!$AF$168:$AF$177,MATCH(O171,('Spell Tables'!$AD$168:$AD$177),0)),IF($T$248&gt;=O171,INDEX('Spell Tables'!$AR$141:$AR$144,MATCH(O171,('Spell Tables'!$AP$141:$AP$144),0)),IF($T$250&gt;=O171,INDEX('Spell Tables'!$AB$119:$AB$123,MATCH(O171,('Spell Tables'!$Z$119:$Z$123),0)),IF($T$252&gt;=O171,INDEX('Spell Tables'!$AB$97:$AB$102,MATCH(O171,('Spell Tables'!$Z$97:$Z$102),0)),IF($T$254&gt;=O171,INDEX('Spell Tables'!$AR$70:$AR$75,MATCH(O171,('Spell Tables'!$AP$70:$AP$75),0)),IF($T$256&gt;=O171,INDEX('Spell Tables'!$AF$48:$AF$63,MATCH(O171,('Spell Tables'!$AD$48:$AD$63),0)),IF($T$258&gt;=O171,INDEX('Spell Tables'!$AF$26:$AF$33,MATCH(O171,('Spell Tables'!$AD$26:$AD$33),0)),IF($T$260&gt;=O171,INDEX('Spell Tables'!$AF$2:$AF$9,MATCH(O171,('Spell Tables'!$AD$2:$AD$9),0))," "))))))))))))</calculatedColumnFormula>
    </tableColumn>
  </tableColumns>
  <tableStyleInfo name="TableStyleMedium2" showFirstColumn="0" showLastColumn="0" showRowStripes="1" showColumnStripes="0"/>
</table>
</file>

<file path=xl/tables/table3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5" xr:uid="{9B4D3CF2-1BEA-424B-8CD2-23B217A4E062}" name="Table200335449791848905314378656" displayName="Table200335449791848905314378656" ref="AJ43:AL53" headerRowCount="0" totalsRowShown="0" headerRowDxfId="6668" dataDxfId="6667">
  <tableColumns count="3">
    <tableColumn id="1" xr3:uid="{1952822D-4255-4ABF-8CAB-519DF21D39EF}" name="Column1" headerRowDxfId="6666" dataDxfId="6665"/>
    <tableColumn id="2" xr3:uid="{AAAA8187-606F-4931-B7F2-62173AFCDFBA}" name="Column2" headerRowDxfId="6664" dataDxfId="6663">
      <calculatedColumnFormula>RAND()</calculatedColumnFormula>
    </tableColumn>
    <tableColumn id="3" xr3:uid="{5192604A-EB95-4D2A-A627-0088A1381331}" name="Column3" headerRowDxfId="6662" dataDxfId="6661">
      <calculatedColumnFormula>AN12</calculatedColumnFormula>
    </tableColumn>
  </tableColumns>
  <tableStyleInfo name="TableStyleMedium2" showFirstColumn="0" showLastColumn="0" showRowStripes="1" showColumnStripes="0"/>
</table>
</file>

<file path=xl/tables/table3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6" xr:uid="{4A7060AD-E0B7-4567-B3AD-B3C3CCAD2366}" name="Table201336450792849906315379657" displayName="Table201336450792849906315379657" ref="AJ55:AL65" headerRowCount="0" totalsRowShown="0" headerRowDxfId="6660" dataDxfId="6659">
  <tableColumns count="3">
    <tableColumn id="1" xr3:uid="{E3219CDC-6AAC-4732-9F7A-8741B4B37AA6}" name="Column1" headerRowDxfId="6658" dataDxfId="6657">
      <calculatedColumnFormula>_xlfn.RANK.EQ(AK56,$L$308:$L$320)</calculatedColumnFormula>
    </tableColumn>
    <tableColumn id="2" xr3:uid="{C67E62DD-44C8-47D5-ABF3-B5E8DE77ADAC}" name="Column2" headerRowDxfId="6656" dataDxfId="6655">
      <calculatedColumnFormula>IF(AL56=" ", 0,RAND())</calculatedColumnFormula>
    </tableColumn>
    <tableColumn id="3" xr3:uid="{2A3056D1-F1E5-4983-B69F-81BDA4C4AB3D}" name="Column3" headerRowDxfId="6654" dataDxfId="6653">
      <calculatedColumnFormula>AO12</calculatedColumnFormula>
    </tableColumn>
  </tableColumns>
  <tableStyleInfo name="TableStyleMedium2" showFirstColumn="0" showLastColumn="0" showRowStripes="1" showColumnStripes="0"/>
</table>
</file>

<file path=xl/tables/table3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7" xr:uid="{C3C169FE-5055-4763-835F-E24F0B0CA0FE}" name="Table202337451793850907320380658" displayName="Table202337451793850907320380658" ref="AJ67:AL77" headerRowCount="0" totalsRowShown="0" headerRowDxfId="6652" dataDxfId="6651">
  <tableColumns count="3">
    <tableColumn id="1" xr3:uid="{F430A790-AE70-44A2-B3AE-96C2C0D5BA0E}" name="Column1" headerRowDxfId="6650" dataDxfId="6649"/>
    <tableColumn id="2" xr3:uid="{45DC4EDA-277F-4364-B475-B0BD3C8F7A2E}" name="Column2" headerRowDxfId="6648" dataDxfId="6647">
      <calculatedColumnFormula>IF(AL68=" ", 0,RAND())</calculatedColumnFormula>
    </tableColumn>
    <tableColumn id="3" xr3:uid="{2DA9F2A6-6060-4D26-8E8A-FB577FD34923}" name="Column3" headerRowDxfId="6646" dataDxfId="6645">
      <calculatedColumnFormula>AP12</calculatedColumnFormula>
    </tableColumn>
  </tableColumns>
  <tableStyleInfo name="TableStyleMedium2" showFirstColumn="0" showLastColumn="0" showRowStripes="1" showColumnStripes="0"/>
</table>
</file>

<file path=xl/tables/table3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8" xr:uid="{5A2FD816-7D49-433E-8FB5-1BD2B7A4A0D1}" name="Table203338452794851908321381659" displayName="Table203338452794851908321381659" ref="AJ79:AL89" headerRowCount="0" totalsRowShown="0" headerRowDxfId="6644" dataDxfId="6643">
  <tableColumns count="3">
    <tableColumn id="1" xr3:uid="{331C7756-2E65-4E10-9CFB-F6353AE1E5CB}" name="Column1" headerRowDxfId="6642" dataDxfId="6641"/>
    <tableColumn id="2" xr3:uid="{08913B02-98C9-4C2B-A278-D5BDB0BC154B}" name="Column2" headerRowDxfId="6640" dataDxfId="6639"/>
    <tableColumn id="3" xr3:uid="{104D1BA2-3283-42B9-ADF5-69622E121BB1}" name="Column3" headerRowDxfId="6638" dataDxfId="6637"/>
  </tableColumns>
  <tableStyleInfo name="TableStyleMedium2" showFirstColumn="0" showLastColumn="0" showRowStripes="1" showColumnStripes="0"/>
</table>
</file>

<file path=xl/tables/table3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9" xr:uid="{453D2750-E9B3-4B6E-8BB6-9A9069D9A80D}" name="Table204339453795852909322382660" displayName="Table204339453795852909322382660" ref="AJ91:AL101" headerRowCount="0" totalsRowShown="0" headerRowDxfId="6636" dataDxfId="6635">
  <tableColumns count="3">
    <tableColumn id="1" xr3:uid="{53E0C44E-EED7-4D3C-AF8E-0F9D3B73C2C8}" name="Column1" headerRowDxfId="6634" dataDxfId="6633"/>
    <tableColumn id="2" xr3:uid="{B9CD43D0-3ECF-4350-98E1-11D0D69DAC5C}" name="Column2" headerRowDxfId="6632" dataDxfId="6631"/>
    <tableColumn id="3" xr3:uid="{409608C9-7950-445D-BB49-D9D10EBF80E3}" name="Column3" headerRowDxfId="6630" dataDxfId="6629"/>
  </tableColumns>
  <tableStyleInfo name="TableStyleMedium2" showFirstColumn="0" showLastColumn="0" showRowStripes="1" showColumnStripes="0"/>
</table>
</file>

<file path=xl/tables/table3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0" xr:uid="{4745DD7E-A43E-4CA7-8952-B1E4AAEB4305}" name="Table205340454796853910326383661" displayName="Table205340454796853910326383661" ref="AJ103:AL113" headerRowCount="0" totalsRowShown="0" headerRowDxfId="6628" dataDxfId="6627">
  <tableColumns count="3">
    <tableColumn id="1" xr3:uid="{87570BF0-B203-4CAD-995C-A0418C175A6D}" name="Column1" headerRowDxfId="6626" dataDxfId="6625"/>
    <tableColumn id="2" xr3:uid="{36AF3A85-D6F2-45B9-BD26-257F7469348F}" name="Column2" headerRowDxfId="6624" dataDxfId="6623"/>
    <tableColumn id="3" xr3:uid="{99228494-BC7D-4896-A988-D922FD925203}" name="Column3" headerRowDxfId="6622" dataDxfId="6621"/>
  </tableColumns>
  <tableStyleInfo name="TableStyleMedium2" showFirstColumn="0" showLastColumn="0" showRowStripes="1" showColumnStripes="0"/>
</table>
</file>

<file path=xl/tables/table3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1" xr:uid="{6CFF35D8-8D79-4B82-8A7B-2CB4EBAEAEC3}" name="Table206341455797854911327384662" displayName="Table206341455797854911327384662" ref="AJ115:AL125" headerRowCount="0" totalsRowShown="0" headerRowDxfId="6620" dataDxfId="6619">
  <tableColumns count="3">
    <tableColumn id="1" xr3:uid="{F26A988F-E2AA-4255-8B9E-9B6CC9D1804F}" name="Column1" headerRowDxfId="6618" dataDxfId="6617"/>
    <tableColumn id="2" xr3:uid="{4EFA4F57-C8A3-4105-9822-06A393796F9E}" name="Column2" headerRowDxfId="6616" dataDxfId="6615"/>
    <tableColumn id="3" xr3:uid="{4757C581-C5F2-4083-9C83-5D6C1547B617}" name="Column3" headerRowDxfId="6614" dataDxfId="6613"/>
  </tableColumns>
  <tableStyleInfo name="TableStyleMedium2" showFirstColumn="0" showLastColumn="0" showRowStripes="1" showColumnStripes="0"/>
</table>
</file>

<file path=xl/tables/table3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2" xr:uid="{8ABAE5D4-F0EC-44A4-9190-E413E6CCA2E3}" name="Table207342456798855912328385663" displayName="Table207342456798855912328385663" ref="AJ127:AL137" headerRowCount="0" totalsRowShown="0" headerRowDxfId="6612" dataDxfId="6611">
  <tableColumns count="3">
    <tableColumn id="1" xr3:uid="{68C86915-A792-4FDE-BD44-B350A53531CB}" name="Column1" headerRowDxfId="6610" dataDxfId="6609"/>
    <tableColumn id="2" xr3:uid="{25F7F200-3B2D-485B-BC66-0C18D38267A8}" name="Column2" headerRowDxfId="6608" dataDxfId="6607"/>
    <tableColumn id="3" xr3:uid="{16CE9078-C679-4A00-8ACC-0C7A18DDAC88}" name="Column3" headerRowDxfId="6606" dataDxfId="6605"/>
  </tableColumns>
  <tableStyleInfo name="TableStyleMedium2" showFirstColumn="0" showLastColumn="0" showRowStripes="1" showColumnStripes="0"/>
</table>
</file>

<file path=xl/tables/table3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3" xr:uid="{CD26FEC5-98C2-432A-B685-3569A774CBB7}" name="Table208343457799856913329386664" displayName="Table208343457799856913329386664" ref="AJ139:AL149" headerRowCount="0" totalsRowShown="0" headerRowDxfId="6604" dataDxfId="6603">
  <tableColumns count="3">
    <tableColumn id="1" xr3:uid="{87917AC1-7695-48C8-864C-10D71B24921C}" name="Column1" headerRowDxfId="6602" dataDxfId="6601"/>
    <tableColumn id="2" xr3:uid="{67AABECE-37E3-4551-85BF-9885F9799D63}" name="Column2" headerRowDxfId="6600" dataDxfId="6599"/>
    <tableColumn id="3" xr3:uid="{EA0BA0C4-ADF5-41DE-B341-81F4BE0A3B7E}" name="Column3" headerRowDxfId="6598" dataDxfId="6597"/>
  </tableColumns>
  <tableStyleInfo name="TableStyleMedium2" showFirstColumn="0" showLastColumn="0" showRowStripes="1" showColumnStripes="0"/>
</table>
</file>

<file path=xl/tables/table3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4" xr:uid="{36D8CE4C-DD72-4329-8E33-1313B90F4769}" name="Table219344458800857914330387665" displayName="Table219344458800857914330387665" ref="AJ151:AL161" headerRowCount="0" totalsRowShown="0" headerRowDxfId="6596" dataDxfId="6595">
  <tableColumns count="3">
    <tableColumn id="1" xr3:uid="{108F770A-3247-4C1D-ACFA-7D1B115C34EF}" name="Column1" headerRowDxfId="6594" dataDxfId="6593"/>
    <tableColumn id="2" xr3:uid="{9341C6E0-2EA3-4935-AA03-001CB193844D}" name="Column2" headerRowDxfId="6592" dataDxfId="6591"/>
    <tableColumn id="5" xr3:uid="{D973A3EE-64FB-4889-9B0B-CF7CFD2ABBDF}" name="Column3" headerRowDxfId="6590" dataDxfId="6589"/>
  </tableColumns>
  <tableStyleInfo name="TableStyleMedium2" showFirstColumn="0" showLastColumn="0" showRowStripes="1" showColumnStripes="0"/>
</table>
</file>

<file path=xl/tables/table3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5" xr:uid="{D8930FEF-A7B5-4B05-BB98-C1F08EA649EF}" name="Table220345459801858915331388666" displayName="Table220345459801858915331388666" ref="AJ163:AL173" headerRowCount="0" totalsRowShown="0" headerRowDxfId="6588" dataDxfId="6587">
  <tableColumns count="3">
    <tableColumn id="1" xr3:uid="{4BD8595B-1E88-465D-B14C-AA0DC39A38B7}" name="Column1" headerRowDxfId="6586" dataDxfId="6585"/>
    <tableColumn id="2" xr3:uid="{10F54D7A-66C6-4E27-A334-1EF2239CA575}" name="Column2" headerRowDxfId="6584" dataDxfId="6583"/>
    <tableColumn id="3" xr3:uid="{6B03F649-5BC9-47A6-8071-A2159DDC501E}" name="Column3" headerRowDxfId="6582" dataDxfId="6581"/>
  </tableColumns>
  <tableStyleInfo name="TableStyleMedium2" showFirstColumn="0" showLastColumn="0" showRowStripes="1" showColumnStripes="0"/>
</table>
</file>

<file path=xl/tables/table3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6" xr:uid="{1C5652D5-892B-4438-BF31-5AAE802AEEAE}" name="Table222346460802859916332389667" displayName="Table222346460802859916332389667" ref="AJ175:AL185" headerRowCount="0" totalsRowShown="0" headerRowDxfId="6580" dataDxfId="6579">
  <tableColumns count="3">
    <tableColumn id="1" xr3:uid="{AD198772-A4ED-4DFB-9ECE-A4F153B14078}" name="Column1" headerRowDxfId="6578" dataDxfId="6577"/>
    <tableColumn id="2" xr3:uid="{7ACF3A9F-DE9F-47B6-9BAA-411B511B56F8}" name="Column2" headerRowDxfId="6576" dataDxfId="6575"/>
    <tableColumn id="3" xr3:uid="{CCD5561F-676F-400F-98EF-EB51B175BBF1}" name="Column3" headerRowDxfId="6574" dataDxfId="6573"/>
  </tableColumns>
  <tableStyleInfo name="TableStyleMedium2" showFirstColumn="0" showLastColumn="0" showRowStripes="1" showColumnStripes="0"/>
</table>
</file>

<file path=xl/tables/table3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7" xr:uid="{BF2E461A-D9FC-48AB-850D-171C5B516DB7}" name="Table250347461803860917333390668" displayName="Table250347461803860917333390668" ref="AJ187:AL197" headerRowCount="0" totalsRowShown="0" headerRowDxfId="6572" dataDxfId="6571">
  <tableColumns count="3">
    <tableColumn id="1" xr3:uid="{FF0695D5-2E78-4E3E-A7E4-6574E7B3AF8C}" name="Column1" headerRowDxfId="6570" dataDxfId="6569"/>
    <tableColumn id="2" xr3:uid="{600BC3E9-F32F-4A60-93F8-6AE2A370EFDC}" name="Column2" headerRowDxfId="6568" dataDxfId="6567"/>
    <tableColumn id="3" xr3:uid="{39395C8B-98AF-4AC9-9F65-41DEBDC42E2B}" name="Column3" headerRowDxfId="6566" dataDxfId="6565"/>
  </tableColumns>
  <tableStyleInfo name="TableStyleMedium2" showFirstColumn="0" showLastColumn="0" showRowStripes="1" showColumnStripes="0"/>
</table>
</file>

<file path=xl/tables/table3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8" xr:uid="{D04F93BC-4B2E-48AF-89FF-FF25A7DCF6C2}" name="Table39348462804861918334391669" displayName="Table39348462804861918334391669" ref="CB1:CD7" headerRowCount="0" totalsRowShown="0" headerRowDxfId="6564" dataDxfId="6563">
  <tableColumns count="3">
    <tableColumn id="1" xr3:uid="{8035EED6-367D-4F1B-88E1-68C89954118E}" name="Column1" dataDxfId="6562"/>
    <tableColumn id="2" xr3:uid="{91923298-8932-4A6E-9C49-77F977682B44}" name="Column2" dataDxfId="6561"/>
    <tableColumn id="3" xr3:uid="{744BCAB7-340A-4084-84CA-E27F869A6D2E}" name="Column3" headerRowDxfId="6560" dataDxfId="6559"/>
  </tableColumns>
  <tableStyleInfo name="TableStyleMedium2" showFirstColumn="0" showLastColumn="0" showRowStripes="1" showColumnStripes="0"/>
</table>
</file>

<file path=xl/tables/table3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9" xr:uid="{9C5C4C3F-A387-421D-8383-5F040ED55C36}" name="Table50349463805862919335392670" displayName="Table50349463805862919335392670" ref="CB29:CD34" headerRowCount="0" totalsRowShown="0" headerRowDxfId="6558" dataDxfId="6557">
  <tableColumns count="3">
    <tableColumn id="1" xr3:uid="{95E76E20-BE5E-4463-A2D6-B360EC6B46EC}" name="Column1" headerRowDxfId="6556" dataDxfId="6555"/>
    <tableColumn id="2" xr3:uid="{6EB59C9C-B6FA-4F62-8DF1-AE622AD56B60}" name="Column2" headerRowDxfId="6554" dataDxfId="6553">
      <calculatedColumnFormula>RAND()</calculatedColumnFormula>
    </tableColumn>
    <tableColumn id="3" xr3:uid="{120321CD-0391-4A68-8476-D3E43D602C98}" name="Column3" headerRowDxfId="6552" dataDxfId="6551"/>
  </tableColumns>
  <tableStyleInfo name="TableStyleMedium2" showFirstColumn="0" showLastColumn="0" showRowStripes="1" showColumnStripes="0"/>
</table>
</file>

<file path=xl/tables/table3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0" xr:uid="{880448B4-DF2F-441F-B2C4-2A789C8E0496}" name="Table51350464806863920336393671" displayName="Table51350464806863920336393671" ref="CB36:CD44" headerRowCount="0" totalsRowShown="0" headerRowDxfId="6550" dataDxfId="6549">
  <tableColumns count="3">
    <tableColumn id="1" xr3:uid="{CF130023-38C2-447E-B8EF-3A131C5E6EAB}" name="Column1" headerRowDxfId="6548" dataDxfId="6547"/>
    <tableColumn id="2" xr3:uid="{56ABCA25-CF16-431F-8996-F289C14C0A06}" name="Column2" headerRowDxfId="6546" dataDxfId="6545"/>
    <tableColumn id="3" xr3:uid="{F08BCB13-8019-462E-83B9-5E9FDE9EBD53}" name="Column3" headerRowDxfId="6544" dataDxfId="6543"/>
  </tableColumns>
  <tableStyleInfo name="TableStyleMedium2" showFirstColumn="0" showLastColumn="0" showRowStripes="1" showColumnStripes="0"/>
</table>
</file>

<file path=xl/tables/table3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1" xr:uid="{04177CCE-D405-4153-BA53-7264CFB28EBC}" name="Table52351465807864921337394672" displayName="Table52351465807864921337394672" ref="CB46:CD54" headerRowCount="0" totalsRowShown="0" headerRowDxfId="6542" dataDxfId="6541">
  <tableColumns count="3">
    <tableColumn id="1" xr3:uid="{59A23EA3-E896-4419-A629-34D1A1305FF2}" name="Column1" headerRowDxfId="6540" dataDxfId="6539"/>
    <tableColumn id="2" xr3:uid="{3AA24EEA-C9DD-432E-B0F9-1E1A347E5A29}" name="Column2" headerRowDxfId="6538" dataDxfId="6537"/>
    <tableColumn id="3" xr3:uid="{CC2A96B6-01C4-4EEA-8EAB-45908A31D8E1}" name="Column3" headerRowDxfId="6536" dataDxfId="6535"/>
  </tableColumns>
  <tableStyleInfo name="TableStyleMedium2" showFirstColumn="0" showLastColumn="0" showRowStripes="1" showColumnStripes="0"/>
</table>
</file>

<file path=xl/tables/table3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2" xr:uid="{B10F729F-F6BE-49C5-838A-0D57496AABA1}" name="Table53352466808865922338395673" displayName="Table53352466808865922338395673" ref="CB56:CD62" headerRowCount="0" totalsRowShown="0" headerRowDxfId="6534" dataDxfId="6533">
  <tableColumns count="3">
    <tableColumn id="1" xr3:uid="{2749C5FD-0AAA-463C-BF64-59706CE30D1D}" name="Column1" headerRowDxfId="6532" dataDxfId="6531"/>
    <tableColumn id="2" xr3:uid="{688BD9EE-45A5-4F45-9110-757630B745F9}" name="Column2" headerRowDxfId="6530" dataDxfId="6529"/>
    <tableColumn id="3" xr3:uid="{0967BAC0-8379-4676-AEB5-E1F2A83DB205}" name="Column3" headerRowDxfId="6528" dataDxfId="6527"/>
  </tableColumns>
  <tableStyleInfo name="TableStyleMedium2" showFirstColumn="0" showLastColumn="0" showRowStripes="1" showColumnStripes="0"/>
</table>
</file>

<file path=xl/tables/table3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3" xr:uid="{C104F2F9-59D4-495F-B51F-C3EC33BFF68A}" name="Table54353467809866923339396674" displayName="Table54353467809866923339396674" ref="CB64:CD70" headerRowCount="0" totalsRowShown="0" headerRowDxfId="6526" dataDxfId="6525">
  <tableColumns count="3">
    <tableColumn id="1" xr3:uid="{4978B965-1C3D-448A-ACCE-318A1529A690}" name="Column1" headerRowDxfId="6524" dataDxfId="6523"/>
    <tableColumn id="2" xr3:uid="{5893992D-DF26-4E64-9F28-3667739FD273}" name="Column2" headerRowDxfId="6522" dataDxfId="6521"/>
    <tableColumn id="3" xr3:uid="{27F0A507-18AD-4EC0-925B-39F02D5FEB50}" name="Column3" headerRowDxfId="6520" dataDxfId="6519"/>
  </tableColumns>
  <tableStyleInfo name="TableStyleMedium2" showFirstColumn="0" showLastColumn="0" showRowStripes="1" showColumnStripes="0"/>
</table>
</file>

<file path=xl/tables/table3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4" xr:uid="{7C0EBD13-6A10-4E0D-B885-2ED7991C74FD}" name="Table55354468810867924340397675" displayName="Table55354468810867924340397675" ref="CB72:CD81" headerRowCount="0" totalsRowShown="0" headerRowDxfId="6518" dataDxfId="6517">
  <tableColumns count="3">
    <tableColumn id="1" xr3:uid="{01716E57-439A-4A8D-92E2-4C69F466E31E}" name="Column1" headerRowDxfId="6516" dataDxfId="6515"/>
    <tableColumn id="2" xr3:uid="{DB795464-ADE7-4C79-AEAF-9C59A7EBEA9B}" name="Column2" headerRowDxfId="6514" dataDxfId="6513"/>
    <tableColumn id="3" xr3:uid="{FCAA3B73-08B9-4B90-9747-F5A04540625F}" name="Column3" headerRowDxfId="6512" dataDxfId="6511"/>
  </tableColumns>
  <tableStyleInfo name="TableStyleMedium2" showFirstColumn="0" showLastColumn="0" showRowStripes="1" showColumnStripes="0"/>
</table>
</file>

<file path=xl/tables/table3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5" xr:uid="{1D5ACBFE-A0BC-4C22-A699-3C87CAC14D7B}" name="Table56355469811868925341398676" displayName="Table56355469811868925341398676" ref="CB83:CD94" headerRowCount="0" totalsRowShown="0" headerRowDxfId="6510" dataDxfId="6509">
  <tableColumns count="3">
    <tableColumn id="1" xr3:uid="{EE9985C9-FE46-4F6D-9054-A6E38EBCBB25}" name="Column1" headerRowDxfId="6508" dataDxfId="6507"/>
    <tableColumn id="2" xr3:uid="{CCE6D1A5-6FF9-45F7-82C7-30EB10D8241D}" name="Column2" headerRowDxfId="6506" dataDxfId="6505"/>
    <tableColumn id="3" xr3:uid="{93EDEBA8-D482-490F-A89C-8967B8C1D9C0}" name="Column3" headerRowDxfId="6504" dataDxfId="6503"/>
  </tableColumns>
  <tableStyleInfo name="TableStyleMedium2" showFirstColumn="0" showLastColumn="0" showRowStripes="1" showColumnStripes="0"/>
</table>
</file>

<file path=xl/tables/table3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6" xr:uid="{0429EFD2-0782-4EB3-98B8-FEA8E78DC5B4}" name="Table57356470812869926342399677" displayName="Table57356470812869926342399677" ref="CB96:CD102" headerRowCount="0" totalsRowShown="0" headerRowDxfId="6502" dataDxfId="6501">
  <tableColumns count="3">
    <tableColumn id="1" xr3:uid="{302F9602-F3F5-40C5-B99A-E9E32DD47E98}" name="Column1" headerRowDxfId="6500" dataDxfId="6499"/>
    <tableColumn id="2" xr3:uid="{759922B7-3F2D-4039-8CBB-F87796A4FEEB}" name="Column2" headerRowDxfId="6498" dataDxfId="6497"/>
    <tableColumn id="3" xr3:uid="{03508E8C-42E1-4017-B6EB-1FECE6F0501F}" name="Column3" headerRowDxfId="6496" dataDxfId="6495"/>
  </tableColumns>
  <tableStyleInfo name="TableStyleMedium2" showFirstColumn="0" showLastColumn="0" showRowStripes="1" showColumnStripes="0"/>
</table>
</file>

<file path=xl/tables/table3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7" xr:uid="{1FF01817-6DDA-48B0-9D46-7AAB823CCAE4}" name="Table58357471813870927343400678" displayName="Table58357471813870927343400678" ref="CB104:CD111" headerRowCount="0" totalsRowShown="0" headerRowDxfId="6494" dataDxfId="6493">
  <tableColumns count="3">
    <tableColumn id="1" xr3:uid="{BBB9C061-4ABF-4FD6-9128-56D0ADFD69A9}" name="Column1" headerRowDxfId="6492" dataDxfId="6491"/>
    <tableColumn id="2" xr3:uid="{D67427FA-E10E-42F0-9BCF-6B1523CD3D7F}" name="Column2" headerRowDxfId="6490" dataDxfId="6489"/>
    <tableColumn id="3" xr3:uid="{2E63EF90-E872-4A40-8C3B-60C7914E14D2}" name="Column3" headerRowDxfId="6488" dataDxfId="6487"/>
  </tableColumns>
  <tableStyleInfo name="TableStyleMedium2" showFirstColumn="0" showLastColumn="0" showRowStripes="1" showColumnStripes="0"/>
</table>
</file>

<file path=xl/tables/table3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8" xr:uid="{B08F9853-97FE-42CF-B4D2-BE8FDEF0F9A7}" name="Table59358472814871928344401679" displayName="Table59358472814871928344401679" ref="CB113:CD119" headerRowCount="0" totalsRowShown="0" headerRowDxfId="6486" dataDxfId="6485">
  <tableColumns count="3">
    <tableColumn id="1" xr3:uid="{D7B8A9CE-B577-4C7B-8556-4B93275807AE}" name="Column1" headerRowDxfId="6484" dataDxfId="6483"/>
    <tableColumn id="2" xr3:uid="{A72AB02F-2A9D-44C6-BA68-E652B42A8057}" name="Column2" headerRowDxfId="6482" dataDxfId="6481"/>
    <tableColumn id="3" xr3:uid="{9B97D758-1D5E-46CD-A0CB-2D1E8A335B7F}" name="Column3" headerRowDxfId="6480" dataDxfId="6479"/>
  </tableColumns>
  <tableStyleInfo name="TableStyleMedium2" showFirstColumn="0" showLastColumn="0" showRowStripes="1" showColumnStripes="0"/>
</table>
</file>

<file path=xl/tables/table3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9" xr:uid="{1269AB99-5778-4F04-905D-CB45E09C9CC1}" name="Table81359473815872929345402680" displayName="Table81359473815872929345402680" ref="CB9:CD27" headerRowCount="0" totalsRowShown="0" headerRowDxfId="6478" dataDxfId="6477">
  <tableColumns count="3">
    <tableColumn id="1" xr3:uid="{5E0BFDAE-DD8E-40D4-9543-CBFBD4C6C975}" name="Column1" headerRowDxfId="6476" dataDxfId="6475"/>
    <tableColumn id="2" xr3:uid="{39F5FD4E-B768-4482-8BC1-778AB7DCA8EC}" name="Column2" headerRowDxfId="6474" dataDxfId="6473"/>
    <tableColumn id="3" xr3:uid="{C871E858-0596-4B09-ACCA-B9AE66CD05ED}" name="Column3" headerRowDxfId="6472" dataDxfId="6471">
      <calculatedColumnFormula>RAND()</calculatedColumnFormula>
    </tableColumn>
  </tableColumns>
  <tableStyleInfo name="TableStyleMedium2" showFirstColumn="0" showLastColumn="0" showRowStripes="1" showColumnStripes="0"/>
</table>
</file>

<file path=xl/tables/table3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0" xr:uid="{E96A69DA-D76D-4722-A6F1-7BFB8516DFD9}" name="Table264360474816873930346403681" displayName="Table264360474816873930346403681" ref="B14:B19" headerRowCount="0" totalsRowShown="0" headerRowDxfId="6470" dataDxfId="6469" tableBorderDxfId="6468">
  <tableColumns count="1">
    <tableColumn id="1" xr3:uid="{BC77B18A-7AFF-40C4-8929-5D87A58B1144}" name="Column1" headerRowDxfId="6467" dataDxfId="6466"/>
  </tableColumns>
  <tableStyleInfo name="TableStyleMedium2" showFirstColumn="0" showLastColumn="0" showRowStripes="1" showColumnStripes="0"/>
</table>
</file>

<file path=xl/tables/table3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1" xr:uid="{8E1FD128-81A5-4E28-88EB-FF441095A9FA}" name="Table265361475817874931347404682" displayName="Table265361475817874931347404682" ref="S17:S26" headerRowCount="0" totalsRowShown="0" headerRowDxfId="6465" dataDxfId="6464" tableBorderDxfId="6463">
  <tableColumns count="1">
    <tableColumn id="1" xr3:uid="{69A74C7B-95AB-4C9F-91B6-628E57223436}" name="Column1" headerRowDxfId="6462" dataDxfId="6461"/>
  </tableColumns>
  <tableStyleInfo name="TableStyleMedium2" showFirstColumn="0" showLastColumn="0" showRowStripes="1" showColumnStripes="0"/>
</table>
</file>

<file path=xl/tables/table3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2" xr:uid="{2B755281-4421-42A5-89E0-C3553DAD1C4B}" name="Table266362476818875932348405683" displayName="Table266362476818875932348405683" ref="O75:O85" headerRowCount="0" totalsRowShown="0" headerRowDxfId="6460" dataDxfId="6459" tableBorderDxfId="6458">
  <tableColumns count="1">
    <tableColumn id="1" xr3:uid="{D2C7AD27-9D8B-4A81-BFED-7B1B97A414FA}" name="Column1" headerRowDxfId="6457" dataDxfId="6456"/>
  </tableColumns>
  <tableStyleInfo name="TableStyleMedium2" showFirstColumn="0" showLastColumn="0" showRowStripes="1" showColumnStripes="0"/>
</table>
</file>

<file path=xl/tables/table3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3" xr:uid="{0057FE5A-A713-4D02-B9A4-4BDF3DF32B6A}" name="Table268363477819876933349406684" displayName="Table268363477819876933349406684" ref="O14:O35" headerRowCount="0" totalsRowShown="0" headerRowDxfId="6455" dataDxfId="6454" tableBorderDxfId="6453">
  <tableColumns count="1">
    <tableColumn id="1" xr3:uid="{C44FD3C5-376B-4955-86D4-85D2C21F15AF}" name="Column1" headerRowDxfId="6452" dataDxfId="6451"/>
  </tableColumns>
  <tableStyleInfo name="TableStyleMedium2" showFirstColumn="0" showLastColumn="0" showRowStripes="1" showColumnStripes="0"/>
</table>
</file>

<file path=xl/tables/table3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4" xr:uid="{76E6C60A-2C60-4FF9-87A7-F4719B38B43E}" name="Table271364478820877934350407685" displayName="Table271364478820877934350407685" ref="Q14:Q30" headerRowCount="0" totalsRowShown="0" headerRowDxfId="6450" dataDxfId="6449" tableBorderDxfId="6448">
  <tableColumns count="1">
    <tableColumn id="1" xr3:uid="{C4197E73-4FA2-4359-8B0E-92C2AC2F7B2F}" name="Column1" headerRowDxfId="6447" dataDxfId="6446"/>
  </tableColumns>
  <tableStyleInfo name="TableStyleMedium2" showFirstColumn="0" showLastColumn="0" showRowStripes="1" showColumnStripes="0"/>
</table>
</file>

<file path=xl/tables/table3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5" xr:uid="{34768C98-5A31-46FC-AB22-ADEC772C7BCD}" name="Table272365479821878935351408686" displayName="Table272365479821878935351408686" ref="S10:S12" headerRowCount="0" totalsRowShown="0" headerRowDxfId="6445" dataDxfId="6444" tableBorderDxfId="6443">
  <tableColumns count="1">
    <tableColumn id="1" xr3:uid="{64FACBD5-A6E6-4CFE-8A2C-CAAC98F96878}" name="Column1" headerRowDxfId="6442" dataDxfId="6441"/>
  </tableColumns>
  <tableStyleInfo name="TableStyleMedium2" showFirstColumn="0" showLastColumn="0" showRowStripes="1" showColumnStripes="0"/>
</table>
</file>

<file path=xl/tables/table3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6" xr:uid="{3F537175-8DB9-437D-84E6-ED973E300E04}" name="Table273366480822879936352409687" displayName="Table273366480822879936352409687" ref="S14:S16" headerRowCount="0" totalsRowShown="0" headerRowDxfId="6440" dataDxfId="6439" tableBorderDxfId="6438">
  <tableColumns count="1">
    <tableColumn id="1" xr3:uid="{9FD4956C-F1EE-4167-8B4F-29427568769B}" name="Column1" headerRowDxfId="6437" dataDxfId="6436"/>
  </tableColumns>
  <tableStyleInfo name="TableStyleMedium2" showFirstColumn="0" showLastColumn="0" showRowStripes="1" showColumnStripes="0"/>
</table>
</file>

<file path=xl/tables/table3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7" xr:uid="{09B23A2F-54AE-4743-BB25-4D36B7872023}" name="Table274367481823880937353410688" displayName="Table274367481823880937353410688" ref="P14:P28" headerRowCount="0" totalsRowShown="0" headerRowDxfId="6435" dataDxfId="6434" tableBorderDxfId="6433">
  <tableColumns count="1">
    <tableColumn id="1" xr3:uid="{34A47B1D-1D56-41AC-AEEA-ECD28BE937A3}" name="Column1" headerRowDxfId="6432" dataDxfId="6431"/>
  </tableColumns>
  <tableStyleInfo name="TableStyleMedium2" showFirstColumn="0" showLastColumn="0" showRowStripes="1" showColumnStripes="0"/>
</table>
</file>

<file path=xl/tables/table3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8" xr:uid="{B84561F2-A990-4E7E-8651-769034E47DCF}" name="Table275368482824881938354411689" displayName="Table275368482824881938354411689" ref="R14:R26" headerRowCount="0" totalsRowShown="0" headerRowDxfId="6430" dataDxfId="6429" tableBorderDxfId="6428">
  <tableColumns count="1">
    <tableColumn id="1" xr3:uid="{59EBEA70-5688-48E7-BA22-152B51BCBE6E}" name="Column1" headerRowDxfId="6427" dataDxfId="6426"/>
  </tableColumns>
  <tableStyleInfo name="TableStyleMedium2" showFirstColumn="0" showLastColumn="0" showRowStripes="1" showColumnStripes="0"/>
</table>
</file>

<file path=xl/tables/table3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9" xr:uid="{33F2582D-EBA3-4D85-B0E8-ECF67A4C8F39}" name="Table276369483825882939355412690" displayName="Table276369483825882939355412690" ref="B37:P43" headerRowCount="0" totalsRowShown="0" headerRowDxfId="6425" dataDxfId="6424">
  <tableColumns count="15">
    <tableColumn id="2" xr3:uid="{F7D9E4CA-266C-4AA5-8129-BEE3F00CE726}" name="Column2" headerRowDxfId="6423" dataDxfId="6422"/>
    <tableColumn id="3" xr3:uid="{189E7AEE-2288-413C-8E32-2B3DBF132BC4}" name="Column3" headerRowDxfId="6421" dataDxfId="6420"/>
    <tableColumn id="4" xr3:uid="{7CE79197-2DEC-4E6E-A165-D1C0BE72E72E}" name="Column4" headerRowDxfId="6419" dataDxfId="6418"/>
    <tableColumn id="5" xr3:uid="{9E7D0D19-E3DF-4478-961A-54C45BF73584}" name="Column5" headerRowDxfId="6417" dataDxfId="6416"/>
    <tableColumn id="6" xr3:uid="{5015EE68-F62E-470C-B427-BFFABF1168E5}" name="Column6" headerRowDxfId="6415" dataDxfId="6414"/>
    <tableColumn id="7" xr3:uid="{27915979-2B6C-409F-AE65-097EAFC77CE2}" name="Column7" headerRowDxfId="6413" dataDxfId="6412"/>
    <tableColumn id="8" xr3:uid="{520DA853-BD77-4DB1-96C6-FAD608163234}" name="Column8" headerRowDxfId="6411" dataDxfId="6410"/>
    <tableColumn id="9" xr3:uid="{ECA9A7D9-3796-4A65-BB61-E247E64B5C1D}" name="Column9" headerRowDxfId="6409" dataDxfId="6408"/>
    <tableColumn id="10" xr3:uid="{63EB0577-EB65-4662-869E-853C37EB5E6C}" name="Column10" headerRowDxfId="6407" dataDxfId="6406">
      <calculatedColumnFormula>RANDBETWEEN(1,6)</calculatedColumnFormula>
    </tableColumn>
    <tableColumn id="11" xr3:uid="{5ADAA4AE-9809-4323-A142-B088B414EEA9}" name="Column11" headerRowDxfId="6405" dataDxfId="6404">
      <calculatedColumnFormula>RANDBETWEEN(1,6)</calculatedColumnFormula>
    </tableColumn>
    <tableColumn id="12" xr3:uid="{1D2AB2E8-2E42-4CCF-BEF2-BA40CBB1356E}" name="Column12" headerRowDxfId="6403" dataDxfId="6402">
      <calculatedColumnFormula>RANDBETWEEN(1,6)</calculatedColumnFormula>
    </tableColumn>
    <tableColumn id="13" xr3:uid="{7AC32E7C-4CD3-4861-A1EE-BF719B3B5F62}" name="Column13" headerRowDxfId="6401" dataDxfId="6400">
      <calculatedColumnFormula>RANDBETWEEN(1,6)</calculatedColumnFormula>
    </tableColumn>
    <tableColumn id="14" xr3:uid="{B805F5C8-5B33-4581-B75C-0C903FF01F36}" name="Column14" headerRowDxfId="6399" dataDxfId="6398"/>
    <tableColumn id="15" xr3:uid="{D2CCAD77-4FFE-4144-94CC-9783D74FE864}" name="Column15" headerRowDxfId="6397" dataDxfId="6396"/>
    <tableColumn id="16" xr3:uid="{596357E8-9DBB-4A48-BA7E-A9859570334B}" name="Column16" headerRowDxfId="6395" dataDxfId="6394">
      <calculatedColumnFormula>VLOOKUP(O37,Table1[],2)</calculatedColumnFormula>
    </tableColumn>
  </tableColumns>
  <tableStyleInfo name="TableStyleMedium2" showFirstColumn="0" showLastColumn="0" showRowStripes="1" showColumnStripes="0"/>
</table>
</file>

<file path=xl/tables/table3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0" xr:uid="{6A47660F-2D2D-4503-8734-6DC800D62221}" name="Table277370484826883940356413691" displayName="Table277370484826883940356413691" ref="B45:P51" headerRowCount="0" totalsRowShown="0" headerRowDxfId="6393" dataDxfId="6392" tableBorderDxfId="6391">
  <tableColumns count="15">
    <tableColumn id="2" xr3:uid="{CB6D7B22-8137-4221-8D81-367DC8B879B9}" name="Column2" headerRowDxfId="6390" dataDxfId="6389"/>
    <tableColumn id="3" xr3:uid="{98156B13-DF3F-4521-8A0B-201E8B74E478}" name="Column3" headerRowDxfId="6388" dataDxfId="6387"/>
    <tableColumn id="4" xr3:uid="{B9237A77-275A-486A-90B8-D51A548330FF}" name="Column4" headerRowDxfId="6386" dataDxfId="6385"/>
    <tableColumn id="5" xr3:uid="{C65D18EA-DC17-4ABF-B29E-C8691C9C841C}" name="Column5" headerRowDxfId="6384" dataDxfId="6383"/>
    <tableColumn id="6" xr3:uid="{D8D018ED-7295-4AE3-9F57-D454D5DB6067}" name="Column6" headerRowDxfId="6382" dataDxfId="6381"/>
    <tableColumn id="7" xr3:uid="{329D7304-47FF-4E81-A689-45315CC1C053}" name="Column7" headerRowDxfId="6380" dataDxfId="6379"/>
    <tableColumn id="8" xr3:uid="{B2D1E3C4-C2A4-43EE-B665-AC27A9F4419C}" name="Column8" headerRowDxfId="6378" dataDxfId="6377"/>
    <tableColumn id="9" xr3:uid="{D7279348-9634-4BCA-BEA2-630BDADD7C9B}" name="Column9" headerRowDxfId="6376" dataDxfId="6375"/>
    <tableColumn id="10" xr3:uid="{E2EE70E3-3D64-4CBD-BB8C-A2D144119C24}" name="Column10" headerRowDxfId="6374" dataDxfId="6373"/>
    <tableColumn id="11" xr3:uid="{6BCE6AED-BCE8-4134-A181-501438AF301B}" name="Column11" headerRowDxfId="6372" dataDxfId="6371"/>
    <tableColumn id="12" xr3:uid="{AC475558-C41D-4487-A663-28359F3AAE99}" name="Column12" headerRowDxfId="6370" dataDxfId="6369"/>
    <tableColumn id="13" xr3:uid="{1DDFD405-6C2F-4B33-A328-1A4B001249F1}" name="Column13" headerRowDxfId="6368" dataDxfId="6367"/>
    <tableColumn id="14" xr3:uid="{2A056B08-D001-4C12-9AE1-EEE929B666F7}" name="Column14" headerRowDxfId="6366" dataDxfId="6365"/>
    <tableColumn id="15" xr3:uid="{CB67E13D-0971-45A4-82AD-8F4FC1A31059}" name="Column15" headerRowDxfId="6364" dataDxfId="6363"/>
    <tableColumn id="16" xr3:uid="{3206172E-6A49-4922-AD37-41ED577E0E11}" name="Column16" headerRowDxfId="6362" dataDxfId="6361">
      <calculatedColumnFormula>IF(O45="x",SUM(P37,$P$8),P37)</calculatedColumnFormula>
    </tableColumn>
  </tableColumns>
  <tableStyleInfo name="TableStyleMedium2" showFirstColumn="0" showLastColumn="0" showRowStripes="1" showColumnStripes="0"/>
</table>
</file>

<file path=xl/tables/table3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1" xr:uid="{F12C7A41-578E-4C3C-81EF-82FF7EB0E250}" name="Table278371485827884941357414692" displayName="Table278371485827884941357414692" ref="O1:Q3" headerRowCount="0" totalsRowShown="0" headerRowDxfId="6360" dataDxfId="6359">
  <tableColumns count="3">
    <tableColumn id="15" xr3:uid="{67CD2EB4-2273-4B18-8873-376C3EE543F5}" name="Column15" headerRowDxfId="6358" dataDxfId="6357"/>
    <tableColumn id="16" xr3:uid="{F4568CD0-CDFF-477B-9303-CB438AB71DD1}" name="Column16" headerRowDxfId="6356" dataDxfId="6355"/>
    <tableColumn id="17" xr3:uid="{FF4D8B82-40B6-49C7-ABD6-D35688C68F9D}" name="Column17" headerRowDxfId="6354" dataDxfId="6353"/>
  </tableColumns>
  <tableStyleInfo name="TableStyleMedium2" showFirstColumn="0" showLastColumn="0" showRowStripes="1" showColumnStripes="0"/>
</table>
</file>

<file path=xl/tables/table3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2" xr:uid="{726A7F12-AFA7-4965-9A77-B9A4ED567EDE}" name="Table282373487829886943359415693" displayName="Table282373487829886943359415693" ref="B53:P72" headerRowCount="0" totalsRowShown="0" headerRowDxfId="6352" dataDxfId="6351">
  <tableColumns count="15">
    <tableColumn id="2" xr3:uid="{77E229EE-66BF-41FD-9197-E303985A7268}" name="Column2" headerRowDxfId="6350" dataDxfId="6349"/>
    <tableColumn id="3" xr3:uid="{97E81EC9-47BE-47FA-B031-459DD246C49B}" name="Column3" headerRowDxfId="6348" dataDxfId="6347"/>
    <tableColumn id="4" xr3:uid="{39FF1E57-FEF3-4E41-A4AB-3A3B83B56681}" name="Column4" headerRowDxfId="6346" dataDxfId="6345"/>
    <tableColumn id="5" xr3:uid="{9132F4A1-1C42-43BA-B848-82ACBFA93E7E}" name="Column5" headerRowDxfId="6344" dataDxfId="6343"/>
    <tableColumn id="6" xr3:uid="{FD83F02E-1A50-412C-93BF-1AA34E39FF3D}" name="Column6" headerRowDxfId="6342" dataDxfId="6341"/>
    <tableColumn id="7" xr3:uid="{651A0AA8-DE0F-43B3-B4D0-85C3A688C33A}" name="Column7" headerRowDxfId="6340" dataDxfId="6339"/>
    <tableColumn id="8" xr3:uid="{045F8B3D-C109-462E-A779-3AE67009879D}" name="Column8" headerRowDxfId="6338" dataDxfId="6337"/>
    <tableColumn id="9" xr3:uid="{7A4AC26E-10D9-4FF8-AF43-999C95831200}" name="Column9" headerRowDxfId="6336" dataDxfId="6335"/>
    <tableColumn id="10" xr3:uid="{B1C0D189-F6B1-4947-810B-F522BD01D79A}" name="Column10" headerRowDxfId="6334" dataDxfId="6333"/>
    <tableColumn id="11" xr3:uid="{B07A6BEE-CF84-46F3-82DB-A9649961F26B}" name="Column11" headerRowDxfId="6332" dataDxfId="6331"/>
    <tableColumn id="12" xr3:uid="{20CF6C40-12CD-44EB-9F7B-290393B77F2F}" name="Column12" headerRowDxfId="6330" dataDxfId="6329"/>
    <tableColumn id="13" xr3:uid="{BE5DBAFD-A073-46C1-8481-6FDBCBC8CDE3}" name="Column13" headerRowDxfId="6328" dataDxfId="6327"/>
    <tableColumn id="14" xr3:uid="{A7DC0ADF-830B-46CF-A983-198FAF1766D8}" name="Column14" headerRowDxfId="6326" dataDxfId="6325"/>
    <tableColumn id="15" xr3:uid="{9E2C5B8D-051C-435C-B8C6-BBE604213320}" name="Column15" headerRowDxfId="6324" dataDxfId="6323"/>
    <tableColumn id="16" xr3:uid="{6699D3C2-3B6D-496B-93D9-F22BC6769BC8}" name="Column16" headerRowDxfId="6322" dataDxfId="6321"/>
  </tableColumns>
  <tableStyleInfo name="TableStyleMedium2" showFirstColumn="0" showLastColumn="0" showRowStripes="1" showColumnStripes="0"/>
</table>
</file>

<file path=xl/tables/table3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3" xr:uid="{2C96B8F4-88BC-4EE9-B896-72AE1BA29CB3}" name="Table283374488830887944360416694" displayName="Table283374488830887944360416694" ref="B75:B79" headerRowCount="0" totalsRowShown="0" headerRowDxfId="6320" dataDxfId="6319" tableBorderDxfId="6318">
  <tableColumns count="1">
    <tableColumn id="1" xr3:uid="{3068648F-3C59-4ED4-BE18-E2CCF633A9DA}" name="Column1" headerRowDxfId="6317" dataDxfId="6316"/>
  </tableColumns>
  <tableStyleInfo name="TableStyleMedium2" showFirstColumn="0" showLastColumn="0" showRowStripes="1" showColumnStripes="0"/>
</table>
</file>

<file path=xl/tables/table3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4" xr:uid="{0C47CDBC-042D-456F-A7BF-4A3A28E4EAEE}" name="Table293375489831888945361417695" displayName="Table293375489831888945361417695" ref="AO44:AQ59" headerRowCount="0" totalsRowShown="0" headerRowDxfId="6315" dataDxfId="6314">
  <tableColumns count="3">
    <tableColumn id="1" xr3:uid="{2D995FF2-D09D-4E4E-B2E7-0B70BADB5B69}" name="Column1" headerRowDxfId="6313" dataDxfId="6312"/>
    <tableColumn id="2" xr3:uid="{1BF59217-9F10-4D66-8A46-E18330BF4A60}" name="Column2" headerRowDxfId="6311" dataDxfId="6310">
      <calculatedColumnFormula>IF(#REF!=" ", 0,RAND())</calculatedColumnFormula>
    </tableColumn>
    <tableColumn id="3" xr3:uid="{31016651-150C-4FF6-85FA-0349F30EF4F8}" name="Column3" headerRowDxfId="6309" dataDxfId="6308">
      <calculatedColumnFormula>O28</calculatedColumnFormula>
    </tableColumn>
  </tableColumns>
  <tableStyleInfo name="TableStyleMedium2" showFirstColumn="0" showLastColumn="0" showRowStripes="1" showColumnStripes="0"/>
</table>
</file>

<file path=xl/tables/table3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7" xr:uid="{01D99270-EFE1-4ACE-B614-A8FDD38ACE23}" name="Table302378492834891948364420698" displayName="Table302378492834891948364420698" ref="B102:P109" headerRowCount="0" totalsRowShown="0" headerRowDxfId="6307" dataDxfId="6306" tableBorderDxfId="6305">
  <tableColumns count="15">
    <tableColumn id="2" xr3:uid="{C107D195-61C4-4B0F-9F76-C6FDF2518286}" name="Column2" headerRowDxfId="6304" dataDxfId="6303"/>
    <tableColumn id="3" xr3:uid="{67BFFFE1-903C-466F-A9F8-2F8BB03862E0}" name="Column3" headerRowDxfId="6302" dataDxfId="6301"/>
    <tableColumn id="4" xr3:uid="{7D3F731F-61EF-4A1C-8AB5-6A4169F10FAD}" name="Column4" headerRowDxfId="6300" dataDxfId="6299"/>
    <tableColumn id="5" xr3:uid="{DDD4D493-FF19-413A-9040-86ED8902AE5D}" name="Column5" headerRowDxfId="6298" dataDxfId="6297"/>
    <tableColumn id="6" xr3:uid="{9B52F167-FE4F-43B1-93C0-E8C4B1AFD667}" name="Column6" headerRowDxfId="6296" dataDxfId="6295"/>
    <tableColumn id="7" xr3:uid="{013FA27C-0D2F-4EE0-B380-F181A9C853CB}" name="Column7" headerRowDxfId="6294" dataDxfId="6293"/>
    <tableColumn id="8" xr3:uid="{0862690A-3A57-471D-8D9E-9D58EB650E96}" name="Column8" headerRowDxfId="6292" dataDxfId="6291"/>
    <tableColumn id="9" xr3:uid="{EB64A509-92F6-4986-B0AA-0B39480BCF93}" name="Column9" headerRowDxfId="6290" dataDxfId="6289"/>
    <tableColumn id="10" xr3:uid="{FD925981-404D-4A20-B309-64DE95F8634E}" name="Column10" headerRowDxfId="6288" dataDxfId="6287"/>
    <tableColumn id="11" xr3:uid="{05D078A9-3928-4D79-A128-20142E21D469}" name="Column11" headerRowDxfId="6286" dataDxfId="6285"/>
    <tableColumn id="12" xr3:uid="{A93473D4-24FF-4AD8-9082-89D06E16AB8E}" name="Column12" headerRowDxfId="6284" dataDxfId="6283"/>
    <tableColumn id="13" xr3:uid="{02C71859-F42A-446E-A11A-3338A70FF09E}" name="Column13" headerRowDxfId="6282" dataDxfId="6281"/>
    <tableColumn id="14" xr3:uid="{9590F304-B616-47FF-8FD8-BC45822C362D}" name="Column14" headerRowDxfId="6280" dataDxfId="6279"/>
    <tableColumn id="15" xr3:uid="{DC5279A3-CAC6-4CEE-9F5C-753E81847865}" name="Column15" headerRowDxfId="6278" dataDxfId="6277"/>
    <tableColumn id="16" xr3:uid="{AEC5FBE9-8FFA-412B-AF2D-FE30C1CD6605}" name="Column16" headerRowDxfId="6276" dataDxfId="6275"/>
  </tableColumns>
  <tableStyleInfo name="TableStyleMedium2" showFirstColumn="0" showLastColumn="0" showRowStripes="1" showColumnStripes="0"/>
</table>
</file>

<file path=xl/tables/table3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8" xr:uid="{2009A78F-EFD9-428A-AB27-4A810CCF4A2C}" name="Table303379493835892949365421699" displayName="Table303379493835892949365421699" ref="Q102:Q107" headerRowCount="0" totalsRowShown="0" headerRowDxfId="6274" dataDxfId="6273" tableBorderDxfId="6272">
  <tableColumns count="1">
    <tableColumn id="1" xr3:uid="{9778B166-CE81-41FE-9051-DA75BE9269B9}" name="Column1" headerRowDxfId="6271" dataDxfId="6270"/>
  </tableColumns>
  <tableStyleInfo name="TableStyleMedium2" showFirstColumn="0" showLastColumn="0" showRowStripes="1" showColumnStripes="0"/>
</table>
</file>

<file path=xl/tables/table3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9" xr:uid="{9E47ABD3-D5DE-44C7-BCCA-743EDA95CD53}" name="Table304380494836893950366422700" displayName="Table304380494836893950366422700" ref="R102:R103" headerRowCount="0" totalsRowShown="0" headerRowDxfId="6269" dataDxfId="6268" tableBorderDxfId="6267">
  <tableColumns count="1">
    <tableColumn id="1" xr3:uid="{83D0AEF2-F717-4F98-8284-3DF4899C91C2}" name="Column1" headerRowDxfId="6266" dataDxfId="6265"/>
  </tableColumns>
  <tableStyleInfo name="TableStyleMedium2" showFirstColumn="0" showLastColumn="0" showRowStripes="1" showColumnStripes="0"/>
</table>
</file>

<file path=xl/tables/table3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0" xr:uid="{85C652AE-90EC-4835-A1F9-6A3877B95818}" name="Table305381495837894951367423701" displayName="Table305381495837894951367423701" ref="R104:R105" headerRowCount="0" totalsRowShown="0" headerRowDxfId="6264" dataDxfId="6263" tableBorderDxfId="6262">
  <tableColumns count="1">
    <tableColumn id="1" xr3:uid="{CA0AA231-7A4F-458C-A29E-0EF08D72F475}" name="Column1" headerRowDxfId="6261" dataDxfId="6260">
      <calculatedColumnFormula>IF(COUNTIF(B91:B93,"*"&amp;"sling"&amp;"*"),RANDBETWEEN(6,13)&amp;" Sling Bullets"," ")</calculatedColumnFormula>
    </tableColumn>
  </tableColumns>
  <tableStyleInfo name="TableStyleMedium2" showFirstColumn="0" showLastColumn="0" showRowStripes="1" showColumnStripes="0"/>
</table>
</file>

<file path=xl/tables/table3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1" xr:uid="{A97D1D55-5F1E-44AA-A1DA-F40455E5E34A}" name="Table306382496838895952368424702" displayName="Table306382496838895952368424702" ref="R106:R107" headerRowCount="0" totalsRowShown="0" headerRowDxfId="6259" dataDxfId="6258" tableBorderDxfId="6257">
  <tableColumns count="1">
    <tableColumn id="1" xr3:uid="{49FBACF4-1310-45B2-9AC9-9AE1F8BCDA21}" name="Column1" headerRowDxfId="6256" dataDxfId="6255">
      <calculatedColumnFormula>IF(COUNTIF(B91:B93,"*"&amp;"longbow"&amp;"*"),RANDBETWEEN(10,24)&amp;" Arrows",IF(COUNTIF(B91:B93,"*"&amp;"shortbow"&amp;"*"),RANDBETWEEN(10,24)&amp;" Arrows",IF(COUNTIF(B91:B93,"*"&amp;"light crossbow"&amp;"*"),RANDBETWEEN(10,24)&amp;" Bolts",IF(COUNTIF(B91:B93,"*"&amp;"hand crossbow"&amp;"*"),RANDBETWEEN(10,24)&amp;" Bolts",IF(COUNTIF(B91:B93,"*"&amp;"heavy crossbow"&amp;"*"),RANDBETWEEN(10,24)&amp;" Bolts"," ")))))</calculatedColumnFormula>
    </tableColumn>
  </tableColumns>
  <tableStyleInfo name="TableStyleMedium2" showFirstColumn="0" showLastColumn="0" showRowStripes="1" showColumnStripes="0"/>
</table>
</file>

<file path=xl/tables/table3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4" xr:uid="{348A622F-56A1-456D-90A4-1641082B978B}" name="Table300376490832889946362418294935" displayName="Table300376490832889946362418294935" ref="B88:T90" headerRowCount="0" totalsRowShown="0" headerRowDxfId="6254" dataDxfId="6253" tableBorderDxfId="6252">
  <tableColumns count="19">
    <tableColumn id="2" xr3:uid="{9F185E66-874F-46DA-AAD5-EAB5DC1A8E51}" name="Column2" headerRowDxfId="6251" dataDxfId="6250"/>
    <tableColumn id="3" xr3:uid="{6446C66D-1430-448E-BDBC-8998369DC617}" name="Column3" headerRowDxfId="6249" dataDxfId="6248"/>
    <tableColumn id="4" xr3:uid="{B1853B31-43F3-4489-83DD-7895B7A56003}" name="Column4" headerRowDxfId="6247" dataDxfId="6246"/>
    <tableColumn id="5" xr3:uid="{9A1313A7-32B9-4D25-901C-6DCBFA5CB215}" name="Column5" headerRowDxfId="6245" dataDxfId="6244"/>
    <tableColumn id="6" xr3:uid="{E5EA706E-0417-4AAD-8C22-523B1F2BA8B5}" name="Column6" headerRowDxfId="6243" dataDxfId="6242"/>
    <tableColumn id="7" xr3:uid="{001C838B-F8D0-4FCB-91DD-73021206ADC9}" name="Column7" headerRowDxfId="6241" dataDxfId="6240"/>
    <tableColumn id="8" xr3:uid="{2A1C58AB-2CAD-4117-B153-7D720655DB96}" name="Column8" headerRowDxfId="6239" dataDxfId="6238"/>
    <tableColumn id="9" xr3:uid="{924BC4D2-0F37-48EA-BA19-7FA7B64EF59D}" name="Column9" headerRowDxfId="6237" dataDxfId="6236"/>
    <tableColumn id="10" xr3:uid="{C9E010FD-C516-4D7E-86D1-4EF3A732AEB5}" name="Column10" headerRowDxfId="6235" dataDxfId="6234"/>
    <tableColumn id="11" xr3:uid="{9FEAD840-9E55-444F-8267-47F2567A69D7}" name="Column11" headerRowDxfId="6233" dataDxfId="6232"/>
    <tableColumn id="12" xr3:uid="{4D2DAF90-82B7-4160-B1BF-87FA6504AAE8}" name="Column12" headerRowDxfId="6231" dataDxfId="6230"/>
    <tableColumn id="13" xr3:uid="{B95802FA-F0CE-499C-B700-931529706ED9}" name="Column13" headerRowDxfId="6229" dataDxfId="6228"/>
    <tableColumn id="14" xr3:uid="{E22B9424-561F-4C42-86AB-0E6BD9E6872B}" name="Column14" headerRowDxfId="6227" dataDxfId="6226"/>
    <tableColumn id="15" xr3:uid="{F7119B1C-7685-4F24-B71B-DE82DB8D92B3}" name="Column15" headerRowDxfId="6225" dataDxfId="6224"/>
    <tableColumn id="16" xr3:uid="{ED6D13B4-29B3-4D5B-A209-9278B1FAFC05}" name="Column16" headerRowDxfId="6223" dataDxfId="6222"/>
    <tableColumn id="17" xr3:uid="{B718C989-7BAB-4FA6-81B4-79CC7B619F28}" name="Column17" headerRowDxfId="6221" dataDxfId="6220"/>
    <tableColumn id="18" xr3:uid="{D0FDFAF2-99EC-4AA7-A127-4DFA79040D3F}" name="Column18" headerRowDxfId="6219" dataDxfId="6218"/>
    <tableColumn id="19" xr3:uid="{4B7C85E4-482D-45FC-8287-E1939C4CA4C6}" name="Column19" headerRowDxfId="6217" dataDxfId="6216"/>
    <tableColumn id="20" xr3:uid="{F63FC951-8CCE-4B5F-9A06-42CABAC0014A}" name="Column20" headerRowDxfId="6215" dataDxfId="6214"/>
  </tableColumns>
  <tableStyleInfo name="TableStyleMedium2" showFirstColumn="0" showLastColumn="0" showRowStripes="1" showColumnStripes="0"/>
</table>
</file>

<file path=xl/tables/table3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5" xr:uid="{6B033355-42EE-4F78-AC84-F3C6CFCCF081}" name="Table301377491833890947363419301936" displayName="Table301377491833890947363419301936" ref="B91:S100" headerRowCount="0" totalsRowShown="0" headerRowDxfId="6213" dataDxfId="6212" tableBorderDxfId="6211">
  <tableColumns count="18">
    <tableColumn id="2" xr3:uid="{557BE1B1-C49F-4D14-B69A-B2E31C572710}" name="Column2" headerRowDxfId="6210" dataDxfId="6209"/>
    <tableColumn id="3" xr3:uid="{A5BBDB07-02D6-4BE6-B60D-1F5C26C8E3F0}" name="Column3" headerRowDxfId="6208" dataDxfId="6207"/>
    <tableColumn id="4" xr3:uid="{4DE95AD9-50C3-45D9-B171-107A06E07B7F}" name="Column4" headerRowDxfId="6206" dataDxfId="6205"/>
    <tableColumn id="5" xr3:uid="{D31C408F-9574-4473-813C-D41540ABA89E}" name="Column5" headerRowDxfId="6204" dataDxfId="6203"/>
    <tableColumn id="6" xr3:uid="{0B66EC99-76A2-4D00-9B7F-6282A99AF08D}" name="Column6" headerRowDxfId="6202" dataDxfId="6201"/>
    <tableColumn id="7" xr3:uid="{C4E7BB33-9C72-4B2E-ADED-33E871DC279F}" name="Column7" headerRowDxfId="6200" dataDxfId="6199"/>
    <tableColumn id="8" xr3:uid="{83FD4042-FE0A-4CEB-AEBA-99B4CA3964F5}" name="Column8" headerRowDxfId="6198" dataDxfId="6197"/>
    <tableColumn id="9" xr3:uid="{5D5D82FE-A987-4796-8D7C-2506B85AB0C7}" name="Column9" headerRowDxfId="6196" dataDxfId="6195"/>
    <tableColumn id="10" xr3:uid="{561F2825-7990-423B-A890-666C1DCB90E3}" name="Column10" headerRowDxfId="6194" dataDxfId="6193"/>
    <tableColumn id="11" xr3:uid="{6206DF2F-DBF8-41E0-83A2-A8C973E9F2A6}" name="Column11" headerRowDxfId="6192" dataDxfId="6191"/>
    <tableColumn id="12" xr3:uid="{DBB521D2-A65E-452A-B43D-27694085E38F}" name="Column12" headerRowDxfId="6190" dataDxfId="6189"/>
    <tableColumn id="13" xr3:uid="{4AA0B559-B601-42AE-8103-F8FA949BF132}" name="Column13" headerRowDxfId="6188" dataDxfId="6187"/>
    <tableColumn id="14" xr3:uid="{64F7CE3D-A66E-4DED-AC24-9EF1EB967CE9}" name="Column14" headerRowDxfId="6186" dataDxfId="6185"/>
    <tableColumn id="15" xr3:uid="{D3604442-AA9D-4955-BD16-1BD144B8BD30}" name="Column15" headerRowDxfId="6184" dataDxfId="6183"/>
    <tableColumn id="16" xr3:uid="{B928491B-1874-4419-9AD4-CDFED4FF9CC1}" name="Column16" headerRowDxfId="6182" dataDxfId="6181"/>
    <tableColumn id="17" xr3:uid="{778CE7A5-4978-45A8-A56B-4B9D92D40967}" name="Column17" headerRowDxfId="6180" dataDxfId="6179"/>
    <tableColumn id="18" xr3:uid="{83FF1717-291F-4747-82E1-ED57C6055906}" name="Column18" headerRowDxfId="6178" dataDxfId="6177"/>
    <tableColumn id="19" xr3:uid="{6E977939-FC2F-4BEA-9F3C-56B7C419ED8D}" name="Column19" headerRowDxfId="6176" dataDxfId="6175"/>
  </tableColumns>
  <tableStyleInfo name="TableStyleMedium2" showFirstColumn="0" showLastColumn="0" showRowStripes="1" showColumnStripes="0"/>
</table>
</file>

<file path=xl/tables/table3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2" xr:uid="{4099CC2D-8E7E-48E9-9B86-81339AD1ABEF}" name="Table4832644078283989661369703" displayName="Table4832644078283989661369703" ref="B113:R116" headerRowCount="0" totalsRowShown="0" headerRowDxfId="6174" dataDxfId="6173">
  <tableColumns count="17">
    <tableColumn id="2" xr3:uid="{8DD3AFDC-C33A-45E7-803E-666962446CDE}" name="Column1" headerRowDxfId="6172" dataDxfId="6171"/>
    <tableColumn id="3" xr3:uid="{CA6EE932-4032-4435-BB73-27F4EB618724}" name="Column2" headerRowDxfId="6170" dataDxfId="6169"/>
    <tableColumn id="4" xr3:uid="{805634B5-90F0-4CE0-A2A2-823DA1F5EFC7}" name="Column3" headerRowDxfId="6168" dataDxfId="6167"/>
    <tableColumn id="5" xr3:uid="{6C65F7CE-25D8-45D4-9A7F-8BF9C0198681}" name="Column4" headerRowDxfId="6166" dataDxfId="6165"/>
    <tableColumn id="6" xr3:uid="{A541EF9D-6246-4B4E-BBCA-473F97B676FE}" name="Column5" headerRowDxfId="6164" dataDxfId="6163"/>
    <tableColumn id="7" xr3:uid="{40CEEC59-34CB-4A69-A573-6410B7764AC8}" name="Column6" headerRowDxfId="6162" dataDxfId="6161"/>
    <tableColumn id="8" xr3:uid="{BE3EC4EB-D0AF-43D3-B75F-8E0E8FC0078F}" name="Column7" headerRowDxfId="6160" dataDxfId="6159"/>
    <tableColumn id="9" xr3:uid="{EF0C4D00-6FA2-4F6F-91BB-D7F5A55DD6EC}" name="Column8" headerRowDxfId="6158" dataDxfId="6157"/>
    <tableColumn id="10" xr3:uid="{8495BC4B-52DA-4707-A6B1-5730499797A6}" name="Column9" headerRowDxfId="6156" dataDxfId="6155"/>
    <tableColumn id="11" xr3:uid="{BFAB20CE-59E2-4EE6-B2F3-5CEEBB604999}" name="Column10" headerRowDxfId="6154" dataDxfId="6153"/>
    <tableColumn id="12" xr3:uid="{39E36ED8-E03B-43CE-A6F2-844084071AA3}" name="Column11" headerRowDxfId="6152" dataDxfId="6151"/>
    <tableColumn id="13" xr3:uid="{9ABF59B7-4B38-4B45-A0BE-33F5A4AFEFB6}" name="Column12" headerRowDxfId="6150" dataDxfId="6149"/>
    <tableColumn id="14" xr3:uid="{23ACC493-DDC7-4ED7-9F38-016153BC8C1A}" name="Column13" headerRowDxfId="6148" dataDxfId="6147"/>
    <tableColumn id="15" xr3:uid="{ECF5F8D5-9810-4F64-9BB6-92573C057A58}" name="Cantrip" headerRowDxfId="6146" dataDxfId="6145"/>
    <tableColumn id="16" xr3:uid="{0AF5EDD0-9AAE-4F63-BEB9-D273E67EF32E}" name="1st Level" headerRowDxfId="6144" dataDxfId="6143"/>
    <tableColumn id="17" xr3:uid="{85CFAE2A-434D-4920-8D44-8E727B76804E}" name="2nd Level" headerRowDxfId="6142" dataDxfId="6141"/>
    <tableColumn id="1" xr3:uid="{643C25DB-CB02-4CC9-89BF-0A23B8B1656C}" name="Column14" headerRowDxfId="6140" dataDxfId="6139"/>
  </tableColumns>
  <tableStyleInfo name="TableStyleMedium2" showFirstColumn="0" showLastColumn="0" showRowStripes="1" showColumnStripes="0"/>
</table>
</file>

<file path=xl/tables/table3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3" xr:uid="{7FE24AFB-CA39-4DC6-A75E-82A76F2AA047}" name="Table4932744178384089762370704" displayName="Table4932744178384089762370704" ref="B120:T129" headerRowCount="0" headerRowDxfId="6138" dataDxfId="6137" totalsRowDxfId="6136">
  <tableColumns count="19">
    <tableColumn id="2" xr3:uid="{A5D50C9E-30B5-47FC-B3AD-73D2684603CF}" name="Column1" headerRowDxfId="6135" dataDxfId="6134"/>
    <tableColumn id="3" xr3:uid="{B827277B-2374-48BB-91FB-8E68265A8C3E}" name="Column2" headerRowDxfId="6133" dataDxfId="6132" totalsRowDxfId="6131"/>
    <tableColumn id="4" xr3:uid="{28AF683D-ADE1-4708-9F46-7653B9108489}" name="Column3" headerRowDxfId="6130" dataDxfId="6129" totalsRowDxfId="6128"/>
    <tableColumn id="5" xr3:uid="{1414D62F-7C30-4622-83BF-86834E006527}" name="Column4" headerRowDxfId="6127" dataDxfId="6126" totalsRowDxfId="6125"/>
    <tableColumn id="6" xr3:uid="{2F8906DB-4245-48AA-8612-F498C78C9219}" name="Column5" headerRowDxfId="6124" dataDxfId="6123" totalsRowDxfId="6122"/>
    <tableColumn id="7" xr3:uid="{39E903ED-57A1-4D07-98DC-F8DDA26658E2}" name="Column6" headerRowDxfId="6121" dataDxfId="6120" totalsRowDxfId="6119"/>
    <tableColumn id="8" xr3:uid="{B2F87C96-2057-4F1D-98F2-565C2B67C617}" name="Column7" headerRowDxfId="6118" dataDxfId="6117" totalsRowDxfId="6116"/>
    <tableColumn id="9" xr3:uid="{6AEADEC3-2124-483D-933D-202E19996199}" name="Column8" headerRowDxfId="6115" dataDxfId="6114" totalsRowDxfId="6113"/>
    <tableColumn id="10" xr3:uid="{482433C8-F006-4810-AFEB-5CECA55AA1C9}" name="Column9" headerRowDxfId="6112" dataDxfId="6111" totalsRowDxfId="6110"/>
    <tableColumn id="11" xr3:uid="{F063BF22-805E-4DB3-8E43-F082801D0889}" name="Column10" headerRowDxfId="6109" dataDxfId="6108" totalsRowDxfId="6107"/>
    <tableColumn id="12" xr3:uid="{1D92347F-9268-41B8-B5E5-D4B3B016A25A}" name="Column11" headerRowDxfId="6106" dataDxfId="6105" totalsRowDxfId="6104"/>
    <tableColumn id="13" xr3:uid="{E240C380-A7B4-4B5D-9D1A-FA185EA106CD}" name="Column12" headerRowDxfId="6103" dataDxfId="6102" totalsRowDxfId="6101"/>
    <tableColumn id="14" xr3:uid="{B99532FC-5A1E-49ED-9312-2E7741EC47FD}" name="Column13" headerRowDxfId="6100" dataDxfId="6099" totalsRowDxfId="6098"/>
    <tableColumn id="15" xr3:uid="{F4542ED7-D21A-48FE-998E-3110D1441F25}" name="Cantrip" headerRowDxfId="6097" dataDxfId="6096"/>
    <tableColumn id="16" xr3:uid="{2853C952-04BD-41E7-95B6-45741E75FA31}" name="1st Level" headerRowDxfId="6095" dataDxfId="6094"/>
    <tableColumn id="17" xr3:uid="{EE6B3104-8CFB-4A9F-B58C-0E9B45B32CF9}" name="2nd Level" headerRowDxfId="6093" dataDxfId="6092"/>
    <tableColumn id="18" xr3:uid="{F89EDB2B-D6EA-4E22-9D96-38B2D4420E80}" name="3rd Level" headerRowDxfId="6091" dataDxfId="6090"/>
    <tableColumn id="19" xr3:uid="{31BA4D32-185E-4633-9352-FDD1510776AE}" name="4th Level" headerRowDxfId="6089" dataDxfId="6088"/>
    <tableColumn id="1" xr3:uid="{5F54839C-69C9-4C34-B743-ECB1D349F857}" name="Column14" headerRowDxfId="6087" dataDxfId="6086" totalsRowDxfId="6085"/>
  </tableColumns>
  <tableStyleInfo name="TableStyleMedium2" showFirstColumn="0" showLastColumn="0" showRowStripes="1" showColumnStripes="0"/>
</table>
</file>

<file path=xl/tables/table3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4" xr:uid="{CD935B1E-8E2D-4A23-9A97-0C960AEEB04E}" name="Table62328442784841898268371705" displayName="Table62328442784841898268371705" ref="B171:T202" headerRowCount="0" headerRowDxfId="6084" dataDxfId="6083" totalsRowDxfId="6081" tableBorderDxfId="6082">
  <tableColumns count="19">
    <tableColumn id="2" xr3:uid="{8F47E625-C15F-496F-AF5C-6FDF41A3C3BD}" name="Column2" headerRowDxfId="6080" dataDxfId="6079" totalsRowDxfId="6078"/>
    <tableColumn id="3" xr3:uid="{83419FA1-D7F1-4B85-8519-6033B2C84DB9}" name="Column3" headerRowDxfId="6077" dataDxfId="6076" totalsRowDxfId="6075"/>
    <tableColumn id="4" xr3:uid="{1D8CB744-E4AB-456C-9527-767D9A58A914}" name="Column4" headerRowDxfId="6074" dataDxfId="6073" totalsRowDxfId="6072"/>
    <tableColumn id="5" xr3:uid="{3C41F887-A802-4AE8-804E-9D34873C4658}" name="Column5" headerRowDxfId="6071" dataDxfId="6070" totalsRowDxfId="6069"/>
    <tableColumn id="6" xr3:uid="{A0703337-B277-4C8F-9FB4-1CB7703DEADA}" name="Column6" headerRowDxfId="6068" dataDxfId="6067" totalsRowDxfId="6066"/>
    <tableColumn id="7" xr3:uid="{CC983FDE-FCD6-4C21-8270-3E4E4843E5E9}" name="Column7" headerRowDxfId="6065" dataDxfId="6064" totalsRowDxfId="6063"/>
    <tableColumn id="8" xr3:uid="{7399F33C-6968-449F-84A6-285712C6C240}" name="Column8" headerRowDxfId="6062" dataDxfId="6061" totalsRowDxfId="6060"/>
    <tableColumn id="9" xr3:uid="{28D1F8EC-0605-49D7-8913-1E9410D2CABD}" name="Column9" headerRowDxfId="6059" dataDxfId="6058" totalsRowDxfId="6057"/>
    <tableColumn id="10" xr3:uid="{B52F943E-66C5-48DC-8949-D2EFE23B3884}" name="Column10" headerRowDxfId="6056" dataDxfId="6055" totalsRowDxfId="6054"/>
    <tableColumn id="11" xr3:uid="{1DE751E1-559B-4EDA-93C9-33956D44E6C2}" name="Column11" headerRowDxfId="6053" dataDxfId="6052" totalsRowDxfId="6051"/>
    <tableColumn id="12" xr3:uid="{80FEC6AB-1D6D-44C2-94E0-EE6407E2AF75}" name="Column12" headerRowDxfId="6050" dataDxfId="6049" totalsRowDxfId="6048"/>
    <tableColumn id="13" xr3:uid="{5C293E3C-B124-4B85-A5B0-1CB42643968E}" name="Column13" headerRowDxfId="6047" dataDxfId="6046" totalsRowDxfId="6045"/>
    <tableColumn id="14" xr3:uid="{FF9D6C34-C5EE-47F9-B251-2AFCBEED17F9}" name="Column14" headerRowDxfId="6044" dataDxfId="6043" totalsRowDxfId="6042"/>
    <tableColumn id="15" xr3:uid="{6B74F024-C1BF-4F49-A92F-5FF360BF6C57}" name="Column15" headerRowDxfId="6041" dataDxfId="6040" totalsRowDxfId="6039"/>
    <tableColumn id="16" xr3:uid="{2146FC5F-7961-4065-80A5-2FDC3752907B}" name="Column16" headerRowDxfId="6038" dataDxfId="6037" totalsRowDxfId="6036"/>
    <tableColumn id="17" xr3:uid="{2AF6B5EB-7392-4107-9E78-20B70C73EDFB}" name="Column17" headerRowDxfId="6035" dataDxfId="6034" totalsRowDxfId="6033"/>
    <tableColumn id="18" xr3:uid="{F2E5633B-E8D3-4D18-9EE7-2E11A41DDC01}" name="Column18" headerRowDxfId="6032" dataDxfId="6031" totalsRowDxfId="6030"/>
    <tableColumn id="19" xr3:uid="{2947484A-89D7-4339-A941-8ACFA60CCFA4}" name="Column19" headerRowDxfId="6029" dataDxfId="6028" totalsRowDxfId="6027"/>
    <tableColumn id="1" xr3:uid="{EC0AEF85-F2A1-4FEC-A994-3F851EC8BB33}" name="Column1" headerRowDxfId="6026" dataDxfId="6025" totalsRowDxfId="6024"/>
  </tableColumns>
  <tableStyleInfo name="TableStyleMedium2" showFirstColumn="0" showLastColumn="0" showRowStripes="1" showColumnStripes="0"/>
</table>
</file>

<file path=xl/tables/table3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5" xr:uid="{182B3752-7D82-4E24-9293-8273F9B1B907}" name="Table64329443785842899270372706" displayName="Table64329443785842899270372706" ref="B307:T324" headerRowCount="0" totalsRowShown="0" headerRowDxfId="6023" dataDxfId="6022">
  <tableColumns count="19">
    <tableColumn id="2" xr3:uid="{77E5FE4E-D7A4-4BE9-93E7-0391CE44DE59}" name="Column2" headerRowDxfId="6021" dataDxfId="6020"/>
    <tableColumn id="3" xr3:uid="{64502945-C278-4335-971F-886360F17C9D}" name="Column3" headerRowDxfId="6019" dataDxfId="6018"/>
    <tableColumn id="4" xr3:uid="{B2F8694B-0E51-44F2-9E68-C7A4D911C70A}" name="Column4" headerRowDxfId="6017" dataDxfId="6016"/>
    <tableColumn id="5" xr3:uid="{950A1752-B2FE-4163-BA85-F2B25E51D212}" name="Column5" headerRowDxfId="6015" dataDxfId="6014"/>
    <tableColumn id="6" xr3:uid="{907626B3-DC57-4AD9-AC21-DB08BE865D83}" name="Column6" headerRowDxfId="6013" dataDxfId="6012"/>
    <tableColumn id="7" xr3:uid="{E521DCA3-0BB0-493D-8280-D182F10A2B62}" name="Column7" headerRowDxfId="6011" dataDxfId="6010"/>
    <tableColumn id="8" xr3:uid="{45473CAF-3AB4-4138-B11A-26C15F7B876C}" name="Column8" headerRowDxfId="6009" dataDxfId="6008"/>
    <tableColumn id="9" xr3:uid="{EDD39FF4-9F2C-4815-B23F-0A8BE3F7C436}" name="Column9" headerRowDxfId="6007" dataDxfId="6006"/>
    <tableColumn id="10" xr3:uid="{59932F82-D9E5-4A15-82A9-FD3D10947A12}" name="Column10" headerRowDxfId="6005" dataDxfId="6004"/>
    <tableColumn id="11" xr3:uid="{D331647C-366B-4CB8-AC46-D711D7CA7785}" name="Column11" headerRowDxfId="6003" dataDxfId="6002"/>
    <tableColumn id="12" xr3:uid="{DCB3D62E-5A15-476B-B7A2-F3F060BBBBC9}" name="Column12" headerRowDxfId="6001" dataDxfId="6000"/>
    <tableColumn id="13" xr3:uid="{0FA2899A-249C-4718-96D9-55EF7EBAAED2}" name="Column13" headerRowDxfId="5999" dataDxfId="5998"/>
    <tableColumn id="14" xr3:uid="{1938A955-132C-4FBA-AF63-03D49181CD44}" name="Column14" headerRowDxfId="5997" dataDxfId="5996"/>
    <tableColumn id="15" xr3:uid="{6D40770F-8D1E-48D3-B439-D49014D4F1D0}" name="Column15" headerRowDxfId="5995" dataDxfId="5994"/>
    <tableColumn id="16" xr3:uid="{BAA274E4-C057-4C8B-A385-AE8F081B9794}" name="Column16" headerRowDxfId="5993" dataDxfId="5992">
      <calculatedColumnFormula>IF($Q$324&gt;=O322,INDEX('Spell Tables'!$T$242:$T$271,MATCH(O322,('Spell Tables'!$R$242:$R$271),0))," ")</calculatedColumnFormula>
    </tableColumn>
    <tableColumn id="17" xr3:uid="{790C0747-F73E-4DCD-9399-0EC6088D4D1B}" name="Column17" headerRowDxfId="5991" dataDxfId="5990">
      <calculatedColumnFormula>IF($R$324&gt;=O322,INDEX('Spell Tables'!$X$242:$X$275,MATCH(O322,('Spell Tables'!$V$242:$V$275),0))," ")</calculatedColumnFormula>
    </tableColumn>
    <tableColumn id="18" xr3:uid="{291BB38F-C2C6-435E-8821-AA3F5FE3C1BC}" name="Column18" headerRowDxfId="5989" dataDxfId="5988"/>
    <tableColumn id="19" xr3:uid="{E433E2B5-2E11-443F-9096-1DCCEE320850}" name="Column19" headerRowDxfId="5987" dataDxfId="5986"/>
    <tableColumn id="20" xr3:uid="{CE86F6C9-C4C0-4F97-A116-47AA4E60F8A9}" name="Column20" headerRowDxfId="5985" dataDxfId="5984">
      <calculatedColumnFormula>IF($S$309&gt;=O307,INDEX('Spell Tables'!$AF$242:$AF$264,MATCH(O307,('Spell Tables'!$AD$242:$AD$264),0)),IF(AND($Q$11="wizard",$S$312&gt;=O307),INDEX('Spell Tables'!$AF$242:$AF$264,MATCH(O307,('Spell Tables'!$AD$242:$AD$264),0))," "))</calculatedColumnFormula>
    </tableColumn>
  </tableColumns>
  <tableStyleInfo name="TableStyleMedium2" showFirstColumn="0" showLastColumn="0" showRowStripes="1" showColumnStripes="0"/>
</table>
</file>

<file path=xl/tables/table3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6" xr:uid="{46219521-B8EA-4F7B-B266-1B1B58E63B48}" name="Table4967330444786843900309373707" displayName="Table4967330444786843900309373707" ref="B146:T155" headerRowCount="0" headerRowDxfId="5983" dataDxfId="5982" totalsRowDxfId="5981">
  <tableColumns count="19">
    <tableColumn id="2" xr3:uid="{21BB4A5D-FDBF-4206-944E-35D639CBFF6E}" name="Column1" headerRowDxfId="5980" dataDxfId="5979" totalsRowDxfId="5978"/>
    <tableColumn id="3" xr3:uid="{543ADEB9-6501-4837-9D7D-1988A229EDCC}" name="Column2" headerRowDxfId="5977" dataDxfId="5976" totalsRowDxfId="5975"/>
    <tableColumn id="4" xr3:uid="{515884EE-1A56-47E7-B255-99E26DFE2513}" name="Column3" headerRowDxfId="5974" dataDxfId="5973" totalsRowDxfId="5972"/>
    <tableColumn id="5" xr3:uid="{AFA28D94-3575-4BC9-A3E0-D25647903C70}" name="Column4" headerRowDxfId="5971" dataDxfId="5970" totalsRowDxfId="5969"/>
    <tableColumn id="6" xr3:uid="{46BA9A1F-687B-4380-BC9C-2A81985D6D4F}" name="Column5" headerRowDxfId="5968" dataDxfId="5967" totalsRowDxfId="5966"/>
    <tableColumn id="7" xr3:uid="{98C9ADA0-B58D-4DB5-9CFA-918F9DC7E41E}" name="Column6" headerRowDxfId="5965" dataDxfId="5964" totalsRowDxfId="5963"/>
    <tableColumn id="8" xr3:uid="{EE9B0746-61FD-4085-A84C-3CDB6857367A}" name="Column7" headerRowDxfId="5962" dataDxfId="5961" totalsRowDxfId="5960"/>
    <tableColumn id="9" xr3:uid="{66A8FE55-0F57-47C3-A3F2-2EC04B7C02E8}" name="Column8" headerRowDxfId="5959" dataDxfId="5958" totalsRowDxfId="5957"/>
    <tableColumn id="10" xr3:uid="{33EC938C-327F-44D0-941B-359AFEE88920}" name="Column9" headerRowDxfId="5956" dataDxfId="5955" totalsRowDxfId="5954"/>
    <tableColumn id="11" xr3:uid="{689FDC7E-E745-48DB-AAED-DA364EA4D9D8}" name="Column10" headerRowDxfId="5953" dataDxfId="5952" totalsRowDxfId="5951"/>
    <tableColumn id="12" xr3:uid="{23EC6A48-2BC8-4568-982C-23733DACED16}" name="Column11" headerRowDxfId="5950" dataDxfId="5949" totalsRowDxfId="5948"/>
    <tableColumn id="13" xr3:uid="{7A2605E6-13BE-4D8C-8FC0-09D6B7041A68}" name="Column12" headerRowDxfId="5947" dataDxfId="5946" totalsRowDxfId="5945"/>
    <tableColumn id="14" xr3:uid="{96E954DA-DFD1-4819-B0C9-3E2F09685FCC}" name="Column13" headerRowDxfId="5944" dataDxfId="5943" totalsRowDxfId="5942"/>
    <tableColumn id="15" xr3:uid="{7FDA5A85-7ECD-4BB2-860F-95D286A1CDEA}" name="Cantrip" headerRowDxfId="5941" dataDxfId="5940" totalsRowDxfId="5939"/>
    <tableColumn id="16" xr3:uid="{DF1F9320-4911-4007-99BA-4589DB9FF9BA}" name="1st Level" headerRowDxfId="5938" dataDxfId="5937" totalsRowDxfId="5936"/>
    <tableColumn id="17" xr3:uid="{6E3B6298-A8F4-4633-BBAB-7F369A764894}" name="2nd Level" totalsRowFunction="custom" headerRowDxfId="5935" dataDxfId="5934" totalsRowDxfId="5933">
      <totalsRowFormula>IF(R15="way of the shadow","Silence"," ")</totalsRowFormula>
    </tableColumn>
    <tableColumn id="18" xr3:uid="{4C66C02C-1F65-4003-8ACE-787C57D543BD}" name="3rd Level" headerRowDxfId="5932" dataDxfId="5931" totalsRowDxfId="5930"/>
    <tableColumn id="19" xr3:uid="{2F9E142D-2757-4BC3-AF05-0166D04FDCFC}" name="4th Level" headerRowDxfId="5929" dataDxfId="5928" totalsRowDxfId="5927"/>
    <tableColumn id="1" xr3:uid="{1060E0B0-2167-44BF-A070-9BAA032A693C}" name="Column14" headerRowDxfId="5926" dataDxfId="5925" totalsRowDxfId="5924"/>
  </tableColumns>
  <tableStyleInfo name="TableStyleMedium2" showFirstColumn="0" showLastColumn="0" showRowStripes="1" showColumnStripes="0"/>
</table>
</file>

<file path=xl/tables/table3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7" xr:uid="{60DF1CC7-E2C4-4112-901F-E93754B44BD6}" name="Table69331445787844901310374708" displayName="Table69331445787844901310374708" ref="BN26:BS43" headerRowCount="0" totalsRowShown="0" headerRowDxfId="5923" dataDxfId="5922">
  <tableColumns count="6">
    <tableColumn id="1" xr3:uid="{2BE68BFB-D4F6-4462-AD68-B31D4A7D7C32}" name="Column1" headerRowDxfId="5921" dataDxfId="5920">
      <calculatedColumnFormula>_xlfn.RANK.EQ(BO26,$BO$26:$BO$43)</calculatedColumnFormula>
    </tableColumn>
    <tableColumn id="2" xr3:uid="{C7EDEC08-50D4-48DE-8DB3-65452D1F2DCF}" name="Column2" headerRowDxfId="5919" dataDxfId="5918"/>
    <tableColumn id="3" xr3:uid="{06CE2ABE-75E0-43D2-AB9F-E1322A60D049}" name="Column3" headerRowDxfId="5917" dataDxfId="5916">
      <calculatedColumnFormula>IF(OR(BM6&gt;=1,AV6&gt;=1),AH6," ")</calculatedColumnFormula>
    </tableColumn>
    <tableColumn id="4" xr3:uid="{71E97D11-07C2-4C6F-B31A-39435A017412}" name="Column4" headerRowDxfId="5915" dataDxfId="5914"/>
    <tableColumn id="5" xr3:uid="{95C59115-6831-4EFA-AC69-B9627B31CB4C}" name="Column5" headerRowDxfId="5913" dataDxfId="5912">
      <calculatedColumnFormula>_xlfn.RANK.EQ(BS26,$BS$26:$BS$43)</calculatedColumnFormula>
    </tableColumn>
    <tableColumn id="6" xr3:uid="{1A3A750D-8668-4EB0-826F-4D18D1186C39}" name="Column6" headerRowDxfId="5911" dataDxfId="5910">
      <calculatedColumnFormula>IF(BO26=0,RAND(),0)</calculatedColumnFormula>
    </tableColumn>
  </tableColumns>
  <tableStyleInfo name="TableStyleMedium2" showFirstColumn="0" showLastColumn="0" showRowStripes="1" showColumnStripes="0"/>
</table>
</file>

<file path=xl/tables/table3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8" xr:uid="{5A33622C-7162-4BC4-96B9-C5D4A7B7E57C}" name="Table70332446788845902311375709" displayName="Table70332446788845902311375709" ref="BU26:BZ29" headerRowCount="0" totalsRowShown="0" headerRowDxfId="5909" dataDxfId="5908">
  <tableColumns count="6">
    <tableColumn id="1" xr3:uid="{6A57C74A-8E30-424C-AC91-F9FC10E30FBF}" name="Column1" headerRowDxfId="5907" dataDxfId="5906">
      <calculatedColumnFormula>_xlfn.RANK.EQ(BV26,$BV$26:$BV$29)</calculatedColumnFormula>
    </tableColumn>
    <tableColumn id="2" xr3:uid="{0D574A0C-5728-47F2-8FD2-9761FDA47107}" name="Column2" headerRowDxfId="5905" dataDxfId="5904"/>
    <tableColumn id="3" xr3:uid="{8B9C1C61-0BB2-4C8B-B0EA-05AC6A413F50}" name="Column3" headerRowDxfId="5903" dataDxfId="5902"/>
    <tableColumn id="4" xr3:uid="{A5C7BD24-4B7F-48E7-8B3A-E9D58D1151F6}" name="Column4" headerRowDxfId="5901" dataDxfId="5900"/>
    <tableColumn id="5" xr3:uid="{E61AE900-BF91-45F5-8FFB-17CE0D36DBA1}" name="Column5" headerRowDxfId="5899" dataDxfId="5898">
      <calculatedColumnFormula>_xlfn.RANK.EQ(BZ26,$BZ$26:$BZ$29)</calculatedColumnFormula>
    </tableColumn>
    <tableColumn id="6" xr3:uid="{24704BF3-1BFB-432E-8336-DFE10E9072CC}" name="Column6" headerRowDxfId="5897" dataDxfId="5896">
      <calculatedColumnFormula>IF(BV26=0,RAND(),0)</calculatedColumnFormula>
    </tableColumn>
  </tableColumns>
  <tableStyleInfo name="TableStyleMedium2" showFirstColumn="0" showLastColumn="0" showRowStripes="1" showColumnStripes="0"/>
</table>
</file>

<file path=xl/tables/table3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9" xr:uid="{3F2EF1D0-8B4F-423D-AC3B-BFD60192EA0A}" name="Table72333447789846903312376710" displayName="Table72333447789846903312376710" ref="BU30:BZ32" headerRowCount="0" totalsRowShown="0" headerRowDxfId="5895" dataDxfId="5894">
  <tableColumns count="6">
    <tableColumn id="1" xr3:uid="{E66294C4-105A-4EBC-B64F-EAF7CA8EC319}" name="Column1" headerRowDxfId="5893" dataDxfId="5892">
      <calculatedColumnFormula>_xlfn.RANK.EQ(BV30,$BV$30:$BV$32)</calculatedColumnFormula>
    </tableColumn>
    <tableColumn id="2" xr3:uid="{BBF411A6-704C-4E6D-A1E5-80B9E6CFAC26}" name="Column2" headerRowDxfId="5891" dataDxfId="5890"/>
    <tableColumn id="3" xr3:uid="{C741CE25-F5E2-45D0-ACBC-A50CCA78D4EE}" name="Column3" headerRowDxfId="5889" dataDxfId="5888"/>
    <tableColumn id="4" xr3:uid="{97A34BF6-374E-4E7A-84CA-2F02D23B0C0A}" name="Column4" headerRowDxfId="5887" dataDxfId="5886"/>
    <tableColumn id="5" xr3:uid="{E4F23092-0309-4E4F-A9BC-A898EA331463}" name="Column5" headerRowDxfId="5885" dataDxfId="5884">
      <calculatedColumnFormula>_xlfn.RANK.EQ(BZ30,$BZ$30:$BZ$32)</calculatedColumnFormula>
    </tableColumn>
    <tableColumn id="6" xr3:uid="{0ACEC6BC-B8E2-4BE0-BE6B-B308FC67EE1A}" name="Column6" headerRowDxfId="5883" dataDxfId="5882">
      <calculatedColumnFormula>IF(BV30=0,RAND(),0)</calculatedColumnFormula>
    </tableColumn>
  </tableColumns>
  <tableStyleInfo name="TableStyleMedium2" showFirstColumn="0" showLastColumn="0" showRowStripes="1" showColumnStripes="0"/>
</table>
</file>

<file path=xl/tables/table3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0" xr:uid="{14D37F01-2806-47A4-9A19-422C44908BF1}" name="Table60334448790847904313377711" displayName="Table60334448790847904313377711" ref="B240:T271" headerRowCount="0" totalsRowShown="0" headerRowDxfId="5881" dataDxfId="5880" tableBorderDxfId="5879">
  <tableColumns count="19">
    <tableColumn id="3" xr3:uid="{5E957147-E5C8-446D-AB23-02DD93E89A2E}" name="Column3" headerRowDxfId="5878" dataDxfId="5877"/>
    <tableColumn id="4" xr3:uid="{B22810F5-C878-4FF7-BB2D-071F6ADDA399}" name="Column4" headerRowDxfId="5876" dataDxfId="5875"/>
    <tableColumn id="5" xr3:uid="{E89F3296-84A5-4BE1-AE0B-EFDADE35D1F2}" name="Column5" headerRowDxfId="5874" dataDxfId="5873"/>
    <tableColumn id="6" xr3:uid="{DA910A19-A77D-4362-8250-AE1020034580}" name="Column6" headerRowDxfId="5872" dataDxfId="5871"/>
    <tableColumn id="7" xr3:uid="{C93F4167-5B4C-4A8B-B400-424B50578138}" name="Column7" headerRowDxfId="5870" dataDxfId="5869"/>
    <tableColumn id="8" xr3:uid="{B0A316BA-B3B7-4B39-9ACE-DEA6F1377BAD}" name="Column8" headerRowDxfId="5868" dataDxfId="5867"/>
    <tableColumn id="9" xr3:uid="{37CCAEAC-CDB7-48C6-A264-313D3AFD8F5B}" name="Column9" headerRowDxfId="5866" dataDxfId="5865"/>
    <tableColumn id="10" xr3:uid="{AB89B154-EE2A-487F-9D47-D90D41A0F17B}" name="Column10" headerRowDxfId="5864" dataDxfId="5863"/>
    <tableColumn id="11" xr3:uid="{1CEA9BA8-6177-40E3-A6D5-6BF0C469EF7E}" name="Column11" headerRowDxfId="5862" dataDxfId="5861"/>
    <tableColumn id="12" xr3:uid="{EB2B9C38-7F16-4913-A8BF-C6096C50D4E2}" name="Column12" headerRowDxfId="5860" dataDxfId="5859"/>
    <tableColumn id="13" xr3:uid="{F0D76551-C5BA-46D1-BBE6-741F98D539EC}" name="Column13" headerRowDxfId="5858" dataDxfId="5857"/>
    <tableColumn id="14" xr3:uid="{818ABDA1-4859-41E8-8128-C1ED795E0E43}" name="Column14" headerRowDxfId="5856" dataDxfId="5855"/>
    <tableColumn id="15" xr3:uid="{02BE3E9A-A956-4A32-A925-94741529D390}" name="Column15" headerRowDxfId="5854" dataDxfId="5853"/>
    <tableColumn id="2" xr3:uid="{6B26E795-8EE3-4218-BD8D-52162C1FF14B}" name="Column2" headerRowDxfId="5852" dataDxfId="5851"/>
    <tableColumn id="16" xr3:uid="{95E0C770-55DB-4753-8137-0C6655DF96A1}" name="Column16" headerRowDxfId="5850" dataDxfId="5849"/>
    <tableColumn id="17" xr3:uid="{DA03D3F7-5B70-43AB-A21C-8D4CA5832270}" name="Column17" headerRowDxfId="5848" dataDxfId="5847"/>
    <tableColumn id="18" xr3:uid="{4B6B9672-BBF4-40B9-A077-77A8CA69CE03}" name="Column18" headerRowDxfId="5846" dataDxfId="5845"/>
    <tableColumn id="19" xr3:uid="{448FFEBE-4CA2-467B-B308-9937A115CF52}" name="Column19" headerRowDxfId="5844" dataDxfId="5843"/>
    <tableColumn id="20" xr3:uid="{9FC1357C-11F3-4BB5-9693-F077B0203459}" name="Column20" headerRowDxfId="5842" dataDxfId="5841">
      <calculatedColumnFormula>IF(AND($Q$15="Otherworldly patron - great old one",T$244&gt;=O171),INDEX('Spell Tables'!$AF$226:$AF$231,MATCH(O171,('Spell Tables'!$AD$226:$AD$231),0)),IF(AND($Q$15="Otherworldly patron - fiend",T$244&gt;=O171),INDEX('Spell Tables'!$AF$210:$AF$215,MATCH(O171,('Spell Tables'!$AD$210:$AD$215),0)),IF(AND($Q$15="Otherworldly patron - archfey",T$244&gt;=O171),INDEX('Spell Tables'!$AF$194:$AF$199,MATCH(O171,('Spell Tables'!$AD$194:$AD$199),0)),IF($T$242&gt;=O171,INDEX($AL$80:$AL$89,MATCH(O171,($AJ$80:$AJ$89),0)),IF($T$246&gt;=O171,INDEX('Spell Tables'!$AF$168:$AF$177,MATCH(O171,('Spell Tables'!$AD$168:$AD$177),0)),IF($T$248&gt;=O171,INDEX('Spell Tables'!$AR$141:$AR$144,MATCH(O171,('Spell Tables'!$AP$141:$AP$144),0)),IF($T$250&gt;=O171,INDEX('Spell Tables'!$AB$119:$AB$123,MATCH(O171,('Spell Tables'!$Z$119:$Z$123),0)),IF($T$252&gt;=O171,INDEX('Spell Tables'!$AB$97:$AB$102,MATCH(O171,('Spell Tables'!$Z$97:$Z$102),0)),IF($T$254&gt;=O171,INDEX('Spell Tables'!$AR$70:$AR$75,MATCH(O171,('Spell Tables'!$AP$70:$AP$75),0)),IF($T$256&gt;=O171,INDEX('Spell Tables'!$AF$48:$AF$63,MATCH(O171,('Spell Tables'!$AD$48:$AD$63),0)),IF($T$258&gt;=O171,INDEX('Spell Tables'!$AF$26:$AF$33,MATCH(O171,('Spell Tables'!$AD$26:$AD$33),0)),IF($T$260&gt;=O171,INDEX('Spell Tables'!$AF$2:$AF$9,MATCH(O171,('Spell Tables'!$AD$2:$AD$9),0))," "))))))))))))</calculatedColumnFormula>
    </tableColumn>
  </tableColumns>
  <tableStyleInfo name="TableStyleMedium2" showFirstColumn="0" showLastColumn="0" showRowStripes="1" showColumnStripes="0"/>
</table>
</file>

<file path=xl/tables/table3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1" xr:uid="{3094A469-DEC3-4E29-997D-0539C825A4F5}" name="Table200335449791848905314378712" displayName="Table200335449791848905314378712" ref="AJ43:AL53" headerRowCount="0" totalsRowShown="0" headerRowDxfId="5840" dataDxfId="5839">
  <tableColumns count="3">
    <tableColumn id="1" xr3:uid="{07E4E895-47F3-44E3-B10E-63AEDB8F8A26}" name="Column1" headerRowDxfId="5838" dataDxfId="5837"/>
    <tableColumn id="2" xr3:uid="{4C76FDF3-F409-45B2-BCBB-EDA55741A064}" name="Column2" headerRowDxfId="5836" dataDxfId="5835">
      <calculatedColumnFormula>RAND()</calculatedColumnFormula>
    </tableColumn>
    <tableColumn id="3" xr3:uid="{9DA008BC-CF56-47AD-AD8D-1838ED6C96F5}" name="Column3" headerRowDxfId="5834" dataDxfId="5833">
      <calculatedColumnFormula>AN12</calculatedColumnFormula>
    </tableColumn>
  </tableColumns>
  <tableStyleInfo name="TableStyleMedium2" showFirstColumn="0" showLastColumn="0" showRowStripes="1" showColumnStripes="0"/>
</table>
</file>

<file path=xl/tables/table3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2" xr:uid="{D8AF0B78-2E5D-41D2-A26C-585CA7B8259B}" name="Table201336450792849906315379713" displayName="Table201336450792849906315379713" ref="AJ55:AL65" headerRowCount="0" totalsRowShown="0" headerRowDxfId="5832" dataDxfId="5831">
  <tableColumns count="3">
    <tableColumn id="1" xr3:uid="{EFAA7999-9B0A-469B-8792-1A5A0D9CD667}" name="Column1" headerRowDxfId="5830" dataDxfId="5829">
      <calculatedColumnFormula>_xlfn.RANK.EQ(AK56,$L$308:$L$320)</calculatedColumnFormula>
    </tableColumn>
    <tableColumn id="2" xr3:uid="{00BF553B-A499-4084-BBA7-443BCD62343E}" name="Column2" headerRowDxfId="5828" dataDxfId="5827">
      <calculatedColumnFormula>IF(AL56=" ", 0,RAND())</calculatedColumnFormula>
    </tableColumn>
    <tableColumn id="3" xr3:uid="{C0FB1A3D-B8B0-491D-82C1-5DE08BABE7EE}" name="Column3" headerRowDxfId="5826" dataDxfId="5825">
      <calculatedColumnFormula>AO12</calculatedColumnFormula>
    </tableColumn>
  </tableColumns>
  <tableStyleInfo name="TableStyleMedium2" showFirstColumn="0" showLastColumn="0" showRowStripes="1" showColumnStripes="0"/>
</table>
</file>

<file path=xl/tables/table3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3" xr:uid="{0A25BBEA-95DC-486D-A182-2B2CB7349074}" name="Table202337451793850907320380714" displayName="Table202337451793850907320380714" ref="AJ67:AL77" headerRowCount="0" totalsRowShown="0" headerRowDxfId="5824" dataDxfId="5823">
  <tableColumns count="3">
    <tableColumn id="1" xr3:uid="{D4197A3C-FF05-43C1-977B-148DD2D85E9E}" name="Column1" headerRowDxfId="5822" dataDxfId="5821"/>
    <tableColumn id="2" xr3:uid="{2D5C77ED-8093-44D2-808F-E2186AF9415D}" name="Column2" headerRowDxfId="5820" dataDxfId="5819">
      <calculatedColumnFormula>IF(AL68=" ", 0,RAND())</calculatedColumnFormula>
    </tableColumn>
    <tableColumn id="3" xr3:uid="{CED51AA3-163E-4608-B436-033E2A1115F7}" name="Column3" headerRowDxfId="5818" dataDxfId="5817">
      <calculatedColumnFormula>AP12</calculatedColumnFormula>
    </tableColumn>
  </tableColumns>
  <tableStyleInfo name="TableStyleMedium2" showFirstColumn="0" showLastColumn="0" showRowStripes="1" showColumnStripes="0"/>
</table>
</file>

<file path=xl/tables/table3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4" xr:uid="{5549EB35-DB2F-4119-B88E-CD7FF9C0DB7D}" name="Table203338452794851908321381715" displayName="Table203338452794851908321381715" ref="AJ79:AL89" headerRowCount="0" totalsRowShown="0" headerRowDxfId="5816" dataDxfId="5815">
  <tableColumns count="3">
    <tableColumn id="1" xr3:uid="{3B60D9C4-79E3-4253-94D5-A0267F92FFA8}" name="Column1" headerRowDxfId="5814" dataDxfId="5813"/>
    <tableColumn id="2" xr3:uid="{C21EC762-A398-458E-82DA-7605BEA7D221}" name="Column2" headerRowDxfId="5812" dataDxfId="5811"/>
    <tableColumn id="3" xr3:uid="{79D92BC7-C0D5-4E76-B758-99B01E8923F8}" name="Column3" headerRowDxfId="5810" dataDxfId="5809"/>
  </tableColumns>
  <tableStyleInfo name="TableStyleMedium2" showFirstColumn="0" showLastColumn="0" showRowStripes="1" showColumnStripes="0"/>
</table>
</file>

<file path=xl/tables/table3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5" xr:uid="{E93640B3-4163-4267-881E-13137C19F2FF}" name="Table204339453795852909322382716" displayName="Table204339453795852909322382716" ref="AJ91:AL101" headerRowCount="0" totalsRowShown="0" headerRowDxfId="5808" dataDxfId="5807">
  <tableColumns count="3">
    <tableColumn id="1" xr3:uid="{E1C1DAAA-8D27-474C-A442-1340DF792CEF}" name="Column1" headerRowDxfId="5806" dataDxfId="5805"/>
    <tableColumn id="2" xr3:uid="{B7161CD4-1F47-44CE-8023-EFE74E809FFD}" name="Column2" headerRowDxfId="5804" dataDxfId="5803"/>
    <tableColumn id="3" xr3:uid="{FCBDB78D-F9AE-4D10-A9A8-17E1EAA79A1D}" name="Column3" headerRowDxfId="5802" dataDxfId="5801"/>
  </tableColumns>
  <tableStyleInfo name="TableStyleMedium2" showFirstColumn="0" showLastColumn="0" showRowStripes="1" showColumnStripes="0"/>
</table>
</file>

<file path=xl/tables/table3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6" xr:uid="{5FCD6C92-F78F-41AB-9DA9-B124FC2246EE}" name="Table205340454796853910326383717" displayName="Table205340454796853910326383717" ref="AJ103:AL113" headerRowCount="0" totalsRowShown="0" headerRowDxfId="5800" dataDxfId="5799">
  <tableColumns count="3">
    <tableColumn id="1" xr3:uid="{B196FEF9-CB94-46F2-ABB6-E0433CB37FCF}" name="Column1" headerRowDxfId="5798" dataDxfId="5797"/>
    <tableColumn id="2" xr3:uid="{B1529683-2677-4DFF-ADF9-92D57D13B59B}" name="Column2" headerRowDxfId="5796" dataDxfId="5795"/>
    <tableColumn id="3" xr3:uid="{334F469A-AF0A-43D8-88FD-C841DED543F6}" name="Column3" headerRowDxfId="5794" dataDxfId="5793"/>
  </tableColumns>
  <tableStyleInfo name="TableStyleMedium2" showFirstColumn="0" showLastColumn="0" showRowStripes="1" showColumnStripes="0"/>
</table>
</file>

<file path=xl/tables/table3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7" xr:uid="{D3AFFA67-37C8-47B7-ADFA-15127CD90F0B}" name="Table206341455797854911327384718" displayName="Table206341455797854911327384718" ref="AJ115:AL125" headerRowCount="0" totalsRowShown="0" headerRowDxfId="5792" dataDxfId="5791">
  <tableColumns count="3">
    <tableColumn id="1" xr3:uid="{143CC212-29C7-4C5C-935E-07400BBD7717}" name="Column1" headerRowDxfId="5790" dataDxfId="5789"/>
    <tableColumn id="2" xr3:uid="{A1805225-BFC3-4FF0-8D61-7F9442014817}" name="Column2" headerRowDxfId="5788" dataDxfId="5787"/>
    <tableColumn id="3" xr3:uid="{C95E9A60-8BCB-4DE0-9509-7E5720B22EDF}" name="Column3" headerRowDxfId="5786" dataDxfId="5785"/>
  </tableColumns>
  <tableStyleInfo name="TableStyleMedium2" showFirstColumn="0" showLastColumn="0" showRowStripes="1" showColumnStripes="0"/>
</table>
</file>

<file path=xl/tables/table3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8" xr:uid="{48D2A5B1-8EB1-4ED7-BCD0-F7EEB0444CFF}" name="Table207342456798855912328385719" displayName="Table207342456798855912328385719" ref="AJ127:AL137" headerRowCount="0" totalsRowShown="0" headerRowDxfId="5784" dataDxfId="5783">
  <tableColumns count="3">
    <tableColumn id="1" xr3:uid="{D8FD2B11-B656-4F21-A7C2-AA4363181AD1}" name="Column1" headerRowDxfId="5782" dataDxfId="5781"/>
    <tableColumn id="2" xr3:uid="{436305E1-5F41-46D7-B4FE-E60935D07398}" name="Column2" headerRowDxfId="5780" dataDxfId="5779"/>
    <tableColumn id="3" xr3:uid="{D5CA1396-72AB-427A-AB89-EDA262A75F1E}" name="Column3" headerRowDxfId="5778" dataDxfId="5777"/>
  </tableColumns>
  <tableStyleInfo name="TableStyleMedium2" showFirstColumn="0" showLastColumn="0" showRowStripes="1" showColumnStripes="0"/>
</table>
</file>

<file path=xl/tables/table3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9" xr:uid="{5181C9D6-3152-4328-8902-16C4C3621BED}" name="Table208343457799856913329386720" displayName="Table208343457799856913329386720" ref="AJ139:AL149" headerRowCount="0" totalsRowShown="0" headerRowDxfId="5776" dataDxfId="5775">
  <tableColumns count="3">
    <tableColumn id="1" xr3:uid="{838874E8-18C8-489A-8E43-13A8682A8B6A}" name="Column1" headerRowDxfId="5774" dataDxfId="5773"/>
    <tableColumn id="2" xr3:uid="{9AC080DA-12BD-4501-A5A7-F141E73E82AF}" name="Column2" headerRowDxfId="5772" dataDxfId="5771"/>
    <tableColumn id="3" xr3:uid="{DB5E2620-30E8-4B1E-855F-577199CE1162}" name="Column3" headerRowDxfId="5770" dataDxfId="5769"/>
  </tableColumns>
  <tableStyleInfo name="TableStyleMedium2" showFirstColumn="0" showLastColumn="0" showRowStripes="1" showColumnStripes="0"/>
</table>
</file>

<file path=xl/tables/table3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0" xr:uid="{842AF8DF-EFB7-48DB-90B2-2841DC7682AA}" name="Table219344458800857914330387721" displayName="Table219344458800857914330387721" ref="AJ151:AL161" headerRowCount="0" totalsRowShown="0" headerRowDxfId="5768" dataDxfId="5767">
  <tableColumns count="3">
    <tableColumn id="1" xr3:uid="{FD965A23-277F-4B45-B078-D953C770D22F}" name="Column1" headerRowDxfId="5766" dataDxfId="5765"/>
    <tableColumn id="2" xr3:uid="{048232BB-A0F5-41C6-A1B7-25D100DC39EC}" name="Column2" headerRowDxfId="5764" dataDxfId="5763"/>
    <tableColumn id="5" xr3:uid="{9D6DC181-3876-4605-81EB-8FD970473BDC}" name="Column3" headerRowDxfId="5762" dataDxfId="5761"/>
  </tableColumns>
  <tableStyleInfo name="TableStyleMedium2" showFirstColumn="0" showLastColumn="0" showRowStripes="1" showColumnStripes="0"/>
</table>
</file>

<file path=xl/tables/table3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1" xr:uid="{6A2197D7-237A-4455-BF11-D163322B9C91}" name="Table220345459801858915331388722" displayName="Table220345459801858915331388722" ref="AJ163:AL173" headerRowCount="0" totalsRowShown="0" headerRowDxfId="5760" dataDxfId="5759">
  <tableColumns count="3">
    <tableColumn id="1" xr3:uid="{A11157D9-33A5-4CB4-9234-DDF82F4FA129}" name="Column1" headerRowDxfId="5758" dataDxfId="5757"/>
    <tableColumn id="2" xr3:uid="{D39398A7-142E-45F0-840D-C397555F0D0A}" name="Column2" headerRowDxfId="5756" dataDxfId="5755"/>
    <tableColumn id="3" xr3:uid="{9EB1ED11-7560-450D-AE99-FE5DBAD5013D}" name="Column3" headerRowDxfId="5754" dataDxfId="5753"/>
  </tableColumns>
  <tableStyleInfo name="TableStyleMedium2" showFirstColumn="0" showLastColumn="0" showRowStripes="1" showColumnStripes="0"/>
</table>
</file>

<file path=xl/tables/table3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2" xr:uid="{FF1F792F-A2A7-44C3-894A-8EB24D63FA21}" name="Table222346460802859916332389723" displayName="Table222346460802859916332389723" ref="AJ175:AL185" headerRowCount="0" totalsRowShown="0" headerRowDxfId="5752" dataDxfId="5751">
  <tableColumns count="3">
    <tableColumn id="1" xr3:uid="{C9D36CC7-66FC-4B9F-AECF-40AB2EDFAE02}" name="Column1" headerRowDxfId="5750" dataDxfId="5749"/>
    <tableColumn id="2" xr3:uid="{39693E52-431C-4DB1-8545-909CE6FB85DF}" name="Column2" headerRowDxfId="5748" dataDxfId="5747"/>
    <tableColumn id="3" xr3:uid="{35B57E38-27AC-4AF7-B592-A4818657F296}" name="Column3" headerRowDxfId="5746" dataDxfId="5745"/>
  </tableColumns>
  <tableStyleInfo name="TableStyleMedium2" showFirstColumn="0" showLastColumn="0" showRowStripes="1" showColumnStripes="0"/>
</table>
</file>

<file path=xl/tables/table3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3" xr:uid="{3B2CFDBE-AF3A-4DD6-BB5E-C5E0CF1E0727}" name="Table250347461803860917333390724" displayName="Table250347461803860917333390724" ref="AJ187:AL197" headerRowCount="0" totalsRowShown="0" headerRowDxfId="5744" dataDxfId="5743">
  <tableColumns count="3">
    <tableColumn id="1" xr3:uid="{261B33B8-DF58-4290-9C58-756B886CB0BB}" name="Column1" headerRowDxfId="5742" dataDxfId="5741"/>
    <tableColumn id="2" xr3:uid="{B31E4541-8A98-4808-98B1-D8281A4D5E99}" name="Column2" headerRowDxfId="5740" dataDxfId="5739"/>
    <tableColumn id="3" xr3:uid="{56BC59F8-0C0E-4015-B175-A53FD481187C}" name="Column3" headerRowDxfId="5738" dataDxfId="5737"/>
  </tableColumns>
  <tableStyleInfo name="TableStyleMedium2" showFirstColumn="0" showLastColumn="0" showRowStripes="1" showColumnStripes="0"/>
</table>
</file>

<file path=xl/tables/table3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4" xr:uid="{89C86DCF-6748-46F8-942D-ED2B9AE28B7B}" name="Table39348462804861918334391725" displayName="Table39348462804861918334391725" ref="CB1:CD7" headerRowCount="0" totalsRowShown="0" headerRowDxfId="5736" dataDxfId="5735">
  <tableColumns count="3">
    <tableColumn id="1" xr3:uid="{2D9A6C99-0F41-4840-94AB-09724A0D15B5}" name="Column1" dataDxfId="5734"/>
    <tableColumn id="2" xr3:uid="{0A607694-CFD6-4100-9A83-7877556F7D06}" name="Column2" dataDxfId="5733"/>
    <tableColumn id="3" xr3:uid="{67D0DF53-6A5C-4624-9BCC-3BD9251DD560}" name="Column3" headerRowDxfId="5732" dataDxfId="5731"/>
  </tableColumns>
  <tableStyleInfo name="TableStyleMedium2" showFirstColumn="0" showLastColumn="0" showRowStripes="1" showColumnStripes="0"/>
</table>
</file>

<file path=xl/tables/table3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5" xr:uid="{74292D73-BD89-4E7E-BD07-2BE81D9EE846}" name="Table50349463805862919335392726" displayName="Table50349463805862919335392726" ref="CB29:CD34" headerRowCount="0" totalsRowShown="0" headerRowDxfId="5730" dataDxfId="5729">
  <tableColumns count="3">
    <tableColumn id="1" xr3:uid="{EE18361D-5E2A-4DE6-8FFA-34615F95DC8A}" name="Column1" headerRowDxfId="5728" dataDxfId="5727"/>
    <tableColumn id="2" xr3:uid="{46D98BED-E5C7-48E9-AB1B-624BE82BE7F4}" name="Column2" headerRowDxfId="5726" dataDxfId="5725">
      <calculatedColumnFormula>RAND()</calculatedColumnFormula>
    </tableColumn>
    <tableColumn id="3" xr3:uid="{4ABB8D95-9055-4144-B216-FB89E4C2DBC4}" name="Column3" headerRowDxfId="5724" dataDxfId="5723"/>
  </tableColumns>
  <tableStyleInfo name="TableStyleMedium2" showFirstColumn="0" showLastColumn="0" showRowStripes="1" showColumnStripes="0"/>
</table>
</file>

<file path=xl/tables/table3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6" xr:uid="{F46E04F2-9137-459E-99D4-B254305E2934}" name="Table51350464806863920336393727" displayName="Table51350464806863920336393727" ref="CB36:CD44" headerRowCount="0" totalsRowShown="0" headerRowDxfId="5722" dataDxfId="5721">
  <tableColumns count="3">
    <tableColumn id="1" xr3:uid="{6362B771-8B1B-48A4-AEC9-931FA74EBEF8}" name="Column1" headerRowDxfId="5720" dataDxfId="5719"/>
    <tableColumn id="2" xr3:uid="{CC699860-DEE9-43CD-966D-DCA7095F6E44}" name="Column2" headerRowDxfId="5718" dataDxfId="5717"/>
    <tableColumn id="3" xr3:uid="{8AB3A9E5-DEB4-4020-9592-B3FBDFD39DF7}" name="Column3" headerRowDxfId="5716" dataDxfId="5715"/>
  </tableColumns>
  <tableStyleInfo name="TableStyleMedium2" showFirstColumn="0" showLastColumn="0" showRowStripes="1" showColumnStripes="0"/>
</table>
</file>

<file path=xl/tables/table3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7" xr:uid="{E4F376ED-F32B-46FC-AE59-59B07FE06645}" name="Table52351465807864921337394728" displayName="Table52351465807864921337394728" ref="CB46:CD54" headerRowCount="0" totalsRowShown="0" headerRowDxfId="5714" dataDxfId="5713">
  <tableColumns count="3">
    <tableColumn id="1" xr3:uid="{846AF1B3-F195-406A-8917-4DCC7F024571}" name="Column1" headerRowDxfId="5712" dataDxfId="5711"/>
    <tableColumn id="2" xr3:uid="{B69D4B2D-8893-42E3-BB86-2BB625927346}" name="Column2" headerRowDxfId="5710" dataDxfId="5709"/>
    <tableColumn id="3" xr3:uid="{C3618E0A-D891-461E-85EA-B82186B32311}" name="Column3" headerRowDxfId="5708" dataDxfId="5707"/>
  </tableColumns>
  <tableStyleInfo name="TableStyleMedium2" showFirstColumn="0" showLastColumn="0" showRowStripes="1" showColumnStripes="0"/>
</table>
</file>

<file path=xl/tables/table3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8" xr:uid="{F8F8E782-6FC8-42E9-B13C-488AEBA663B6}" name="Table53352466808865922338395729" displayName="Table53352466808865922338395729" ref="CB56:CD62" headerRowCount="0" totalsRowShown="0" headerRowDxfId="5706" dataDxfId="5705">
  <tableColumns count="3">
    <tableColumn id="1" xr3:uid="{CEC0EA22-B57A-4448-B624-97E795F8E1B5}" name="Column1" headerRowDxfId="5704" dataDxfId="5703"/>
    <tableColumn id="2" xr3:uid="{45592C03-CB96-4792-A709-4FE9469D351F}" name="Column2" headerRowDxfId="5702" dataDxfId="5701"/>
    <tableColumn id="3" xr3:uid="{EC0E72E6-ED3A-47B4-B2B8-099F635B6A2A}" name="Column3" headerRowDxfId="5700" dataDxfId="5699"/>
  </tableColumns>
  <tableStyleInfo name="TableStyleMedium2" showFirstColumn="0" showLastColumn="0" showRowStripes="1" showColumnStripes="0"/>
</table>
</file>

<file path=xl/tables/table3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9" xr:uid="{F430BD64-0F74-4C03-9FC0-A2450A533098}" name="Table54353467809866923339396730" displayName="Table54353467809866923339396730" ref="CB64:CD70" headerRowCount="0" totalsRowShown="0" headerRowDxfId="5698" dataDxfId="5697">
  <tableColumns count="3">
    <tableColumn id="1" xr3:uid="{05A04599-8E54-4125-998E-709583C5B2EF}" name="Column1" headerRowDxfId="5696" dataDxfId="5695"/>
    <tableColumn id="2" xr3:uid="{0D5C4013-8763-4B14-81FB-A6B5DD8F4111}" name="Column2" headerRowDxfId="5694" dataDxfId="5693"/>
    <tableColumn id="3" xr3:uid="{24682A7A-AF96-4CBD-986D-AE8A5B89BCB7}" name="Column3" headerRowDxfId="5692" dataDxfId="5691"/>
  </tableColumns>
  <tableStyleInfo name="TableStyleMedium2" showFirstColumn="0" showLastColumn="0" showRowStripes="1" showColumnStripes="0"/>
</table>
</file>

<file path=xl/tables/table3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0" xr:uid="{24258CCB-419D-4F1D-902F-2E17954183C8}" name="Table55354468810867924340397731" displayName="Table55354468810867924340397731" ref="CB72:CD81" headerRowCount="0" totalsRowShown="0" headerRowDxfId="5690" dataDxfId="5689">
  <tableColumns count="3">
    <tableColumn id="1" xr3:uid="{38854B97-04D4-4799-A7C0-4941CF976873}" name="Column1" headerRowDxfId="5688" dataDxfId="5687"/>
    <tableColumn id="2" xr3:uid="{2F889904-9DFE-435D-87BF-D9DDB2A8F631}" name="Column2" headerRowDxfId="5686" dataDxfId="5685"/>
    <tableColumn id="3" xr3:uid="{E350D1C5-C56E-4F6C-835F-3A7C68CEB650}" name="Column3" headerRowDxfId="5684" dataDxfId="5683"/>
  </tableColumns>
  <tableStyleInfo name="TableStyleMedium2" showFirstColumn="0" showLastColumn="0" showRowStripes="1" showColumnStripes="0"/>
</table>
</file>

<file path=xl/tables/table3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1" xr:uid="{79BB87C2-E2B5-4974-8B7A-D014BFFB9362}" name="Table56355469811868925341398732" displayName="Table56355469811868925341398732" ref="CB83:CD94" headerRowCount="0" totalsRowShown="0" headerRowDxfId="5682" dataDxfId="5681">
  <tableColumns count="3">
    <tableColumn id="1" xr3:uid="{5563446C-B576-4E7A-97B2-AE373E906879}" name="Column1" headerRowDxfId="5680" dataDxfId="5679"/>
    <tableColumn id="2" xr3:uid="{9F3CA288-5005-46D4-BBE1-6AEE2CF87711}" name="Column2" headerRowDxfId="5678" dataDxfId="5677"/>
    <tableColumn id="3" xr3:uid="{AD9545B8-994A-4C76-9DED-DA356799B6A8}" name="Column3" headerRowDxfId="5676" dataDxfId="5675"/>
  </tableColumns>
  <tableStyleInfo name="TableStyleMedium2" showFirstColumn="0" showLastColumn="0" showRowStripes="1" showColumnStripes="0"/>
</table>
</file>

<file path=xl/tables/table3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2" xr:uid="{9FE3E9BF-0D2A-47E0-813F-67DB48B9DDAC}" name="Table57356470812869926342399733" displayName="Table57356470812869926342399733" ref="CB96:CD102" headerRowCount="0" totalsRowShown="0" headerRowDxfId="5674" dataDxfId="5673">
  <tableColumns count="3">
    <tableColumn id="1" xr3:uid="{708041C8-0DEE-4AB3-B30F-65C64E6E7615}" name="Column1" headerRowDxfId="5672" dataDxfId="5671"/>
    <tableColumn id="2" xr3:uid="{2E2E43E0-6810-44FF-B56E-C8CA6F9038A0}" name="Column2" headerRowDxfId="5670" dataDxfId="5669"/>
    <tableColumn id="3" xr3:uid="{0F6ABCD5-039F-43CB-9984-B6E7EC8A0574}" name="Column3" headerRowDxfId="5668" dataDxfId="5667"/>
  </tableColumns>
  <tableStyleInfo name="TableStyleMedium2" showFirstColumn="0" showLastColumn="0" showRowStripes="1" showColumnStripes="0"/>
</table>
</file>

<file path=xl/tables/table3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3" xr:uid="{31B1317F-CB9F-47CE-84EB-0A0AAEA4278A}" name="Table58357471813870927343400734" displayName="Table58357471813870927343400734" ref="CB104:CD111" headerRowCount="0" totalsRowShown="0" headerRowDxfId="5666" dataDxfId="5665">
  <tableColumns count="3">
    <tableColumn id="1" xr3:uid="{5E3E26ED-4298-4B1B-8B44-7BD051E78969}" name="Column1" headerRowDxfId="5664" dataDxfId="5663"/>
    <tableColumn id="2" xr3:uid="{EB6A77EA-F981-4603-9AD3-B204B99734D0}" name="Column2" headerRowDxfId="5662" dataDxfId="5661"/>
    <tableColumn id="3" xr3:uid="{A42569C8-0068-4218-AF89-E5D012DE63A6}" name="Column3" headerRowDxfId="5660" dataDxfId="5659"/>
  </tableColumns>
  <tableStyleInfo name="TableStyleMedium2" showFirstColumn="0" showLastColumn="0" showRowStripes="1" showColumnStripes="0"/>
</table>
</file>

<file path=xl/tables/table3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4" xr:uid="{5EAD6B2F-1683-448C-A391-D88D925B9415}" name="Table59358472814871928344401735" displayName="Table59358472814871928344401735" ref="CB113:CD119" headerRowCount="0" totalsRowShown="0" headerRowDxfId="5658" dataDxfId="5657">
  <tableColumns count="3">
    <tableColumn id="1" xr3:uid="{AEF227D2-17D6-471A-BAA2-6DB50A7F7EB6}" name="Column1" headerRowDxfId="5656" dataDxfId="5655"/>
    <tableColumn id="2" xr3:uid="{79D2CF15-DA00-4601-BED0-D24C921EE55C}" name="Column2" headerRowDxfId="5654" dataDxfId="5653"/>
    <tableColumn id="3" xr3:uid="{854913BF-5474-4B58-A647-59924AAC2ADA}" name="Column3" headerRowDxfId="5652" dataDxfId="5651"/>
  </tableColumns>
  <tableStyleInfo name="TableStyleMedium2" showFirstColumn="0" showLastColumn="0" showRowStripes="1" showColumnStripes="0"/>
</table>
</file>

<file path=xl/tables/table3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5" xr:uid="{08B7C10D-5347-4487-854F-D510CA0768BC}" name="Table81359473815872929345402736" displayName="Table81359473815872929345402736" ref="CB9:CD27" headerRowCount="0" totalsRowShown="0" headerRowDxfId="5650" dataDxfId="5649">
  <tableColumns count="3">
    <tableColumn id="1" xr3:uid="{E899D9CF-40BE-4B0C-9327-1342B4295C52}" name="Column1" headerRowDxfId="5648" dataDxfId="5647"/>
    <tableColumn id="2" xr3:uid="{F5DCE7EE-DA7F-483B-920B-CE95DEC5CBD2}" name="Column2" headerRowDxfId="5646" dataDxfId="5645"/>
    <tableColumn id="3" xr3:uid="{27E5E92C-634F-45A5-9EB0-27317274B721}" name="Column3" headerRowDxfId="5644" dataDxfId="5643">
      <calculatedColumnFormula>RAND()</calculatedColumnFormula>
    </tableColumn>
  </tableColumns>
  <tableStyleInfo name="TableStyleMedium2" showFirstColumn="0" showLastColumn="0" showRowStripes="1" showColumnStripes="0"/>
</table>
</file>

<file path=xl/tables/table3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6" xr:uid="{0A33F234-C410-4EC0-8DC7-D3C2321F5660}" name="Table264360474816873930346403737" displayName="Table264360474816873930346403737" ref="B14:B19" headerRowCount="0" totalsRowShown="0" headerRowDxfId="5642" dataDxfId="5641" tableBorderDxfId="5640">
  <tableColumns count="1">
    <tableColumn id="1" xr3:uid="{4C9D0A37-212E-4D01-95F3-F909358F9AE1}" name="Column1" headerRowDxfId="5639" dataDxfId="5638"/>
  </tableColumns>
  <tableStyleInfo name="TableStyleMedium2" showFirstColumn="0" showLastColumn="0" showRowStripes="1" showColumnStripes="0"/>
</table>
</file>

<file path=xl/tables/table3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7" xr:uid="{B29DEDF6-D9EA-41FD-8EB4-ED4785212062}" name="Table265361475817874931347404738" displayName="Table265361475817874931347404738" ref="S17:S26" headerRowCount="0" totalsRowShown="0" headerRowDxfId="5637" dataDxfId="5636" tableBorderDxfId="5635">
  <tableColumns count="1">
    <tableColumn id="1" xr3:uid="{770BDE92-1763-4C6F-9CDD-06C8FE24C9A8}" name="Column1" headerRowDxfId="5634" dataDxfId="5633"/>
  </tableColumns>
  <tableStyleInfo name="TableStyleMedium2" showFirstColumn="0" showLastColumn="0" showRowStripes="1" showColumnStripes="0"/>
</table>
</file>

<file path=xl/tables/table3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8" xr:uid="{E6CD3A76-2B40-4DAF-B824-50FC89C92F57}" name="Table266362476818875932348405739" displayName="Table266362476818875932348405739" ref="O75:O85" headerRowCount="0" totalsRowShown="0" headerRowDxfId="5632" dataDxfId="5631" tableBorderDxfId="5630">
  <tableColumns count="1">
    <tableColumn id="1" xr3:uid="{0081B6ED-D23F-405A-A602-077733B2B533}" name="Column1" headerRowDxfId="5629" dataDxfId="5628"/>
  </tableColumns>
  <tableStyleInfo name="TableStyleMedium2" showFirstColumn="0" showLastColumn="0" showRowStripes="1" showColumnStripes="0"/>
</table>
</file>

<file path=xl/tables/table3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9" xr:uid="{CA9B6ECF-A879-4D71-B630-832523834F72}" name="Table268363477819876933349406740" displayName="Table268363477819876933349406740" ref="O14:O35" headerRowCount="0" totalsRowShown="0" headerRowDxfId="5627" dataDxfId="5626" tableBorderDxfId="5625">
  <tableColumns count="1">
    <tableColumn id="1" xr3:uid="{4E7DE0F7-5767-476A-A0F5-BFF236FCC534}" name="Column1" headerRowDxfId="5624" dataDxfId="5623"/>
  </tableColumns>
  <tableStyleInfo name="TableStyleMedium2" showFirstColumn="0" showLastColumn="0" showRowStripes="1" showColumnStripes="0"/>
</table>
</file>

<file path=xl/tables/table3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0" xr:uid="{43B1E53B-277A-4767-B958-A5C46690C088}" name="Table271364478820877934350407741" displayName="Table271364478820877934350407741" ref="Q14:Q30" headerRowCount="0" totalsRowShown="0" headerRowDxfId="5622" dataDxfId="5621" tableBorderDxfId="5620">
  <tableColumns count="1">
    <tableColumn id="1" xr3:uid="{E99C473C-74F2-44A7-AF4F-9BEC55229C4D}" name="Column1" headerRowDxfId="5619" dataDxfId="5618"/>
  </tableColumns>
  <tableStyleInfo name="TableStyleMedium2" showFirstColumn="0" showLastColumn="0" showRowStripes="1" showColumnStripes="0"/>
</table>
</file>

<file path=xl/tables/table3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1" xr:uid="{D6FFA5AC-782F-4392-B798-E5354DE59766}" name="Table272365479821878935351408742" displayName="Table272365479821878935351408742" ref="S10:S12" headerRowCount="0" totalsRowShown="0" headerRowDxfId="5617" dataDxfId="5616" tableBorderDxfId="5615">
  <tableColumns count="1">
    <tableColumn id="1" xr3:uid="{F50A45DA-48A7-48CF-97BA-E929A31EBBF5}" name="Column1" headerRowDxfId="5614" dataDxfId="5613"/>
  </tableColumns>
  <tableStyleInfo name="TableStyleMedium2" showFirstColumn="0" showLastColumn="0" showRowStripes="1" showColumnStripes="0"/>
</table>
</file>

<file path=xl/tables/table3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2" xr:uid="{064A1E70-FEDB-43D4-98F8-F1158B9341F1}" name="Table273366480822879936352409743" displayName="Table273366480822879936352409743" ref="S14:S16" headerRowCount="0" totalsRowShown="0" headerRowDxfId="5612" dataDxfId="5611" tableBorderDxfId="5610">
  <tableColumns count="1">
    <tableColumn id="1" xr3:uid="{D7666250-0249-404F-8671-86339484E5C4}" name="Column1" headerRowDxfId="5609" dataDxfId="5608"/>
  </tableColumns>
  <tableStyleInfo name="TableStyleMedium2" showFirstColumn="0" showLastColumn="0" showRowStripes="1" showColumnStripes="0"/>
</table>
</file>

<file path=xl/tables/table3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3" xr:uid="{F03DFCDC-FA28-4C7B-80C3-604857F19A57}" name="Table274367481823880937353410744" displayName="Table274367481823880937353410744" ref="P14:P28" headerRowCount="0" totalsRowShown="0" headerRowDxfId="5607" dataDxfId="5606" tableBorderDxfId="5605">
  <tableColumns count="1">
    <tableColumn id="1" xr3:uid="{6D71B6A9-7D17-4771-A070-09B2E863E2E3}" name="Column1" headerRowDxfId="5604" dataDxfId="5603"/>
  </tableColumns>
  <tableStyleInfo name="TableStyleMedium2" showFirstColumn="0" showLastColumn="0" showRowStripes="1" showColumnStripes="0"/>
</table>
</file>

<file path=xl/tables/table3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4" xr:uid="{EE9371EE-8940-4C8D-9508-F4A067F1C5FE}" name="Table275368482824881938354411745" displayName="Table275368482824881938354411745" ref="R14:R26" headerRowCount="0" totalsRowShown="0" headerRowDxfId="5602" dataDxfId="5601" tableBorderDxfId="5600">
  <tableColumns count="1">
    <tableColumn id="1" xr3:uid="{27B5A20E-4417-4648-BEF0-A1F45649DEAF}" name="Column1" headerRowDxfId="5599" dataDxfId="5598"/>
  </tableColumns>
  <tableStyleInfo name="TableStyleMedium2" showFirstColumn="0" showLastColumn="0" showRowStripes="1" showColumnStripes="0"/>
</table>
</file>

<file path=xl/tables/table4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5" xr:uid="{78C5E87F-92A5-41AC-86D5-EC4119FF2E9A}" name="Table276369483825882939355412746" displayName="Table276369483825882939355412746" ref="B37:P43" headerRowCount="0" totalsRowShown="0" headerRowDxfId="5597" dataDxfId="5596">
  <tableColumns count="15">
    <tableColumn id="2" xr3:uid="{A44C69BF-9A4F-4169-840C-013E78C3F85E}" name="Column2" headerRowDxfId="5595" dataDxfId="5594"/>
    <tableColumn id="3" xr3:uid="{D3E39186-28C7-4B1A-A0B8-D134FDA661AD}" name="Column3" headerRowDxfId="5593" dataDxfId="5592"/>
    <tableColumn id="4" xr3:uid="{6E6135B6-1A9C-4E29-A44C-6E382C65F4F8}" name="Column4" headerRowDxfId="5591" dataDxfId="5590"/>
    <tableColumn id="5" xr3:uid="{386AFD0F-ADF5-4F93-AC70-798D5D7925B8}" name="Column5" headerRowDxfId="5589" dataDxfId="5588"/>
    <tableColumn id="6" xr3:uid="{25990F32-848E-43F7-B8A6-3A855EA29E2D}" name="Column6" headerRowDxfId="5587" dataDxfId="5586"/>
    <tableColumn id="7" xr3:uid="{D7200CB3-1CCD-450D-A850-3D6ED6F5793A}" name="Column7" headerRowDxfId="5585" dataDxfId="5584"/>
    <tableColumn id="8" xr3:uid="{FDCB3419-8713-4858-9DEB-5260F0E3A67C}" name="Column8" headerRowDxfId="5583" dataDxfId="5582"/>
    <tableColumn id="9" xr3:uid="{DFB71794-24C6-4F4B-BB53-F76B9E752194}" name="Column9" headerRowDxfId="5581" dataDxfId="5580"/>
    <tableColumn id="10" xr3:uid="{5837D580-31BD-4901-BED9-5F1C5B34DBAD}" name="Column10" headerRowDxfId="5579" dataDxfId="5578">
      <calculatedColumnFormula>RANDBETWEEN(1,6)</calculatedColumnFormula>
    </tableColumn>
    <tableColumn id="11" xr3:uid="{8E5673E7-8C29-4400-AF6D-3416D06CE4F4}" name="Column11" headerRowDxfId="5577" dataDxfId="5576">
      <calculatedColumnFormula>RANDBETWEEN(1,6)</calculatedColumnFormula>
    </tableColumn>
    <tableColumn id="12" xr3:uid="{1607B11C-D9D5-444D-AC37-A9AEB2D53DA4}" name="Column12" headerRowDxfId="5575" dataDxfId="5574">
      <calculatedColumnFormula>RANDBETWEEN(1,6)</calculatedColumnFormula>
    </tableColumn>
    <tableColumn id="13" xr3:uid="{BFE7C75C-62A1-4F79-BD75-B3543006FB31}" name="Column13" headerRowDxfId="5573" dataDxfId="5572">
      <calculatedColumnFormula>RANDBETWEEN(1,6)</calculatedColumnFormula>
    </tableColumn>
    <tableColumn id="14" xr3:uid="{703AF28C-92E0-4730-85BE-E7D820889194}" name="Column14" headerRowDxfId="5571" dataDxfId="5570"/>
    <tableColumn id="15" xr3:uid="{D40ED390-DEDD-4B5F-99FD-1A6B1013264B}" name="Column15" headerRowDxfId="5569" dataDxfId="5568"/>
    <tableColumn id="16" xr3:uid="{C2B0E7FB-BEE1-4578-83D4-8C1429961932}" name="Column16" headerRowDxfId="5567" dataDxfId="5566">
      <calculatedColumnFormula>VLOOKUP(O37,Table1[],2)</calculatedColumnFormula>
    </tableColumn>
  </tableColumns>
  <tableStyleInfo name="TableStyleMedium2" showFirstColumn="0" showLastColumn="0" showRowStripes="1" showColumnStripes="0"/>
</table>
</file>

<file path=xl/tables/table4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6" xr:uid="{EE4600BA-02A3-4A8B-AE3F-86EEE95788B2}" name="Table277370484826883940356413747" displayName="Table277370484826883940356413747" ref="B45:P51" headerRowCount="0" totalsRowShown="0" headerRowDxfId="5565" dataDxfId="5564" tableBorderDxfId="5563">
  <tableColumns count="15">
    <tableColumn id="2" xr3:uid="{D03E18B5-799C-4FAD-A0EF-0607B7FCA7B9}" name="Column2" headerRowDxfId="5562" dataDxfId="5561"/>
    <tableColumn id="3" xr3:uid="{87C8D583-766B-4996-A0B0-37A27B9FE05E}" name="Column3" headerRowDxfId="5560" dataDxfId="5559"/>
    <tableColumn id="4" xr3:uid="{34C182D8-4511-42DD-9790-26605D018060}" name="Column4" headerRowDxfId="5558" dataDxfId="5557"/>
    <tableColumn id="5" xr3:uid="{3C5D304E-08B9-4BDD-A3C0-0920FAA52B38}" name="Column5" headerRowDxfId="5556" dataDxfId="5555"/>
    <tableColumn id="6" xr3:uid="{58FD5481-D78F-4D41-A3D2-1B3AB7352989}" name="Column6" headerRowDxfId="5554" dataDxfId="5553"/>
    <tableColumn id="7" xr3:uid="{75F40E37-BF00-4D34-9CDE-A9D4945A6E77}" name="Column7" headerRowDxfId="5552" dataDxfId="5551"/>
    <tableColumn id="8" xr3:uid="{D886BCC4-F7E0-41EE-9ED9-E89DDB83FAD6}" name="Column8" headerRowDxfId="5550" dataDxfId="5549"/>
    <tableColumn id="9" xr3:uid="{D4563BD4-4037-4BF2-AE90-610E7C664A7B}" name="Column9" headerRowDxfId="5548" dataDxfId="5547"/>
    <tableColumn id="10" xr3:uid="{75424D14-CC35-4ECC-82C0-10E9DB2E42E4}" name="Column10" headerRowDxfId="5546" dataDxfId="5545"/>
    <tableColumn id="11" xr3:uid="{1347CFC1-8C76-449B-8552-C787169E4545}" name="Column11" headerRowDxfId="5544" dataDxfId="5543"/>
    <tableColumn id="12" xr3:uid="{758ABC27-2704-4855-9A41-70AF8C97B8BB}" name="Column12" headerRowDxfId="5542" dataDxfId="5541"/>
    <tableColumn id="13" xr3:uid="{BD052BDF-A2B0-4731-861B-56C7DBBBB41E}" name="Column13" headerRowDxfId="5540" dataDxfId="5539"/>
    <tableColumn id="14" xr3:uid="{41AA8508-4CEF-49B1-91C6-11078043B0F5}" name="Column14" headerRowDxfId="5538" dataDxfId="5537"/>
    <tableColumn id="15" xr3:uid="{61301B30-DD0B-49C2-B84B-86983EAFC826}" name="Column15" headerRowDxfId="5536" dataDxfId="5535"/>
    <tableColumn id="16" xr3:uid="{93BC3D65-90BC-4669-ADFB-FADE2385FBC6}" name="Column16" headerRowDxfId="5534" dataDxfId="5533">
      <calculatedColumnFormula>IF(O45="x",SUM(P37,$P$8),P37)</calculatedColumnFormula>
    </tableColumn>
  </tableColumns>
  <tableStyleInfo name="TableStyleMedium2" showFirstColumn="0" showLastColumn="0" showRowStripes="1" showColumnStripes="0"/>
</table>
</file>

<file path=xl/tables/table4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7" xr:uid="{60417AEC-0848-40EE-BCCA-581DBE226680}" name="Table278371485827884941357414748" displayName="Table278371485827884941357414748" ref="O1:Q3" headerRowCount="0" totalsRowShown="0" headerRowDxfId="5532" dataDxfId="5531">
  <tableColumns count="3">
    <tableColumn id="15" xr3:uid="{4222FE33-31A8-4ECF-A343-E4B0188C2F20}" name="Column15" headerRowDxfId="5530" dataDxfId="5529"/>
    <tableColumn id="16" xr3:uid="{81AE0A61-0E09-4908-8385-7E8374C53AF6}" name="Column16" headerRowDxfId="5528" dataDxfId="5527"/>
    <tableColumn id="17" xr3:uid="{D3FB5DBD-D349-4F85-A69C-6540258D5241}" name="Column17" headerRowDxfId="5526" dataDxfId="5525"/>
  </tableColumns>
  <tableStyleInfo name="TableStyleMedium2" showFirstColumn="0" showLastColumn="0" showRowStripes="1" showColumnStripes="0"/>
</table>
</file>

<file path=xl/tables/table4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8" xr:uid="{8C3B6E41-5F9F-4410-A8C9-115795299150}" name="Table282373487829886943359415749" displayName="Table282373487829886943359415749" ref="B53:P72" headerRowCount="0" totalsRowShown="0" headerRowDxfId="5524" dataDxfId="5523">
  <tableColumns count="15">
    <tableColumn id="2" xr3:uid="{EDDF99EF-8785-4A71-BF40-7662FDD18739}" name="Column2" headerRowDxfId="5522" dataDxfId="5521"/>
    <tableColumn id="3" xr3:uid="{D947F967-251B-4CCC-A291-AA2C1863C261}" name="Column3" headerRowDxfId="5520" dataDxfId="5519"/>
    <tableColumn id="4" xr3:uid="{6E23017F-6768-42B1-8AAF-D1C3B3559F1A}" name="Column4" headerRowDxfId="5518" dataDxfId="5517"/>
    <tableColumn id="5" xr3:uid="{834C0AEB-3176-41FC-BF8D-2B5FA824B68E}" name="Column5" headerRowDxfId="5516" dataDxfId="5515"/>
    <tableColumn id="6" xr3:uid="{C6821EB1-D57B-4186-AED2-3A6B52B1F024}" name="Column6" headerRowDxfId="5514" dataDxfId="5513"/>
    <tableColumn id="7" xr3:uid="{55A61B5C-5935-4F9F-8C71-79332C1EA907}" name="Column7" headerRowDxfId="5512" dataDxfId="5511"/>
    <tableColumn id="8" xr3:uid="{C3145975-AEBA-45B7-9A9F-D10564C6632D}" name="Column8" headerRowDxfId="5510" dataDxfId="5509"/>
    <tableColumn id="9" xr3:uid="{5E62B7D1-CC0F-4926-91C4-72DBC52765EA}" name="Column9" headerRowDxfId="5508" dataDxfId="5507"/>
    <tableColumn id="10" xr3:uid="{C9921393-DF3E-4368-BF01-A059005DB25F}" name="Column10" headerRowDxfId="5506" dataDxfId="5505"/>
    <tableColumn id="11" xr3:uid="{059864BD-16B1-4417-8DE4-2F1B76062FFA}" name="Column11" headerRowDxfId="5504" dataDxfId="5503"/>
    <tableColumn id="12" xr3:uid="{B2372D5C-8A0F-471E-96DE-845BCFCEDA42}" name="Column12" headerRowDxfId="5502" dataDxfId="5501"/>
    <tableColumn id="13" xr3:uid="{FD5390EF-3922-4C1B-83B6-E73598C49E65}" name="Column13" headerRowDxfId="5500" dataDxfId="5499"/>
    <tableColumn id="14" xr3:uid="{F346DA4F-240F-4581-A900-A670CD65E33F}" name="Column14" headerRowDxfId="5498" dataDxfId="5497"/>
    <tableColumn id="15" xr3:uid="{67E4F2DF-C246-47F2-8865-9CF39026D1FB}" name="Column15" headerRowDxfId="5496" dataDxfId="5495"/>
    <tableColumn id="16" xr3:uid="{B1ABA9EC-48B3-4FA6-9CFD-2D09C276B9A6}" name="Column16" headerRowDxfId="5494" dataDxfId="5493"/>
  </tableColumns>
  <tableStyleInfo name="TableStyleMedium2" showFirstColumn="0" showLastColumn="0" showRowStripes="1" showColumnStripes="0"/>
</table>
</file>

<file path=xl/tables/table4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9" xr:uid="{75349CD1-CC01-4C8A-9D2E-D32DE123A78A}" name="Table283374488830887944360416750" displayName="Table283374488830887944360416750" ref="B75:B79" headerRowCount="0" totalsRowShown="0" headerRowDxfId="5492" dataDxfId="5491" tableBorderDxfId="5490">
  <tableColumns count="1">
    <tableColumn id="1" xr3:uid="{E5948456-4C6A-4B2D-8ACE-2B697B595432}" name="Column1" headerRowDxfId="5489" dataDxfId="5488"/>
  </tableColumns>
  <tableStyleInfo name="TableStyleMedium2" showFirstColumn="0" showLastColumn="0" showRowStripes="1" showColumnStripes="0"/>
</table>
</file>

<file path=xl/tables/table4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0" xr:uid="{06BD2CED-27A9-4F3E-8F2A-1ADD9DB0D2AD}" name="Table293375489831888945361417751" displayName="Table293375489831888945361417751" ref="AO44:AQ59" headerRowCount="0" totalsRowShown="0" headerRowDxfId="5487" dataDxfId="5486">
  <tableColumns count="3">
    <tableColumn id="1" xr3:uid="{E331B9F4-D47C-4D00-8BFC-399C221E2BF3}" name="Column1" headerRowDxfId="5485" dataDxfId="5484"/>
    <tableColumn id="2" xr3:uid="{D2443856-4C64-432C-B670-00F2B1E27EC9}" name="Column2" headerRowDxfId="5483" dataDxfId="5482">
      <calculatedColumnFormula>IF(#REF!=" ", 0,RAND())</calculatedColumnFormula>
    </tableColumn>
    <tableColumn id="3" xr3:uid="{F8757016-0C50-43C7-B6E8-5CF37773D4AA}" name="Column3" headerRowDxfId="5481" dataDxfId="5480">
      <calculatedColumnFormula>O28</calculatedColumnFormula>
    </tableColumn>
  </tableColumns>
  <tableStyleInfo name="TableStyleMedium2" showFirstColumn="0" showLastColumn="0" showRowStripes="1" showColumnStripes="0"/>
</table>
</file>

<file path=xl/tables/table4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3" xr:uid="{C29F5BE7-2CFE-41B3-81F6-40823698C089}" name="Table302378492834891948364420754" displayName="Table302378492834891948364420754" ref="B102:P109" headerRowCount="0" totalsRowShown="0" headerRowDxfId="5479" dataDxfId="5478" tableBorderDxfId="5477">
  <tableColumns count="15">
    <tableColumn id="2" xr3:uid="{D470156A-E8A7-4D59-8D27-12FA5CF28248}" name="Column2" headerRowDxfId="5476" dataDxfId="5475"/>
    <tableColumn id="3" xr3:uid="{E4A531A8-5F9E-4D2B-A15F-3927868A7BC4}" name="Column3" headerRowDxfId="5474" dataDxfId="5473"/>
    <tableColumn id="4" xr3:uid="{84D22473-79E3-4953-8614-9084966D0F94}" name="Column4" headerRowDxfId="5472" dataDxfId="5471"/>
    <tableColumn id="5" xr3:uid="{265E0141-ECC4-4B0B-8E37-0FD58FDF8E68}" name="Column5" headerRowDxfId="5470" dataDxfId="5469"/>
    <tableColumn id="6" xr3:uid="{5C70D6D2-934B-4D80-BFD5-ED5C65AA7BC0}" name="Column6" headerRowDxfId="5468" dataDxfId="5467"/>
    <tableColumn id="7" xr3:uid="{B99798F3-9357-47A1-B8DF-FFEC5D8FCFCD}" name="Column7" headerRowDxfId="5466" dataDxfId="5465"/>
    <tableColumn id="8" xr3:uid="{ED36874B-70C0-49CE-8420-553D03966984}" name="Column8" headerRowDxfId="5464" dataDxfId="5463"/>
    <tableColumn id="9" xr3:uid="{45675D3C-5229-4E09-8B67-AD90D4CBE54F}" name="Column9" headerRowDxfId="5462" dataDxfId="5461"/>
    <tableColumn id="10" xr3:uid="{BF0D1365-32BB-4EAC-9355-F2B64CCCE37F}" name="Column10" headerRowDxfId="5460" dataDxfId="5459"/>
    <tableColumn id="11" xr3:uid="{CCD5A6DC-15B2-4322-8273-7AAFE12B44D4}" name="Column11" headerRowDxfId="5458" dataDxfId="5457"/>
    <tableColumn id="12" xr3:uid="{45928C4B-020E-4203-91F7-47D6987CB794}" name="Column12" headerRowDxfId="5456" dataDxfId="5455"/>
    <tableColumn id="13" xr3:uid="{F4EFC6F5-4EF7-4725-8D68-D24ED327D45B}" name="Column13" headerRowDxfId="5454" dataDxfId="5453"/>
    <tableColumn id="14" xr3:uid="{8F38A7CC-D002-430A-ABBD-04D31A8D57A8}" name="Column14" headerRowDxfId="5452" dataDxfId="5451"/>
    <tableColumn id="15" xr3:uid="{2FC5A0EE-C7CF-4BA6-896C-988D64EFB989}" name="Column15" headerRowDxfId="5450" dataDxfId="5449"/>
    <tableColumn id="16" xr3:uid="{C490A114-9D4D-485D-93CD-1062BBBD95A4}" name="Column16" headerRowDxfId="5448" dataDxfId="5447"/>
  </tableColumns>
  <tableStyleInfo name="TableStyleMedium2" showFirstColumn="0" showLastColumn="0" showRowStripes="1" showColumnStripes="0"/>
</table>
</file>

<file path=xl/tables/table4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4" xr:uid="{ACE2710D-6814-4AF2-BB76-646C07A3F426}" name="Table303379493835892949365421755" displayName="Table303379493835892949365421755" ref="Q102:Q107" headerRowCount="0" totalsRowShown="0" headerRowDxfId="5446" dataDxfId="5445" tableBorderDxfId="5444">
  <tableColumns count="1">
    <tableColumn id="1" xr3:uid="{F20518E6-98CA-40D5-8CA3-26B01AF44962}" name="Column1" headerRowDxfId="5443" dataDxfId="5442"/>
  </tableColumns>
  <tableStyleInfo name="TableStyleMedium2" showFirstColumn="0" showLastColumn="0" showRowStripes="1" showColumnStripes="0"/>
</table>
</file>

<file path=xl/tables/table4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5" xr:uid="{1F0787A6-4DAD-42D9-8CED-563FF6B44277}" name="Table304380494836893950366422756" displayName="Table304380494836893950366422756" ref="R102:R103" headerRowCount="0" totalsRowShown="0" headerRowDxfId="5441" dataDxfId="5440" tableBorderDxfId="5439">
  <tableColumns count="1">
    <tableColumn id="1" xr3:uid="{69FCDB43-7571-4B62-8FDA-F93B4E0AA4B3}" name="Column1" headerRowDxfId="5438" dataDxfId="5437"/>
  </tableColumns>
  <tableStyleInfo name="TableStyleMedium2" showFirstColumn="0" showLastColumn="0" showRowStripes="1" showColumnStripes="0"/>
</table>
</file>

<file path=xl/tables/table4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6" xr:uid="{96BF3841-B21F-4D05-B7A3-16E47A2A3057}" name="Table305381495837894951367423757" displayName="Table305381495837894951367423757" ref="R104:R105" headerRowCount="0" totalsRowShown="0" headerRowDxfId="5436" dataDxfId="5435" tableBorderDxfId="5434">
  <tableColumns count="1">
    <tableColumn id="1" xr3:uid="{2E898149-5FAC-4CBB-8D73-9D116EC3DC7E}" name="Column1" headerRowDxfId="5433" dataDxfId="5432">
      <calculatedColumnFormula>IF(COUNTIF(B91:B93,"*"&amp;"sling"&amp;"*"),RANDBETWEEN(6,13)&amp;" Sling Bullets"," ")</calculatedColumnFormula>
    </tableColumn>
  </tableColumns>
  <tableStyleInfo name="TableStyleMedium2" showFirstColumn="0" showLastColumn="0" showRowStripes="1" showColumnStripes="0"/>
</table>
</file>

<file path=xl/tables/table4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7" xr:uid="{AFFEB63A-7679-4EB8-B68C-0CA444E6A012}" name="Table306382496838895952368424758" displayName="Table306382496838895952368424758" ref="R106:R107" headerRowCount="0" totalsRowShown="0" headerRowDxfId="5431" dataDxfId="5430" tableBorderDxfId="5429">
  <tableColumns count="1">
    <tableColumn id="1" xr3:uid="{6A5075EE-FF64-4D28-B26C-00DE17E401CA}" name="Column1" headerRowDxfId="5428" dataDxfId="5427">
      <calculatedColumnFormula>IF(COUNTIF(B91:B93,"*"&amp;"longbow"&amp;"*"),RANDBETWEEN(10,24)&amp;" Arrows",IF(COUNTIF(B91:B93,"*"&amp;"shortbow"&amp;"*"),RANDBETWEEN(10,24)&amp;" Arrows",IF(COUNTIF(B91:B93,"*"&amp;"light crossbow"&amp;"*"),RANDBETWEEN(10,24)&amp;" Bolts",IF(COUNTIF(B91:B93,"*"&amp;"hand crossbow"&amp;"*"),RANDBETWEEN(10,24)&amp;" Bolts",IF(COUNTIF(B91:B93,"*"&amp;"heavy crossbow"&amp;"*"),RANDBETWEEN(10,24)&amp;" Bolts"," ")))))</calculatedColumnFormula>
    </tableColumn>
  </tableColumns>
  <tableStyleInfo name="TableStyleMedium2" showFirstColumn="0" showLastColumn="0" showRowStripes="1" showColumnStripes="0"/>
</table>
</file>

<file path=xl/tables/table4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2" xr:uid="{5B1BAE55-E99D-48DA-B303-D0FE15C901E2}" name="Table300376490832889946362418294933" displayName="Table300376490832889946362418294933" ref="B88:T90" headerRowCount="0" totalsRowShown="0" headerRowDxfId="5426" dataDxfId="5425" tableBorderDxfId="5424">
  <tableColumns count="19">
    <tableColumn id="2" xr3:uid="{1A97C7CD-8770-455D-879F-2232268DE2E5}" name="Column2" headerRowDxfId="5423" dataDxfId="5422"/>
    <tableColumn id="3" xr3:uid="{0DF4B629-7A14-4A8D-B091-197EF9A60022}" name="Column3" headerRowDxfId="5421" dataDxfId="5420"/>
    <tableColumn id="4" xr3:uid="{BB0AB299-75FB-4719-A9A7-C59147A0482B}" name="Column4" headerRowDxfId="5419" dataDxfId="5418"/>
    <tableColumn id="5" xr3:uid="{7C438566-D06B-4334-A214-3FDD352B2D6E}" name="Column5" headerRowDxfId="5417" dataDxfId="5416"/>
    <tableColumn id="6" xr3:uid="{937E75FD-72B3-47C8-BB9B-C19FDDA4CC98}" name="Column6" headerRowDxfId="5415" dataDxfId="5414"/>
    <tableColumn id="7" xr3:uid="{D8F2561C-CF82-4FCF-A60C-F41168A30E90}" name="Column7" headerRowDxfId="5413" dataDxfId="5412"/>
    <tableColumn id="8" xr3:uid="{1A987D5F-F6EB-4C25-9573-6D91BE37BB3A}" name="Column8" headerRowDxfId="5411" dataDxfId="5410"/>
    <tableColumn id="9" xr3:uid="{FAFE0B0C-DF33-419A-865E-10CB088A27E0}" name="Column9" headerRowDxfId="5409" dataDxfId="5408"/>
    <tableColumn id="10" xr3:uid="{E845FC29-6C55-4593-B948-256B1CCA3C9D}" name="Column10" headerRowDxfId="5407" dataDxfId="5406"/>
    <tableColumn id="11" xr3:uid="{2312BF74-217E-4E14-A251-B2F1E6EA12CE}" name="Column11" headerRowDxfId="5405" dataDxfId="5404"/>
    <tableColumn id="12" xr3:uid="{DF59B857-63BA-4346-B1FA-1AB9963E9876}" name="Column12" headerRowDxfId="5403" dataDxfId="5402"/>
    <tableColumn id="13" xr3:uid="{870E3EB9-FA9C-425E-B4B8-D38E8FE5DBE4}" name="Column13" headerRowDxfId="5401" dataDxfId="5400"/>
    <tableColumn id="14" xr3:uid="{3A4C5DEF-F6F6-4AAE-8693-FC4934491856}" name="Column14" headerRowDxfId="5399" dataDxfId="5398"/>
    <tableColumn id="15" xr3:uid="{76CA3321-5FEA-4744-95C4-66ECBA553D18}" name="Column15" headerRowDxfId="5397" dataDxfId="5396"/>
    <tableColumn id="16" xr3:uid="{6DF77AB2-38EC-4B7A-9459-A79106D46879}" name="Column16" headerRowDxfId="5395" dataDxfId="5394"/>
    <tableColumn id="17" xr3:uid="{3AE10AE4-81EE-451B-A734-175C772AC92F}" name="Column17" headerRowDxfId="5393" dataDxfId="5392"/>
    <tableColumn id="18" xr3:uid="{E5C05525-2796-4082-8C8D-99016102D8B9}" name="Column18" headerRowDxfId="5391" dataDxfId="5390"/>
    <tableColumn id="19" xr3:uid="{07C1B144-68BB-4243-A12A-885AFD0FC283}" name="Column19" headerRowDxfId="5389" dataDxfId="5388"/>
    <tableColumn id="20" xr3:uid="{14F68BBF-80CC-478F-8697-16A122C5325C}" name="Column20" headerRowDxfId="5387" dataDxfId="5386"/>
  </tableColumns>
  <tableStyleInfo name="TableStyleMedium2" showFirstColumn="0" showLastColumn="0" showRowStripes="1" showColumnStripes="0"/>
</table>
</file>

<file path=xl/tables/table4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3" xr:uid="{82BF2DA6-B485-4AEF-BF3D-C9A3FB9CC993}" name="Table301377491833890947363419301934" displayName="Table301377491833890947363419301934" ref="B91:S100" headerRowCount="0" totalsRowShown="0" headerRowDxfId="5385" dataDxfId="5384" tableBorderDxfId="5383">
  <tableColumns count="18">
    <tableColumn id="2" xr3:uid="{57FCCDA2-EE86-471D-827A-79A7DA03495C}" name="Column2" headerRowDxfId="5382" dataDxfId="5381"/>
    <tableColumn id="3" xr3:uid="{6A460ED6-7C64-4C8A-A13A-05E5FA1649E0}" name="Column3" headerRowDxfId="5380" dataDxfId="5379"/>
    <tableColumn id="4" xr3:uid="{6216162A-7696-43D1-BC39-99AFDDC5B46E}" name="Column4" headerRowDxfId="5378" dataDxfId="5377"/>
    <tableColumn id="5" xr3:uid="{6F175592-C376-41ED-8B1E-1A6A8E2919C2}" name="Column5" headerRowDxfId="5376" dataDxfId="5375"/>
    <tableColumn id="6" xr3:uid="{EEF6833E-86D7-4E81-97F0-407BC8D83B77}" name="Column6" headerRowDxfId="5374" dataDxfId="5373"/>
    <tableColumn id="7" xr3:uid="{E5826688-ACA9-4FB6-8BDE-2173CEBF548E}" name="Column7" headerRowDxfId="5372" dataDxfId="5371"/>
    <tableColumn id="8" xr3:uid="{19C0746B-466E-4C3B-A6C1-C23169074680}" name="Column8" headerRowDxfId="5370" dataDxfId="5369"/>
    <tableColumn id="9" xr3:uid="{1A9652AB-B94A-4421-BE5E-A23BD841B893}" name="Column9" headerRowDxfId="5368" dataDxfId="5367"/>
    <tableColumn id="10" xr3:uid="{E58615CE-EDFF-4BF9-85B8-673FD1B4A04D}" name="Column10" headerRowDxfId="5366" dataDxfId="5365"/>
    <tableColumn id="11" xr3:uid="{7256BD83-F7B9-447C-8698-B3D314919CC6}" name="Column11" headerRowDxfId="5364" dataDxfId="5363"/>
    <tableColumn id="12" xr3:uid="{51DCA7A2-328C-46DF-8615-0554E649A26B}" name="Column12" headerRowDxfId="5362" dataDxfId="5361"/>
    <tableColumn id="13" xr3:uid="{32AE704C-46AC-43DE-A2BF-F9CA782D2A6C}" name="Column13" headerRowDxfId="5360" dataDxfId="5359"/>
    <tableColumn id="14" xr3:uid="{99045CE5-5516-4074-A519-1F44CF6471ED}" name="Column14" headerRowDxfId="5358" dataDxfId="5357"/>
    <tableColumn id="15" xr3:uid="{98CFF3A7-31CE-4334-9DA5-4867F6000508}" name="Column15" headerRowDxfId="5356" dataDxfId="5355"/>
    <tableColumn id="16" xr3:uid="{7F64D7DF-0CB5-40F4-8DB4-B38B9BB6FEDF}" name="Column16" headerRowDxfId="5354" dataDxfId="5353"/>
    <tableColumn id="17" xr3:uid="{4DF20160-DC00-44B6-8C2A-9F88FA20D488}" name="Column17" headerRowDxfId="5352" dataDxfId="5351"/>
    <tableColumn id="18" xr3:uid="{2AB50BC5-5A7B-4FA1-8563-3AD418F79285}" name="Column18" headerRowDxfId="5350" dataDxfId="5349"/>
    <tableColumn id="19" xr3:uid="{09FAD62A-C36B-4E0B-AEE1-51E3894041E0}" name="Column19" headerRowDxfId="5348" dataDxfId="5347"/>
  </tableColumns>
  <tableStyleInfo name="TableStyleMedium2" showFirstColumn="0" showLastColumn="0" showRowStripes="1" showColumnStripes="0"/>
</table>
</file>

<file path=xl/tables/table4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8" xr:uid="{CE7805D9-59C9-4DF2-B646-7FC47A80390E}" name="Table4832644078283989661369759" displayName="Table4832644078283989661369759" ref="B113:R116" headerRowCount="0" totalsRowShown="0" headerRowDxfId="5346" dataDxfId="5345">
  <tableColumns count="17">
    <tableColumn id="2" xr3:uid="{3CCE8681-EF01-4C79-AB48-AA4D09B2D446}" name="Column1" headerRowDxfId="5344" dataDxfId="5343"/>
    <tableColumn id="3" xr3:uid="{78A55E4D-6679-4A89-B1DF-8F1EE9833038}" name="Column2" headerRowDxfId="5342" dataDxfId="5341"/>
    <tableColumn id="4" xr3:uid="{1CE3090C-60BD-4C72-AA27-5FFE36AAB05F}" name="Column3" headerRowDxfId="5340" dataDxfId="5339"/>
    <tableColumn id="5" xr3:uid="{39C60CB2-BD31-45A7-9CBC-13BCF9B5E923}" name="Column4" headerRowDxfId="5338" dataDxfId="5337"/>
    <tableColumn id="6" xr3:uid="{8F869FE7-2F07-4546-9310-8E371BCD3F03}" name="Column5" headerRowDxfId="5336" dataDxfId="5335"/>
    <tableColumn id="7" xr3:uid="{9822E745-A55C-4182-9DBB-B9937D965255}" name="Column6" headerRowDxfId="5334" dataDxfId="5333"/>
    <tableColumn id="8" xr3:uid="{D121B213-C998-49FD-8837-41AF53ABE5E5}" name="Column7" headerRowDxfId="5332" dataDxfId="5331"/>
    <tableColumn id="9" xr3:uid="{1395E111-7FDC-4D8F-B4C8-899A0F58FFC5}" name="Column8" headerRowDxfId="5330" dataDxfId="5329"/>
    <tableColumn id="10" xr3:uid="{7C88CAB2-AE72-4A45-94D2-7EBC58C4A36D}" name="Column9" headerRowDxfId="5328" dataDxfId="5327"/>
    <tableColumn id="11" xr3:uid="{E4007280-7C51-4240-B042-B0B65076EF58}" name="Column10" headerRowDxfId="5326" dataDxfId="5325"/>
    <tableColumn id="12" xr3:uid="{56C33C2F-D9B9-4A5E-8377-543E0EBB687F}" name="Column11" headerRowDxfId="5324" dataDxfId="5323"/>
    <tableColumn id="13" xr3:uid="{E81133B3-2211-46C8-8ED1-E6D9C3949832}" name="Column12" headerRowDxfId="5322" dataDxfId="5321"/>
    <tableColumn id="14" xr3:uid="{817D7B20-B423-482A-8383-81228D3EF349}" name="Column13" headerRowDxfId="5320" dataDxfId="5319"/>
    <tableColumn id="15" xr3:uid="{3179A88E-8D72-4A41-AD7B-510509187A64}" name="Cantrip" headerRowDxfId="5318" dataDxfId="5317"/>
    <tableColumn id="16" xr3:uid="{E0120B6D-8995-455B-A911-971E62A6832D}" name="1st Level" headerRowDxfId="5316" dataDxfId="5315"/>
    <tableColumn id="17" xr3:uid="{9C401EFC-389A-4991-849C-071E5B7E055C}" name="2nd Level" headerRowDxfId="5314" dataDxfId="5313"/>
    <tableColumn id="1" xr3:uid="{A73C0677-B404-455E-83B9-26EF3A5BF8BD}" name="Column14" headerRowDxfId="5312" dataDxfId="5311"/>
  </tableColumns>
  <tableStyleInfo name="TableStyleMedium2" showFirstColumn="0" showLastColumn="0" showRowStripes="1" showColumnStripes="0"/>
</table>
</file>

<file path=xl/tables/table4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9" xr:uid="{F1FFC419-6A6D-464A-B790-8990D3A6425F}" name="Table4932744178384089762370760" displayName="Table4932744178384089762370760" ref="B120:T129" headerRowCount="0" headerRowDxfId="5310" dataDxfId="5309" totalsRowDxfId="5308">
  <tableColumns count="19">
    <tableColumn id="2" xr3:uid="{7BB410B1-4496-44B2-89B2-1E7472FD77A6}" name="Column1" headerRowDxfId="5307" dataDxfId="5306"/>
    <tableColumn id="3" xr3:uid="{57623CE6-838D-4A75-8A31-63154F02211D}" name="Column2" headerRowDxfId="5305" dataDxfId="5304" totalsRowDxfId="5303"/>
    <tableColumn id="4" xr3:uid="{74F8010C-2C1E-4C57-9148-758EEFD7E554}" name="Column3" headerRowDxfId="5302" dataDxfId="5301" totalsRowDxfId="5300"/>
    <tableColumn id="5" xr3:uid="{5C4D3B6F-6F36-4C37-88F7-9CF4675E2B12}" name="Column4" headerRowDxfId="5299" dataDxfId="5298" totalsRowDxfId="5297"/>
    <tableColumn id="6" xr3:uid="{EA588B69-26E7-44E4-876B-8BF22881636E}" name="Column5" headerRowDxfId="5296" dataDxfId="5295" totalsRowDxfId="5294"/>
    <tableColumn id="7" xr3:uid="{8CBDEFC4-E57F-4D7D-B3EE-1A5993DED48F}" name="Column6" headerRowDxfId="5293" dataDxfId="5292" totalsRowDxfId="5291"/>
    <tableColumn id="8" xr3:uid="{72F6CD81-5EE9-4D7D-ACE6-943177C72594}" name="Column7" headerRowDxfId="5290" dataDxfId="5289" totalsRowDxfId="5288"/>
    <tableColumn id="9" xr3:uid="{6F156BD2-76BB-4CAC-A642-2B8972DDDC19}" name="Column8" headerRowDxfId="5287" dataDxfId="5286" totalsRowDxfId="5285"/>
    <tableColumn id="10" xr3:uid="{69577690-457F-4947-849A-7BB88600D222}" name="Column9" headerRowDxfId="5284" dataDxfId="5283" totalsRowDxfId="5282"/>
    <tableColumn id="11" xr3:uid="{88A4B919-3693-4570-AA10-1E4E2CE4565D}" name="Column10" headerRowDxfId="5281" dataDxfId="5280" totalsRowDxfId="5279"/>
    <tableColumn id="12" xr3:uid="{4B3CB05E-CA00-4559-B4E9-6BD9C8DD4B0D}" name="Column11" headerRowDxfId="5278" dataDxfId="5277" totalsRowDxfId="5276"/>
    <tableColumn id="13" xr3:uid="{8E2EF8B2-64DA-4BE6-868F-13DD997B469D}" name="Column12" headerRowDxfId="5275" dataDxfId="5274" totalsRowDxfId="5273"/>
    <tableColumn id="14" xr3:uid="{771C4FCC-61F1-4331-9C8B-6F07A3434F1E}" name="Column13" headerRowDxfId="5272" dataDxfId="5271" totalsRowDxfId="5270"/>
    <tableColumn id="15" xr3:uid="{F36C16E4-6B21-4E71-B01D-F01AB42B113C}" name="Cantrip" headerRowDxfId="5269" dataDxfId="5268"/>
    <tableColumn id="16" xr3:uid="{96A857E6-1AE1-49E3-93D5-5E505C1B15EA}" name="1st Level" headerRowDxfId="5267" dataDxfId="5266"/>
    <tableColumn id="17" xr3:uid="{A2996DDD-F4A1-4C1D-A658-1F1687C2CBC8}" name="2nd Level" headerRowDxfId="5265" dataDxfId="5264"/>
    <tableColumn id="18" xr3:uid="{C37E2031-A6CA-4FBA-B949-B1632A439110}" name="3rd Level" headerRowDxfId="5263" dataDxfId="5262"/>
    <tableColumn id="19" xr3:uid="{4EEB3AC3-9063-4433-8219-993772F9E24E}" name="4th Level" headerRowDxfId="5261" dataDxfId="5260"/>
    <tableColumn id="1" xr3:uid="{4B35CE5B-06A8-4310-A8FF-75072949E863}" name="Column14" headerRowDxfId="5259" dataDxfId="5258" totalsRowDxfId="5257"/>
  </tableColumns>
  <tableStyleInfo name="TableStyleMedium2" showFirstColumn="0" showLastColumn="0" showRowStripes="1" showColumnStripes="0"/>
</table>
</file>

<file path=xl/tables/table4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0" xr:uid="{3317505B-3992-4567-A7CB-DD43929B8A7D}" name="Table62328442784841898268371761" displayName="Table62328442784841898268371761" ref="B171:T202" headerRowCount="0" headerRowDxfId="5256" dataDxfId="5255" totalsRowDxfId="5253" tableBorderDxfId="5254">
  <tableColumns count="19">
    <tableColumn id="2" xr3:uid="{1703CD52-FF5F-4F8D-91BC-22D01AABC135}" name="Column2" headerRowDxfId="5252" dataDxfId="5251" totalsRowDxfId="5250"/>
    <tableColumn id="3" xr3:uid="{F3E867C3-3D3C-4720-9E5A-75E89AB7B24A}" name="Column3" headerRowDxfId="5249" dataDxfId="5248" totalsRowDxfId="5247"/>
    <tableColumn id="4" xr3:uid="{BD118DF5-14A5-4121-8749-58002D092D45}" name="Column4" headerRowDxfId="5246" dataDxfId="5245" totalsRowDxfId="5244"/>
    <tableColumn id="5" xr3:uid="{50935941-6D49-4D85-82B3-5FFD98F02203}" name="Column5" headerRowDxfId="5243" dataDxfId="5242" totalsRowDxfId="5241"/>
    <tableColumn id="6" xr3:uid="{49679CF0-FA6A-496E-927C-0BC069048EB3}" name="Column6" headerRowDxfId="5240" dataDxfId="5239" totalsRowDxfId="5238"/>
    <tableColumn id="7" xr3:uid="{428BFC0F-823A-40C6-B783-ABA84CBEDBDA}" name="Column7" headerRowDxfId="5237" dataDxfId="5236" totalsRowDxfId="5235"/>
    <tableColumn id="8" xr3:uid="{AFD58F60-2C3F-42D4-8589-A3879D33B469}" name="Column8" headerRowDxfId="5234" dataDxfId="5233" totalsRowDxfId="5232"/>
    <tableColumn id="9" xr3:uid="{7C1CFF30-9440-46C2-AC38-88A34CACA658}" name="Column9" headerRowDxfId="5231" dataDxfId="5230" totalsRowDxfId="5229"/>
    <tableColumn id="10" xr3:uid="{158AA844-013A-4DC1-8C6B-7B63E121CA91}" name="Column10" headerRowDxfId="5228" dataDxfId="5227" totalsRowDxfId="5226"/>
    <tableColumn id="11" xr3:uid="{3B9F0C49-8777-4F95-B6B5-D74A0617C2F8}" name="Column11" headerRowDxfId="5225" dataDxfId="5224" totalsRowDxfId="5223"/>
    <tableColumn id="12" xr3:uid="{C981B390-DF43-4C9B-94E5-82CF3387706F}" name="Column12" headerRowDxfId="5222" dataDxfId="5221" totalsRowDxfId="5220"/>
    <tableColumn id="13" xr3:uid="{7CA341B4-B4A5-41B6-9B84-99642D2F5307}" name="Column13" headerRowDxfId="5219" dataDxfId="5218" totalsRowDxfId="5217"/>
    <tableColumn id="14" xr3:uid="{16A0EC95-ADAC-4F40-A027-C96A4FC3AB86}" name="Column14" headerRowDxfId="5216" dataDxfId="5215" totalsRowDxfId="5214"/>
    <tableColumn id="15" xr3:uid="{952F2E94-F22E-4312-A5E5-A1F9C56E95B2}" name="Column15" headerRowDxfId="5213" dataDxfId="5212" totalsRowDxfId="5211"/>
    <tableColumn id="16" xr3:uid="{B273F48B-5E75-45FE-9F1C-D20B7517C469}" name="Column16" headerRowDxfId="5210" dataDxfId="5209" totalsRowDxfId="5208"/>
    <tableColumn id="17" xr3:uid="{E7422C91-6EE5-47E4-9B35-0167F61290F7}" name="Column17" headerRowDxfId="5207" dataDxfId="5206" totalsRowDxfId="5205"/>
    <tableColumn id="18" xr3:uid="{1ABC54E2-0E12-4303-96DE-0CCABF73DA17}" name="Column18" headerRowDxfId="5204" dataDxfId="5203" totalsRowDxfId="5202"/>
    <tableColumn id="19" xr3:uid="{1D82ABA2-7551-4AE3-A9E6-2AA6C8135205}" name="Column19" headerRowDxfId="5201" dataDxfId="5200" totalsRowDxfId="5199"/>
    <tableColumn id="1" xr3:uid="{BA881356-C1DF-42AE-9154-5931F196FB84}" name="Column1" headerRowDxfId="5198" dataDxfId="5197" totalsRowDxfId="5196"/>
  </tableColumns>
  <tableStyleInfo name="TableStyleMedium2" showFirstColumn="0" showLastColumn="0" showRowStripes="1" showColumnStripes="0"/>
</table>
</file>

<file path=xl/tables/table4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1" xr:uid="{76880A0B-6493-4D91-BC54-25645D2C6AEC}" name="Table64329443785842899270372762" displayName="Table64329443785842899270372762" ref="B307:T324" headerRowCount="0" totalsRowShown="0" headerRowDxfId="5195" dataDxfId="5194">
  <tableColumns count="19">
    <tableColumn id="2" xr3:uid="{6102D4BB-088F-4C55-81B6-18190E363FF4}" name="Column2" headerRowDxfId="5193" dataDxfId="5192"/>
    <tableColumn id="3" xr3:uid="{82FDF947-A4B7-4614-AFB2-8A4E545F2298}" name="Column3" headerRowDxfId="5191" dataDxfId="5190"/>
    <tableColumn id="4" xr3:uid="{84C7634C-892F-4596-9D0A-7FED9C63AD25}" name="Column4" headerRowDxfId="5189" dataDxfId="5188"/>
    <tableColumn id="5" xr3:uid="{DC029670-454D-4578-88A1-6A54985C514C}" name="Column5" headerRowDxfId="5187" dataDxfId="5186"/>
    <tableColumn id="6" xr3:uid="{E684B2A3-84A9-4329-9BE0-753224226F78}" name="Column6" headerRowDxfId="5185" dataDxfId="5184"/>
    <tableColumn id="7" xr3:uid="{4BF94BC9-0920-4152-A344-6E65293F9954}" name="Column7" headerRowDxfId="5183" dataDxfId="5182"/>
    <tableColumn id="8" xr3:uid="{8EA6C2DE-7192-4AB9-817F-6280430C141F}" name="Column8" headerRowDxfId="5181" dataDxfId="5180"/>
    <tableColumn id="9" xr3:uid="{112E5ABA-8FB0-4526-B930-914F1389C813}" name="Column9" headerRowDxfId="5179" dataDxfId="5178"/>
    <tableColumn id="10" xr3:uid="{184F04A3-DAB1-41EB-9F72-0D512CE612B8}" name="Column10" headerRowDxfId="5177" dataDxfId="5176"/>
    <tableColumn id="11" xr3:uid="{55731C01-EDC0-4909-B3AB-499FF03A25F2}" name="Column11" headerRowDxfId="5175" dataDxfId="5174"/>
    <tableColumn id="12" xr3:uid="{E6644073-7D93-4DA3-AEEA-A5A80833F85C}" name="Column12" headerRowDxfId="5173" dataDxfId="5172"/>
    <tableColumn id="13" xr3:uid="{0B8C1C1B-8216-4BDE-B968-147CA3DEF14E}" name="Column13" headerRowDxfId="5171" dataDxfId="5170"/>
    <tableColumn id="14" xr3:uid="{56CB1559-7A0E-4187-8764-724A5139EFCB}" name="Column14" headerRowDxfId="5169" dataDxfId="5168"/>
    <tableColumn id="15" xr3:uid="{661E8E00-C4BD-47C3-BF69-5CD6E49AC1F7}" name="Column15" headerRowDxfId="5167" dataDxfId="5166"/>
    <tableColumn id="16" xr3:uid="{3C6C1D0D-23E9-4A8D-AA03-A8B3E888381E}" name="Column16" headerRowDxfId="5165" dataDxfId="5164">
      <calculatedColumnFormula>IF($Q$324&gt;=O322,INDEX('Spell Tables'!$T$242:$T$271,MATCH(O322,('Spell Tables'!$R$242:$R$271),0))," ")</calculatedColumnFormula>
    </tableColumn>
    <tableColumn id="17" xr3:uid="{7F6EE68D-0CEA-486C-881A-2739D0B50C31}" name="Column17" headerRowDxfId="5163" dataDxfId="5162">
      <calculatedColumnFormula>IF($R$324&gt;=O322,INDEX('Spell Tables'!$X$242:$X$275,MATCH(O322,('Spell Tables'!$V$242:$V$275),0))," ")</calculatedColumnFormula>
    </tableColumn>
    <tableColumn id="18" xr3:uid="{4A0BB408-D9F2-407C-BF45-3C99EDD80406}" name="Column18" headerRowDxfId="5161" dataDxfId="5160"/>
    <tableColumn id="19" xr3:uid="{D29ECB94-10FC-4C29-B016-44F02A29D62B}" name="Column19" headerRowDxfId="5159" dataDxfId="5158"/>
    <tableColumn id="20" xr3:uid="{DE40B47D-928C-49CF-AA3A-108F34BDB61A}" name="Column20" headerRowDxfId="5157" dataDxfId="5156">
      <calculatedColumnFormula>IF($S$309&gt;=O307,INDEX('Spell Tables'!$AF$242:$AF$264,MATCH(O307,('Spell Tables'!$AD$242:$AD$264),0)),IF(AND($Q$11="wizard",$S$312&gt;=O307),INDEX('Spell Tables'!$AF$242:$AF$264,MATCH(O307,('Spell Tables'!$AD$242:$AD$264),0))," "))</calculatedColumnFormula>
    </tableColumn>
  </tableColumns>
  <tableStyleInfo name="TableStyleMedium2" showFirstColumn="0" showLastColumn="0" showRowStripes="1" showColumnStripes="0"/>
</table>
</file>

<file path=xl/tables/table4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2" xr:uid="{253C4EFB-83F2-4EF8-AD9E-9CC23AE21E1C}" name="Table4967330444786843900309373763" displayName="Table4967330444786843900309373763" ref="B146:T155" headerRowCount="0" headerRowDxfId="5155" dataDxfId="5154" totalsRowDxfId="5153">
  <tableColumns count="19">
    <tableColumn id="2" xr3:uid="{A34F01CB-8EFD-4302-84BA-8ECDF2F82579}" name="Column1" headerRowDxfId="5152" dataDxfId="5151" totalsRowDxfId="5150"/>
    <tableColumn id="3" xr3:uid="{737D1936-18B9-43DF-96DF-7996399AB0D8}" name="Column2" headerRowDxfId="5149" dataDxfId="5148" totalsRowDxfId="5147"/>
    <tableColumn id="4" xr3:uid="{A75E9A7A-4294-40E0-A628-8E616865098F}" name="Column3" headerRowDxfId="5146" dataDxfId="5145" totalsRowDxfId="5144"/>
    <tableColumn id="5" xr3:uid="{AA603EA3-F217-4D47-A9EB-A611FBB47CA1}" name="Column4" headerRowDxfId="5143" dataDxfId="5142" totalsRowDxfId="5141"/>
    <tableColumn id="6" xr3:uid="{38D5E0E4-2849-4145-BD28-BEE6525A61EB}" name="Column5" headerRowDxfId="5140" dataDxfId="5139" totalsRowDxfId="5138"/>
    <tableColumn id="7" xr3:uid="{1DF7DDB0-6AC3-44B3-8A30-49088B2B375E}" name="Column6" headerRowDxfId="5137" dataDxfId="5136" totalsRowDxfId="5135"/>
    <tableColumn id="8" xr3:uid="{CA7D23FD-2A30-4AF4-AB46-F3B7B6210E39}" name="Column7" headerRowDxfId="5134" dataDxfId="5133" totalsRowDxfId="5132"/>
    <tableColumn id="9" xr3:uid="{4B023C92-DF51-4D81-A562-288B1A8871B4}" name="Column8" headerRowDxfId="5131" dataDxfId="5130" totalsRowDxfId="5129"/>
    <tableColumn id="10" xr3:uid="{5DBAD5F8-59EB-4F35-A9A9-CEC2FA398F58}" name="Column9" headerRowDxfId="5128" dataDxfId="5127" totalsRowDxfId="5126"/>
    <tableColumn id="11" xr3:uid="{898AA1E7-9569-4F2E-B10B-22075B99DD99}" name="Column10" headerRowDxfId="5125" dataDxfId="5124" totalsRowDxfId="5123"/>
    <tableColumn id="12" xr3:uid="{96B0E16B-38B0-40CC-85A6-5D1F4164DFD1}" name="Column11" headerRowDxfId="5122" dataDxfId="5121" totalsRowDxfId="5120"/>
    <tableColumn id="13" xr3:uid="{39C6C5F4-DFE2-4B1E-BE78-C4EBC52211C2}" name="Column12" headerRowDxfId="5119" dataDxfId="5118" totalsRowDxfId="5117"/>
    <tableColumn id="14" xr3:uid="{BFF89A9B-A18F-46A1-B134-B94B1C86877B}" name="Column13" headerRowDxfId="5116" dataDxfId="5115" totalsRowDxfId="5114"/>
    <tableColumn id="15" xr3:uid="{50816B94-ABE8-4AD9-8F56-B9AD67FE430F}" name="Cantrip" headerRowDxfId="5113" dataDxfId="5112" totalsRowDxfId="5111"/>
    <tableColumn id="16" xr3:uid="{6C2C9833-46ED-4827-AFA3-3BA459073BAD}" name="1st Level" headerRowDxfId="5110" dataDxfId="5109" totalsRowDxfId="5108"/>
    <tableColumn id="17" xr3:uid="{FEC7E06C-EA13-4930-8A55-221A40BEF3E4}" name="2nd Level" totalsRowFunction="custom" headerRowDxfId="5107" dataDxfId="5106" totalsRowDxfId="5105">
      <totalsRowFormula>IF(R15="way of the shadow","Silence"," ")</totalsRowFormula>
    </tableColumn>
    <tableColumn id="18" xr3:uid="{DAF837F8-27EB-4609-90BE-E5A0E8493FE9}" name="3rd Level" headerRowDxfId="5104" dataDxfId="5103" totalsRowDxfId="5102"/>
    <tableColumn id="19" xr3:uid="{CCA0B3A1-9BB2-40C4-A77B-B1FDD0DAD38E}" name="4th Level" headerRowDxfId="5101" dataDxfId="5100" totalsRowDxfId="5099"/>
    <tableColumn id="1" xr3:uid="{11760012-17DB-4D6E-8C49-4CA7429BA80F}" name="Column14" headerRowDxfId="5098" dataDxfId="5097" totalsRowDxfId="5096"/>
  </tableColumns>
  <tableStyleInfo name="TableStyleMedium2" showFirstColumn="0" showLastColumn="0" showRowStripes="1" showColumnStripes="0"/>
</table>
</file>

<file path=xl/tables/table4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3" xr:uid="{5332AFA9-52FB-4C9A-A90C-06545C6E83CC}" name="Table69331445787844901310374764" displayName="Table69331445787844901310374764" ref="BN26:BS43" headerRowCount="0" totalsRowShown="0" headerRowDxfId="5095" dataDxfId="5094">
  <tableColumns count="6">
    <tableColumn id="1" xr3:uid="{669BD428-DA1F-46A7-BA51-CA928565063D}" name="Column1" headerRowDxfId="5093" dataDxfId="5092">
      <calculatedColumnFormula>_xlfn.RANK.EQ(BO26,$BO$26:$BO$43)</calculatedColumnFormula>
    </tableColumn>
    <tableColumn id="2" xr3:uid="{8749C56F-62FB-4A0D-9785-F4864FC69C6E}" name="Column2" headerRowDxfId="5091" dataDxfId="5090"/>
    <tableColumn id="3" xr3:uid="{2F43FC0C-E608-4011-B6C7-3A4B631D0FB6}" name="Column3" headerRowDxfId="5089" dataDxfId="5088">
      <calculatedColumnFormula>IF(OR(BM6&gt;=1,AV6&gt;=1),AH6," ")</calculatedColumnFormula>
    </tableColumn>
    <tableColumn id="4" xr3:uid="{57BE4FA9-A513-472C-8B4C-AEB4AB1F4C60}" name="Column4" headerRowDxfId="5087" dataDxfId="5086"/>
    <tableColumn id="5" xr3:uid="{773ADEDF-A0D9-4C85-83F9-A76C874CE46A}" name="Column5" headerRowDxfId="5085" dataDxfId="5084">
      <calculatedColumnFormula>_xlfn.RANK.EQ(BS26,$BS$26:$BS$43)</calculatedColumnFormula>
    </tableColumn>
    <tableColumn id="6" xr3:uid="{C1D61AE8-164E-4EF8-B60E-25A91F83B137}" name="Column6" headerRowDxfId="5083" dataDxfId="5082">
      <calculatedColumnFormula>IF(BO26=0,RAND(),0)</calculatedColumnFormula>
    </tableColumn>
  </tableColumns>
  <tableStyleInfo name="TableStyleMedium2" showFirstColumn="0" showLastColumn="0" showRowStripes="1" showColumnStripes="0"/>
</table>
</file>

<file path=xl/tables/table4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4" xr:uid="{47EF4556-569F-4195-BF17-C944E5FF935D}" name="Table70332446788845902311375765" displayName="Table70332446788845902311375765" ref="BU26:BZ29" headerRowCount="0" totalsRowShown="0" headerRowDxfId="5081" dataDxfId="5080">
  <tableColumns count="6">
    <tableColumn id="1" xr3:uid="{1E4A0737-085A-405E-A746-DA52DC21E5FD}" name="Column1" headerRowDxfId="5079" dataDxfId="5078">
      <calculatedColumnFormula>_xlfn.RANK.EQ(BV26,$BV$26:$BV$29)</calculatedColumnFormula>
    </tableColumn>
    <tableColumn id="2" xr3:uid="{A772CCDD-FC9B-4E61-97D5-3CD5CD76E09B}" name="Column2" headerRowDxfId="5077" dataDxfId="5076"/>
    <tableColumn id="3" xr3:uid="{59190F17-EF99-4834-B5FD-3DEE4520EE59}" name="Column3" headerRowDxfId="5075" dataDxfId="5074"/>
    <tableColumn id="4" xr3:uid="{66170206-74FB-473A-8669-94BE75946969}" name="Column4" headerRowDxfId="5073" dataDxfId="5072"/>
    <tableColumn id="5" xr3:uid="{AD66596D-F72C-4E57-9852-DC094985B1BF}" name="Column5" headerRowDxfId="5071" dataDxfId="5070">
      <calculatedColumnFormula>_xlfn.RANK.EQ(BZ26,$BZ$26:$BZ$29)</calculatedColumnFormula>
    </tableColumn>
    <tableColumn id="6" xr3:uid="{68FDCC45-2235-40BB-AF26-C89AEF9F8576}" name="Column6" headerRowDxfId="5069" dataDxfId="5068">
      <calculatedColumnFormula>IF(BV26=0,RAND(),0)</calculatedColumnFormula>
    </tableColumn>
  </tableColumns>
  <tableStyleInfo name="TableStyleMedium2" showFirstColumn="0" showLastColumn="0" showRowStripes="1" showColumnStripes="0"/>
</table>
</file>

<file path=xl/tables/table4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5" xr:uid="{D3D9A7D6-1F81-4AEB-A0E8-AD7BF36CEDA3}" name="Table72333447789846903312376766" displayName="Table72333447789846903312376766" ref="BU30:BZ32" headerRowCount="0" totalsRowShown="0" headerRowDxfId="5067" dataDxfId="5066">
  <tableColumns count="6">
    <tableColumn id="1" xr3:uid="{53BFBEF3-7DBB-42E8-9E43-ED36DA7927F5}" name="Column1" headerRowDxfId="5065" dataDxfId="5064">
      <calculatedColumnFormula>_xlfn.RANK.EQ(BV30,$BV$30:$BV$32)</calculatedColumnFormula>
    </tableColumn>
    <tableColumn id="2" xr3:uid="{9A3EA319-3962-4748-A2C3-7AD7677ADB49}" name="Column2" headerRowDxfId="5063" dataDxfId="5062"/>
    <tableColumn id="3" xr3:uid="{A1C3B10F-B720-4570-9674-BB527D7AE5CF}" name="Column3" headerRowDxfId="5061" dataDxfId="5060"/>
    <tableColumn id="4" xr3:uid="{805BCABB-5363-4AF2-84BF-218B4877EC5C}" name="Column4" headerRowDxfId="5059" dataDxfId="5058"/>
    <tableColumn id="5" xr3:uid="{27B0EDF3-76D9-4772-9063-7C917435C482}" name="Column5" headerRowDxfId="5057" dataDxfId="5056">
      <calculatedColumnFormula>_xlfn.RANK.EQ(BZ30,$BZ$30:$BZ$32)</calculatedColumnFormula>
    </tableColumn>
    <tableColumn id="6" xr3:uid="{943D7A1D-CF2D-4FF7-B994-ABEFBD266267}" name="Column6" headerRowDxfId="5055" dataDxfId="5054">
      <calculatedColumnFormula>IF(BV30=0,RAND(),0)</calculatedColumnFormula>
    </tableColumn>
  </tableColumns>
  <tableStyleInfo name="TableStyleMedium2" showFirstColumn="0" showLastColumn="0" showRowStripes="1" showColumnStripes="0"/>
</table>
</file>

<file path=xl/tables/table4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6" xr:uid="{2CAECF74-F21A-4A29-94B7-C5CE6A70BF1A}" name="Table60334448790847904313377767" displayName="Table60334448790847904313377767" ref="B240:T271" headerRowCount="0" totalsRowShown="0" headerRowDxfId="5053" dataDxfId="5052" tableBorderDxfId="5051">
  <tableColumns count="19">
    <tableColumn id="3" xr3:uid="{37E4022E-E432-4D00-AA01-A4AFC9766AE1}" name="Column3" headerRowDxfId="5050" dataDxfId="5049"/>
    <tableColumn id="4" xr3:uid="{B89B99C1-A614-4A6F-A042-FAFB6A6F7B01}" name="Column4" headerRowDxfId="5048" dataDxfId="5047"/>
    <tableColumn id="5" xr3:uid="{1E460339-427D-4194-BA4B-A7395662C717}" name="Column5" headerRowDxfId="5046" dataDxfId="5045"/>
    <tableColumn id="6" xr3:uid="{6B7EFAD7-C86E-4299-8BD8-AD1B872A2CED}" name="Column6" headerRowDxfId="5044" dataDxfId="5043"/>
    <tableColumn id="7" xr3:uid="{9197BA44-A1AA-418E-940A-A7C08865BF22}" name="Column7" headerRowDxfId="5042" dataDxfId="5041"/>
    <tableColumn id="8" xr3:uid="{8A7755C5-03FD-491F-A59D-B3AAC4EE364B}" name="Column8" headerRowDxfId="5040" dataDxfId="5039"/>
    <tableColumn id="9" xr3:uid="{0F5088F9-D02F-43DB-BCB7-16C84663A892}" name="Column9" headerRowDxfId="5038" dataDxfId="5037"/>
    <tableColumn id="10" xr3:uid="{79FB3FCD-0967-49E5-916F-F608C50F3B92}" name="Column10" headerRowDxfId="5036" dataDxfId="5035"/>
    <tableColumn id="11" xr3:uid="{067FE524-1740-4FD4-995A-B3787A2AB654}" name="Column11" headerRowDxfId="5034" dataDxfId="5033"/>
    <tableColumn id="12" xr3:uid="{9CFD128C-F7B6-4CC9-838D-099D1CA91EB9}" name="Column12" headerRowDxfId="5032" dataDxfId="5031"/>
    <tableColumn id="13" xr3:uid="{13A0EA5C-290E-4AAE-AAFF-33B942EC14C1}" name="Column13" headerRowDxfId="5030" dataDxfId="5029"/>
    <tableColumn id="14" xr3:uid="{B9AC22F1-9A0F-400B-B950-B1C2B3DEEC6C}" name="Column14" headerRowDxfId="5028" dataDxfId="5027"/>
    <tableColumn id="15" xr3:uid="{03E971FC-1FDE-4C89-ABF4-C601DD3C7908}" name="Column15" headerRowDxfId="5026" dataDxfId="5025"/>
    <tableColumn id="2" xr3:uid="{DEB7E955-334D-41AA-9F12-E8C4FD5C274F}" name="Column2" headerRowDxfId="5024" dataDxfId="5023"/>
    <tableColumn id="16" xr3:uid="{579B1B66-1276-44B6-8DD9-7B48229C5A50}" name="Column16" headerRowDxfId="5022" dataDxfId="5021"/>
    <tableColumn id="17" xr3:uid="{688D9960-217D-4EBC-AD28-9E46920F24F3}" name="Column17" headerRowDxfId="5020" dataDxfId="5019"/>
    <tableColumn id="18" xr3:uid="{49E08B5C-8DF6-4C48-9CF6-CE84A3FB7413}" name="Column18" headerRowDxfId="5018" dataDxfId="5017"/>
    <tableColumn id="19" xr3:uid="{C1428A03-F427-4858-A380-382065F76D24}" name="Column19" headerRowDxfId="5016" dataDxfId="5015"/>
    <tableColumn id="20" xr3:uid="{1FC987C8-3D5F-456F-B50E-5D68DD97F23F}" name="Column20" headerRowDxfId="5014" dataDxfId="5013">
      <calculatedColumnFormula>IF(AND($Q$15="Otherworldly patron - great old one",T$244&gt;=O171),INDEX('Spell Tables'!$AF$226:$AF$231,MATCH(O171,('Spell Tables'!$AD$226:$AD$231),0)),IF(AND($Q$15="Otherworldly patron - fiend",T$244&gt;=O171),INDEX('Spell Tables'!$AF$210:$AF$215,MATCH(O171,('Spell Tables'!$AD$210:$AD$215),0)),IF(AND($Q$15="Otherworldly patron - archfey",T$244&gt;=O171),INDEX('Spell Tables'!$AF$194:$AF$199,MATCH(O171,('Spell Tables'!$AD$194:$AD$199),0)),IF($T$242&gt;=O171,INDEX($AL$80:$AL$89,MATCH(O171,($AJ$80:$AJ$89),0)),IF($T$246&gt;=O171,INDEX('Spell Tables'!$AF$168:$AF$177,MATCH(O171,('Spell Tables'!$AD$168:$AD$177),0)),IF($T$248&gt;=O171,INDEX('Spell Tables'!$AR$141:$AR$144,MATCH(O171,('Spell Tables'!$AP$141:$AP$144),0)),IF($T$250&gt;=O171,INDEX('Spell Tables'!$AB$119:$AB$123,MATCH(O171,('Spell Tables'!$Z$119:$Z$123),0)),IF($T$252&gt;=O171,INDEX('Spell Tables'!$AB$97:$AB$102,MATCH(O171,('Spell Tables'!$Z$97:$Z$102),0)),IF($T$254&gt;=O171,INDEX('Spell Tables'!$AR$70:$AR$75,MATCH(O171,('Spell Tables'!$AP$70:$AP$75),0)),IF($T$256&gt;=O171,INDEX('Spell Tables'!$AF$48:$AF$63,MATCH(O171,('Spell Tables'!$AD$48:$AD$63),0)),IF($T$258&gt;=O171,INDEX('Spell Tables'!$AF$26:$AF$33,MATCH(O171,('Spell Tables'!$AD$26:$AD$33),0)),IF($T$260&gt;=O171,INDEX('Spell Tables'!$AF$2:$AF$9,MATCH(O171,('Spell Tables'!$AD$2:$AD$9),0))," "))))))))))))</calculatedColumnFormula>
    </tableColumn>
  </tableColumns>
  <tableStyleInfo name="TableStyleMedium2" showFirstColumn="0" showLastColumn="0" showRowStripes="1" showColumnStripes="0"/>
</table>
</file>

<file path=xl/tables/table4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7" xr:uid="{5570E28D-8C0F-48C4-980D-E02D96DAAB58}" name="Table200335449791848905314378768" displayName="Table200335449791848905314378768" ref="AJ43:AL53" headerRowCount="0" totalsRowShown="0" headerRowDxfId="5012" dataDxfId="5011">
  <tableColumns count="3">
    <tableColumn id="1" xr3:uid="{86598CDF-012B-4EEC-B05C-530F039A5B09}" name="Column1" headerRowDxfId="5010" dataDxfId="5009"/>
    <tableColumn id="2" xr3:uid="{13280236-50A9-4995-AF19-31FA37A44CC6}" name="Column2" headerRowDxfId="5008" dataDxfId="5007">
      <calculatedColumnFormula>RAND()</calculatedColumnFormula>
    </tableColumn>
    <tableColumn id="3" xr3:uid="{8E16D932-CCCF-4E1F-A95E-B51CB873E7E6}" name="Column3" headerRowDxfId="5006" dataDxfId="5005">
      <calculatedColumnFormula>AN12</calculatedColumnFormula>
    </tableColumn>
  </tableColumns>
  <tableStyleInfo name="TableStyleMedium2" showFirstColumn="0" showLastColumn="0" showRowStripes="1" showColumnStripes="0"/>
</table>
</file>

<file path=xl/tables/table4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8" xr:uid="{187BD071-5ED0-4E57-86D6-AA544DDC9784}" name="Table201336450792849906315379769" displayName="Table201336450792849906315379769" ref="AJ55:AL65" headerRowCount="0" totalsRowShown="0" headerRowDxfId="5004" dataDxfId="5003">
  <tableColumns count="3">
    <tableColumn id="1" xr3:uid="{A66A2B83-E78B-409A-A018-685ED77B0066}" name="Column1" headerRowDxfId="5002" dataDxfId="5001">
      <calculatedColumnFormula>_xlfn.RANK.EQ(AK56,$L$308:$L$320)</calculatedColumnFormula>
    </tableColumn>
    <tableColumn id="2" xr3:uid="{88D1EDE0-E764-441F-A0F5-E2E8E718021A}" name="Column2" headerRowDxfId="5000" dataDxfId="4999">
      <calculatedColumnFormula>IF(AL56=" ", 0,RAND())</calculatedColumnFormula>
    </tableColumn>
    <tableColumn id="3" xr3:uid="{E3C087FE-2176-4BDA-AB2A-84BCAD8494EA}" name="Column3" headerRowDxfId="4998" dataDxfId="4997">
      <calculatedColumnFormula>AO12</calculatedColumnFormula>
    </tableColumn>
  </tableColumns>
  <tableStyleInfo name="TableStyleMedium2" showFirstColumn="0" showLastColumn="0" showRowStripes="1" showColumnStripes="0"/>
</table>
</file>

<file path=xl/tables/table4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9" xr:uid="{7783850F-8638-49AF-8479-C2E5EB841E7D}" name="Table202337451793850907320380770" displayName="Table202337451793850907320380770" ref="AJ67:AL77" headerRowCount="0" totalsRowShown="0" headerRowDxfId="4996" dataDxfId="4995">
  <tableColumns count="3">
    <tableColumn id="1" xr3:uid="{246BFD87-4189-48B4-9E75-006687783A41}" name="Column1" headerRowDxfId="4994" dataDxfId="4993"/>
    <tableColumn id="2" xr3:uid="{7F491DE8-E88A-4BDA-829F-E153A8042195}" name="Column2" headerRowDxfId="4992" dataDxfId="4991">
      <calculatedColumnFormula>IF(AL68=" ", 0,RAND())</calculatedColumnFormula>
    </tableColumn>
    <tableColumn id="3" xr3:uid="{9D45F04F-5967-47FF-A4D4-55FEED0F247A}" name="Column3" headerRowDxfId="4990" dataDxfId="4989">
      <calculatedColumnFormula>AP12</calculatedColumnFormula>
    </tableColumn>
  </tableColumns>
  <tableStyleInfo name="TableStyleMedium2" showFirstColumn="0" showLastColumn="0" showRowStripes="1" showColumnStripes="0"/>
</table>
</file>

<file path=xl/tables/table4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0" xr:uid="{B1E8B364-D049-44A4-8EB1-4E71E223B5BA}" name="Table203338452794851908321381771" displayName="Table203338452794851908321381771" ref="AJ79:AL89" headerRowCount="0" totalsRowShown="0" headerRowDxfId="4988" dataDxfId="4987">
  <tableColumns count="3">
    <tableColumn id="1" xr3:uid="{0A404ACE-4B7A-456C-8396-022179E9AD27}" name="Column1" headerRowDxfId="4986" dataDxfId="4985"/>
    <tableColumn id="2" xr3:uid="{9117EA32-E569-4C8E-AB2C-6C80FE84885B}" name="Column2" headerRowDxfId="4984" dataDxfId="4983"/>
    <tableColumn id="3" xr3:uid="{1120D1CC-8572-4FBC-8A24-07274D05A03F}" name="Column3" headerRowDxfId="4982" dataDxfId="4981"/>
  </tableColumns>
  <tableStyleInfo name="TableStyleMedium2" showFirstColumn="0" showLastColumn="0" showRowStripes="1" showColumnStripes="0"/>
</table>
</file>

<file path=xl/tables/table4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1" xr:uid="{9A81EE62-401A-4790-B6E0-6C262910A865}" name="Table204339453795852909322382772" displayName="Table204339453795852909322382772" ref="AJ91:AL101" headerRowCount="0" totalsRowShown="0" headerRowDxfId="4980" dataDxfId="4979">
  <tableColumns count="3">
    <tableColumn id="1" xr3:uid="{CF0046AB-AF1A-4179-A1C1-F7F0CA9CC1F0}" name="Column1" headerRowDxfId="4978" dataDxfId="4977"/>
    <tableColumn id="2" xr3:uid="{26DB0086-0270-4DC1-9A1A-5BF3B648D098}" name="Column2" headerRowDxfId="4976" dataDxfId="4975"/>
    <tableColumn id="3" xr3:uid="{992C02C3-8BAA-42A9-A09D-2EAAF3AC98FB}" name="Column3" headerRowDxfId="4974" dataDxfId="4973"/>
  </tableColumns>
  <tableStyleInfo name="TableStyleMedium2" showFirstColumn="0" showLastColumn="0" showRowStripes="1" showColumnStripes="0"/>
</table>
</file>

<file path=xl/tables/table4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2" xr:uid="{6C269E0F-DEDB-4C2E-917F-375DF62D1FCE}" name="Table205340454796853910326383773" displayName="Table205340454796853910326383773" ref="AJ103:AL113" headerRowCount="0" totalsRowShown="0" headerRowDxfId="4972" dataDxfId="4971">
  <tableColumns count="3">
    <tableColumn id="1" xr3:uid="{482E04AE-8B3F-450C-B19A-CDC697D95FEC}" name="Column1" headerRowDxfId="4970" dataDxfId="4969"/>
    <tableColumn id="2" xr3:uid="{30AE6F9B-1C64-4A27-AB43-0F00C4437270}" name="Column2" headerRowDxfId="4968" dataDxfId="4967"/>
    <tableColumn id="3" xr3:uid="{305A92B5-3284-4C27-8B06-496B53AB6F57}" name="Column3" headerRowDxfId="4966" dataDxfId="4965"/>
  </tableColumns>
  <tableStyleInfo name="TableStyleMedium2" showFirstColumn="0" showLastColumn="0" showRowStripes="1" showColumnStripes="0"/>
</table>
</file>

<file path=xl/tables/table4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3" xr:uid="{7ECDDE04-2483-482D-84C3-856E63A28A12}" name="Table206341455797854911327384774" displayName="Table206341455797854911327384774" ref="AJ115:AL125" headerRowCount="0" totalsRowShown="0" headerRowDxfId="4964" dataDxfId="4963">
  <tableColumns count="3">
    <tableColumn id="1" xr3:uid="{A8540EC5-2B14-4ECB-B3F7-9CAAE9DC8C78}" name="Column1" headerRowDxfId="4962" dataDxfId="4961"/>
    <tableColumn id="2" xr3:uid="{7E811EDF-8EE0-43CC-B71D-23B86CA232A9}" name="Column2" headerRowDxfId="4960" dataDxfId="4959"/>
    <tableColumn id="3" xr3:uid="{86C13B66-EA4F-4273-B3ED-A16369F19330}" name="Column3" headerRowDxfId="4958" dataDxfId="4957"/>
  </tableColumns>
  <tableStyleInfo name="TableStyleMedium2" showFirstColumn="0" showLastColumn="0" showRowStripes="1" showColumnStripes="0"/>
</table>
</file>

<file path=xl/tables/table4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4" xr:uid="{8C60207C-1F26-48F3-9FA0-E7C45CD3295C}" name="Table207342456798855912328385775" displayName="Table207342456798855912328385775" ref="AJ127:AL137" headerRowCount="0" totalsRowShown="0" headerRowDxfId="4956" dataDxfId="4955">
  <tableColumns count="3">
    <tableColumn id="1" xr3:uid="{4ED79F93-7E00-4718-951C-7FDC1735CBE7}" name="Column1" headerRowDxfId="4954" dataDxfId="4953"/>
    <tableColumn id="2" xr3:uid="{3505B89D-91BB-49E7-818C-42E361F6AB43}" name="Column2" headerRowDxfId="4952" dataDxfId="4951"/>
    <tableColumn id="3" xr3:uid="{6D143BFE-5E9E-4341-A4A7-853F457BD3D0}" name="Column3" headerRowDxfId="4950" dataDxfId="4949"/>
  </tableColumns>
  <tableStyleInfo name="TableStyleMedium2" showFirstColumn="0" showLastColumn="0" showRowStripes="1" showColumnStripes="0"/>
</table>
</file>

<file path=xl/tables/table4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5" xr:uid="{4B482AEF-B9CE-45E6-821C-B17AD514E77D}" name="Table208343457799856913329386776" displayName="Table208343457799856913329386776" ref="AJ139:AL149" headerRowCount="0" totalsRowShown="0" headerRowDxfId="4948" dataDxfId="4947">
  <tableColumns count="3">
    <tableColumn id="1" xr3:uid="{517D14B3-F688-4FA3-B323-D00E5EC9E622}" name="Column1" headerRowDxfId="4946" dataDxfId="4945"/>
    <tableColumn id="2" xr3:uid="{4B02A59E-43C8-43B4-911E-25B2BB6C2D7E}" name="Column2" headerRowDxfId="4944" dataDxfId="4943"/>
    <tableColumn id="3" xr3:uid="{EB4C0B30-E79E-4830-8F28-65449D2A3E0E}" name="Column3" headerRowDxfId="4942" dataDxfId="4941"/>
  </tableColumns>
  <tableStyleInfo name="TableStyleMedium2" showFirstColumn="0" showLastColumn="0" showRowStripes="1" showColumnStripes="0"/>
</table>
</file>

<file path=xl/tables/table4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6" xr:uid="{D33B2A5E-7146-44B2-90BD-B40E778209DD}" name="Table219344458800857914330387777" displayName="Table219344458800857914330387777" ref="AJ151:AL161" headerRowCount="0" totalsRowShown="0" headerRowDxfId="4940" dataDxfId="4939">
  <tableColumns count="3">
    <tableColumn id="1" xr3:uid="{AD7ABA28-3BE7-45EA-8404-09D33CA26760}" name="Column1" headerRowDxfId="4938" dataDxfId="4937"/>
    <tableColumn id="2" xr3:uid="{97DC2AE5-DE7E-41C5-83FE-27C90F71A4F2}" name="Column2" headerRowDxfId="4936" dataDxfId="4935"/>
    <tableColumn id="5" xr3:uid="{E8B668D0-F7BA-4F41-9E00-C2F85DCAB88B}" name="Column3" headerRowDxfId="4934" dataDxfId="4933"/>
  </tableColumns>
  <tableStyleInfo name="TableStyleMedium2" showFirstColumn="0" showLastColumn="0" showRowStripes="1" showColumnStripes="0"/>
</table>
</file>

<file path=xl/tables/table4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7" xr:uid="{5A7D68E9-CDE4-4415-BC2C-A9F83A7C8B4A}" name="Table220345459801858915331388778" displayName="Table220345459801858915331388778" ref="AJ163:AL173" headerRowCount="0" totalsRowShown="0" headerRowDxfId="4932" dataDxfId="4931">
  <tableColumns count="3">
    <tableColumn id="1" xr3:uid="{4591D098-A944-4841-AA6F-D9F169A77256}" name="Column1" headerRowDxfId="4930" dataDxfId="4929"/>
    <tableColumn id="2" xr3:uid="{AC1813F9-60A4-409D-ABE8-7D5C4F6F42FF}" name="Column2" headerRowDxfId="4928" dataDxfId="4927"/>
    <tableColumn id="3" xr3:uid="{CA955E56-24F3-467A-9EED-1ADEB0F87DB1}" name="Column3" headerRowDxfId="4926" dataDxfId="4925"/>
  </tableColumns>
  <tableStyleInfo name="TableStyleMedium2" showFirstColumn="0" showLastColumn="0" showRowStripes="1" showColumnStripes="0"/>
</table>
</file>

<file path=xl/tables/table4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8" xr:uid="{FB4B40F5-FFCC-49C4-A7C1-C34C82421D89}" name="Table222346460802859916332389779" displayName="Table222346460802859916332389779" ref="AJ175:AL185" headerRowCount="0" totalsRowShown="0" headerRowDxfId="4924" dataDxfId="4923">
  <tableColumns count="3">
    <tableColumn id="1" xr3:uid="{CAA094BD-E9E4-4E8B-95BB-C4AEF56F6F53}" name="Column1" headerRowDxfId="4922" dataDxfId="4921"/>
    <tableColumn id="2" xr3:uid="{B0839C2F-4B0C-4416-A5C8-8B9013AE2B7E}" name="Column2" headerRowDxfId="4920" dataDxfId="4919"/>
    <tableColumn id="3" xr3:uid="{485D8DCC-B729-40B4-ACE8-48B366D7B7CF}" name="Column3" headerRowDxfId="4918" dataDxfId="4917"/>
  </tableColumns>
  <tableStyleInfo name="TableStyleMedium2" showFirstColumn="0" showLastColumn="0" showRowStripes="1" showColumnStripes="0"/>
</table>
</file>

<file path=xl/tables/table4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9" xr:uid="{62C48230-739E-42FE-938F-E9006AD42FDA}" name="Table250347461803860917333390780" displayName="Table250347461803860917333390780" ref="AJ187:AL197" headerRowCount="0" totalsRowShown="0" headerRowDxfId="4916" dataDxfId="4915">
  <tableColumns count="3">
    <tableColumn id="1" xr3:uid="{EDBF4F11-CA65-461D-A3E9-A181E934E0A2}" name="Column1" headerRowDxfId="4914" dataDxfId="4913"/>
    <tableColumn id="2" xr3:uid="{E3E2C6C7-C350-4DEC-825F-14B2DF0DCA4B}" name="Column2" headerRowDxfId="4912" dataDxfId="4911"/>
    <tableColumn id="3" xr3:uid="{BBBB0AA1-778E-47EC-9C3C-85ACEE71B64C}" name="Column3" headerRowDxfId="4910" dataDxfId="4909"/>
  </tableColumns>
  <tableStyleInfo name="TableStyleMedium2" showFirstColumn="0" showLastColumn="0" showRowStripes="1" showColumnStripes="0"/>
</table>
</file>

<file path=xl/tables/table4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0" xr:uid="{E5811347-FC29-487A-A76D-D1D0F8A99CF7}" name="Table39348462804861918334391781" displayName="Table39348462804861918334391781" ref="CB1:CD7" headerRowCount="0" totalsRowShown="0" headerRowDxfId="4908" dataDxfId="4907">
  <tableColumns count="3">
    <tableColumn id="1" xr3:uid="{D4991115-4919-49BB-8CF9-5D8BFD0C927E}" name="Column1" dataDxfId="4906"/>
    <tableColumn id="2" xr3:uid="{5D192FC6-94F2-4E5E-8CC3-C1756BB4DF28}" name="Column2" dataDxfId="4905"/>
    <tableColumn id="3" xr3:uid="{EDF4EAA8-03A6-4064-AB52-AEFDFE217C52}" name="Column3" headerRowDxfId="4904" dataDxfId="4903"/>
  </tableColumns>
  <tableStyleInfo name="TableStyleMedium2" showFirstColumn="0" showLastColumn="0" showRowStripes="1" showColumnStripes="0"/>
</table>
</file>

<file path=xl/tables/table4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1" xr:uid="{668ECB41-4734-478C-BFD1-3B5991B5AA3F}" name="Table50349463805862919335392782" displayName="Table50349463805862919335392782" ref="CB29:CD34" headerRowCount="0" totalsRowShown="0" headerRowDxfId="4902" dataDxfId="4901">
  <tableColumns count="3">
    <tableColumn id="1" xr3:uid="{49D7B0EF-88A7-4B3A-8BC3-338583AD8C87}" name="Column1" headerRowDxfId="4900" dataDxfId="4899"/>
    <tableColumn id="2" xr3:uid="{01EC5DBE-311D-4CE0-81B5-A094A1A827A5}" name="Column2" headerRowDxfId="4898" dataDxfId="4897">
      <calculatedColumnFormula>RAND()</calculatedColumnFormula>
    </tableColumn>
    <tableColumn id="3" xr3:uid="{18835E6A-DA9F-492D-B62E-048BE261DC64}" name="Column3" headerRowDxfId="4896" dataDxfId="4895"/>
  </tableColumns>
  <tableStyleInfo name="TableStyleMedium2" showFirstColumn="0" showLastColumn="0" showRowStripes="1" showColumnStripes="0"/>
</table>
</file>

<file path=xl/tables/table4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2" xr:uid="{AA313D54-CDE5-4C78-B30A-22277B67143F}" name="Table51350464806863920336393783" displayName="Table51350464806863920336393783" ref="CB36:CD44" headerRowCount="0" totalsRowShown="0" headerRowDxfId="4894" dataDxfId="4893">
  <tableColumns count="3">
    <tableColumn id="1" xr3:uid="{93735F48-35BC-497D-AD69-20B1BE7A3C74}" name="Column1" headerRowDxfId="4892" dataDxfId="4891"/>
    <tableColumn id="2" xr3:uid="{88FC9E7B-D2A6-4B2F-BB7F-5C329C195D77}" name="Column2" headerRowDxfId="4890" dataDxfId="4889"/>
    <tableColumn id="3" xr3:uid="{645C3FAD-EABB-49A1-AFF4-147BE7DB16DB}" name="Column3" headerRowDxfId="4888" dataDxfId="4887"/>
  </tableColumns>
  <tableStyleInfo name="TableStyleMedium2" showFirstColumn="0" showLastColumn="0" showRowStripes="1" showColumnStripes="0"/>
</table>
</file>

<file path=xl/tables/table4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3" xr:uid="{6707E569-D56C-4BBA-8956-D81402DFD1C4}" name="Table52351465807864921337394784" displayName="Table52351465807864921337394784" ref="CB46:CD54" headerRowCount="0" totalsRowShown="0" headerRowDxfId="4886" dataDxfId="4885">
  <tableColumns count="3">
    <tableColumn id="1" xr3:uid="{39689CC0-7933-40CD-8820-5AE73C6C41C0}" name="Column1" headerRowDxfId="4884" dataDxfId="4883"/>
    <tableColumn id="2" xr3:uid="{4D2EFE43-E845-4935-94BD-CC343B25AEE8}" name="Column2" headerRowDxfId="4882" dataDxfId="4881"/>
    <tableColumn id="3" xr3:uid="{564B9CF1-449E-43DF-9381-9F14A4A47AC4}" name="Column3" headerRowDxfId="4880" dataDxfId="4879"/>
  </tableColumns>
  <tableStyleInfo name="TableStyleMedium2" showFirstColumn="0" showLastColumn="0" showRowStripes="1" showColumnStripes="0"/>
</table>
</file>

<file path=xl/tables/table4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4" xr:uid="{D503E27C-6CA0-4B50-830A-AC6CEFF80A34}" name="Table53352466808865922338395785" displayName="Table53352466808865922338395785" ref="CB56:CD62" headerRowCount="0" totalsRowShown="0" headerRowDxfId="4878" dataDxfId="4877">
  <tableColumns count="3">
    <tableColumn id="1" xr3:uid="{6FEA0E85-E39C-42B8-994E-372EC6E1B60F}" name="Column1" headerRowDxfId="4876" dataDxfId="4875"/>
    <tableColumn id="2" xr3:uid="{9346F9FF-1EBD-4E33-9C6D-03C0B1CB6228}" name="Column2" headerRowDxfId="4874" dataDxfId="4873"/>
    <tableColumn id="3" xr3:uid="{2D283C55-1963-4B0A-A5A8-932EC272D16F}" name="Column3" headerRowDxfId="4872" dataDxfId="4871"/>
  </tableColumns>
  <tableStyleInfo name="TableStyleMedium2" showFirstColumn="0" showLastColumn="0" showRowStripes="1" showColumnStripes="0"/>
</table>
</file>

<file path=xl/tables/table4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5" xr:uid="{F5B9983C-DB4D-4CE1-BF09-3F9BFE1ED168}" name="Table54353467809866923339396786" displayName="Table54353467809866923339396786" ref="CB64:CD70" headerRowCount="0" totalsRowShown="0" headerRowDxfId="4870" dataDxfId="4869">
  <tableColumns count="3">
    <tableColumn id="1" xr3:uid="{CD7D6B41-8F17-436A-AA6C-7F98F9D73D05}" name="Column1" headerRowDxfId="4868" dataDxfId="4867"/>
    <tableColumn id="2" xr3:uid="{F053F40E-5AF2-4BC3-B5FC-9CEC6D8903F1}" name="Column2" headerRowDxfId="4866" dataDxfId="4865"/>
    <tableColumn id="3" xr3:uid="{CEF4022E-FF99-47E2-9804-6BC6106AC46D}" name="Column3" headerRowDxfId="4864" dataDxfId="4863"/>
  </tableColumns>
  <tableStyleInfo name="TableStyleMedium2" showFirstColumn="0" showLastColumn="0" showRowStripes="1" showColumnStripes="0"/>
</table>
</file>

<file path=xl/tables/table4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6" xr:uid="{5B7248A6-D972-4E8F-ACA9-DFD20E9AEFD9}" name="Table55354468810867924340397787" displayName="Table55354468810867924340397787" ref="CB72:CD81" headerRowCount="0" totalsRowShown="0" headerRowDxfId="4862" dataDxfId="4861">
  <tableColumns count="3">
    <tableColumn id="1" xr3:uid="{63F8D5B8-79B0-4D5B-A3DE-44E4F01707C5}" name="Column1" headerRowDxfId="4860" dataDxfId="4859"/>
    <tableColumn id="2" xr3:uid="{77F3CB04-32CB-477F-AFB8-F2A564D453D6}" name="Column2" headerRowDxfId="4858" dataDxfId="4857"/>
    <tableColumn id="3" xr3:uid="{9CADFA3F-876A-463F-AB61-7BCC156F15E7}" name="Column3" headerRowDxfId="4856" dataDxfId="4855"/>
  </tableColumns>
  <tableStyleInfo name="TableStyleMedium2" showFirstColumn="0" showLastColumn="0" showRowStripes="1" showColumnStripes="0"/>
</table>
</file>

<file path=xl/tables/table4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7" xr:uid="{6556D155-875E-4CDC-9655-387303EAAB63}" name="Table56355469811868925341398788" displayName="Table56355469811868925341398788" ref="CB83:CD94" headerRowCount="0" totalsRowShown="0" headerRowDxfId="4854" dataDxfId="4853">
  <tableColumns count="3">
    <tableColumn id="1" xr3:uid="{91D2C3C4-B8C8-43D2-85A7-83514E8A64A9}" name="Column1" headerRowDxfId="4852" dataDxfId="4851"/>
    <tableColumn id="2" xr3:uid="{D8CC9471-14A6-40FD-906C-AD0B79C11997}" name="Column2" headerRowDxfId="4850" dataDxfId="4849"/>
    <tableColumn id="3" xr3:uid="{A0C61D5F-CF0E-459E-8EFC-52E04A36ACC9}" name="Column3" headerRowDxfId="4848" dataDxfId="4847"/>
  </tableColumns>
  <tableStyleInfo name="TableStyleMedium2" showFirstColumn="0" showLastColumn="0" showRowStripes="1" showColumnStripes="0"/>
</table>
</file>

<file path=xl/tables/table4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8" xr:uid="{3C41CA70-18BB-41DA-AC0A-53C98CD004B0}" name="Table57356470812869926342399789" displayName="Table57356470812869926342399789" ref="CB96:CD102" headerRowCount="0" totalsRowShown="0" headerRowDxfId="4846" dataDxfId="4845">
  <tableColumns count="3">
    <tableColumn id="1" xr3:uid="{A836CF56-7426-4560-8ABD-C69BA1EAFCB1}" name="Column1" headerRowDxfId="4844" dataDxfId="4843"/>
    <tableColumn id="2" xr3:uid="{E6385348-5F88-434A-9E73-F71AC0C8CBC6}" name="Column2" headerRowDxfId="4842" dataDxfId="4841"/>
    <tableColumn id="3" xr3:uid="{01E5CCE2-0934-4320-BAB1-C467E61E5092}" name="Column3" headerRowDxfId="4840" dataDxfId="4839"/>
  </tableColumns>
  <tableStyleInfo name="TableStyleMedium2" showFirstColumn="0" showLastColumn="0" showRowStripes="1" showColumnStripes="0"/>
</table>
</file>

<file path=xl/tables/table4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9" xr:uid="{DEBAC2FD-BEBD-444D-AB89-2931524CE61D}" name="Table58357471813870927343400790" displayName="Table58357471813870927343400790" ref="CB104:CD111" headerRowCount="0" totalsRowShown="0" headerRowDxfId="4838" dataDxfId="4837">
  <tableColumns count="3">
    <tableColumn id="1" xr3:uid="{B952ADB0-939C-4DB1-975B-054DE78BAD2B}" name="Column1" headerRowDxfId="4836" dataDxfId="4835"/>
    <tableColumn id="2" xr3:uid="{87B64466-46BD-43C2-A8BB-F47DBB8021D9}" name="Column2" headerRowDxfId="4834" dataDxfId="4833"/>
    <tableColumn id="3" xr3:uid="{5F0CA4F4-D51C-448A-B584-11C541BD54B3}" name="Column3" headerRowDxfId="4832" dataDxfId="4831"/>
  </tableColumns>
  <tableStyleInfo name="TableStyleMedium2" showFirstColumn="0" showLastColumn="0" showRowStripes="1" showColumnStripes="0"/>
</table>
</file>

<file path=xl/tables/table4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0" xr:uid="{0EBB03BD-077C-4008-B0A7-653DDFE11512}" name="Table59358472814871928344401791" displayName="Table59358472814871928344401791" ref="CB113:CD119" headerRowCount="0" totalsRowShown="0" headerRowDxfId="4830" dataDxfId="4829">
  <tableColumns count="3">
    <tableColumn id="1" xr3:uid="{9F3FD8C7-B2C6-48EF-8FB0-30B6B2F6A75F}" name="Column1" headerRowDxfId="4828" dataDxfId="4827"/>
    <tableColumn id="2" xr3:uid="{780FDC4E-1B84-4C36-A9CD-FD542575530B}" name="Column2" headerRowDxfId="4826" dataDxfId="4825"/>
    <tableColumn id="3" xr3:uid="{D5EC3368-9EB9-4388-BDF0-8F6AB9D7B924}" name="Column3" headerRowDxfId="4824" dataDxfId="4823"/>
  </tableColumns>
  <tableStyleInfo name="TableStyleMedium2" showFirstColumn="0" showLastColumn="0" showRowStripes="1" showColumnStripes="0"/>
</table>
</file>

<file path=xl/tables/table4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1" xr:uid="{95C77AAF-B839-4FE4-AC31-0CDB192481EE}" name="Table81359473815872929345402792" displayName="Table81359473815872929345402792" ref="CB9:CD27" headerRowCount="0" totalsRowShown="0" headerRowDxfId="4822" dataDxfId="4821">
  <tableColumns count="3">
    <tableColumn id="1" xr3:uid="{1B4E08E3-60E9-4654-B10F-864E569A9AF1}" name="Column1" headerRowDxfId="4820" dataDxfId="4819"/>
    <tableColumn id="2" xr3:uid="{4EAC3B1F-8059-4A0B-B398-D718CA365415}" name="Column2" headerRowDxfId="4818" dataDxfId="4817"/>
    <tableColumn id="3" xr3:uid="{7E79C708-C6FF-4721-A265-28918707B1EA}" name="Column3" headerRowDxfId="4816" dataDxfId="4815">
      <calculatedColumnFormula>RAND()</calculatedColumnFormula>
    </tableColumn>
  </tableColumns>
  <tableStyleInfo name="TableStyleMedium2" showFirstColumn="0" showLastColumn="0" showRowStripes="1" showColumnStripes="0"/>
</table>
</file>

<file path=xl/tables/table4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2" xr:uid="{885AB85B-C51F-4D46-B555-8329FC33E119}" name="Table264360474816873930346403793" displayName="Table264360474816873930346403793" ref="B14:B19" headerRowCount="0" totalsRowShown="0" headerRowDxfId="4814" dataDxfId="4813" tableBorderDxfId="4812">
  <tableColumns count="1">
    <tableColumn id="1" xr3:uid="{8871BF23-5C1B-4126-B820-EE46E5587C3D}" name="Column1" headerRowDxfId="4811" dataDxfId="4810"/>
  </tableColumns>
  <tableStyleInfo name="TableStyleMedium2" showFirstColumn="0" showLastColumn="0" showRowStripes="1" showColumnStripes="0"/>
</table>
</file>

<file path=xl/tables/table4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3" xr:uid="{E4EA9A63-C3A2-415A-B413-55A6C831CC99}" name="Table265361475817874931347404794" displayName="Table265361475817874931347404794" ref="S17:S26" headerRowCount="0" totalsRowShown="0" headerRowDxfId="4809" dataDxfId="4808" tableBorderDxfId="4807">
  <tableColumns count="1">
    <tableColumn id="1" xr3:uid="{7699DD43-39EC-4172-B633-78D1E00752DC}" name="Column1" headerRowDxfId="4806" dataDxfId="4805"/>
  </tableColumns>
  <tableStyleInfo name="TableStyleMedium2" showFirstColumn="0" showLastColumn="0" showRowStripes="1" showColumnStripes="0"/>
</table>
</file>

<file path=xl/tables/table4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4" xr:uid="{A1C1DBC6-71F4-4F4D-B6B1-80AA9E46D6A5}" name="Table266362476818875932348405795" displayName="Table266362476818875932348405795" ref="O75:O85" headerRowCount="0" totalsRowShown="0" headerRowDxfId="4804" dataDxfId="4803" tableBorderDxfId="4802">
  <tableColumns count="1">
    <tableColumn id="1" xr3:uid="{F0FA7A11-CF97-4456-9967-E39109738121}" name="Column1" headerRowDxfId="4801" dataDxfId="4800"/>
  </tableColumns>
  <tableStyleInfo name="TableStyleMedium2" showFirstColumn="0" showLastColumn="0" showRowStripes="1" showColumnStripes="0"/>
</table>
</file>

<file path=xl/tables/table4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5" xr:uid="{DEC53F1E-1C4C-4D1E-BE9A-5BD443E41890}" name="Table268363477819876933349406796" displayName="Table268363477819876933349406796" ref="O14:O35" headerRowCount="0" totalsRowShown="0" headerRowDxfId="4799" dataDxfId="4798" tableBorderDxfId="4797">
  <tableColumns count="1">
    <tableColumn id="1" xr3:uid="{FF97927B-9569-4F06-8D8F-9007C724D004}" name="Column1" headerRowDxfId="4796" dataDxfId="4795"/>
  </tableColumns>
  <tableStyleInfo name="TableStyleMedium2" showFirstColumn="0" showLastColumn="0" showRowStripes="1" showColumnStripes="0"/>
</table>
</file>

<file path=xl/tables/table4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6" xr:uid="{2C000179-31B4-4409-A6CB-E6CCF80C1686}" name="Table271364478820877934350407797" displayName="Table271364478820877934350407797" ref="Q14:Q30" headerRowCount="0" totalsRowShown="0" headerRowDxfId="4794" dataDxfId="4793" tableBorderDxfId="4792">
  <tableColumns count="1">
    <tableColumn id="1" xr3:uid="{56166FB3-3BDF-4A0C-9198-5B89089D32E4}" name="Column1" headerRowDxfId="4791" dataDxfId="4790"/>
  </tableColumns>
  <tableStyleInfo name="TableStyleMedium2" showFirstColumn="0" showLastColumn="0" showRowStripes="1" showColumnStripes="0"/>
</table>
</file>

<file path=xl/tables/table4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7" xr:uid="{05FB9903-DC1D-45D3-AC1F-4C61638F5CAD}" name="Table272365479821878935351408798" displayName="Table272365479821878935351408798" ref="S10:S12" headerRowCount="0" totalsRowShown="0" headerRowDxfId="4789" dataDxfId="4788" tableBorderDxfId="4787">
  <tableColumns count="1">
    <tableColumn id="1" xr3:uid="{C08741A7-ED1F-47C0-B637-589633CA919B}" name="Column1" headerRowDxfId="4786" dataDxfId="4785"/>
  </tableColumns>
  <tableStyleInfo name="TableStyleMedium2" showFirstColumn="0" showLastColumn="0" showRowStripes="1" showColumnStripes="0"/>
</table>
</file>

<file path=xl/tables/table4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8" xr:uid="{C1C2205D-8D57-4E98-A2C2-B433FF288D55}" name="Table273366480822879936352409799" displayName="Table273366480822879936352409799" ref="S14:S16" headerRowCount="0" totalsRowShown="0" headerRowDxfId="4784" dataDxfId="4783" tableBorderDxfId="4782">
  <tableColumns count="1">
    <tableColumn id="1" xr3:uid="{4062D191-4B4E-4FC3-B6C9-B6E292545B2D}" name="Column1" headerRowDxfId="4781" dataDxfId="4780"/>
  </tableColumns>
  <tableStyleInfo name="TableStyleMedium2" showFirstColumn="0" showLastColumn="0" showRowStripes="1" showColumnStripes="0"/>
</table>
</file>

<file path=xl/tables/table4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9" xr:uid="{D45867D3-D819-4030-ADA8-736F76C8536F}" name="Table274367481823880937353410800" displayName="Table274367481823880937353410800" ref="P14:P28" headerRowCount="0" totalsRowShown="0" headerRowDxfId="4779" dataDxfId="4778" tableBorderDxfId="4777">
  <tableColumns count="1">
    <tableColumn id="1" xr3:uid="{80CFC3BF-BDD3-42FC-B331-97A46D0DB6BC}" name="Column1" headerRowDxfId="4776" dataDxfId="4775"/>
  </tableColumns>
  <tableStyleInfo name="TableStyleMedium2" showFirstColumn="0" showLastColumn="0" showRowStripes="1" showColumnStripes="0"/>
</table>
</file>

<file path=xl/tables/table4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0" xr:uid="{40F5A03D-C58D-43F6-B5BD-4ACD11CCC1C9}" name="Table275368482824881938354411801" displayName="Table275368482824881938354411801" ref="R14:R26" headerRowCount="0" totalsRowShown="0" headerRowDxfId="4774" dataDxfId="4773" tableBorderDxfId="4772">
  <tableColumns count="1">
    <tableColumn id="1" xr3:uid="{7AF4206B-B453-4E4A-A4D2-6D7BAFC6C62F}" name="Column1" headerRowDxfId="4771" dataDxfId="4770"/>
  </tableColumns>
  <tableStyleInfo name="TableStyleMedium2" showFirstColumn="0" showLastColumn="0" showRowStripes="1" showColumnStripes="0"/>
</table>
</file>

<file path=xl/tables/table4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1" xr:uid="{F1E58346-ABE7-4EB0-8867-2F53CF24C57C}" name="Table276369483825882939355412802" displayName="Table276369483825882939355412802" ref="B37:P43" headerRowCount="0" totalsRowShown="0" headerRowDxfId="4769" dataDxfId="4768">
  <tableColumns count="15">
    <tableColumn id="2" xr3:uid="{9634B19C-9426-44DA-A86D-1A48C4B60DBA}" name="Column2" headerRowDxfId="4767" dataDxfId="4766"/>
    <tableColumn id="3" xr3:uid="{EE7337AA-54E8-4CF6-84EB-26F15C158FEF}" name="Column3" headerRowDxfId="4765" dataDxfId="4764"/>
    <tableColumn id="4" xr3:uid="{F32FB6D4-94D1-4E4A-BBF0-879092399147}" name="Column4" headerRowDxfId="4763" dataDxfId="4762"/>
    <tableColumn id="5" xr3:uid="{FCB244E9-0181-4BE6-B337-E16FE0F24B38}" name="Column5" headerRowDxfId="4761" dataDxfId="4760"/>
    <tableColumn id="6" xr3:uid="{FCC4F28E-99BA-41F6-92C1-12456609E791}" name="Column6" headerRowDxfId="4759" dataDxfId="4758"/>
    <tableColumn id="7" xr3:uid="{36B6D1EA-63BA-4F63-A81D-1F08941335BA}" name="Column7" headerRowDxfId="4757" dataDxfId="4756"/>
    <tableColumn id="8" xr3:uid="{17EDCD7F-DC0B-48FF-A8A3-C038B0F80920}" name="Column8" headerRowDxfId="4755" dataDxfId="4754"/>
    <tableColumn id="9" xr3:uid="{EF471490-F148-4609-99C3-F1B47450D5B9}" name="Column9" headerRowDxfId="4753" dataDxfId="4752"/>
    <tableColumn id="10" xr3:uid="{96B6E4A0-76D4-48D7-A1D6-310DA4D03AA7}" name="Column10" headerRowDxfId="4751" dataDxfId="4750">
      <calculatedColumnFormula>RANDBETWEEN(1,6)</calculatedColumnFormula>
    </tableColumn>
    <tableColumn id="11" xr3:uid="{A100367B-C75D-4D87-AD1B-971AC83AC227}" name="Column11" headerRowDxfId="4749" dataDxfId="4748">
      <calculatedColumnFormula>RANDBETWEEN(1,6)</calculatedColumnFormula>
    </tableColumn>
    <tableColumn id="12" xr3:uid="{1E8EF980-6235-4BA0-9A1D-A7DDCAB4B71F}" name="Column12" headerRowDxfId="4747" dataDxfId="4746">
      <calculatedColumnFormula>RANDBETWEEN(1,6)</calculatedColumnFormula>
    </tableColumn>
    <tableColumn id="13" xr3:uid="{DC4692C3-16C7-4C78-A1E0-79E0CCBE1163}" name="Column13" headerRowDxfId="4745" dataDxfId="4744">
      <calculatedColumnFormula>RANDBETWEEN(1,6)</calculatedColumnFormula>
    </tableColumn>
    <tableColumn id="14" xr3:uid="{31BCE12B-2F61-4CC9-9573-FC5F25B73538}" name="Column14" headerRowDxfId="4743" dataDxfId="4742"/>
    <tableColumn id="15" xr3:uid="{D35BE04A-417B-4791-B7DE-94B3A35C2F3B}" name="Column15" headerRowDxfId="4741" dataDxfId="4740"/>
    <tableColumn id="16" xr3:uid="{72476A13-5258-4B34-98D3-0EF12B8AF786}" name="Column16" headerRowDxfId="4739" dataDxfId="4738">
      <calculatedColumnFormula>VLOOKUP(O37,Table1[],2)</calculatedColumnFormula>
    </tableColumn>
  </tableColumns>
  <tableStyleInfo name="TableStyleMedium2" showFirstColumn="0" showLastColumn="0" showRowStripes="1" showColumnStripes="0"/>
</table>
</file>

<file path=xl/tables/table4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2" xr:uid="{FF09D185-6A12-4614-BE3F-2322077CDF19}" name="Table277370484826883940356413803" displayName="Table277370484826883940356413803" ref="B45:P51" headerRowCount="0" totalsRowShown="0" headerRowDxfId="4737" dataDxfId="4736" tableBorderDxfId="4735">
  <tableColumns count="15">
    <tableColumn id="2" xr3:uid="{BF3959F0-4E7A-4B9F-B59A-95F44F529BE5}" name="Column2" headerRowDxfId="4734" dataDxfId="4733"/>
    <tableColumn id="3" xr3:uid="{720F8256-CBC4-498A-B022-0A0011E49B25}" name="Column3" headerRowDxfId="4732" dataDxfId="4731"/>
    <tableColumn id="4" xr3:uid="{7B84F7BF-EC04-4290-B9A6-BC22356344F6}" name="Column4" headerRowDxfId="4730" dataDxfId="4729"/>
    <tableColumn id="5" xr3:uid="{7DED85F9-66D9-4100-9C9D-FE8C34A4B0F0}" name="Column5" headerRowDxfId="4728" dataDxfId="4727"/>
    <tableColumn id="6" xr3:uid="{6B3C58F5-4605-4B1A-9D63-EE75CC964750}" name="Column6" headerRowDxfId="4726" dataDxfId="4725"/>
    <tableColumn id="7" xr3:uid="{739AF049-A99F-48D5-A614-2BCA88767990}" name="Column7" headerRowDxfId="4724" dataDxfId="4723"/>
    <tableColumn id="8" xr3:uid="{03C6495F-D531-4177-9669-EF793A4B1A21}" name="Column8" headerRowDxfId="4722" dataDxfId="4721"/>
    <tableColumn id="9" xr3:uid="{9B47D5BE-56E1-4AEC-92AC-1C69A50C957C}" name="Column9" headerRowDxfId="4720" dataDxfId="4719"/>
    <tableColumn id="10" xr3:uid="{2A120DA8-020A-43A2-8B74-16256325AAF1}" name="Column10" headerRowDxfId="4718" dataDxfId="4717"/>
    <tableColumn id="11" xr3:uid="{91180B45-CF8B-4AAF-A1CF-FC2EBB63D2D4}" name="Column11" headerRowDxfId="4716" dataDxfId="4715"/>
    <tableColumn id="12" xr3:uid="{F05FA580-4058-46E8-8505-F9519D958B67}" name="Column12" headerRowDxfId="4714" dataDxfId="4713"/>
    <tableColumn id="13" xr3:uid="{EA81BA70-A6F4-43EA-AB02-FAFA8D10622A}" name="Column13" headerRowDxfId="4712" dataDxfId="4711"/>
    <tableColumn id="14" xr3:uid="{2F2DF97C-E8A8-4DB5-B950-5A0B598552D0}" name="Column14" headerRowDxfId="4710" dataDxfId="4709"/>
    <tableColumn id="15" xr3:uid="{988B6988-E4ED-42A2-925E-DC7A39820A86}" name="Column15" headerRowDxfId="4708" dataDxfId="4707"/>
    <tableColumn id="16" xr3:uid="{E14BA05F-5F99-4656-96CB-B7068EAFEFFA}" name="Column16" headerRowDxfId="4706" dataDxfId="4705">
      <calculatedColumnFormula>IF(O45="x",SUM(P37,$P$8),P37)</calculatedColumnFormula>
    </tableColumn>
  </tableColumns>
  <tableStyleInfo name="TableStyleMedium2" showFirstColumn="0" showLastColumn="0" showRowStripes="1" showColumnStripes="0"/>
</table>
</file>

<file path=xl/tables/table4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3" xr:uid="{193AA1CF-0D5E-404C-A2B6-A9BB54441407}" name="Table278371485827884941357414804" displayName="Table278371485827884941357414804" ref="O1:Q3" headerRowCount="0" totalsRowShown="0" headerRowDxfId="4704" dataDxfId="4703">
  <tableColumns count="3">
    <tableColumn id="15" xr3:uid="{23E2E186-B40D-41E8-9CCB-9F8837A50475}" name="Column15" headerRowDxfId="4702" dataDxfId="4701"/>
    <tableColumn id="16" xr3:uid="{FAAB5643-5344-4ED8-83F3-949E639BE72C}" name="Column16" headerRowDxfId="4700" dataDxfId="4699"/>
    <tableColumn id="17" xr3:uid="{351846F5-8FE0-411B-A6BB-78C9E1C66B55}" name="Column17" headerRowDxfId="4698" dataDxfId="4697"/>
  </tableColumns>
  <tableStyleInfo name="TableStyleMedium2" showFirstColumn="0" showLastColumn="0" showRowStripes="1" showColumnStripes="0"/>
</table>
</file>

<file path=xl/tables/table4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4" xr:uid="{BE6D04B8-B9D3-43A1-8A33-14868ED77B8C}" name="Table282373487829886943359415805" displayName="Table282373487829886943359415805" ref="B53:P72" headerRowCount="0" totalsRowShown="0" headerRowDxfId="4696" dataDxfId="4695">
  <tableColumns count="15">
    <tableColumn id="2" xr3:uid="{7A45ED48-247B-4714-8A45-2EE1F94F262F}" name="Column2" headerRowDxfId="4694" dataDxfId="4693"/>
    <tableColumn id="3" xr3:uid="{E06680DF-5A25-493F-9CF6-8D9DCC3E3928}" name="Column3" headerRowDxfId="4692" dataDxfId="4691"/>
    <tableColumn id="4" xr3:uid="{BEC24868-DFBE-495E-A369-74DB7AD60BF5}" name="Column4" headerRowDxfId="4690" dataDxfId="4689"/>
    <tableColumn id="5" xr3:uid="{96F4BF26-BE00-414E-B52E-55A037155361}" name="Column5" headerRowDxfId="4688" dataDxfId="4687"/>
    <tableColumn id="6" xr3:uid="{A0537D9A-7A7A-4184-A67E-44110B6E01B9}" name="Column6" headerRowDxfId="4686" dataDxfId="4685"/>
    <tableColumn id="7" xr3:uid="{D3BB36D2-350B-4AC7-A586-8FABD37294A9}" name="Column7" headerRowDxfId="4684" dataDxfId="4683"/>
    <tableColumn id="8" xr3:uid="{A72F7584-6C30-470F-A56E-850BA0CBFB67}" name="Column8" headerRowDxfId="4682" dataDxfId="4681"/>
    <tableColumn id="9" xr3:uid="{EDB6326E-B362-4C82-BAA3-C3267708C593}" name="Column9" headerRowDxfId="4680" dataDxfId="4679"/>
    <tableColumn id="10" xr3:uid="{F9B7A40B-DA97-4B04-A8BB-CA2DBD9B1586}" name="Column10" headerRowDxfId="4678" dataDxfId="4677"/>
    <tableColumn id="11" xr3:uid="{DF94F653-526E-4925-AE88-D42044BC7039}" name="Column11" headerRowDxfId="4676" dataDxfId="4675"/>
    <tableColumn id="12" xr3:uid="{8D109C49-6818-455D-9D73-3A33ACD5105D}" name="Column12" headerRowDxfId="4674" dataDxfId="4673"/>
    <tableColumn id="13" xr3:uid="{0CEDFCB6-975B-41D5-B692-8EC256ACCBD0}" name="Column13" headerRowDxfId="4672" dataDxfId="4671"/>
    <tableColumn id="14" xr3:uid="{E13A1EA6-A44F-4D09-A712-88E971FAC084}" name="Column14" headerRowDxfId="4670" dataDxfId="4669"/>
    <tableColumn id="15" xr3:uid="{5C63E6B3-64AC-4E29-B347-FFA867226B34}" name="Column15" headerRowDxfId="4668" dataDxfId="4667"/>
    <tableColumn id="16" xr3:uid="{FB04B69B-63C6-4C35-B1ED-4F499CC5DAF7}" name="Column16" headerRowDxfId="4666" dataDxfId="4665"/>
  </tableColumns>
  <tableStyleInfo name="TableStyleMedium2" showFirstColumn="0" showLastColumn="0" showRowStripes="1" showColumnStripes="0"/>
</table>
</file>

<file path=xl/tables/table4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5" xr:uid="{4626AA1A-2A83-4904-8260-F88D918D51AE}" name="Table283374488830887944360416806" displayName="Table283374488830887944360416806" ref="B75:B79" headerRowCount="0" totalsRowShown="0" headerRowDxfId="4664" dataDxfId="4663" tableBorderDxfId="4662">
  <tableColumns count="1">
    <tableColumn id="1" xr3:uid="{19639559-D123-4619-8F33-4C98E4B401AB}" name="Column1" headerRowDxfId="4661" dataDxfId="4660"/>
  </tableColumns>
  <tableStyleInfo name="TableStyleMedium2" showFirstColumn="0" showLastColumn="0" showRowStripes="1" showColumnStripes="0"/>
</table>
</file>

<file path=xl/tables/table4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6" xr:uid="{A60A4B39-4381-4E06-89CB-1FF9D6F5A467}" name="Table293375489831888945361417807" displayName="Table293375489831888945361417807" ref="AO44:AQ59" headerRowCount="0" totalsRowShown="0" headerRowDxfId="4659" dataDxfId="4658">
  <tableColumns count="3">
    <tableColumn id="1" xr3:uid="{133EC2A0-2875-4986-8396-FE20AE4D8DE5}" name="Column1" headerRowDxfId="4657" dataDxfId="4656"/>
    <tableColumn id="2" xr3:uid="{3EDCCCBA-AF91-4A1A-A7A5-5A1D3EAF04E7}" name="Column2" headerRowDxfId="4655" dataDxfId="4654">
      <calculatedColumnFormula>IF(#REF!=" ", 0,RAND())</calculatedColumnFormula>
    </tableColumn>
    <tableColumn id="3" xr3:uid="{F0499C3C-6AD7-41D7-BC0F-EA92B79589AF}" name="Column3" headerRowDxfId="4653" dataDxfId="4652">
      <calculatedColumnFormula>O28</calculatedColumnFormula>
    </tableColumn>
  </tableColumns>
  <tableStyleInfo name="TableStyleMedium2" showFirstColumn="0" showLastColumn="0" showRowStripes="1" showColumnStripes="0"/>
</table>
</file>

<file path=xl/tables/table4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9" xr:uid="{D50ED020-0018-428D-AC3E-A12CBC676103}" name="Table302378492834891948364420810" displayName="Table302378492834891948364420810" ref="B102:P109" headerRowCount="0" totalsRowShown="0" headerRowDxfId="4651" dataDxfId="4650" tableBorderDxfId="4649">
  <tableColumns count="15">
    <tableColumn id="2" xr3:uid="{F18AE133-847F-4928-9E0D-D19AF8128D96}" name="Column2" headerRowDxfId="4648" dataDxfId="4647"/>
    <tableColumn id="3" xr3:uid="{5C39AE6A-2588-4E30-A8DE-2B4501A5660D}" name="Column3" headerRowDxfId="4646" dataDxfId="4645"/>
    <tableColumn id="4" xr3:uid="{DDB569E7-EC2C-4970-99CF-CD56714CAC44}" name="Column4" headerRowDxfId="4644" dataDxfId="4643"/>
    <tableColumn id="5" xr3:uid="{C1449A48-31B5-43A1-B712-BAFB35446F83}" name="Column5" headerRowDxfId="4642" dataDxfId="4641"/>
    <tableColumn id="6" xr3:uid="{57C0CD0B-4CEC-4823-ACE1-82A2BD84581B}" name="Column6" headerRowDxfId="4640" dataDxfId="4639"/>
    <tableColumn id="7" xr3:uid="{5ED51B83-5F7E-43F6-A32B-F1FC3DEB78E7}" name="Column7" headerRowDxfId="4638" dataDxfId="4637"/>
    <tableColumn id="8" xr3:uid="{6B13FD18-6449-4941-A2A9-3CB06F78E154}" name="Column8" headerRowDxfId="4636" dataDxfId="4635"/>
    <tableColumn id="9" xr3:uid="{72BBE33C-B386-4BBA-8D87-45A45473A78C}" name="Column9" headerRowDxfId="4634" dataDxfId="4633"/>
    <tableColumn id="10" xr3:uid="{A2697E45-9EFF-4AEC-A798-37F1EA1085A7}" name="Column10" headerRowDxfId="4632" dataDxfId="4631"/>
    <tableColumn id="11" xr3:uid="{F9CC67F9-2560-4A7E-98A7-A4E9C9F1E63C}" name="Column11" headerRowDxfId="4630" dataDxfId="4629"/>
    <tableColumn id="12" xr3:uid="{186519CD-E7BB-453B-A0F7-411550608D03}" name="Column12" headerRowDxfId="4628" dataDxfId="4627"/>
    <tableColumn id="13" xr3:uid="{B7C012E5-95F8-41F7-A8AA-F46BFB97DA47}" name="Column13" headerRowDxfId="4626" dataDxfId="4625"/>
    <tableColumn id="14" xr3:uid="{5204EE35-A7B8-4065-95E2-E9FF8BDF48BE}" name="Column14" headerRowDxfId="4624" dataDxfId="4623"/>
    <tableColumn id="15" xr3:uid="{77828AFF-CC49-4092-9B5E-C7B7D61E336D}" name="Column15" headerRowDxfId="4622" dataDxfId="4621"/>
    <tableColumn id="16" xr3:uid="{E4D58982-AD61-4A40-B37D-9848A6CAF2C6}" name="Column16" headerRowDxfId="4620" dataDxfId="4619"/>
  </tableColumns>
  <tableStyleInfo name="TableStyleMedium2" showFirstColumn="0" showLastColumn="0" showRowStripes="1" showColumnStripes="0"/>
</table>
</file>

<file path=xl/tables/table4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0" xr:uid="{8007FFA5-850F-440B-BD04-C0D348EFC388}" name="Table303379493835892949365421811" displayName="Table303379493835892949365421811" ref="Q102:Q107" headerRowCount="0" totalsRowShown="0" headerRowDxfId="4618" dataDxfId="4617" tableBorderDxfId="4616">
  <tableColumns count="1">
    <tableColumn id="1" xr3:uid="{13C144A4-2F79-42DB-8A1E-2B4593CABCED}" name="Column1" headerRowDxfId="4615" dataDxfId="4614"/>
  </tableColumns>
  <tableStyleInfo name="TableStyleMedium2" showFirstColumn="0" showLastColumn="0" showRowStripes="1" showColumnStripes="0"/>
</table>
</file>

<file path=xl/tables/table4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1" xr:uid="{BE960737-29AE-4F9B-B5E8-F38B92AD3F2F}" name="Table304380494836893950366422812" displayName="Table304380494836893950366422812" ref="R102:R103" headerRowCount="0" totalsRowShown="0" headerRowDxfId="4613" dataDxfId="4612" tableBorderDxfId="4611">
  <tableColumns count="1">
    <tableColumn id="1" xr3:uid="{9C503EFE-C443-4A6B-BB74-B5C26BC9A21A}" name="Column1" headerRowDxfId="4610" dataDxfId="4609"/>
  </tableColumns>
  <tableStyleInfo name="TableStyleMedium2" showFirstColumn="0" showLastColumn="0" showRowStripes="1" showColumnStripes="0"/>
</table>
</file>

<file path=xl/tables/table4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2" xr:uid="{2D60A6A2-133B-42F8-B964-A852640200B0}" name="Table305381495837894951367423813" displayName="Table305381495837894951367423813" ref="R104:R105" headerRowCount="0" totalsRowShown="0" headerRowDxfId="4608" dataDxfId="4607" tableBorderDxfId="4606">
  <tableColumns count="1">
    <tableColumn id="1" xr3:uid="{8DE96897-E95C-41C7-A6AD-ABA06F0C18E5}" name="Column1" headerRowDxfId="4605" dataDxfId="4604">
      <calculatedColumnFormula>IF(COUNTIF(B91:B93,"*"&amp;"sling"&amp;"*"),RANDBETWEEN(6,13)&amp;" Sling Bullets"," ")</calculatedColumnFormula>
    </tableColumn>
  </tableColumns>
  <tableStyleInfo name="TableStyleMedium2" showFirstColumn="0" showLastColumn="0" showRowStripes="1" showColumnStripes="0"/>
</table>
</file>

<file path=xl/tables/table4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3" xr:uid="{05CFC756-85FF-4742-98B9-2C5486646289}" name="Table306382496838895952368424814" displayName="Table306382496838895952368424814" ref="R106:R107" headerRowCount="0" totalsRowShown="0" headerRowDxfId="4603" dataDxfId="4602" tableBorderDxfId="4601">
  <tableColumns count="1">
    <tableColumn id="1" xr3:uid="{1DDE2348-52D4-4A23-8F0D-B96AF229AA57}" name="Column1" headerRowDxfId="4600" dataDxfId="4599">
      <calculatedColumnFormula>IF(COUNTIF(B91:B93,"*"&amp;"longbow"&amp;"*"),RANDBETWEEN(10,24)&amp;" Arrows",IF(COUNTIF(B91:B93,"*"&amp;"shortbow"&amp;"*"),RANDBETWEEN(10,24)&amp;" Arrows",IF(COUNTIF(B91:B93,"*"&amp;"light crossbow"&amp;"*"),RANDBETWEEN(10,24)&amp;" Bolts",IF(COUNTIF(B91:B93,"*"&amp;"hand crossbow"&amp;"*"),RANDBETWEEN(10,24)&amp;" Bolts",IF(COUNTIF(B91:B93,"*"&amp;"heavy crossbow"&amp;"*"),RANDBETWEEN(10,24)&amp;" Bolts"," ")))))</calculatedColumnFormula>
    </tableColumn>
  </tableColumns>
  <tableStyleInfo name="TableStyleMedium2" showFirstColumn="0" showLastColumn="0" showRowStripes="1" showColumnStripes="0"/>
</table>
</file>

<file path=xl/tables/table4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0" xr:uid="{4D4B8016-F831-4611-ADC9-1E6104160908}" name="Table300376490832889946362418294931" displayName="Table300376490832889946362418294931" ref="B88:T90" headerRowCount="0" totalsRowShown="0" headerRowDxfId="4598" dataDxfId="4597" tableBorderDxfId="4596">
  <tableColumns count="19">
    <tableColumn id="2" xr3:uid="{4166A1FC-7A47-44F8-AEEE-63CB1F4B2E7D}" name="Column2" headerRowDxfId="4595" dataDxfId="4594"/>
    <tableColumn id="3" xr3:uid="{665C044B-E14B-4AB6-AD8F-4A36DBDFFCB1}" name="Column3" headerRowDxfId="4593" dataDxfId="4592"/>
    <tableColumn id="4" xr3:uid="{6C93F0E8-2750-4BB8-90EB-95E2EB7C41A0}" name="Column4" headerRowDxfId="4591" dataDxfId="4590"/>
    <tableColumn id="5" xr3:uid="{E27B1184-87B2-4FEC-95D0-025FCA1612AA}" name="Column5" headerRowDxfId="4589" dataDxfId="4588"/>
    <tableColumn id="6" xr3:uid="{242CD3D3-BF21-44BC-ACD3-0ACAF54A0909}" name="Column6" headerRowDxfId="4587" dataDxfId="4586"/>
    <tableColumn id="7" xr3:uid="{E2D9AD56-9E46-449D-9FC4-0D04CFC02776}" name="Column7" headerRowDxfId="4585" dataDxfId="4584"/>
    <tableColumn id="8" xr3:uid="{1A38A314-BB5D-4E24-9131-9CF9F5D98E98}" name="Column8" headerRowDxfId="4583" dataDxfId="4582"/>
    <tableColumn id="9" xr3:uid="{86E6C847-F1F4-45F5-89C6-FC4D3D2D3193}" name="Column9" headerRowDxfId="4581" dataDxfId="4580"/>
    <tableColumn id="10" xr3:uid="{6EA97E53-54E6-4834-BE42-1AB2E6F3E5CB}" name="Column10" headerRowDxfId="4579" dataDxfId="4578"/>
    <tableColumn id="11" xr3:uid="{ADB17F5A-D924-45D3-B3CA-97023F81F353}" name="Column11" headerRowDxfId="4577" dataDxfId="4576"/>
    <tableColumn id="12" xr3:uid="{1687FFCE-2202-44CD-882E-7701E92BECA6}" name="Column12" headerRowDxfId="4575" dataDxfId="4574"/>
    <tableColumn id="13" xr3:uid="{2B146883-F256-48F1-A242-61A5EF504533}" name="Column13" headerRowDxfId="4573" dataDxfId="4572"/>
    <tableColumn id="14" xr3:uid="{EF6D9C82-BF50-4A48-820C-18E48B97AC5A}" name="Column14" headerRowDxfId="4571" dataDxfId="4570"/>
    <tableColumn id="15" xr3:uid="{CAF455F8-98EA-4DA2-926E-B64AF881EFE0}" name="Column15" headerRowDxfId="4569" dataDxfId="4568"/>
    <tableColumn id="16" xr3:uid="{B0A91438-5F86-4D89-A0DC-E27F3601F186}" name="Column16" headerRowDxfId="4567" dataDxfId="4566"/>
    <tableColumn id="17" xr3:uid="{19E5BABC-A21A-4759-B1AF-1EF77AE19666}" name="Column17" headerRowDxfId="4565" dataDxfId="4564"/>
    <tableColumn id="18" xr3:uid="{1A9C8B1E-0AE8-4B53-8B86-456E79A3F9CF}" name="Column18" headerRowDxfId="4563" dataDxfId="4562"/>
    <tableColumn id="19" xr3:uid="{E41123A2-6875-4328-9F62-FA1A3D0ECD8B}" name="Column19" headerRowDxfId="4561" dataDxfId="4560"/>
    <tableColumn id="20" xr3:uid="{FA3BC95F-DA7A-41D6-90D7-DF6E54B331F1}" name="Column20" headerRowDxfId="4559" dataDxfId="4558"/>
  </tableColumns>
  <tableStyleInfo name="TableStyleMedium2" showFirstColumn="0" showLastColumn="0" showRowStripes="1" showColumnStripes="0"/>
</table>
</file>

<file path=xl/tables/table4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1" xr:uid="{F9C58193-652D-4270-BF53-9DB0EDA4F491}" name="Table301377491833890947363419301932" displayName="Table301377491833890947363419301932" ref="B91:S100" headerRowCount="0" totalsRowShown="0" headerRowDxfId="4557" dataDxfId="4556" tableBorderDxfId="4555">
  <tableColumns count="18">
    <tableColumn id="2" xr3:uid="{C9916899-7397-40BD-83D3-AE108964E1B5}" name="Column2" headerRowDxfId="4554" dataDxfId="4553"/>
    <tableColumn id="3" xr3:uid="{541E56D6-2E62-4DCE-88FC-7F55D41CC886}" name="Column3" headerRowDxfId="4552" dataDxfId="4551"/>
    <tableColumn id="4" xr3:uid="{B6BB8DCA-9BC0-4151-8567-9133875C9D76}" name="Column4" headerRowDxfId="4550" dataDxfId="4549"/>
    <tableColumn id="5" xr3:uid="{D3481033-B460-4A1E-B8FA-79F386A0C6DE}" name="Column5" headerRowDxfId="4548" dataDxfId="4547"/>
    <tableColumn id="6" xr3:uid="{4D1CBBA1-EDBE-4A4C-A434-4A2759020DF9}" name="Column6" headerRowDxfId="4546" dataDxfId="4545"/>
    <tableColumn id="7" xr3:uid="{CA32A1AB-E234-4926-B81A-E36A60690F93}" name="Column7" headerRowDxfId="4544" dataDxfId="4543"/>
    <tableColumn id="8" xr3:uid="{CCBC99C4-972A-4D12-90BC-374BAD5DD634}" name="Column8" headerRowDxfId="4542" dataDxfId="4541"/>
    <tableColumn id="9" xr3:uid="{BCA23E2F-1F27-489F-AC80-1D6310FDDD8E}" name="Column9" headerRowDxfId="4540" dataDxfId="4539"/>
    <tableColumn id="10" xr3:uid="{951DD0D1-654F-4348-92D8-76AE420983F2}" name="Column10" headerRowDxfId="4538" dataDxfId="4537"/>
    <tableColumn id="11" xr3:uid="{BB7FDA65-47F8-49E4-8C53-81668DE9796E}" name="Column11" headerRowDxfId="4536" dataDxfId="4535"/>
    <tableColumn id="12" xr3:uid="{4025A7DE-40C3-45C8-9B01-DBA538D64A11}" name="Column12" headerRowDxfId="4534" dataDxfId="4533"/>
    <tableColumn id="13" xr3:uid="{D7470FD1-2ED6-4C43-A4AC-C8906F7951DC}" name="Column13" headerRowDxfId="4532" dataDxfId="4531"/>
    <tableColumn id="14" xr3:uid="{0D9DD32D-167C-45E5-A0AB-AE8E192AFC03}" name="Column14" headerRowDxfId="4530" dataDxfId="4529"/>
    <tableColumn id="15" xr3:uid="{A7A59AB9-665A-4E6B-875B-A171B993A7AB}" name="Column15" headerRowDxfId="4528" dataDxfId="4527"/>
    <tableColumn id="16" xr3:uid="{8D196B50-6437-46DB-82D2-AA564F77FACF}" name="Column16" headerRowDxfId="4526" dataDxfId="4525"/>
    <tableColumn id="17" xr3:uid="{F8C35F22-45A6-4FB0-8E45-9870AA106649}" name="Column17" headerRowDxfId="4524" dataDxfId="4523"/>
    <tableColumn id="18" xr3:uid="{2FD65E9A-0470-4A02-88AC-BEB195517B87}" name="Column18" headerRowDxfId="4522" dataDxfId="4521"/>
    <tableColumn id="19" xr3:uid="{42AC5622-99DC-4DAF-B31F-4A42FD595D81}" name="Column19" headerRowDxfId="4520" dataDxfId="4519"/>
  </tableColumns>
  <tableStyleInfo name="TableStyleMedium2" showFirstColumn="0" showLastColumn="0" showRowStripes="1" showColumnStripes="0"/>
</table>
</file>

<file path=xl/tables/table4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4" xr:uid="{D0123CB7-B660-42B3-99F4-C21FBFDD857F}" name="Table4832644078283989661369815" displayName="Table4832644078283989661369815" ref="B113:R116" headerRowCount="0" totalsRowShown="0" headerRowDxfId="4518" dataDxfId="4517">
  <tableColumns count="17">
    <tableColumn id="2" xr3:uid="{C450678A-2A8A-42B6-842D-7CD5AD3C7E59}" name="Column1" headerRowDxfId="4516" dataDxfId="4515"/>
    <tableColumn id="3" xr3:uid="{928EC9D5-81A8-4D22-B732-B156AA716C49}" name="Column2" headerRowDxfId="4514" dataDxfId="4513"/>
    <tableColumn id="4" xr3:uid="{26227647-FA4A-4E9A-B534-8C7409A5D6A8}" name="Column3" headerRowDxfId="4512" dataDxfId="4511"/>
    <tableColumn id="5" xr3:uid="{78CFDD07-7465-47EA-BC25-244AE6079805}" name="Column4" headerRowDxfId="4510" dataDxfId="4509"/>
    <tableColumn id="6" xr3:uid="{54ED8D0C-8D98-4FB0-8926-0C5C4F854922}" name="Column5" headerRowDxfId="4508" dataDxfId="4507"/>
    <tableColumn id="7" xr3:uid="{565292B2-826F-4E67-8698-FAAB5179C2E0}" name="Column6" headerRowDxfId="4506" dataDxfId="4505"/>
    <tableColumn id="8" xr3:uid="{355F177F-4A3E-489E-A4E1-2015ACE87170}" name="Column7" headerRowDxfId="4504" dataDxfId="4503"/>
    <tableColumn id="9" xr3:uid="{62D442B2-8080-4702-8F20-B6743996579D}" name="Column8" headerRowDxfId="4502" dataDxfId="4501"/>
    <tableColumn id="10" xr3:uid="{4DB619F1-55A5-4BA2-B811-ACD747CA01C1}" name="Column9" headerRowDxfId="4500" dataDxfId="4499"/>
    <tableColumn id="11" xr3:uid="{97EB9D3F-AEE5-439B-8D35-4225D29319B9}" name="Column10" headerRowDxfId="4498" dataDxfId="4497"/>
    <tableColumn id="12" xr3:uid="{FFD65597-8A7B-4C25-B805-AFD7103A91E7}" name="Column11" headerRowDxfId="4496" dataDxfId="4495"/>
    <tableColumn id="13" xr3:uid="{0FB512F5-1FFD-44D3-898C-B94441776740}" name="Column12" headerRowDxfId="4494" dataDxfId="4493"/>
    <tableColumn id="14" xr3:uid="{662E97CD-5C3A-4129-B507-4D1706BEF565}" name="Column13" headerRowDxfId="4492" dataDxfId="4491"/>
    <tableColumn id="15" xr3:uid="{3AFC4A84-ECB4-4383-9521-6964071CFC10}" name="Cantrip" headerRowDxfId="4490" dataDxfId="4489"/>
    <tableColumn id="16" xr3:uid="{8A20B092-BC26-490B-86F1-CC43BA29CA1C}" name="1st Level" headerRowDxfId="4488" dataDxfId="4487"/>
    <tableColumn id="17" xr3:uid="{6F21C5C3-7ED6-4C23-8C27-3EF48BADF779}" name="2nd Level" headerRowDxfId="4486" dataDxfId="4485"/>
    <tableColumn id="1" xr3:uid="{3F188478-1CE9-4A5E-BC67-DF2A6DD22355}" name="Column14" headerRowDxfId="4484" dataDxfId="4483"/>
  </tableColumns>
  <tableStyleInfo name="TableStyleMedium2" showFirstColumn="0" showLastColumn="0" showRowStripes="1" showColumnStripes="0"/>
</table>
</file>

<file path=xl/tables/table4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5" xr:uid="{1339AD37-D8C0-4489-B518-37FCAE3E3E57}" name="Table4932744178384089762370816" displayName="Table4932744178384089762370816" ref="B120:T129" headerRowCount="0" headerRowDxfId="4482" dataDxfId="4481" totalsRowDxfId="4480">
  <tableColumns count="19">
    <tableColumn id="2" xr3:uid="{53EDC335-3F27-46AE-A620-A4F27F37EBB3}" name="Column1" headerRowDxfId="4479" dataDxfId="4478"/>
    <tableColumn id="3" xr3:uid="{A67491E2-D1AE-45A0-9B58-15AB6A2D6719}" name="Column2" headerRowDxfId="4477" dataDxfId="4476" totalsRowDxfId="4475"/>
    <tableColumn id="4" xr3:uid="{1D40C9DB-C78A-4EA4-B2C0-4655A6EF336D}" name="Column3" headerRowDxfId="4474" dataDxfId="4473" totalsRowDxfId="4472"/>
    <tableColumn id="5" xr3:uid="{388CBF85-22DD-4920-8343-66D6BB4439AF}" name="Column4" headerRowDxfId="4471" dataDxfId="4470" totalsRowDxfId="4469"/>
    <tableColumn id="6" xr3:uid="{980D10E0-FDA1-4BF1-B0D8-D00EA9477C63}" name="Column5" headerRowDxfId="4468" dataDxfId="4467" totalsRowDxfId="4466"/>
    <tableColumn id="7" xr3:uid="{A5AC5399-ED28-44A8-9208-72797CB3429A}" name="Column6" headerRowDxfId="4465" dataDxfId="4464" totalsRowDxfId="4463"/>
    <tableColumn id="8" xr3:uid="{2D2CEAD5-90B8-4F4A-897D-CC2961D1512F}" name="Column7" headerRowDxfId="4462" dataDxfId="4461" totalsRowDxfId="4460"/>
    <tableColumn id="9" xr3:uid="{147E20C8-752C-461B-A35A-EFA08B76674D}" name="Column8" headerRowDxfId="4459" dataDxfId="4458" totalsRowDxfId="4457"/>
    <tableColumn id="10" xr3:uid="{E246FDD6-7DC8-4941-87BF-10ABD207F5A9}" name="Column9" headerRowDxfId="4456" dataDxfId="4455" totalsRowDxfId="4454"/>
    <tableColumn id="11" xr3:uid="{51713FD8-DFEA-489D-BEB2-0CBCFBF36E3D}" name="Column10" headerRowDxfId="4453" dataDxfId="4452" totalsRowDxfId="4451"/>
    <tableColumn id="12" xr3:uid="{1EFD0BDA-8D9F-4341-80BE-96C937006BD3}" name="Column11" headerRowDxfId="4450" dataDxfId="4449" totalsRowDxfId="4448"/>
    <tableColumn id="13" xr3:uid="{F85622E4-2E40-4325-959A-D9B19A5CE250}" name="Column12" headerRowDxfId="4447" dataDxfId="4446" totalsRowDxfId="4445"/>
    <tableColumn id="14" xr3:uid="{17D01FA4-9ED3-46F0-AB55-C9FF03934A46}" name="Column13" headerRowDxfId="4444" dataDxfId="4443" totalsRowDxfId="4442"/>
    <tableColumn id="15" xr3:uid="{932E9D6A-FCDA-4C55-A750-37FCF55D969D}" name="Cantrip" headerRowDxfId="4441" dataDxfId="4440"/>
    <tableColumn id="16" xr3:uid="{116E8A92-65B5-40D4-BE8A-9CCAE5D2F3AD}" name="1st Level" headerRowDxfId="4439" dataDxfId="4438"/>
    <tableColumn id="17" xr3:uid="{E3AB8E22-2297-41F8-A273-0B0B736B1EA4}" name="2nd Level" headerRowDxfId="4437" dataDxfId="4436"/>
    <tableColumn id="18" xr3:uid="{BD12CE3A-80B8-4532-A730-CB2698C31CF7}" name="3rd Level" headerRowDxfId="4435" dataDxfId="4434"/>
    <tableColumn id="19" xr3:uid="{6C0ACB1E-F96C-400B-9C95-B0C49B9AD2BA}" name="4th Level" headerRowDxfId="4433" dataDxfId="4432"/>
    <tableColumn id="1" xr3:uid="{D1EC0A49-8B60-4A8B-BD13-0BBA1DDF32BC}" name="Column14" headerRowDxfId="4431" dataDxfId="4430" totalsRowDxfId="4429"/>
  </tableColumns>
  <tableStyleInfo name="TableStyleMedium2" showFirstColumn="0" showLastColumn="0" showRowStripes="1" showColumnStripes="0"/>
</table>
</file>

<file path=xl/tables/table4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6" xr:uid="{C6D5B4AF-D380-4906-BAC7-CA8EBF047693}" name="Table62328442784841898268371817" displayName="Table62328442784841898268371817" ref="B171:T202" headerRowCount="0" headerRowDxfId="4428" dataDxfId="4427" totalsRowDxfId="4425" tableBorderDxfId="4426">
  <tableColumns count="19">
    <tableColumn id="2" xr3:uid="{CFA7B2BE-A614-4CB1-BC2E-39578F21EFF9}" name="Column2" headerRowDxfId="4424" dataDxfId="4423" totalsRowDxfId="4422"/>
    <tableColumn id="3" xr3:uid="{0861CF0E-C9CD-4794-87BF-6C14A03DE03C}" name="Column3" headerRowDxfId="4421" dataDxfId="4420" totalsRowDxfId="4419"/>
    <tableColumn id="4" xr3:uid="{078476F3-DF7E-4777-9D5D-9EBCAB15D7B6}" name="Column4" headerRowDxfId="4418" dataDxfId="4417" totalsRowDxfId="4416"/>
    <tableColumn id="5" xr3:uid="{23A06920-74C9-4632-A4D0-DF79C5F6F76E}" name="Column5" headerRowDxfId="4415" dataDxfId="4414" totalsRowDxfId="4413"/>
    <tableColumn id="6" xr3:uid="{13A6179D-8347-480D-B2B0-00873A5595E8}" name="Column6" headerRowDxfId="4412" dataDxfId="4411" totalsRowDxfId="4410"/>
    <tableColumn id="7" xr3:uid="{D055D824-A9E2-43E2-8EFB-A168FC336506}" name="Column7" headerRowDxfId="4409" dataDxfId="4408" totalsRowDxfId="4407"/>
    <tableColumn id="8" xr3:uid="{25DD0035-7C30-41F6-A98F-FB6E6D43B1D6}" name="Column8" headerRowDxfId="4406" dataDxfId="4405" totalsRowDxfId="4404"/>
    <tableColumn id="9" xr3:uid="{7A436E71-FF38-41B4-93E3-EA55A3B634EF}" name="Column9" headerRowDxfId="4403" dataDxfId="4402" totalsRowDxfId="4401"/>
    <tableColumn id="10" xr3:uid="{1231E416-BAE2-4D55-AAEE-A08B0563CEF9}" name="Column10" headerRowDxfId="4400" dataDxfId="4399" totalsRowDxfId="4398"/>
    <tableColumn id="11" xr3:uid="{6489A0E9-049F-46F4-8053-6477BCF59F87}" name="Column11" headerRowDxfId="4397" dataDxfId="4396" totalsRowDxfId="4395"/>
    <tableColumn id="12" xr3:uid="{C9C0F5CE-6E05-4538-837E-413AD3B92A75}" name="Column12" headerRowDxfId="4394" dataDxfId="4393" totalsRowDxfId="4392"/>
    <tableColumn id="13" xr3:uid="{61D0D5F8-1DE0-4034-B4F6-1BCE3DEF334C}" name="Column13" headerRowDxfId="4391" dataDxfId="4390" totalsRowDxfId="4389"/>
    <tableColumn id="14" xr3:uid="{3895AD94-3A7A-44D0-B006-CC5B011F09A2}" name="Column14" headerRowDxfId="4388" dataDxfId="4387" totalsRowDxfId="4386"/>
    <tableColumn id="15" xr3:uid="{89765A22-BE94-462D-B5B3-1F231F62A743}" name="Column15" headerRowDxfId="4385" dataDxfId="4384" totalsRowDxfId="4383"/>
    <tableColumn id="16" xr3:uid="{A741C8A8-B477-499B-AB7A-530F75776244}" name="Column16" headerRowDxfId="4382" dataDxfId="4381" totalsRowDxfId="4380"/>
    <tableColumn id="17" xr3:uid="{DAFFF715-62DC-4015-898E-5D1F2A97CAC5}" name="Column17" headerRowDxfId="4379" dataDxfId="4378" totalsRowDxfId="4377"/>
    <tableColumn id="18" xr3:uid="{697058CB-AFF3-4BCF-9629-FE4DA34C8D53}" name="Column18" headerRowDxfId="4376" dataDxfId="4375" totalsRowDxfId="4374"/>
    <tableColumn id="19" xr3:uid="{30AFA7F5-19FD-4DD9-ACBF-5DF45B50FE1C}" name="Column19" headerRowDxfId="4373" dataDxfId="4372" totalsRowDxfId="4371"/>
    <tableColumn id="1" xr3:uid="{AFD9F5DA-5FA4-4E7E-B83C-6D81A0EDDB4F}" name="Column1" headerRowDxfId="4370" dataDxfId="4369" totalsRowDxfId="4368"/>
  </tableColumns>
  <tableStyleInfo name="TableStyleMedium2" showFirstColumn="0" showLastColumn="0" showRowStripes="1" showColumnStripes="0"/>
</table>
</file>

<file path=xl/tables/table4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7" xr:uid="{778CBAF2-7949-48F5-B784-07D5C6F523C4}" name="Table64329443785842899270372818" displayName="Table64329443785842899270372818" ref="B307:T324" headerRowCount="0" totalsRowShown="0" headerRowDxfId="4367" dataDxfId="4366">
  <tableColumns count="19">
    <tableColumn id="2" xr3:uid="{05169486-224D-4A89-BE1C-16BE6D09B05A}" name="Column2" headerRowDxfId="4365" dataDxfId="4364"/>
    <tableColumn id="3" xr3:uid="{7DF29841-EC6F-40AC-B163-F9CE41545E27}" name="Column3" headerRowDxfId="4363" dataDxfId="4362"/>
    <tableColumn id="4" xr3:uid="{571B3057-31D4-47FC-B7BF-8B6B19BB1652}" name="Column4" headerRowDxfId="4361" dataDxfId="4360"/>
    <tableColumn id="5" xr3:uid="{33986707-5075-4F4C-BC7E-3A637428E1C6}" name="Column5" headerRowDxfId="4359" dataDxfId="4358"/>
    <tableColumn id="6" xr3:uid="{3F650BE7-A378-478E-AE8E-5DA486E8948C}" name="Column6" headerRowDxfId="4357" dataDxfId="4356"/>
    <tableColumn id="7" xr3:uid="{3DEFB241-682F-43C0-AA3D-83D4655FC6D1}" name="Column7" headerRowDxfId="4355" dataDxfId="4354"/>
    <tableColumn id="8" xr3:uid="{48CFDE9D-AA82-4BD0-8370-A92DD06990B0}" name="Column8" headerRowDxfId="4353" dataDxfId="4352"/>
    <tableColumn id="9" xr3:uid="{A39B37A2-F1AE-4129-9496-7A53C6D7B61D}" name="Column9" headerRowDxfId="4351" dataDxfId="4350"/>
    <tableColumn id="10" xr3:uid="{B005E379-AE44-4E9B-91DF-E1C951D4087A}" name="Column10" headerRowDxfId="4349" dataDxfId="4348"/>
    <tableColumn id="11" xr3:uid="{72DD4319-06E0-41BC-BDF0-FE022947E067}" name="Column11" headerRowDxfId="4347" dataDxfId="4346"/>
    <tableColumn id="12" xr3:uid="{DC3074AB-4045-4389-A0E5-1D42398EB80E}" name="Column12" headerRowDxfId="4345" dataDxfId="4344"/>
    <tableColumn id="13" xr3:uid="{FFE04DC5-7425-4BF8-A54C-5903EA82E69D}" name="Column13" headerRowDxfId="4343" dataDxfId="4342"/>
    <tableColumn id="14" xr3:uid="{1C140F7E-9EB8-40C8-B1E3-9BE5F3510B84}" name="Column14" headerRowDxfId="4341" dataDxfId="4340"/>
    <tableColumn id="15" xr3:uid="{76E09299-F307-4799-A09C-43288E5051BD}" name="Column15" headerRowDxfId="4339" dataDxfId="4338"/>
    <tableColumn id="16" xr3:uid="{7C6BFE7A-52FC-46C6-A196-BCDAFECCB9C8}" name="Column16" headerRowDxfId="4337" dataDxfId="4336">
      <calculatedColumnFormula>IF($Q$324&gt;=O322,INDEX('Spell Tables'!$T$242:$T$271,MATCH(O322,('Spell Tables'!$R$242:$R$271),0))," ")</calculatedColumnFormula>
    </tableColumn>
    <tableColumn id="17" xr3:uid="{3160924F-C3C3-48CF-B88D-F8434AF8D4F6}" name="Column17" headerRowDxfId="4335" dataDxfId="4334">
      <calculatedColumnFormula>IF($R$324&gt;=O322,INDEX('Spell Tables'!$X$242:$X$275,MATCH(O322,('Spell Tables'!$V$242:$V$275),0))," ")</calculatedColumnFormula>
    </tableColumn>
    <tableColumn id="18" xr3:uid="{57DD6863-F48E-4F9C-9284-31863C87CEC0}" name="Column18" headerRowDxfId="4333" dataDxfId="4332"/>
    <tableColumn id="19" xr3:uid="{080DC482-63EB-4871-A69F-3C71509BE450}" name="Column19" headerRowDxfId="4331" dataDxfId="4330"/>
    <tableColumn id="20" xr3:uid="{B22D9668-9D58-4D87-B244-9F6849628570}" name="Column20" headerRowDxfId="4329" dataDxfId="4328">
      <calculatedColumnFormula>IF($S$309&gt;=O307,INDEX('Spell Tables'!$AF$242:$AF$264,MATCH(O307,('Spell Tables'!$AD$242:$AD$264),0)),IF(AND($Q$11="wizard",$S$312&gt;=O307),INDEX('Spell Tables'!$AF$242:$AF$264,MATCH(O307,('Spell Tables'!$AD$242:$AD$264),0))," "))</calculatedColumnFormula>
    </tableColumn>
  </tableColumns>
  <tableStyleInfo name="TableStyleMedium2" showFirstColumn="0" showLastColumn="0" showRowStripes="1" showColumnStripes="0"/>
</table>
</file>

<file path=xl/tables/table4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8" xr:uid="{A82F9FE8-18DA-406E-BE43-9E02A587C315}" name="Table4967330444786843900309373819" displayName="Table4967330444786843900309373819" ref="B146:T155" headerRowCount="0" headerRowDxfId="4327" dataDxfId="4326" totalsRowDxfId="4325">
  <tableColumns count="19">
    <tableColumn id="2" xr3:uid="{12F16826-AB02-4196-AFFA-8D00196E5C05}" name="Column1" headerRowDxfId="4324" dataDxfId="4323" totalsRowDxfId="4322"/>
    <tableColumn id="3" xr3:uid="{3E87EF5F-8AFD-4904-8CFF-AA63176F03D1}" name="Column2" headerRowDxfId="4321" dataDxfId="4320" totalsRowDxfId="4319"/>
    <tableColumn id="4" xr3:uid="{E660C804-14B7-4A02-BA81-FB311BBF7797}" name="Column3" headerRowDxfId="4318" dataDxfId="4317" totalsRowDxfId="4316"/>
    <tableColumn id="5" xr3:uid="{375C410A-32FE-4012-B73E-F6F5F4713BE3}" name="Column4" headerRowDxfId="4315" dataDxfId="4314" totalsRowDxfId="4313"/>
    <tableColumn id="6" xr3:uid="{29042656-E969-4457-85B5-66EEFAD0B7DE}" name="Column5" headerRowDxfId="4312" dataDxfId="4311" totalsRowDxfId="4310"/>
    <tableColumn id="7" xr3:uid="{1AADABC7-F8C2-4100-A5A9-F141D1146E4D}" name="Column6" headerRowDxfId="4309" dataDxfId="4308" totalsRowDxfId="4307"/>
    <tableColumn id="8" xr3:uid="{7302C74F-F1C8-473F-95DF-636D55620D35}" name="Column7" headerRowDxfId="4306" dataDxfId="4305" totalsRowDxfId="4304"/>
    <tableColumn id="9" xr3:uid="{B090C142-6B5E-43D6-905E-F183FB43AC4F}" name="Column8" headerRowDxfId="4303" dataDxfId="4302" totalsRowDxfId="4301"/>
    <tableColumn id="10" xr3:uid="{CAF492E8-81AF-4E5B-A1B3-3015E1A815ED}" name="Column9" headerRowDxfId="4300" dataDxfId="4299" totalsRowDxfId="4298"/>
    <tableColumn id="11" xr3:uid="{3A34C535-96E0-4AAC-8D0E-5D250E782E06}" name="Column10" headerRowDxfId="4297" dataDxfId="4296" totalsRowDxfId="4295"/>
    <tableColumn id="12" xr3:uid="{51D01C71-20FA-4325-B02B-EC5BB5442B4B}" name="Column11" headerRowDxfId="4294" dataDxfId="4293" totalsRowDxfId="4292"/>
    <tableColumn id="13" xr3:uid="{F9C508B6-14BB-48B3-839B-3DF928B2D05B}" name="Column12" headerRowDxfId="4291" dataDxfId="4290" totalsRowDxfId="4289"/>
    <tableColumn id="14" xr3:uid="{E50E00F6-E632-4486-878B-81329C6ACED0}" name="Column13" headerRowDxfId="4288" dataDxfId="4287" totalsRowDxfId="4286"/>
    <tableColumn id="15" xr3:uid="{A7469214-D372-450B-88E9-ACA5018AA252}" name="Cantrip" headerRowDxfId="4285" dataDxfId="4284" totalsRowDxfId="4283"/>
    <tableColumn id="16" xr3:uid="{A653ABFB-6362-4A00-9633-A68A8F378012}" name="1st Level" headerRowDxfId="4282" dataDxfId="4281" totalsRowDxfId="4280"/>
    <tableColumn id="17" xr3:uid="{270EB4BB-771C-4C98-820A-F89B25A47E01}" name="2nd Level" totalsRowFunction="custom" headerRowDxfId="4279" dataDxfId="4278" totalsRowDxfId="4277">
      <totalsRowFormula>IF(R15="way of the shadow","Silence"," ")</totalsRowFormula>
    </tableColumn>
    <tableColumn id="18" xr3:uid="{8E5015D1-736B-47D7-A845-6F568CEDD3B8}" name="3rd Level" headerRowDxfId="4276" dataDxfId="4275" totalsRowDxfId="4274"/>
    <tableColumn id="19" xr3:uid="{E6449913-2515-415A-AF15-0B74BC5B5422}" name="4th Level" headerRowDxfId="4273" dataDxfId="4272" totalsRowDxfId="4271"/>
    <tableColumn id="1" xr3:uid="{61CEE83B-1732-4866-A4BE-DFABB38D738D}" name="Column14" headerRowDxfId="4270" dataDxfId="4269" totalsRowDxfId="4268"/>
  </tableColumns>
  <tableStyleInfo name="TableStyleMedium2" showFirstColumn="0" showLastColumn="0" showRowStripes="1" showColumnStripes="0"/>
</table>
</file>

<file path=xl/tables/table4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9" xr:uid="{C7133F73-1D6A-42B8-834C-8304AC42FF61}" name="Table69331445787844901310374820" displayName="Table69331445787844901310374820" ref="BN26:BS43" headerRowCount="0" totalsRowShown="0" headerRowDxfId="4267" dataDxfId="4266">
  <tableColumns count="6">
    <tableColumn id="1" xr3:uid="{9EE1BBE3-7F3B-42CF-8299-EE2E9EF08036}" name="Column1" headerRowDxfId="4265" dataDxfId="4264">
      <calculatedColumnFormula>_xlfn.RANK.EQ(BO26,$BO$26:$BO$43)</calculatedColumnFormula>
    </tableColumn>
    <tableColumn id="2" xr3:uid="{7BF16ADE-5946-4D3C-AE6F-3A51FDCCE117}" name="Column2" headerRowDxfId="4263" dataDxfId="4262"/>
    <tableColumn id="3" xr3:uid="{B3267D06-3B75-420D-8A24-2269916859E4}" name="Column3" headerRowDxfId="4261" dataDxfId="4260">
      <calculatedColumnFormula>IF(OR(BM6&gt;=1,AV6&gt;=1),AH6," ")</calculatedColumnFormula>
    </tableColumn>
    <tableColumn id="4" xr3:uid="{B2122583-7CD1-4DA5-B7D1-BC67A15E224A}" name="Column4" headerRowDxfId="4259" dataDxfId="4258"/>
    <tableColumn id="5" xr3:uid="{4A97539F-3014-4B32-865D-B526CDE1BF25}" name="Column5" headerRowDxfId="4257" dataDxfId="4256">
      <calculatedColumnFormula>_xlfn.RANK.EQ(BS26,$BS$26:$BS$43)</calculatedColumnFormula>
    </tableColumn>
    <tableColumn id="6" xr3:uid="{37D06375-9130-49B6-A5C5-4CAE3E615160}" name="Column6" headerRowDxfId="4255" dataDxfId="4254">
      <calculatedColumnFormula>IF(BO26=0,RAND(),0)</calculatedColumnFormula>
    </tableColumn>
  </tableColumns>
  <tableStyleInfo name="TableStyleMedium2" showFirstColumn="0" showLastColumn="0" showRowStripes="1" showColumnStripes="0"/>
</table>
</file>

<file path=xl/tables/table4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0" xr:uid="{6C538136-F579-4446-B34D-EB07231976BE}" name="Table70332446788845902311375821" displayName="Table70332446788845902311375821" ref="BU26:BZ29" headerRowCount="0" totalsRowShown="0" headerRowDxfId="4253" dataDxfId="4252">
  <tableColumns count="6">
    <tableColumn id="1" xr3:uid="{E8FFC1BB-7797-48F7-9D94-E8340E45FDF4}" name="Column1" headerRowDxfId="4251" dataDxfId="4250">
      <calculatedColumnFormula>_xlfn.RANK.EQ(BV26,$BV$26:$BV$29)</calculatedColumnFormula>
    </tableColumn>
    <tableColumn id="2" xr3:uid="{ED20BADF-4667-4211-A2E3-B303CD252792}" name="Column2" headerRowDxfId="4249" dataDxfId="4248"/>
    <tableColumn id="3" xr3:uid="{F2FB0763-E3E5-4387-A5C7-174963954F21}" name="Column3" headerRowDxfId="4247" dataDxfId="4246"/>
    <tableColumn id="4" xr3:uid="{F320386C-5532-42AA-9CC6-C48632FAF12D}" name="Column4" headerRowDxfId="4245" dataDxfId="4244"/>
    <tableColumn id="5" xr3:uid="{099F9301-621B-4FE8-AB98-AE0B5B7609F4}" name="Column5" headerRowDxfId="4243" dataDxfId="4242">
      <calculatedColumnFormula>_xlfn.RANK.EQ(BZ26,$BZ$26:$BZ$29)</calculatedColumnFormula>
    </tableColumn>
    <tableColumn id="6" xr3:uid="{BA7A205A-90B4-4522-8A16-F5CC1E199EDA}" name="Column6" headerRowDxfId="4241" dataDxfId="4240">
      <calculatedColumnFormula>IF(BV26=0,RAND(),0)</calculatedColumnFormula>
    </tableColumn>
  </tableColumns>
  <tableStyleInfo name="TableStyleMedium2" showFirstColumn="0" showLastColumn="0" showRowStripes="1" showColumnStripes="0"/>
</table>
</file>

<file path=xl/tables/table4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1" xr:uid="{BBD4D6B8-A827-4212-9E48-D57AABDE4A96}" name="Table72333447789846903312376822" displayName="Table72333447789846903312376822" ref="BU30:BZ32" headerRowCount="0" totalsRowShown="0" headerRowDxfId="4239" dataDxfId="4238">
  <tableColumns count="6">
    <tableColumn id="1" xr3:uid="{E49B736D-21E1-42A9-B8ED-55A2342ACEE7}" name="Column1" headerRowDxfId="4237" dataDxfId="4236">
      <calculatedColumnFormula>_xlfn.RANK.EQ(BV30,$BV$30:$BV$32)</calculatedColumnFormula>
    </tableColumn>
    <tableColumn id="2" xr3:uid="{873B0849-3078-4795-A713-EB3BD8EA1352}" name="Column2" headerRowDxfId="4235" dataDxfId="4234"/>
    <tableColumn id="3" xr3:uid="{B58837DC-9BC7-4581-9B02-AD07D2E07633}" name="Column3" headerRowDxfId="4233" dataDxfId="4232"/>
    <tableColumn id="4" xr3:uid="{42A8210E-D76C-493D-A5C2-07DA8A8D55E1}" name="Column4" headerRowDxfId="4231" dataDxfId="4230"/>
    <tableColumn id="5" xr3:uid="{485F1CCE-E8A9-4937-8517-7DC9FC3EFF86}" name="Column5" headerRowDxfId="4229" dataDxfId="4228">
      <calculatedColumnFormula>_xlfn.RANK.EQ(BZ30,$BZ$30:$BZ$32)</calculatedColumnFormula>
    </tableColumn>
    <tableColumn id="6" xr3:uid="{94BA4FD7-A778-418C-966A-2F04096EFFF5}" name="Column6" headerRowDxfId="4227" dataDxfId="4226">
      <calculatedColumnFormula>IF(BV30=0,RAND(),0)</calculatedColumnFormula>
    </tableColumn>
  </tableColumns>
  <tableStyleInfo name="TableStyleMedium2" showFirstColumn="0" showLastColumn="0" showRowStripes="1" showColumnStripes="0"/>
</table>
</file>

<file path=xl/tables/table4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2" xr:uid="{D355231F-9189-45C2-A17D-78DB95174FEB}" name="Table60334448790847904313377823" displayName="Table60334448790847904313377823" ref="B240:T271" headerRowCount="0" totalsRowShown="0" headerRowDxfId="4225" dataDxfId="4224" tableBorderDxfId="4223">
  <tableColumns count="19">
    <tableColumn id="3" xr3:uid="{6DD4ED75-EF1F-40F4-A801-E3270EA473D3}" name="Column3" headerRowDxfId="4222" dataDxfId="4221"/>
    <tableColumn id="4" xr3:uid="{588E750F-B94B-4C16-977D-805DF3A26E07}" name="Column4" headerRowDxfId="4220" dataDxfId="4219"/>
    <tableColumn id="5" xr3:uid="{58B796CC-F06A-446D-BC2F-287615DA5DA2}" name="Column5" headerRowDxfId="4218" dataDxfId="4217"/>
    <tableColumn id="6" xr3:uid="{7A93993C-B769-4959-A0FA-13FDE2FA1ED8}" name="Column6" headerRowDxfId="4216" dataDxfId="4215"/>
    <tableColumn id="7" xr3:uid="{AC3FB240-495B-4752-8146-D9592FBB41F1}" name="Column7" headerRowDxfId="4214" dataDxfId="4213"/>
    <tableColumn id="8" xr3:uid="{8AC2EC71-D7C0-4C85-BD6B-B6A800F69727}" name="Column8" headerRowDxfId="4212" dataDxfId="4211"/>
    <tableColumn id="9" xr3:uid="{360CFE0C-5E5B-4C29-B841-6981219BB993}" name="Column9" headerRowDxfId="4210" dataDxfId="4209"/>
    <tableColumn id="10" xr3:uid="{5ECAE32A-F4AC-4874-8FF1-DC62C76910F8}" name="Column10" headerRowDxfId="4208" dataDxfId="4207"/>
    <tableColumn id="11" xr3:uid="{5601E9B2-9A08-49B8-94D1-771FCD178E9C}" name="Column11" headerRowDxfId="4206" dataDxfId="4205"/>
    <tableColumn id="12" xr3:uid="{90274578-6D17-406A-9878-F168BD06411D}" name="Column12" headerRowDxfId="4204" dataDxfId="4203"/>
    <tableColumn id="13" xr3:uid="{AB44EA1F-CF8F-4A5B-A250-B6CDA7AB61A1}" name="Column13" headerRowDxfId="4202" dataDxfId="4201"/>
    <tableColumn id="14" xr3:uid="{D7AE04BB-37DE-4319-8619-C47BFB12EE56}" name="Column14" headerRowDxfId="4200" dataDxfId="4199"/>
    <tableColumn id="15" xr3:uid="{0EA4ACF3-90F9-401E-AE06-9BF0E85C1770}" name="Column15" headerRowDxfId="4198" dataDxfId="4197"/>
    <tableColumn id="2" xr3:uid="{28D6A083-FD8A-4520-B8F9-FA4F7864F5D1}" name="Column2" headerRowDxfId="4196" dataDxfId="4195"/>
    <tableColumn id="16" xr3:uid="{BFEC97EE-538B-43B4-A2A8-C689C527E8DD}" name="Column16" headerRowDxfId="4194" dataDxfId="4193"/>
    <tableColumn id="17" xr3:uid="{E195C1B0-10BC-4F19-95D3-6567B33F8E50}" name="Column17" headerRowDxfId="4192" dataDxfId="4191"/>
    <tableColumn id="18" xr3:uid="{2EF16A85-98F3-4E35-96E0-3E276A0ABFB0}" name="Column18" headerRowDxfId="4190" dataDxfId="4189"/>
    <tableColumn id="19" xr3:uid="{B08EE6B4-6904-4CD0-BB8A-34B859F913C6}" name="Column19" headerRowDxfId="4188" dataDxfId="4187"/>
    <tableColumn id="20" xr3:uid="{BF268B86-6F6E-4B6A-8109-145E0009CE16}" name="Column20" headerRowDxfId="4186" dataDxfId="4185">
      <calculatedColumnFormula>IF(AND($Q$15="Otherworldly patron - great old one",T$244&gt;=O171),INDEX('Spell Tables'!$AF$226:$AF$231,MATCH(O171,('Spell Tables'!$AD$226:$AD$231),0)),IF(AND($Q$15="Otherworldly patron - fiend",T$244&gt;=O171),INDEX('Spell Tables'!$AF$210:$AF$215,MATCH(O171,('Spell Tables'!$AD$210:$AD$215),0)),IF(AND($Q$15="Otherworldly patron - archfey",T$244&gt;=O171),INDEX('Spell Tables'!$AF$194:$AF$199,MATCH(O171,('Spell Tables'!$AD$194:$AD$199),0)),IF($T$242&gt;=O171,INDEX($AL$80:$AL$89,MATCH(O171,($AJ$80:$AJ$89),0)),IF($T$246&gt;=O171,INDEX('Spell Tables'!$AF$168:$AF$177,MATCH(O171,('Spell Tables'!$AD$168:$AD$177),0)),IF($T$248&gt;=O171,INDEX('Spell Tables'!$AR$141:$AR$144,MATCH(O171,('Spell Tables'!$AP$141:$AP$144),0)),IF($T$250&gt;=O171,INDEX('Spell Tables'!$AB$119:$AB$123,MATCH(O171,('Spell Tables'!$Z$119:$Z$123),0)),IF($T$252&gt;=O171,INDEX('Spell Tables'!$AB$97:$AB$102,MATCH(O171,('Spell Tables'!$Z$97:$Z$102),0)),IF($T$254&gt;=O171,INDEX('Spell Tables'!$AR$70:$AR$75,MATCH(O171,('Spell Tables'!$AP$70:$AP$75),0)),IF($T$256&gt;=O171,INDEX('Spell Tables'!$AF$48:$AF$63,MATCH(O171,('Spell Tables'!$AD$48:$AD$63),0)),IF($T$258&gt;=O171,INDEX('Spell Tables'!$AF$26:$AF$33,MATCH(O171,('Spell Tables'!$AD$26:$AD$33),0)),IF($T$260&gt;=O171,INDEX('Spell Tables'!$AF$2:$AF$9,MATCH(O171,('Spell Tables'!$AD$2:$AD$9),0))," "))))))))))))</calculatedColumnFormula>
    </tableColumn>
  </tableColumns>
  <tableStyleInfo name="TableStyleMedium2" showFirstColumn="0" showLastColumn="0" showRowStripes="1" showColumnStripes="0"/>
</table>
</file>

<file path=xl/tables/table4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3" xr:uid="{0552A5C9-97BE-454F-BD23-B53B9C698F75}" name="Table200335449791848905314378824" displayName="Table200335449791848905314378824" ref="AJ43:AL53" headerRowCount="0" totalsRowShown="0" headerRowDxfId="4184" dataDxfId="4183">
  <tableColumns count="3">
    <tableColumn id="1" xr3:uid="{E47A1DD8-3086-4C57-BB2B-02F4DC8D942A}" name="Column1" headerRowDxfId="4182" dataDxfId="4181"/>
    <tableColumn id="2" xr3:uid="{F833B666-3487-4C3F-A39C-47E04EB0D8A2}" name="Column2" headerRowDxfId="4180" dataDxfId="4179">
      <calculatedColumnFormula>RAND()</calculatedColumnFormula>
    </tableColumn>
    <tableColumn id="3" xr3:uid="{21B29D7B-E8AF-4E98-9743-5BA31A5882F9}" name="Column3" headerRowDxfId="4178" dataDxfId="4177">
      <calculatedColumnFormula>AN12</calculatedColumnFormula>
    </tableColumn>
  </tableColumns>
  <tableStyleInfo name="TableStyleMedium2" showFirstColumn="0" showLastColumn="0" showRowStripes="1" showColumnStripes="0"/>
</table>
</file>

<file path=xl/tables/table4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4" xr:uid="{1E5AFA50-B68E-4B1D-8FBB-66E2063751D6}" name="Table201336450792849906315379825" displayName="Table201336450792849906315379825" ref="AJ55:AL65" headerRowCount="0" totalsRowShown="0" headerRowDxfId="4176" dataDxfId="4175">
  <tableColumns count="3">
    <tableColumn id="1" xr3:uid="{A49F8ED8-957A-4FD4-8CE8-940A8AC48CD8}" name="Column1" headerRowDxfId="4174" dataDxfId="4173">
      <calculatedColumnFormula>_xlfn.RANK.EQ(AK56,$L$308:$L$320)</calculatedColumnFormula>
    </tableColumn>
    <tableColumn id="2" xr3:uid="{71508D2B-AEB6-4903-8621-73573234B3D7}" name="Column2" headerRowDxfId="4172" dataDxfId="4171">
      <calculatedColumnFormula>IF(AL56=" ", 0,RAND())</calculatedColumnFormula>
    </tableColumn>
    <tableColumn id="3" xr3:uid="{53FB5FE8-D81C-427E-8706-64F020F9BC1C}" name="Column3" headerRowDxfId="4170" dataDxfId="4169">
      <calculatedColumnFormula>AO12</calculatedColumnFormula>
    </tableColumn>
  </tableColumns>
  <tableStyleInfo name="TableStyleMedium2" showFirstColumn="0" showLastColumn="0" showRowStripes="1" showColumnStripes="0"/>
</table>
</file>

<file path=xl/tables/table4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5" xr:uid="{05986C45-46D8-45F5-802E-612E2EB3EA37}" name="Table202337451793850907320380826" displayName="Table202337451793850907320380826" ref="AJ67:AL77" headerRowCount="0" totalsRowShown="0" headerRowDxfId="4168" dataDxfId="4167">
  <tableColumns count="3">
    <tableColumn id="1" xr3:uid="{81807D44-4AF5-41EC-9F65-E645EF99CDE5}" name="Column1" headerRowDxfId="4166" dataDxfId="4165"/>
    <tableColumn id="2" xr3:uid="{868C9DBB-0235-466A-B2CF-A96E9D213BEB}" name="Column2" headerRowDxfId="4164" dataDxfId="4163">
      <calculatedColumnFormula>IF(AL68=" ", 0,RAND())</calculatedColumnFormula>
    </tableColumn>
    <tableColumn id="3" xr3:uid="{549145BF-B666-462D-8265-234EA694CF5B}" name="Column3" headerRowDxfId="4162" dataDxfId="4161">
      <calculatedColumnFormula>AP12</calculatedColumnFormula>
    </tableColumn>
  </tableColumns>
  <tableStyleInfo name="TableStyleMedium2" showFirstColumn="0" showLastColumn="0" showRowStripes="1" showColumnStripes="0"/>
</table>
</file>

<file path=xl/tables/table4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6" xr:uid="{B6D9C46E-E3A5-4B8B-AF33-CFB61AE414EC}" name="Table203338452794851908321381827" displayName="Table203338452794851908321381827" ref="AJ79:AL89" headerRowCount="0" totalsRowShown="0" headerRowDxfId="4160" dataDxfId="4159">
  <tableColumns count="3">
    <tableColumn id="1" xr3:uid="{04E86639-2BFB-493E-9E6F-C2751CD40DD0}" name="Column1" headerRowDxfId="4158" dataDxfId="4157"/>
    <tableColumn id="2" xr3:uid="{E28FD922-E494-46D2-A137-11517F96BCA4}" name="Column2" headerRowDxfId="4156" dataDxfId="4155"/>
    <tableColumn id="3" xr3:uid="{9545CBB9-D2FB-4CF2-8599-A68CE3D88F03}" name="Column3" headerRowDxfId="4154" dataDxfId="4153"/>
  </tableColumns>
  <tableStyleInfo name="TableStyleMedium2" showFirstColumn="0" showLastColumn="0" showRowStripes="1" showColumnStripes="0"/>
</table>
</file>

<file path=xl/tables/table4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7" xr:uid="{05DFC1FF-C672-4FF9-8A03-FF638E8209F6}" name="Table204339453795852909322382828" displayName="Table204339453795852909322382828" ref="AJ91:AL101" headerRowCount="0" totalsRowShown="0" headerRowDxfId="4152" dataDxfId="4151">
  <tableColumns count="3">
    <tableColumn id="1" xr3:uid="{1FCEEAE5-BCF2-41F9-97D2-B0510A3AA8A2}" name="Column1" headerRowDxfId="4150" dataDxfId="4149"/>
    <tableColumn id="2" xr3:uid="{592C0A7C-4FA7-4026-BA87-3E68125F7088}" name="Column2" headerRowDxfId="4148" dataDxfId="4147"/>
    <tableColumn id="3" xr3:uid="{8FB8317C-E6DB-4EB0-AF52-8F8DA808023F}" name="Column3" headerRowDxfId="4146" dataDxfId="4145"/>
  </tableColumns>
  <tableStyleInfo name="TableStyleMedium2" showFirstColumn="0" showLastColumn="0" showRowStripes="1" showColumnStripes="0"/>
</table>
</file>

<file path=xl/tables/table4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8" xr:uid="{43B8AAF8-9766-496C-B432-BF6BA50AC1DF}" name="Table205340454796853910326383829" displayName="Table205340454796853910326383829" ref="AJ103:AL113" headerRowCount="0" totalsRowShown="0" headerRowDxfId="4144" dataDxfId="4143">
  <tableColumns count="3">
    <tableColumn id="1" xr3:uid="{B3DE780B-81ED-4679-AA9E-0DF8A7EFB761}" name="Column1" headerRowDxfId="4142" dataDxfId="4141"/>
    <tableColumn id="2" xr3:uid="{DB4B3B76-6705-49CB-87C7-15CD31696571}" name="Column2" headerRowDxfId="4140" dataDxfId="4139"/>
    <tableColumn id="3" xr3:uid="{597DB765-F829-4EB7-BC21-D099203F7472}" name="Column3" headerRowDxfId="4138" dataDxfId="4137"/>
  </tableColumns>
  <tableStyleInfo name="TableStyleMedium2" showFirstColumn="0" showLastColumn="0" showRowStripes="1" showColumnStripes="0"/>
</table>
</file>

<file path=xl/tables/table4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9" xr:uid="{6F0C5041-A4FE-4D72-B61B-81FE71D0148A}" name="Table206341455797854911327384830" displayName="Table206341455797854911327384830" ref="AJ115:AL125" headerRowCount="0" totalsRowShown="0" headerRowDxfId="4136" dataDxfId="4135">
  <tableColumns count="3">
    <tableColumn id="1" xr3:uid="{FB4BC828-0A45-4342-8ADA-97408EB4F2D7}" name="Column1" headerRowDxfId="4134" dataDxfId="4133"/>
    <tableColumn id="2" xr3:uid="{B9DC45D5-E4E7-4112-B6CD-3F08F376B7FC}" name="Column2" headerRowDxfId="4132" dataDxfId="4131"/>
    <tableColumn id="3" xr3:uid="{FB51F51A-D6CF-44B3-B008-F0EB09604B87}" name="Column3" headerRowDxfId="4130" dataDxfId="4129"/>
  </tableColumns>
  <tableStyleInfo name="TableStyleMedium2" showFirstColumn="0" showLastColumn="0" showRowStripes="1" showColumnStripes="0"/>
</table>
</file>

<file path=xl/tables/table4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0" xr:uid="{C35C5AFE-A49D-4029-886E-F56DB98F39C4}" name="Table207342456798855912328385831" displayName="Table207342456798855912328385831" ref="AJ127:AL137" headerRowCount="0" totalsRowShown="0" headerRowDxfId="4128" dataDxfId="4127">
  <tableColumns count="3">
    <tableColumn id="1" xr3:uid="{05D020D5-0DC3-4F9A-A08D-836E15EB6BC8}" name="Column1" headerRowDxfId="4126" dataDxfId="4125"/>
    <tableColumn id="2" xr3:uid="{8E6AE40A-FE5B-4350-B99F-0E3F821414AA}" name="Column2" headerRowDxfId="4124" dataDxfId="4123"/>
    <tableColumn id="3" xr3:uid="{851ACF4D-FB10-49CB-BE9A-D6D82EC00EB1}" name="Column3" headerRowDxfId="4122" dataDxfId="4121"/>
  </tableColumns>
  <tableStyleInfo name="TableStyleMedium2" showFirstColumn="0" showLastColumn="0" showRowStripes="1" showColumnStripes="0"/>
</table>
</file>

<file path=xl/tables/table4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1" xr:uid="{43840B4F-4395-4152-BC8D-40EB910EF734}" name="Table208343457799856913329386832" displayName="Table208343457799856913329386832" ref="AJ139:AL149" headerRowCount="0" totalsRowShown="0" headerRowDxfId="4120" dataDxfId="4119">
  <tableColumns count="3">
    <tableColumn id="1" xr3:uid="{6454F621-9E08-4B24-9B59-08AEE7271C52}" name="Column1" headerRowDxfId="4118" dataDxfId="4117"/>
    <tableColumn id="2" xr3:uid="{8773C09F-DF72-4911-9ABC-8BDCE383BD43}" name="Column2" headerRowDxfId="4116" dataDxfId="4115"/>
    <tableColumn id="3" xr3:uid="{C38B8157-9464-4B9C-900A-529015FDECFA}" name="Column3" headerRowDxfId="4114" dataDxfId="4113"/>
  </tableColumns>
  <tableStyleInfo name="TableStyleMedium2" showFirstColumn="0" showLastColumn="0" showRowStripes="1" showColumnStripes="0"/>
</table>
</file>

<file path=xl/tables/table4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2" xr:uid="{383370AB-52EE-405E-B524-70C19968F118}" name="Table219344458800857914330387833" displayName="Table219344458800857914330387833" ref="AJ151:AL161" headerRowCount="0" totalsRowShown="0" headerRowDxfId="4112" dataDxfId="4111">
  <tableColumns count="3">
    <tableColumn id="1" xr3:uid="{218A0B48-6E5F-478E-87BE-80CD01478B71}" name="Column1" headerRowDxfId="4110" dataDxfId="4109"/>
    <tableColumn id="2" xr3:uid="{DF675502-F2A5-4AF4-A57C-9B90340BA981}" name="Column2" headerRowDxfId="4108" dataDxfId="4107"/>
    <tableColumn id="5" xr3:uid="{2CB5F586-F659-402D-B5C5-60697E167AB5}" name="Column3" headerRowDxfId="4106" dataDxfId="4105"/>
  </tableColumns>
  <tableStyleInfo name="TableStyleMedium2" showFirstColumn="0" showLastColumn="0" showRowStripes="1" showColumnStripes="0"/>
</table>
</file>

<file path=xl/tables/table4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3" xr:uid="{D09E5CE1-18EA-4729-BA1D-2FE245DE478B}" name="Table220345459801858915331388834" displayName="Table220345459801858915331388834" ref="AJ163:AL173" headerRowCount="0" totalsRowShown="0" headerRowDxfId="4104" dataDxfId="4103">
  <tableColumns count="3">
    <tableColumn id="1" xr3:uid="{F8A34378-8F85-488F-9B50-BA99DF9422F9}" name="Column1" headerRowDxfId="4102" dataDxfId="4101"/>
    <tableColumn id="2" xr3:uid="{564F2D4A-EB29-4AA3-9823-D90A277ECFDB}" name="Column2" headerRowDxfId="4100" dataDxfId="4099"/>
    <tableColumn id="3" xr3:uid="{04D3FF9C-2BB1-4F70-9549-FCB447511178}" name="Column3" headerRowDxfId="4098" dataDxfId="4097"/>
  </tableColumns>
  <tableStyleInfo name="TableStyleMedium2" showFirstColumn="0" showLastColumn="0" showRowStripes="1" showColumnStripes="0"/>
</table>
</file>

<file path=xl/tables/table4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4" xr:uid="{6E44B181-269C-433B-A2D2-96EA7168D38B}" name="Table222346460802859916332389835" displayName="Table222346460802859916332389835" ref="AJ175:AL185" headerRowCount="0" totalsRowShown="0" headerRowDxfId="4096" dataDxfId="4095">
  <tableColumns count="3">
    <tableColumn id="1" xr3:uid="{D398F0DF-A103-4BEB-867A-6459DEEF75A9}" name="Column1" headerRowDxfId="4094" dataDxfId="4093"/>
    <tableColumn id="2" xr3:uid="{BD05D6CC-356C-4CCF-B572-544C785935D2}" name="Column2" headerRowDxfId="4092" dataDxfId="4091"/>
    <tableColumn id="3" xr3:uid="{4F9325AB-971E-4223-9617-231DF66EDC0A}" name="Column3" headerRowDxfId="4090" dataDxfId="4089"/>
  </tableColumns>
  <tableStyleInfo name="TableStyleMedium2" showFirstColumn="0" showLastColumn="0" showRowStripes="1" showColumnStripes="0"/>
</table>
</file>

<file path=xl/tables/table4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5" xr:uid="{3532DC6F-1D3F-4DE5-ABEE-FB67BB01EEB7}" name="Table250347461803860917333390836" displayName="Table250347461803860917333390836" ref="AJ187:AL197" headerRowCount="0" totalsRowShown="0" headerRowDxfId="4088" dataDxfId="4087">
  <tableColumns count="3">
    <tableColumn id="1" xr3:uid="{28E1D6E1-9109-4589-A4EC-C94CCB980E60}" name="Column1" headerRowDxfId="4086" dataDxfId="4085"/>
    <tableColumn id="2" xr3:uid="{F0BDAFFF-CA62-4BD6-B65A-06671935564F}" name="Column2" headerRowDxfId="4084" dataDxfId="4083"/>
    <tableColumn id="3" xr3:uid="{0D3E76A5-3D14-40BE-96BB-F04BB1176753}" name="Column3" headerRowDxfId="4082" dataDxfId="4081"/>
  </tableColumns>
  <tableStyleInfo name="TableStyleMedium2" showFirstColumn="0" showLastColumn="0" showRowStripes="1" showColumnStripes="0"/>
</table>
</file>

<file path=xl/tables/table4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6" xr:uid="{5CF6DB06-7AAE-4336-83A4-6B72EF5CEBC5}" name="Table39348462804861918334391837" displayName="Table39348462804861918334391837" ref="CB1:CD7" headerRowCount="0" totalsRowShown="0" headerRowDxfId="4080" dataDxfId="4079">
  <tableColumns count="3">
    <tableColumn id="1" xr3:uid="{531E0023-5476-4BC7-B474-C8F027D4343C}" name="Column1" dataDxfId="4078"/>
    <tableColumn id="2" xr3:uid="{C6C014A0-9739-4C0B-8767-B575E7D9C55B}" name="Column2" dataDxfId="4077"/>
    <tableColumn id="3" xr3:uid="{312AFD76-F1FB-4FD5-9769-CCD4472508A7}" name="Column3" headerRowDxfId="4076" dataDxfId="4075"/>
  </tableColumns>
  <tableStyleInfo name="TableStyleMedium2" showFirstColumn="0" showLastColumn="0" showRowStripes="1" showColumnStripes="0"/>
</table>
</file>

<file path=xl/tables/table4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7" xr:uid="{98544D8A-3E3F-4349-A5BB-236B2345449B}" name="Table50349463805862919335392838" displayName="Table50349463805862919335392838" ref="CB29:CD34" headerRowCount="0" totalsRowShown="0" headerRowDxfId="4074" dataDxfId="4073">
  <tableColumns count="3">
    <tableColumn id="1" xr3:uid="{3F7AA940-DEFB-4FBF-BB2E-9B8399EC088B}" name="Column1" headerRowDxfId="4072" dataDxfId="4071"/>
    <tableColumn id="2" xr3:uid="{D51E4084-A17F-4A7A-B948-749C99576B5C}" name="Column2" headerRowDxfId="4070" dataDxfId="4069">
      <calculatedColumnFormula>RAND()</calculatedColumnFormula>
    </tableColumn>
    <tableColumn id="3" xr3:uid="{0D7EDF09-BADD-48D2-9CEF-BA7E96883224}" name="Column3" headerRowDxfId="4068" dataDxfId="4067"/>
  </tableColumns>
  <tableStyleInfo name="TableStyleMedium2" showFirstColumn="0" showLastColumn="0" showRowStripes="1" showColumnStripes="0"/>
</table>
</file>

<file path=xl/tables/table4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8" xr:uid="{3ED2B16E-1CC2-4D64-85BA-0FE2A726634F}" name="Table51350464806863920336393839" displayName="Table51350464806863920336393839" ref="CB36:CD44" headerRowCount="0" totalsRowShown="0" headerRowDxfId="4066" dataDxfId="4065">
  <tableColumns count="3">
    <tableColumn id="1" xr3:uid="{36F0E7F4-778F-4333-962C-966948E8F7A3}" name="Column1" headerRowDxfId="4064" dataDxfId="4063"/>
    <tableColumn id="2" xr3:uid="{C27F5158-9D80-4D96-9F90-F17D795F0118}" name="Column2" headerRowDxfId="4062" dataDxfId="4061"/>
    <tableColumn id="3" xr3:uid="{EF5218B8-FD72-4A1B-BBFA-A53C4C037D84}" name="Column3" headerRowDxfId="4060" dataDxfId="4059"/>
  </tableColumns>
  <tableStyleInfo name="TableStyleMedium2" showFirstColumn="0" showLastColumn="0" showRowStripes="1" showColumnStripes="0"/>
</table>
</file>

<file path=xl/tables/table4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9" xr:uid="{1CE6CE7A-FF22-4C01-B640-42ABF1C42C77}" name="Table52351465807864921337394840" displayName="Table52351465807864921337394840" ref="CB46:CD54" headerRowCount="0" totalsRowShown="0" headerRowDxfId="4058" dataDxfId="4057">
  <tableColumns count="3">
    <tableColumn id="1" xr3:uid="{A40F9290-3BB8-4BB0-867E-0433284226D5}" name="Column1" headerRowDxfId="4056" dataDxfId="4055"/>
    <tableColumn id="2" xr3:uid="{EEF88199-CF35-46E6-813C-54B9694B9C5E}" name="Column2" headerRowDxfId="4054" dataDxfId="4053"/>
    <tableColumn id="3" xr3:uid="{5882A26D-1D28-4256-80E4-F80D12E92368}" name="Column3" headerRowDxfId="4052" dataDxfId="4051"/>
  </tableColumns>
  <tableStyleInfo name="TableStyleMedium2" showFirstColumn="0" showLastColumn="0" showRowStripes="1" showColumnStripes="0"/>
</table>
</file>

<file path=xl/tables/table4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0" xr:uid="{8CA1C301-CC61-4C3F-B9E7-82D583FDBEBC}" name="Table53352466808865922338395841" displayName="Table53352466808865922338395841" ref="CB56:CD62" headerRowCount="0" totalsRowShown="0" headerRowDxfId="4050" dataDxfId="4049">
  <tableColumns count="3">
    <tableColumn id="1" xr3:uid="{287F2157-9E24-4A6D-8815-3EA8DB6FA7AD}" name="Column1" headerRowDxfId="4048" dataDxfId="4047"/>
    <tableColumn id="2" xr3:uid="{62980655-A1DF-48D2-ADD8-E9AEC80D8A85}" name="Column2" headerRowDxfId="4046" dataDxfId="4045"/>
    <tableColumn id="3" xr3:uid="{4DEA70F7-8A4E-4E6C-8D84-819BA2E7E82B}" name="Column3" headerRowDxfId="4044" dataDxfId="4043"/>
  </tableColumns>
  <tableStyleInfo name="TableStyleMedium2" showFirstColumn="0" showLastColumn="0" showRowStripes="1" showColumnStripes="0"/>
</table>
</file>

<file path=xl/tables/table4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1" xr:uid="{7A274D08-ABF4-4425-BAE2-618B76450766}" name="Table54353467809866923339396842" displayName="Table54353467809866923339396842" ref="CB64:CD70" headerRowCount="0" totalsRowShown="0" headerRowDxfId="4042" dataDxfId="4041">
  <tableColumns count="3">
    <tableColumn id="1" xr3:uid="{19C4D2F6-50DB-4B4E-B5D5-0791B9BAA838}" name="Column1" headerRowDxfId="4040" dataDxfId="4039"/>
    <tableColumn id="2" xr3:uid="{94C7BD8E-4CA4-4460-94EA-7CBAA6368B06}" name="Column2" headerRowDxfId="4038" dataDxfId="4037"/>
    <tableColumn id="3" xr3:uid="{C8421FA2-3753-47D7-8EDF-5DBB98EFCCA2}" name="Column3" headerRowDxfId="4036" dataDxfId="4035"/>
  </tableColumns>
  <tableStyleInfo name="TableStyleMedium2" showFirstColumn="0" showLastColumn="0" showRowStripes="1" showColumnStripes="0"/>
</table>
</file>

<file path=xl/tables/table4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2" xr:uid="{8698E0BB-9DEC-46E4-8AAD-49F47942D034}" name="Table55354468810867924340397843" displayName="Table55354468810867924340397843" ref="CB72:CD81" headerRowCount="0" totalsRowShown="0" headerRowDxfId="4034" dataDxfId="4033">
  <tableColumns count="3">
    <tableColumn id="1" xr3:uid="{0F97F101-BE5B-4FA0-B8C1-3A70C465798D}" name="Column1" headerRowDxfId="4032" dataDxfId="4031"/>
    <tableColumn id="2" xr3:uid="{C57B4B20-2FEA-4743-BEC7-E93412B82AC4}" name="Column2" headerRowDxfId="4030" dataDxfId="4029"/>
    <tableColumn id="3" xr3:uid="{4B46E1AF-CF15-4634-81AD-5F708A39EA4A}" name="Column3" headerRowDxfId="4028" dataDxfId="4027"/>
  </tableColumns>
  <tableStyleInfo name="TableStyleMedium2" showFirstColumn="0" showLastColumn="0" showRowStripes="1" showColumnStripes="0"/>
</table>
</file>

<file path=xl/tables/table4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3" xr:uid="{CA466DDE-B34D-472B-8CFB-C6AD03504D58}" name="Table56355469811868925341398844" displayName="Table56355469811868925341398844" ref="CB83:CD94" headerRowCount="0" totalsRowShown="0" headerRowDxfId="4026" dataDxfId="4025">
  <tableColumns count="3">
    <tableColumn id="1" xr3:uid="{748D901D-A95F-453F-A606-0E729CD750E0}" name="Column1" headerRowDxfId="4024" dataDxfId="4023"/>
    <tableColumn id="2" xr3:uid="{46B8191B-D060-4FFF-87EC-7EDFAAF37CBB}" name="Column2" headerRowDxfId="4022" dataDxfId="4021"/>
    <tableColumn id="3" xr3:uid="{A44C4F94-8D70-4C03-B9F5-CC7D2920037F}" name="Column3" headerRowDxfId="4020" dataDxfId="4019"/>
  </tableColumns>
  <tableStyleInfo name="TableStyleMedium2" showFirstColumn="0" showLastColumn="0" showRowStripes="1" showColumnStripes="0"/>
</table>
</file>

<file path=xl/tables/table4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4" xr:uid="{565E02A1-683D-4180-9266-3AACF1DC0668}" name="Table57356470812869926342399845" displayName="Table57356470812869926342399845" ref="CB96:CD102" headerRowCount="0" totalsRowShown="0" headerRowDxfId="4018" dataDxfId="4017">
  <tableColumns count="3">
    <tableColumn id="1" xr3:uid="{C56FCADD-1116-4011-A58E-2BA9EB6FBE41}" name="Column1" headerRowDxfId="4016" dataDxfId="4015"/>
    <tableColumn id="2" xr3:uid="{2548A17D-430D-4BB9-8D47-90ADD7F1CB37}" name="Column2" headerRowDxfId="4014" dataDxfId="4013"/>
    <tableColumn id="3" xr3:uid="{B73677DA-2C3F-45A4-A644-E7963AD531BC}" name="Column3" headerRowDxfId="4012" dataDxfId="4011"/>
  </tableColumns>
  <tableStyleInfo name="TableStyleMedium2" showFirstColumn="0" showLastColumn="0" showRowStripes="1" showColumnStripes="0"/>
</table>
</file>

<file path=xl/tables/table5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5" xr:uid="{37D59B3E-9619-430B-81A2-D3381D00ABCB}" name="Table58357471813870927343400846" displayName="Table58357471813870927343400846" ref="CB104:CD111" headerRowCount="0" totalsRowShown="0" headerRowDxfId="4010" dataDxfId="4009">
  <tableColumns count="3">
    <tableColumn id="1" xr3:uid="{0ABA39E0-A3E7-4893-80F1-73E5949DF708}" name="Column1" headerRowDxfId="4008" dataDxfId="4007"/>
    <tableColumn id="2" xr3:uid="{A0CA8321-0E5A-47F6-82A3-7DC6BA4D6105}" name="Column2" headerRowDxfId="4006" dataDxfId="4005"/>
    <tableColumn id="3" xr3:uid="{B1533EFF-70D6-4FE4-8672-9D1FE75C81DA}" name="Column3" headerRowDxfId="4004" dataDxfId="4003"/>
  </tableColumns>
  <tableStyleInfo name="TableStyleMedium2" showFirstColumn="0" showLastColumn="0" showRowStripes="1" showColumnStripes="0"/>
</table>
</file>

<file path=xl/tables/table5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6" xr:uid="{1E5A6466-3FF8-4A51-868E-D36D35DE5976}" name="Table59358472814871928344401847" displayName="Table59358472814871928344401847" ref="CB113:CD119" headerRowCount="0" totalsRowShown="0" headerRowDxfId="4002" dataDxfId="4001">
  <tableColumns count="3">
    <tableColumn id="1" xr3:uid="{B1F9BEB7-9893-4CCF-829F-5FCEF13540EC}" name="Column1" headerRowDxfId="4000" dataDxfId="3999"/>
    <tableColumn id="2" xr3:uid="{CBB7314C-B515-42F3-8B94-9BE28A744A71}" name="Column2" headerRowDxfId="3998" dataDxfId="3997"/>
    <tableColumn id="3" xr3:uid="{BA507049-9EC2-4AF0-AC90-73EB5615B0BA}" name="Column3" headerRowDxfId="3996" dataDxfId="3995"/>
  </tableColumns>
  <tableStyleInfo name="TableStyleMedium2" showFirstColumn="0" showLastColumn="0" showRowStripes="1" showColumnStripes="0"/>
</table>
</file>

<file path=xl/tables/table5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7" xr:uid="{B697946A-D29C-431D-8BC6-3402A6093FE8}" name="Table81359473815872929345402848" displayName="Table81359473815872929345402848" ref="CB9:CD27" headerRowCount="0" totalsRowShown="0" headerRowDxfId="3994" dataDxfId="3993">
  <tableColumns count="3">
    <tableColumn id="1" xr3:uid="{E0D376AF-BF95-4EFD-80E7-5AB8D01B5B61}" name="Column1" headerRowDxfId="3992" dataDxfId="3991"/>
    <tableColumn id="2" xr3:uid="{ED24EDF0-7F14-4B6F-8675-D036911DD16A}" name="Column2" headerRowDxfId="3990" dataDxfId="3989"/>
    <tableColumn id="3" xr3:uid="{C0100B7C-B340-4064-B323-58A22BAFEF73}" name="Column3" headerRowDxfId="3988" dataDxfId="3987">
      <calculatedColumnFormula>RAND()</calculatedColumnFormula>
    </tableColumn>
  </tableColumns>
  <tableStyleInfo name="TableStyleMedium2" showFirstColumn="0" showLastColumn="0" showRowStripes="1" showColumnStripes="0"/>
</table>
</file>

<file path=xl/tables/table5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8" xr:uid="{C4F9524E-DE24-444D-A690-6026210394D3}" name="Table264360474816873930346403849" displayName="Table264360474816873930346403849" ref="B14:B19" headerRowCount="0" totalsRowShown="0" headerRowDxfId="3986" dataDxfId="3985" tableBorderDxfId="3984">
  <tableColumns count="1">
    <tableColumn id="1" xr3:uid="{BF42A20C-63F3-4C57-917D-7F5E0B1EB7AA}" name="Column1" headerRowDxfId="3983" dataDxfId="3982"/>
  </tableColumns>
  <tableStyleInfo name="TableStyleMedium2" showFirstColumn="0" showLastColumn="0" showRowStripes="1" showColumnStripes="0"/>
</table>
</file>

<file path=xl/tables/table5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9" xr:uid="{8F1FD0AF-AC63-4272-85F5-9610D2FA7DA9}" name="Table265361475817874931347404850" displayName="Table265361475817874931347404850" ref="S17:S26" headerRowCount="0" totalsRowShown="0" headerRowDxfId="3981" dataDxfId="3980" tableBorderDxfId="3979">
  <tableColumns count="1">
    <tableColumn id="1" xr3:uid="{74604A03-3D0A-4B43-97F2-ED905192433E}" name="Column1" headerRowDxfId="3978" dataDxfId="3977"/>
  </tableColumns>
  <tableStyleInfo name="TableStyleMedium2" showFirstColumn="0" showLastColumn="0" showRowStripes="1" showColumnStripes="0"/>
</table>
</file>

<file path=xl/tables/table5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0" xr:uid="{F4E97F46-5012-4A9B-8DC0-372E54549761}" name="Table266362476818875932348405851" displayName="Table266362476818875932348405851" ref="O75:O85" headerRowCount="0" totalsRowShown="0" headerRowDxfId="3976" dataDxfId="3975" tableBorderDxfId="3974">
  <tableColumns count="1">
    <tableColumn id="1" xr3:uid="{93F7F190-A73F-4F58-9613-3C230E0C647E}" name="Column1" headerRowDxfId="3973" dataDxfId="3972"/>
  </tableColumns>
  <tableStyleInfo name="TableStyleMedium2" showFirstColumn="0" showLastColumn="0" showRowStripes="1" showColumnStripes="0"/>
</table>
</file>

<file path=xl/tables/table5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1" xr:uid="{A545A6CE-E754-42CC-A7CA-D45AF02261E4}" name="Table268363477819876933349406852" displayName="Table268363477819876933349406852" ref="O14:O35" headerRowCount="0" totalsRowShown="0" headerRowDxfId="3971" dataDxfId="3970" tableBorderDxfId="3969">
  <tableColumns count="1">
    <tableColumn id="1" xr3:uid="{D6EF2146-6486-4758-BB6D-E58E9CC06743}" name="Column1" headerRowDxfId="3968" dataDxfId="3967"/>
  </tableColumns>
  <tableStyleInfo name="TableStyleMedium2" showFirstColumn="0" showLastColumn="0" showRowStripes="1" showColumnStripes="0"/>
</table>
</file>

<file path=xl/tables/table5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2" xr:uid="{26501C30-9958-408D-917A-F856F70DB7DC}" name="Table271364478820877934350407853" displayName="Table271364478820877934350407853" ref="Q14:Q30" headerRowCount="0" totalsRowShown="0" headerRowDxfId="3966" dataDxfId="3965" tableBorderDxfId="3964">
  <tableColumns count="1">
    <tableColumn id="1" xr3:uid="{72C0EC7F-CA08-4396-9C7C-CB8A072D0576}" name="Column1" headerRowDxfId="3963" dataDxfId="3962"/>
  </tableColumns>
  <tableStyleInfo name="TableStyleMedium2" showFirstColumn="0" showLastColumn="0" showRowStripes="1" showColumnStripes="0"/>
</table>
</file>

<file path=xl/tables/table5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3" xr:uid="{7271FF68-F2E0-47DC-A9CA-92BBE9595B93}" name="Table272365479821878935351408854" displayName="Table272365479821878935351408854" ref="S10:S12" headerRowCount="0" totalsRowShown="0" headerRowDxfId="3961" dataDxfId="3960" tableBorderDxfId="3959">
  <tableColumns count="1">
    <tableColumn id="1" xr3:uid="{D796EABC-CD79-4728-89F0-5A4064A5AC68}" name="Column1" headerRowDxfId="3958" dataDxfId="3957"/>
  </tableColumns>
  <tableStyleInfo name="TableStyleMedium2" showFirstColumn="0" showLastColumn="0" showRowStripes="1" showColumnStripes="0"/>
</table>
</file>

<file path=xl/tables/table5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4" xr:uid="{2CACB0BA-E33E-4B87-8A5F-E1B3A5D388BC}" name="Table273366480822879936352409855" displayName="Table273366480822879936352409855" ref="S14:S16" headerRowCount="0" totalsRowShown="0" headerRowDxfId="3956" dataDxfId="3955" tableBorderDxfId="3954">
  <tableColumns count="1">
    <tableColumn id="1" xr3:uid="{CB7284C8-5A58-473D-95F6-192D3D0C1D8A}" name="Column1" headerRowDxfId="3953" dataDxfId="3952"/>
  </tableColumns>
  <tableStyleInfo name="TableStyleMedium2" showFirstColumn="0" showLastColumn="0" showRowStripes="1" showColumnStripes="0"/>
</table>
</file>

<file path=xl/tables/table5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5" xr:uid="{6DCB3042-67C4-4E83-AC34-384D3889A771}" name="Table274367481823880937353410856" displayName="Table274367481823880937353410856" ref="P14:P28" headerRowCount="0" totalsRowShown="0" headerRowDxfId="3951" dataDxfId="3950" tableBorderDxfId="3949">
  <tableColumns count="1">
    <tableColumn id="1" xr3:uid="{E6641631-AC05-4C55-A9F4-A4A91178942B}" name="Column1" headerRowDxfId="3948" dataDxfId="3947"/>
  </tableColumns>
  <tableStyleInfo name="TableStyleMedium2" showFirstColumn="0" showLastColumn="0" showRowStripes="1" showColumnStripes="0"/>
</table>
</file>

<file path=xl/tables/table5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6" xr:uid="{87BD9993-9EAB-4870-8114-38CBF2506A92}" name="Table275368482824881938354411857" displayName="Table275368482824881938354411857" ref="R14:R26" headerRowCount="0" totalsRowShown="0" headerRowDxfId="3946" dataDxfId="3945" tableBorderDxfId="3944">
  <tableColumns count="1">
    <tableColumn id="1" xr3:uid="{9B524C0C-2E54-4B4A-839B-D198545734AE}" name="Column1" headerRowDxfId="3943" dataDxfId="3942"/>
  </tableColumns>
  <tableStyleInfo name="TableStyleMedium2" showFirstColumn="0" showLastColumn="0" showRowStripes="1" showColumnStripes="0"/>
</table>
</file>

<file path=xl/tables/table5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7" xr:uid="{E699E7F4-9D5D-44A9-9460-7F1C1D304C7F}" name="Table276369483825882939355412858" displayName="Table276369483825882939355412858" ref="B37:P43" headerRowCount="0" totalsRowShown="0" headerRowDxfId="3941" dataDxfId="3940">
  <tableColumns count="15">
    <tableColumn id="2" xr3:uid="{B9538307-8134-449B-8ECD-9ECC7EAC960C}" name="Column2" headerRowDxfId="3939" dataDxfId="3938"/>
    <tableColumn id="3" xr3:uid="{C35E9EAA-7671-49C2-A5FB-959F7A962C2D}" name="Column3" headerRowDxfId="3937" dataDxfId="3936"/>
    <tableColumn id="4" xr3:uid="{4CAB1C55-4C92-413E-A3F4-F9C61DF108CE}" name="Column4" headerRowDxfId="3935" dataDxfId="3934"/>
    <tableColumn id="5" xr3:uid="{7B987368-38C1-42B7-8874-56DC9DB695E6}" name="Column5" headerRowDxfId="3933" dataDxfId="3932"/>
    <tableColumn id="6" xr3:uid="{DC667128-8B7C-469A-AB34-968C73689474}" name="Column6" headerRowDxfId="3931" dataDxfId="3930"/>
    <tableColumn id="7" xr3:uid="{1EB95248-D78A-4B8B-8182-5DF7B7870A41}" name="Column7" headerRowDxfId="3929" dataDxfId="3928"/>
    <tableColumn id="8" xr3:uid="{AD2A91BA-44B3-497E-AF58-65D6F0DA05D0}" name="Column8" headerRowDxfId="3927" dataDxfId="3926"/>
    <tableColumn id="9" xr3:uid="{E6EABD7B-FAA5-4237-BC6D-6E9FEBF5F698}" name="Column9" headerRowDxfId="3925" dataDxfId="3924"/>
    <tableColumn id="10" xr3:uid="{A713C796-57BC-41F0-8A3A-BD19D366ACC5}" name="Column10" headerRowDxfId="3923" dataDxfId="3922">
      <calculatedColumnFormula>RANDBETWEEN(1,6)</calculatedColumnFormula>
    </tableColumn>
    <tableColumn id="11" xr3:uid="{F6FA5853-F967-4BEA-AF04-DB752DB9C916}" name="Column11" headerRowDxfId="3921" dataDxfId="3920">
      <calculatedColumnFormula>RANDBETWEEN(1,6)</calculatedColumnFormula>
    </tableColumn>
    <tableColumn id="12" xr3:uid="{90DDF7AA-4B81-45D8-805E-DA8807BD9042}" name="Column12" headerRowDxfId="3919" dataDxfId="3918">
      <calculatedColumnFormula>RANDBETWEEN(1,6)</calculatedColumnFormula>
    </tableColumn>
    <tableColumn id="13" xr3:uid="{83B4F5B6-AE03-47D0-A4F0-46F049CA1660}" name="Column13" headerRowDxfId="3917" dataDxfId="3916">
      <calculatedColumnFormula>RANDBETWEEN(1,6)</calculatedColumnFormula>
    </tableColumn>
    <tableColumn id="14" xr3:uid="{179B44C2-CF87-4073-93D6-087E0FA1AB56}" name="Column14" headerRowDxfId="3915" dataDxfId="3914"/>
    <tableColumn id="15" xr3:uid="{48D23FA9-C0F5-4221-A3A9-66DE9D98D6DF}" name="Column15" headerRowDxfId="3913" dataDxfId="3912"/>
    <tableColumn id="16" xr3:uid="{47EECCC3-2C6B-4386-B5FF-13800FB9BC5E}" name="Column16" headerRowDxfId="3911" dataDxfId="3910">
      <calculatedColumnFormula>VLOOKUP(O37,Table1[],2)</calculatedColumnFormula>
    </tableColumn>
  </tableColumns>
  <tableStyleInfo name="TableStyleMedium2" showFirstColumn="0" showLastColumn="0" showRowStripes="1" showColumnStripes="0"/>
</table>
</file>

<file path=xl/tables/table5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8" xr:uid="{11F5F087-0B5A-4B87-9930-0049E05207BA}" name="Table277370484826883940356413859" displayName="Table277370484826883940356413859" ref="B45:P51" headerRowCount="0" totalsRowShown="0" headerRowDxfId="3909" dataDxfId="3908" tableBorderDxfId="3907">
  <tableColumns count="15">
    <tableColumn id="2" xr3:uid="{D1BF36F0-B5C0-4724-8495-FCBE7FD490BA}" name="Column2" headerRowDxfId="3906" dataDxfId="3905"/>
    <tableColumn id="3" xr3:uid="{5E0F0D14-C78F-4970-8D7B-12F843F546A2}" name="Column3" headerRowDxfId="3904" dataDxfId="3903"/>
    <tableColumn id="4" xr3:uid="{98893DC4-2C18-4377-A8DD-90A7C3E1602F}" name="Column4" headerRowDxfId="3902" dataDxfId="3901"/>
    <tableColumn id="5" xr3:uid="{92D04806-962D-40CF-8D60-B2D173BDD8BD}" name="Column5" headerRowDxfId="3900" dataDxfId="3899"/>
    <tableColumn id="6" xr3:uid="{FAFB7419-EE50-4092-B72B-17184D63D226}" name="Column6" headerRowDxfId="3898" dataDxfId="3897"/>
    <tableColumn id="7" xr3:uid="{59D982D5-1609-47E8-9C80-A4089B88E43F}" name="Column7" headerRowDxfId="3896" dataDxfId="3895"/>
    <tableColumn id="8" xr3:uid="{0028E43A-577D-4183-8C88-CCA93DD72742}" name="Column8" headerRowDxfId="3894" dataDxfId="3893"/>
    <tableColumn id="9" xr3:uid="{33686516-7D98-4604-ACE5-0C862EC1A653}" name="Column9" headerRowDxfId="3892" dataDxfId="3891"/>
    <tableColumn id="10" xr3:uid="{E5F7B0F6-1B84-4A0D-BBB9-591688E29C82}" name="Column10" headerRowDxfId="3890" dataDxfId="3889"/>
    <tableColumn id="11" xr3:uid="{D7DEAFF7-5FD3-4507-AF67-FE8505DDEB7A}" name="Column11" headerRowDxfId="3888" dataDxfId="3887"/>
    <tableColumn id="12" xr3:uid="{354A4E1F-46DE-43D4-AAE3-BCD69757C702}" name="Column12" headerRowDxfId="3886" dataDxfId="3885"/>
    <tableColumn id="13" xr3:uid="{45096676-B236-4726-9E5B-48FDE9FA79F2}" name="Column13" headerRowDxfId="3884" dataDxfId="3883"/>
    <tableColumn id="14" xr3:uid="{566F5E1C-7C7C-4686-9620-7E7D773DD46E}" name="Column14" headerRowDxfId="3882" dataDxfId="3881"/>
    <tableColumn id="15" xr3:uid="{989B3F26-0CA9-4DB6-A464-E8164159E15B}" name="Column15" headerRowDxfId="3880" dataDxfId="3879"/>
    <tableColumn id="16" xr3:uid="{B3784B3C-D98C-47B7-B362-8608DC42156D}" name="Column16" headerRowDxfId="3878" dataDxfId="3877">
      <calculatedColumnFormula>IF(O45="x",SUM(P37,$P$8),P37)</calculatedColumnFormula>
    </tableColumn>
  </tableColumns>
  <tableStyleInfo name="TableStyleMedium2" showFirstColumn="0" showLastColumn="0" showRowStripes="1" showColumnStripes="0"/>
</table>
</file>

<file path=xl/tables/table5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9" xr:uid="{EFB43F05-F069-4B95-8083-C2147138760F}" name="Table278371485827884941357414860" displayName="Table278371485827884941357414860" ref="O1:Q3" headerRowCount="0" totalsRowShown="0" headerRowDxfId="3876" dataDxfId="3875">
  <tableColumns count="3">
    <tableColumn id="15" xr3:uid="{234C35C0-794F-4EB5-9CCE-080E0EDB0402}" name="Column15" headerRowDxfId="3874" dataDxfId="3873"/>
    <tableColumn id="16" xr3:uid="{A2212153-6A44-4366-8B11-B50BA52E0EDD}" name="Column16" headerRowDxfId="3872" dataDxfId="3871"/>
    <tableColumn id="17" xr3:uid="{39E55036-6991-4A2D-B8CD-9496ED17DDFF}" name="Column17" headerRowDxfId="3870" dataDxfId="3869"/>
  </tableColumns>
  <tableStyleInfo name="TableStyleMedium2" showFirstColumn="0" showLastColumn="0" showRowStripes="1" showColumnStripes="0"/>
</table>
</file>

<file path=xl/tables/table5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0" xr:uid="{4BFFE241-F9B1-4FA3-8998-1B3326E374BE}" name="Table282373487829886943359415861" displayName="Table282373487829886943359415861" ref="B53:P72" headerRowCount="0" totalsRowShown="0" headerRowDxfId="3868" dataDxfId="3867">
  <tableColumns count="15">
    <tableColumn id="2" xr3:uid="{191E2BFE-41E2-4503-AB3A-6BEA7DC4F8C0}" name="Column2" headerRowDxfId="3866" dataDxfId="3865"/>
    <tableColumn id="3" xr3:uid="{51D7CE70-9801-4D1D-ADD2-891631B259B4}" name="Column3" headerRowDxfId="3864" dataDxfId="3863"/>
    <tableColumn id="4" xr3:uid="{BCE8FF01-C6A1-4655-8004-0524D2B0778F}" name="Column4" headerRowDxfId="3862" dataDxfId="3861"/>
    <tableColumn id="5" xr3:uid="{C400DB74-EA1C-4E22-B754-8F47230D27F8}" name="Column5" headerRowDxfId="3860" dataDxfId="3859"/>
    <tableColumn id="6" xr3:uid="{FA163A95-6D67-4332-8603-7C78899A7C31}" name="Column6" headerRowDxfId="3858" dataDxfId="3857"/>
    <tableColumn id="7" xr3:uid="{BEFBB6E2-060A-4C0E-AB72-EA5B46D33CDC}" name="Column7" headerRowDxfId="3856" dataDxfId="3855"/>
    <tableColumn id="8" xr3:uid="{A7D154A9-9E0F-4D9C-8A50-0B48E26E7639}" name="Column8" headerRowDxfId="3854" dataDxfId="3853"/>
    <tableColumn id="9" xr3:uid="{960B23F1-3724-47BF-A379-F3FC87FF156B}" name="Column9" headerRowDxfId="3852" dataDxfId="3851"/>
    <tableColumn id="10" xr3:uid="{08BBC7D4-3B5B-4554-BE18-659D95977909}" name="Column10" headerRowDxfId="3850" dataDxfId="3849"/>
    <tableColumn id="11" xr3:uid="{63057452-4F24-4108-A9E5-3520FE7100D4}" name="Column11" headerRowDxfId="3848" dataDxfId="3847"/>
    <tableColumn id="12" xr3:uid="{12F8A791-8C8B-4509-95EB-422A8F80F72F}" name="Column12" headerRowDxfId="3846" dataDxfId="3845"/>
    <tableColumn id="13" xr3:uid="{00B1BA26-3F6A-4046-8D66-2C9AA737EE01}" name="Column13" headerRowDxfId="3844" dataDxfId="3843"/>
    <tableColumn id="14" xr3:uid="{5C18374A-6B0E-4864-8167-BA0137F0875F}" name="Column14" headerRowDxfId="3842" dataDxfId="3841"/>
    <tableColumn id="15" xr3:uid="{E81755FF-6783-48E1-855A-A0EB92039155}" name="Column15" headerRowDxfId="3840" dataDxfId="3839"/>
    <tableColumn id="16" xr3:uid="{49061D2E-7216-4E26-A910-93CB6DC0F29B}" name="Column16" headerRowDxfId="3838" dataDxfId="3837"/>
  </tableColumns>
  <tableStyleInfo name="TableStyleMedium2" showFirstColumn="0" showLastColumn="0" showRowStripes="1" showColumnStripes="0"/>
</table>
</file>

<file path=xl/tables/table5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1" xr:uid="{35427AB1-FA51-45A3-A01F-27DB9142DDDE}" name="Table283374488830887944360416862" displayName="Table283374488830887944360416862" ref="B75:B79" headerRowCount="0" totalsRowShown="0" headerRowDxfId="3836" dataDxfId="3835" tableBorderDxfId="3834">
  <tableColumns count="1">
    <tableColumn id="1" xr3:uid="{F9E69AB5-A8FF-4B20-8727-7FAA247940C0}" name="Column1" headerRowDxfId="3833" dataDxfId="3832"/>
  </tableColumns>
  <tableStyleInfo name="TableStyleMedium2" showFirstColumn="0" showLastColumn="0" showRowStripes="1" showColumnStripes="0"/>
</table>
</file>

<file path=xl/tables/table5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2" xr:uid="{D2ED7C7E-8305-4C04-AEA5-7BF77B5CECAE}" name="Table293375489831888945361417863" displayName="Table293375489831888945361417863" ref="AO44:AQ59" headerRowCount="0" totalsRowShown="0" headerRowDxfId="3831" dataDxfId="3830">
  <tableColumns count="3">
    <tableColumn id="1" xr3:uid="{8D2558D2-8DFD-4A90-94D6-D59C306B65B7}" name="Column1" headerRowDxfId="3829" dataDxfId="3828"/>
    <tableColumn id="2" xr3:uid="{B6A73A58-8BD0-4DF6-ABF6-3C3F1357606F}" name="Column2" headerRowDxfId="3827" dataDxfId="3826">
      <calculatedColumnFormula>IF(#REF!=" ", 0,RAND())</calculatedColumnFormula>
    </tableColumn>
    <tableColumn id="3" xr3:uid="{6C110439-C2F4-4810-8201-7DB865449584}" name="Column3" headerRowDxfId="3825" dataDxfId="3824">
      <calculatedColumnFormula>O28</calculatedColumnFormula>
    </tableColumn>
  </tableColumns>
  <tableStyleInfo name="TableStyleMedium2" showFirstColumn="0" showLastColumn="0" showRowStripes="1" showColumnStripes="0"/>
</table>
</file>

<file path=xl/tables/table5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5" xr:uid="{1A9A99DD-BCEE-4A2F-BC5E-9B744E56CC2A}" name="Table302378492834891948364420866" displayName="Table302378492834891948364420866" ref="B102:P109" headerRowCount="0" totalsRowShown="0" headerRowDxfId="3823" dataDxfId="3822" tableBorderDxfId="3821">
  <tableColumns count="15">
    <tableColumn id="2" xr3:uid="{D7109D02-F6AB-4E01-A73B-E1E16880C0A8}" name="Column2" headerRowDxfId="3820" dataDxfId="3819"/>
    <tableColumn id="3" xr3:uid="{E732BDB4-DC01-472D-A5DE-D68E1781B8F9}" name="Column3" headerRowDxfId="3818" dataDxfId="3817"/>
    <tableColumn id="4" xr3:uid="{FF975B86-0135-424E-BAF7-94C62A5F391A}" name="Column4" headerRowDxfId="3816" dataDxfId="3815"/>
    <tableColumn id="5" xr3:uid="{65FF19EE-BA9D-41AA-B235-56D503853821}" name="Column5" headerRowDxfId="3814" dataDxfId="3813"/>
    <tableColumn id="6" xr3:uid="{C72F271D-8FCE-4AB9-9513-56646716876B}" name="Column6" headerRowDxfId="3812" dataDxfId="3811"/>
    <tableColumn id="7" xr3:uid="{6FA52090-5E13-4508-938C-E28AC99936C6}" name="Column7" headerRowDxfId="3810" dataDxfId="3809"/>
    <tableColumn id="8" xr3:uid="{2719A756-0F78-42A7-9273-ACF2B96D34AD}" name="Column8" headerRowDxfId="3808" dataDxfId="3807"/>
    <tableColumn id="9" xr3:uid="{A00DD560-F1A8-44EE-BC2A-7F48AC99105A}" name="Column9" headerRowDxfId="3806" dataDxfId="3805"/>
    <tableColumn id="10" xr3:uid="{AE39F50E-E763-4EBF-8D74-C190297B7D0E}" name="Column10" headerRowDxfId="3804" dataDxfId="3803"/>
    <tableColumn id="11" xr3:uid="{02866CFB-6E5B-4FA1-81A8-2B42E043747D}" name="Column11" headerRowDxfId="3802" dataDxfId="3801"/>
    <tableColumn id="12" xr3:uid="{37CAEA00-A32A-4689-B917-BA1B88332934}" name="Column12" headerRowDxfId="3800" dataDxfId="3799"/>
    <tableColumn id="13" xr3:uid="{725DC64B-DABA-43E7-982C-E8655C67EC0E}" name="Column13" headerRowDxfId="3798" dataDxfId="3797"/>
    <tableColumn id="14" xr3:uid="{7DFBA706-8F0A-4599-97E4-74C6399C93C7}" name="Column14" headerRowDxfId="3796" dataDxfId="3795"/>
    <tableColumn id="15" xr3:uid="{5B401E0B-EF4D-40F1-A523-95B90D4CDDA0}" name="Column15" headerRowDxfId="3794" dataDxfId="3793"/>
    <tableColumn id="16" xr3:uid="{9014C165-E256-4577-8373-74DDE63AB08D}" name="Column16" headerRowDxfId="3792" dataDxfId="3791"/>
  </tableColumns>
  <tableStyleInfo name="TableStyleMedium2" showFirstColumn="0" showLastColumn="0" showRowStripes="1" showColumnStripes="0"/>
</table>
</file>

<file path=xl/tables/table5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6" xr:uid="{F92BD361-C39A-4264-A909-6B5F2215C770}" name="Table303379493835892949365421867" displayName="Table303379493835892949365421867" ref="Q102:Q107" headerRowCount="0" totalsRowShown="0" headerRowDxfId="3790" dataDxfId="3789" tableBorderDxfId="3788">
  <tableColumns count="1">
    <tableColumn id="1" xr3:uid="{81907768-3C6B-46DE-A5E6-2E0FA169A7EF}" name="Column1" headerRowDxfId="3787" dataDxfId="3786"/>
  </tableColumns>
  <tableStyleInfo name="TableStyleMedium2" showFirstColumn="0" showLastColumn="0" showRowStripes="1" showColumnStripes="0"/>
</table>
</file>

<file path=xl/tables/table5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7" xr:uid="{1821E38D-8577-4B53-A765-4AE717579673}" name="Table304380494836893950366422868" displayName="Table304380494836893950366422868" ref="R102:R103" headerRowCount="0" totalsRowShown="0" headerRowDxfId="3785" dataDxfId="3784" tableBorderDxfId="3783">
  <tableColumns count="1">
    <tableColumn id="1" xr3:uid="{D7E37AEE-46E4-4D70-ACB1-6E27B544D458}" name="Column1" headerRowDxfId="3782" dataDxfId="3781"/>
  </tableColumns>
  <tableStyleInfo name="TableStyleMedium2" showFirstColumn="0" showLastColumn="0" showRowStripes="1" showColumnStripes="0"/>
</table>
</file>

<file path=xl/tables/table5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8" xr:uid="{E8F7292A-4458-4577-BD86-94FFAB8DDD1A}" name="Table305381495837894951367423869" displayName="Table305381495837894951367423869" ref="R104:R105" headerRowCount="0" totalsRowShown="0" headerRowDxfId="3780" dataDxfId="3779" tableBorderDxfId="3778">
  <tableColumns count="1">
    <tableColumn id="1" xr3:uid="{42C99F9D-E038-4539-ADCE-4E93BFFCA1A0}" name="Column1" headerRowDxfId="3777" dataDxfId="3776">
      <calculatedColumnFormula>IF(COUNTIF(B91:B93,"*"&amp;"sling"&amp;"*"),RANDBETWEEN(6,13)&amp;" Sling Bullets"," ")</calculatedColumnFormula>
    </tableColumn>
  </tableColumns>
  <tableStyleInfo name="TableStyleMedium2" showFirstColumn="0" showLastColumn="0" showRowStripes="1" showColumnStripes="0"/>
</table>
</file>

<file path=xl/tables/table5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9" xr:uid="{A7192B4F-2D20-4E57-B192-BA570F718A8E}" name="Table306382496838895952368424870" displayName="Table306382496838895952368424870" ref="R106:R107" headerRowCount="0" totalsRowShown="0" headerRowDxfId="3775" dataDxfId="3774" tableBorderDxfId="3773">
  <tableColumns count="1">
    <tableColumn id="1" xr3:uid="{BAFA1ECB-F23E-46CC-918C-A4C7AEB7F81F}" name="Column1" headerRowDxfId="3772" dataDxfId="3771">
      <calculatedColumnFormula>IF(COUNTIF(B91:B93,"*"&amp;"longbow"&amp;"*"),RANDBETWEEN(10,24)&amp;" Arrows",IF(COUNTIF(B91:B93,"*"&amp;"shortbow"&amp;"*"),RANDBETWEEN(10,24)&amp;" Arrows",IF(COUNTIF(B91:B93,"*"&amp;"light crossbow"&amp;"*"),RANDBETWEEN(10,24)&amp;" Bolts",IF(COUNTIF(B91:B93,"*"&amp;"hand crossbow"&amp;"*"),RANDBETWEEN(10,24)&amp;" Bolts",IF(COUNTIF(B91:B93,"*"&amp;"heavy crossbow"&amp;"*"),RANDBETWEEN(10,24)&amp;" Bolts"," ")))))</calculatedColumnFormula>
    </tableColumn>
  </tableColumns>
  <tableStyleInfo name="TableStyleMedium2" showFirstColumn="0" showLastColumn="0" showRowStripes="1" showColumnStripes="0"/>
</table>
</file>

<file path=xl/tables/table5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8" xr:uid="{9E3F869B-957F-4D7B-827D-C7C9B8AC39FF}" name="Table300376490832889946362418294929" displayName="Table300376490832889946362418294929" ref="B88:T90" headerRowCount="0" totalsRowShown="0" headerRowDxfId="3770" dataDxfId="3769" tableBorderDxfId="3768">
  <tableColumns count="19">
    <tableColumn id="2" xr3:uid="{D9832C59-46E7-48BB-8FB2-CC205080307D}" name="Column2" headerRowDxfId="3767" dataDxfId="3766"/>
    <tableColumn id="3" xr3:uid="{6C929DD7-C5F2-4778-8362-AAE4F427D507}" name="Column3" headerRowDxfId="3765" dataDxfId="3764"/>
    <tableColumn id="4" xr3:uid="{C36097BC-A82A-49C9-BF1E-251152CCBA4A}" name="Column4" headerRowDxfId="3763" dataDxfId="3762"/>
    <tableColumn id="5" xr3:uid="{341253E6-EDF9-4FFD-8B54-E6E9F2C47D45}" name="Column5" headerRowDxfId="3761" dataDxfId="3760"/>
    <tableColumn id="6" xr3:uid="{497CB263-AA84-4511-91B1-776F56187EF5}" name="Column6" headerRowDxfId="3759" dataDxfId="3758"/>
    <tableColumn id="7" xr3:uid="{9AF1BC30-3142-46C9-A6BE-BD101971BBF8}" name="Column7" headerRowDxfId="3757" dataDxfId="3756"/>
    <tableColumn id="8" xr3:uid="{870A876C-850B-4C9E-BA97-95AAA4DFAA2F}" name="Column8" headerRowDxfId="3755" dataDxfId="3754"/>
    <tableColumn id="9" xr3:uid="{F9262A96-D86F-4D32-8A4B-642C334216E9}" name="Column9" headerRowDxfId="3753" dataDxfId="3752"/>
    <tableColumn id="10" xr3:uid="{6C73CB84-7486-46A2-B800-BB59D1AC22BE}" name="Column10" headerRowDxfId="3751" dataDxfId="3750"/>
    <tableColumn id="11" xr3:uid="{E9431859-6AC8-4A18-9312-0429F3821441}" name="Column11" headerRowDxfId="3749" dataDxfId="3748"/>
    <tableColumn id="12" xr3:uid="{E7D6700B-190A-421C-B151-D86560821F78}" name="Column12" headerRowDxfId="3747" dataDxfId="3746"/>
    <tableColumn id="13" xr3:uid="{809995C0-1941-4FC5-91E3-C4DC5B31E5F7}" name="Column13" headerRowDxfId="3745" dataDxfId="3744"/>
    <tableColumn id="14" xr3:uid="{EC9EF758-071F-45E1-8A29-D44207DE97E4}" name="Column14" headerRowDxfId="3743" dataDxfId="3742"/>
    <tableColumn id="15" xr3:uid="{37E40AA0-880E-4214-BE8B-51E73DE7C60D}" name="Column15" headerRowDxfId="3741" dataDxfId="3740"/>
    <tableColumn id="16" xr3:uid="{39005D7C-38E6-40F5-9BEA-63989C07938B}" name="Column16" headerRowDxfId="3739" dataDxfId="3738"/>
    <tableColumn id="17" xr3:uid="{AEC14E7E-FEFF-449F-AE31-45830271FE78}" name="Column17" headerRowDxfId="3737" dataDxfId="3736"/>
    <tableColumn id="18" xr3:uid="{36E1A62A-FE29-4B0E-8386-C34C7C2C5F0A}" name="Column18" headerRowDxfId="3735" dataDxfId="3734"/>
    <tableColumn id="19" xr3:uid="{823F7745-26D6-4F7C-826D-A838DCB57967}" name="Column19" headerRowDxfId="3733" dataDxfId="3732"/>
    <tableColumn id="20" xr3:uid="{30FB0244-E039-4096-9175-4C7B60F8A967}" name="Column20" headerRowDxfId="3731" dataDxfId="3730"/>
  </tableColumns>
  <tableStyleInfo name="TableStyleMedium2" showFirstColumn="0" showLastColumn="0" showRowStripes="1" showColumnStripes="0"/>
</table>
</file>

<file path=xl/tables/table5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9" xr:uid="{01A5AF03-B0E2-4191-8622-EDFF9739FEAB}" name="Table301377491833890947363419301930" displayName="Table301377491833890947363419301930" ref="B91:S100" headerRowCount="0" totalsRowShown="0" headerRowDxfId="3729" dataDxfId="3728" tableBorderDxfId="3727">
  <tableColumns count="18">
    <tableColumn id="2" xr3:uid="{429CB7D3-1378-401F-85FC-62896D4214C5}" name="Column2" headerRowDxfId="3726" dataDxfId="3725"/>
    <tableColumn id="3" xr3:uid="{52104045-92BD-42FB-AB76-15B728F4366F}" name="Column3" headerRowDxfId="3724" dataDxfId="3723"/>
    <tableColumn id="4" xr3:uid="{154C3CD4-5039-4341-9432-4CA34655FCDB}" name="Column4" headerRowDxfId="3722" dataDxfId="3721"/>
    <tableColumn id="5" xr3:uid="{47E32300-3E60-487B-98E6-50571E6AD97A}" name="Column5" headerRowDxfId="3720" dataDxfId="3719"/>
    <tableColumn id="6" xr3:uid="{15FA7C4D-8A60-4A7C-843B-D6AAD85C32C7}" name="Column6" headerRowDxfId="3718" dataDxfId="3717"/>
    <tableColumn id="7" xr3:uid="{816136ED-B8E0-4CC5-BCE6-BAA79BE6D8FE}" name="Column7" headerRowDxfId="3716" dataDxfId="3715"/>
    <tableColumn id="8" xr3:uid="{C22A61F6-3C6F-41C2-B17E-281B5BAE93F0}" name="Column8" headerRowDxfId="3714" dataDxfId="3713"/>
    <tableColumn id="9" xr3:uid="{571276C9-06FC-4716-9817-805904B3AB5D}" name="Column9" headerRowDxfId="3712" dataDxfId="3711"/>
    <tableColumn id="10" xr3:uid="{D7FA306A-B066-4710-A105-134709A573E2}" name="Column10" headerRowDxfId="3710" dataDxfId="3709"/>
    <tableColumn id="11" xr3:uid="{54B21098-7110-4657-AFD5-18B02D37EBAD}" name="Column11" headerRowDxfId="3708" dataDxfId="3707"/>
    <tableColumn id="12" xr3:uid="{B46BA9B8-D023-4730-9413-860967171FCF}" name="Column12" headerRowDxfId="3706" dataDxfId="3705"/>
    <tableColumn id="13" xr3:uid="{D4B67425-841A-437C-8A61-B78D3BAD503D}" name="Column13" headerRowDxfId="3704" dataDxfId="3703"/>
    <tableColumn id="14" xr3:uid="{84434227-3D00-4250-81F6-B9369E1727CC}" name="Column14" headerRowDxfId="3702" dataDxfId="3701"/>
    <tableColumn id="15" xr3:uid="{C7234C35-5092-4D24-8FE5-3F7933AE437C}" name="Column15" headerRowDxfId="3700" dataDxfId="3699"/>
    <tableColumn id="16" xr3:uid="{D8FAB978-6E60-41E4-855A-6396F4ED2215}" name="Column16" headerRowDxfId="3698" dataDxfId="3697"/>
    <tableColumn id="17" xr3:uid="{D2AB23FE-7B4D-4249-867E-1DBEAC135FB3}" name="Column17" headerRowDxfId="3696" dataDxfId="3695"/>
    <tableColumn id="18" xr3:uid="{B23BB75F-15F0-4E76-AFDF-39E10C24FD8E}" name="Column18" headerRowDxfId="3694" dataDxfId="3693"/>
    <tableColumn id="19" xr3:uid="{A0DC0BFE-EC4E-4C51-9394-A41F4BABEBB0}" name="Column19" headerRowDxfId="3692" dataDxfId="3691"/>
  </tableColumns>
  <tableStyleInfo name="TableStyleMedium2" showFirstColumn="0" showLastColumn="0" showRowStripes="1" showColumnStripes="0"/>
</table>
</file>

<file path=xl/tables/table5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0" xr:uid="{94C81995-5EC9-421F-A130-54A35B2D73D5}" name="Table4832644078283989661369871" displayName="Table4832644078283989661369871" ref="B113:R116" headerRowCount="0" totalsRowShown="0" headerRowDxfId="3690" dataDxfId="3689">
  <tableColumns count="17">
    <tableColumn id="2" xr3:uid="{322A77C4-5DAE-4760-8F03-8CF11703A02D}" name="Column1" headerRowDxfId="3688" dataDxfId="3687"/>
    <tableColumn id="3" xr3:uid="{CD285A4C-AAB2-4F86-B49C-F09A06068A96}" name="Column2" headerRowDxfId="3686" dataDxfId="3685"/>
    <tableColumn id="4" xr3:uid="{7E02A2D5-0197-4091-B56F-EAB7E75D1703}" name="Column3" headerRowDxfId="3684" dataDxfId="3683"/>
    <tableColumn id="5" xr3:uid="{43DA3604-B663-46B3-92C9-271F5F2C59C3}" name="Column4" headerRowDxfId="3682" dataDxfId="3681"/>
    <tableColumn id="6" xr3:uid="{4FDDC738-7994-41BD-A206-66FF7DAC12C0}" name="Column5" headerRowDxfId="3680" dataDxfId="3679"/>
    <tableColumn id="7" xr3:uid="{3856B003-66A8-4FD6-8F52-81A2575FA2CD}" name="Column6" headerRowDxfId="3678" dataDxfId="3677"/>
    <tableColumn id="8" xr3:uid="{2BACD48B-DEE8-4F02-B93B-72241C8C89F6}" name="Column7" headerRowDxfId="3676" dataDxfId="3675"/>
    <tableColumn id="9" xr3:uid="{24CD0A00-8AFA-48D4-AA49-0BA3C50F3662}" name="Column8" headerRowDxfId="3674" dataDxfId="3673"/>
    <tableColumn id="10" xr3:uid="{A276F10C-B601-4D18-964B-7B3A5DFEF7DA}" name="Column9" headerRowDxfId="3672" dataDxfId="3671"/>
    <tableColumn id="11" xr3:uid="{996254D2-C7C4-40C9-80C9-6505E9A2D89C}" name="Column10" headerRowDxfId="3670" dataDxfId="3669"/>
    <tableColumn id="12" xr3:uid="{3EB2F8F5-2A4F-43F6-8F9B-0FABC97C0597}" name="Column11" headerRowDxfId="3668" dataDxfId="3667"/>
    <tableColumn id="13" xr3:uid="{52495043-2AB7-4BFB-8789-21CA9E3E416B}" name="Column12" headerRowDxfId="3666" dataDxfId="3665"/>
    <tableColumn id="14" xr3:uid="{B14F1782-B71D-4192-8024-6DD946439C51}" name="Column13" headerRowDxfId="3664" dataDxfId="3663"/>
    <tableColumn id="15" xr3:uid="{806DFE98-B1A6-4D8B-BC32-37319DE87F19}" name="Cantrip" headerRowDxfId="3662" dataDxfId="3661"/>
    <tableColumn id="16" xr3:uid="{12F7F5A0-0738-4DBF-B096-115E29918051}" name="1st Level" headerRowDxfId="3660" dataDxfId="3659"/>
    <tableColumn id="17" xr3:uid="{59BCFB7B-55F7-4520-87D4-E21A341D47A6}" name="2nd Level" headerRowDxfId="3658" dataDxfId="3657"/>
    <tableColumn id="1" xr3:uid="{9BDDCC15-E848-4159-B1FD-AD2917C045E7}" name="Column14" headerRowDxfId="3656" dataDxfId="3655"/>
  </tableColumns>
  <tableStyleInfo name="TableStyleMedium2" showFirstColumn="0" showLastColumn="0" showRowStripes="1" showColumnStripes="0"/>
</table>
</file>

<file path=xl/tables/table5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1" xr:uid="{A6945BF5-C769-4498-A45D-F87AD005C4D0}" name="Table4932744178384089762370872" displayName="Table4932744178384089762370872" ref="B120:T129" headerRowCount="0" headerRowDxfId="3654" dataDxfId="3653" totalsRowDxfId="3652">
  <tableColumns count="19">
    <tableColumn id="2" xr3:uid="{B693D212-BC33-4399-81C6-6940E3FD70F2}" name="Column1" headerRowDxfId="3651" dataDxfId="3650"/>
    <tableColumn id="3" xr3:uid="{38A6BA14-46CD-4DA4-A3D4-2BCB4A1F6B77}" name="Column2" headerRowDxfId="3649" dataDxfId="3648" totalsRowDxfId="3647"/>
    <tableColumn id="4" xr3:uid="{F2E6C77B-6659-4CFE-9D8D-40C1874AFFC6}" name="Column3" headerRowDxfId="3646" dataDxfId="3645" totalsRowDxfId="3644"/>
    <tableColumn id="5" xr3:uid="{9D378CCE-D3E6-463D-9CB0-6AB32F25B19B}" name="Column4" headerRowDxfId="3643" dataDxfId="3642" totalsRowDxfId="3641"/>
    <tableColumn id="6" xr3:uid="{99079E9A-873B-4287-8677-3C4112C9C11D}" name="Column5" headerRowDxfId="3640" dataDxfId="3639" totalsRowDxfId="3638"/>
    <tableColumn id="7" xr3:uid="{800AB356-5E00-41E2-8FC2-975DA72988AB}" name="Column6" headerRowDxfId="3637" dataDxfId="3636" totalsRowDxfId="3635"/>
    <tableColumn id="8" xr3:uid="{E401D9E2-DE33-416D-8631-8DCA548059B3}" name="Column7" headerRowDxfId="3634" dataDxfId="3633" totalsRowDxfId="3632"/>
    <tableColumn id="9" xr3:uid="{E89A822A-726E-4EEF-84D6-71EE9EB9828E}" name="Column8" headerRowDxfId="3631" dataDxfId="3630" totalsRowDxfId="3629"/>
    <tableColumn id="10" xr3:uid="{9F004CAB-B844-40EE-9E90-1D8D4CAF4DEE}" name="Column9" headerRowDxfId="3628" dataDxfId="3627" totalsRowDxfId="3626"/>
    <tableColumn id="11" xr3:uid="{F57CBC5B-8393-4C95-A3F8-9846FEF3F722}" name="Column10" headerRowDxfId="3625" dataDxfId="3624" totalsRowDxfId="3623"/>
    <tableColumn id="12" xr3:uid="{2057FDAB-23F0-4BD4-9431-C8ADE5A403F8}" name="Column11" headerRowDxfId="3622" dataDxfId="3621" totalsRowDxfId="3620"/>
    <tableColumn id="13" xr3:uid="{6BB5CE51-2FAE-433C-96BC-972CE472AFFF}" name="Column12" headerRowDxfId="3619" dataDxfId="3618" totalsRowDxfId="3617"/>
    <tableColumn id="14" xr3:uid="{3B408148-0D59-449E-915F-CE0873AB0D00}" name="Column13" headerRowDxfId="3616" dataDxfId="3615" totalsRowDxfId="3614"/>
    <tableColumn id="15" xr3:uid="{AC4A00AF-C31B-4A77-AF95-07C050F23140}" name="Cantrip" headerRowDxfId="3613" dataDxfId="3612"/>
    <tableColumn id="16" xr3:uid="{D7E5A737-C29D-4257-A176-603A04A62E4D}" name="1st Level" headerRowDxfId="3611" dataDxfId="3610"/>
    <tableColumn id="17" xr3:uid="{B940A770-CB02-45C0-9C6C-BB9199AC007D}" name="2nd Level" headerRowDxfId="3609" dataDxfId="3608"/>
    <tableColumn id="18" xr3:uid="{D4385C7B-6A21-4CB3-B952-16A33D0E8F1F}" name="3rd Level" headerRowDxfId="3607" dataDxfId="3606"/>
    <tableColumn id="19" xr3:uid="{DC10B315-0CB4-4DBA-95D9-6AD2E04DA017}" name="4th Level" headerRowDxfId="3605" dataDxfId="3604"/>
    <tableColumn id="1" xr3:uid="{3C3BAD8D-4BBB-4911-A9F4-CE0D72092670}" name="Column14" headerRowDxfId="3603" dataDxfId="3602" totalsRowDxfId="3601"/>
  </tableColumns>
  <tableStyleInfo name="TableStyleMedium2" showFirstColumn="0" showLastColumn="0" showRowStripes="1" showColumnStripes="0"/>
</table>
</file>

<file path=xl/tables/table5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2" xr:uid="{48B88EB3-B089-4A83-B8FD-A0E2A44AF400}" name="Table62328442784841898268371873" displayName="Table62328442784841898268371873" ref="B171:T202" headerRowCount="0" headerRowDxfId="3600" dataDxfId="3599" totalsRowDxfId="3597" tableBorderDxfId="3598">
  <tableColumns count="19">
    <tableColumn id="2" xr3:uid="{98A72385-651A-4C43-982F-7081535D904B}" name="Column2" headerRowDxfId="3596" dataDxfId="3595" totalsRowDxfId="3594"/>
    <tableColumn id="3" xr3:uid="{ECAE655B-8D23-4E76-B85A-7C379E2CC382}" name="Column3" headerRowDxfId="3593" dataDxfId="3592" totalsRowDxfId="3591"/>
    <tableColumn id="4" xr3:uid="{37D0572F-DBE0-4600-B7C0-9E46C58AA30F}" name="Column4" headerRowDxfId="3590" dataDxfId="3589" totalsRowDxfId="3588"/>
    <tableColumn id="5" xr3:uid="{06999A83-36CD-4B5A-9BF8-F222C2840082}" name="Column5" headerRowDxfId="3587" dataDxfId="3586" totalsRowDxfId="3585"/>
    <tableColumn id="6" xr3:uid="{6D5E90E6-6AB2-439F-9F5D-928F8BDFBECB}" name="Column6" headerRowDxfId="3584" dataDxfId="3583" totalsRowDxfId="3582"/>
    <tableColumn id="7" xr3:uid="{E8E3D687-B954-40E4-8D72-9B420E1A0B1C}" name="Column7" headerRowDxfId="3581" dataDxfId="3580" totalsRowDxfId="3579"/>
    <tableColumn id="8" xr3:uid="{55EFFE07-9D71-4B3F-A1CD-751352F807CB}" name="Column8" headerRowDxfId="3578" dataDxfId="3577" totalsRowDxfId="3576"/>
    <tableColumn id="9" xr3:uid="{66368B3C-E5B5-4996-8D7B-AC17F27CD603}" name="Column9" headerRowDxfId="3575" dataDxfId="3574" totalsRowDxfId="3573"/>
    <tableColumn id="10" xr3:uid="{9A63DCAD-8E32-44DA-89F4-633AE0E30779}" name="Column10" headerRowDxfId="3572" dataDxfId="3571" totalsRowDxfId="3570"/>
    <tableColumn id="11" xr3:uid="{1146E6E9-7BFE-4BA2-8DB2-B1EFA531CA1D}" name="Column11" headerRowDxfId="3569" dataDxfId="3568" totalsRowDxfId="3567"/>
    <tableColumn id="12" xr3:uid="{34A40B5E-C487-4D71-9D27-A39B6090E52D}" name="Column12" headerRowDxfId="3566" dataDxfId="3565" totalsRowDxfId="3564"/>
    <tableColumn id="13" xr3:uid="{C5F47C0B-A2ED-4EAB-BE8A-7783226B6A40}" name="Column13" headerRowDxfId="3563" dataDxfId="3562" totalsRowDxfId="3561"/>
    <tableColumn id="14" xr3:uid="{F5F583B7-7F9C-490D-8964-D77F71FA321A}" name="Column14" headerRowDxfId="3560" dataDxfId="3559" totalsRowDxfId="3558"/>
    <tableColumn id="15" xr3:uid="{AE2E58A4-6B0C-45F8-A051-62DD6362752F}" name="Column15" headerRowDxfId="3557" dataDxfId="3556" totalsRowDxfId="3555"/>
    <tableColumn id="16" xr3:uid="{6A36C487-2EEE-47BE-8B82-9EA7CAAD3D3E}" name="Column16" headerRowDxfId="3554" dataDxfId="3553" totalsRowDxfId="3552"/>
    <tableColumn id="17" xr3:uid="{D600A890-0471-43D9-94E1-224EC7C8BFA2}" name="Column17" headerRowDxfId="3551" dataDxfId="3550" totalsRowDxfId="3549"/>
    <tableColumn id="18" xr3:uid="{4950ED4E-73B8-46F9-AB95-2C507CDD14FD}" name="Column18" headerRowDxfId="3548" dataDxfId="3547" totalsRowDxfId="3546"/>
    <tableColumn id="19" xr3:uid="{CF3F0E3F-E54C-4ABE-BDA6-C674A21228DB}" name="Column19" headerRowDxfId="3545" dataDxfId="3544" totalsRowDxfId="3543"/>
    <tableColumn id="1" xr3:uid="{FAEF3AFF-78F1-433B-84A9-400C4B5492D2}" name="Column1" headerRowDxfId="3542" dataDxfId="3541" totalsRowDxfId="3540"/>
  </tableColumns>
  <tableStyleInfo name="TableStyleMedium2" showFirstColumn="0" showLastColumn="0" showRowStripes="1" showColumnStripes="0"/>
</table>
</file>

<file path=xl/tables/table5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3" xr:uid="{334CA7FE-1DCC-467E-8CC6-551AB8C4B221}" name="Table64329443785842899270372874" displayName="Table64329443785842899270372874" ref="B307:T324" headerRowCount="0" totalsRowShown="0" headerRowDxfId="3539" dataDxfId="3538">
  <tableColumns count="19">
    <tableColumn id="2" xr3:uid="{AAC3DF9C-8FAE-46A9-8E06-D661E1B4F7A7}" name="Column2" headerRowDxfId="3537" dataDxfId="3536"/>
    <tableColumn id="3" xr3:uid="{79A714E5-604A-4F68-9935-490241F88CE9}" name="Column3" headerRowDxfId="3535" dataDxfId="3534"/>
    <tableColumn id="4" xr3:uid="{8D21CB7C-4231-470C-BC30-5A1EAECB0443}" name="Column4" headerRowDxfId="3533" dataDxfId="3532"/>
    <tableColumn id="5" xr3:uid="{851CA126-B03C-4987-9149-DF0B22905AA4}" name="Column5" headerRowDxfId="3531" dataDxfId="3530"/>
    <tableColumn id="6" xr3:uid="{DED71A7F-EFF0-4789-BD4B-A05A7AEF6287}" name="Column6" headerRowDxfId="3529" dataDxfId="3528"/>
    <tableColumn id="7" xr3:uid="{F3C64579-DB49-4014-A979-F4233BA83313}" name="Column7" headerRowDxfId="3527" dataDxfId="3526"/>
    <tableColumn id="8" xr3:uid="{B6B83243-4CF9-47DA-AD60-818E756B136F}" name="Column8" headerRowDxfId="3525" dataDxfId="3524"/>
    <tableColumn id="9" xr3:uid="{C288C8D0-90AD-415F-8B4C-6F5C3CCE3673}" name="Column9" headerRowDxfId="3523" dataDxfId="3522"/>
    <tableColumn id="10" xr3:uid="{1627E391-CA21-4B30-8D6D-6FDCE4A0E59A}" name="Column10" headerRowDxfId="3521" dataDxfId="3520"/>
    <tableColumn id="11" xr3:uid="{CC1CF978-5344-4B31-8040-510629ABAA7B}" name="Column11" headerRowDxfId="3519" dataDxfId="3518"/>
    <tableColumn id="12" xr3:uid="{F111F62F-CB5E-4DD0-A3F4-EE1442691A70}" name="Column12" headerRowDxfId="3517" dataDxfId="3516"/>
    <tableColumn id="13" xr3:uid="{A38C64F5-7826-4749-B64A-48716288A166}" name="Column13" headerRowDxfId="3515" dataDxfId="3514"/>
    <tableColumn id="14" xr3:uid="{A677CE71-8277-45D2-8FB2-5AB2149C9A94}" name="Column14" headerRowDxfId="3513" dataDxfId="3512"/>
    <tableColumn id="15" xr3:uid="{4A22CC37-AB1D-4F8D-8424-C3E64E46633B}" name="Column15" headerRowDxfId="3511" dataDxfId="3510"/>
    <tableColumn id="16" xr3:uid="{E24B34BD-9ED0-4ECC-9D6C-5C8C7D14EB01}" name="Column16" headerRowDxfId="3509" dataDxfId="3508">
      <calculatedColumnFormula>IF($Q$324&gt;=O322,INDEX('Spell Tables'!$T$242:$T$271,MATCH(O322,('Spell Tables'!$R$242:$R$271),0))," ")</calculatedColumnFormula>
    </tableColumn>
    <tableColumn id="17" xr3:uid="{A2DE1FBE-D971-4A18-B35B-9FC4178A43D6}" name="Column17" headerRowDxfId="3507" dataDxfId="3506">
      <calculatedColumnFormula>IF($R$324&gt;=O322,INDEX('Spell Tables'!$X$242:$X$275,MATCH(O322,('Spell Tables'!$V$242:$V$275),0))," ")</calculatedColumnFormula>
    </tableColumn>
    <tableColumn id="18" xr3:uid="{C2CC47E0-F978-43C5-8E64-7A5BCC4FAA2D}" name="Column18" headerRowDxfId="3505" dataDxfId="3504"/>
    <tableColumn id="19" xr3:uid="{9E626CD0-2AF1-477F-A243-8A8C4B077B33}" name="Column19" headerRowDxfId="3503" dataDxfId="3502"/>
    <tableColumn id="20" xr3:uid="{E804D866-E043-4658-8217-39763FB85B63}" name="Column20" headerRowDxfId="3501" dataDxfId="3500">
      <calculatedColumnFormula>IF($S$309&gt;=O307,INDEX('Spell Tables'!$AF$242:$AF$264,MATCH(O307,('Spell Tables'!$AD$242:$AD$264),0)),IF(AND($Q$11="wizard",$S$312&gt;=O307),INDEX('Spell Tables'!$AF$242:$AF$264,MATCH(O307,('Spell Tables'!$AD$242:$AD$264),0))," "))</calculatedColumnFormula>
    </tableColumn>
  </tableColumns>
  <tableStyleInfo name="TableStyleMedium2" showFirstColumn="0" showLastColumn="0" showRowStripes="1" showColumnStripes="0"/>
</table>
</file>

<file path=xl/tables/table5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4" xr:uid="{BD47023A-1963-4FEB-A24B-4774B58FA28E}" name="Table4967330444786843900309373875" displayName="Table4967330444786843900309373875" ref="B146:T155" headerRowCount="0" headerRowDxfId="3499" dataDxfId="3498" totalsRowDxfId="3497">
  <tableColumns count="19">
    <tableColumn id="2" xr3:uid="{AA8973A0-B8DA-4815-82F9-B1BAF1F37E3E}" name="Column1" headerRowDxfId="3496" dataDxfId="3495" totalsRowDxfId="3494"/>
    <tableColumn id="3" xr3:uid="{208B24B1-650E-4E6F-9809-F27A8A111F66}" name="Column2" headerRowDxfId="3493" dataDxfId="3492" totalsRowDxfId="3491"/>
    <tableColumn id="4" xr3:uid="{1A82F787-166C-4FA7-B0B0-DA9ACF838BBC}" name="Column3" headerRowDxfId="3490" dataDxfId="3489" totalsRowDxfId="3488"/>
    <tableColumn id="5" xr3:uid="{6E6D81BA-DFCA-40D0-9FF0-9029F6E3DCB2}" name="Column4" headerRowDxfId="3487" dataDxfId="3486" totalsRowDxfId="3485"/>
    <tableColumn id="6" xr3:uid="{59BCCA96-A764-4B77-8F6E-C4528C0A4918}" name="Column5" headerRowDxfId="3484" dataDxfId="3483" totalsRowDxfId="3482"/>
    <tableColumn id="7" xr3:uid="{9E1A4EE4-A78D-47C7-ABDB-FF7DE22E2DB4}" name="Column6" headerRowDxfId="3481" dataDxfId="3480" totalsRowDxfId="3479"/>
    <tableColumn id="8" xr3:uid="{898BA859-1904-48AC-B527-BC1D5C194FE0}" name="Column7" headerRowDxfId="3478" dataDxfId="3477" totalsRowDxfId="3476"/>
    <tableColumn id="9" xr3:uid="{18531B35-2FA4-413F-BA70-CC0A43D801FF}" name="Column8" headerRowDxfId="3475" dataDxfId="3474" totalsRowDxfId="3473"/>
    <tableColumn id="10" xr3:uid="{BD1C3C11-3ECD-4CF1-8EE4-B78E75FDE4ED}" name="Column9" headerRowDxfId="3472" dataDxfId="3471" totalsRowDxfId="3470"/>
    <tableColumn id="11" xr3:uid="{A252FA88-352E-4FFD-9583-F4B9289C6621}" name="Column10" headerRowDxfId="3469" dataDxfId="3468" totalsRowDxfId="3467"/>
    <tableColumn id="12" xr3:uid="{E03CC713-9184-46FC-88F8-10258DEE5173}" name="Column11" headerRowDxfId="3466" dataDxfId="3465" totalsRowDxfId="3464"/>
    <tableColumn id="13" xr3:uid="{60D567EF-ACE5-4EC5-BB34-675DE9D3174A}" name="Column12" headerRowDxfId="3463" dataDxfId="3462" totalsRowDxfId="3461"/>
    <tableColumn id="14" xr3:uid="{B60BFBF0-AAEB-4CA7-81D9-F57B1DA8B747}" name="Column13" headerRowDxfId="3460" dataDxfId="3459" totalsRowDxfId="3458"/>
    <tableColumn id="15" xr3:uid="{67BC322E-F49F-4CC2-B070-CB03EBD46EEB}" name="Cantrip" headerRowDxfId="3457" dataDxfId="3456" totalsRowDxfId="3455"/>
    <tableColumn id="16" xr3:uid="{3BB94AD3-37ED-4B20-A970-57DF716117EF}" name="1st Level" headerRowDxfId="3454" dataDxfId="3453" totalsRowDxfId="3452"/>
    <tableColumn id="17" xr3:uid="{D5C50857-FA43-4856-97AD-B3144E4CD22A}" name="2nd Level" totalsRowFunction="custom" headerRowDxfId="3451" dataDxfId="3450" totalsRowDxfId="3449">
      <totalsRowFormula>IF(R15="way of the shadow","Silence"," ")</totalsRowFormula>
    </tableColumn>
    <tableColumn id="18" xr3:uid="{3027284A-3742-4E07-9135-F5043AAE4A84}" name="3rd Level" headerRowDxfId="3448" dataDxfId="3447" totalsRowDxfId="3446"/>
    <tableColumn id="19" xr3:uid="{4FD66B7E-157E-4228-B525-52EECD5668CA}" name="4th Level" headerRowDxfId="3445" dataDxfId="3444" totalsRowDxfId="3443"/>
    <tableColumn id="1" xr3:uid="{5AD668D8-F004-4F05-8173-C3969D9BE589}" name="Column14" headerRowDxfId="3442" dataDxfId="3441" totalsRowDxfId="3440"/>
  </tableColumns>
  <tableStyleInfo name="TableStyleMedium2" showFirstColumn="0" showLastColumn="0" showRowStripes="1" showColumnStripes="0"/>
</table>
</file>

<file path=xl/tables/table5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5" xr:uid="{A0C8951B-2C55-4284-AC3B-63E87AE41AD0}" name="Table69331445787844901310374876" displayName="Table69331445787844901310374876" ref="BN26:BS43" headerRowCount="0" totalsRowShown="0" headerRowDxfId="3439" dataDxfId="3438">
  <tableColumns count="6">
    <tableColumn id="1" xr3:uid="{717DB798-ECF7-47DD-A21C-F091938EDE9F}" name="Column1" headerRowDxfId="3437" dataDxfId="3436">
      <calculatedColumnFormula>_xlfn.RANK.EQ(BO26,$BO$26:$BO$43)</calculatedColumnFormula>
    </tableColumn>
    <tableColumn id="2" xr3:uid="{F951428C-A7E4-4D60-A1CD-8F3685914CF4}" name="Column2" headerRowDxfId="3435" dataDxfId="3434"/>
    <tableColumn id="3" xr3:uid="{F636DEC2-D923-419E-B98E-FE3C21A7DA06}" name="Column3" headerRowDxfId="3433" dataDxfId="3432">
      <calculatedColumnFormula>IF(OR(BM6&gt;=1,AV6&gt;=1),AH6," ")</calculatedColumnFormula>
    </tableColumn>
    <tableColumn id="4" xr3:uid="{28727229-3790-44D6-8F67-2DEED3CCBC3A}" name="Column4" headerRowDxfId="3431" dataDxfId="3430"/>
    <tableColumn id="5" xr3:uid="{56A5012F-CF0B-495A-A321-38C59DEA553C}" name="Column5" headerRowDxfId="3429" dataDxfId="3428">
      <calculatedColumnFormula>_xlfn.RANK.EQ(BS26,$BS$26:$BS$43)</calculatedColumnFormula>
    </tableColumn>
    <tableColumn id="6" xr3:uid="{C3B2AC09-EB4F-462C-8DC0-A61CF7E58AF2}" name="Column6" headerRowDxfId="3427" dataDxfId="3426">
      <calculatedColumnFormula>IF(BO26=0,RAND(),0)</calculatedColumnFormula>
    </tableColumn>
  </tableColumns>
  <tableStyleInfo name="TableStyleMedium2" showFirstColumn="0" showLastColumn="0" showRowStripes="1" showColumnStripes="0"/>
</table>
</file>

<file path=xl/tables/table5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6" xr:uid="{86F4A888-9EC2-42D1-BA6D-3EE82AAEC4D2}" name="Table70332446788845902311375877" displayName="Table70332446788845902311375877" ref="BU26:BZ29" headerRowCount="0" totalsRowShown="0" headerRowDxfId="3425" dataDxfId="3424">
  <tableColumns count="6">
    <tableColumn id="1" xr3:uid="{4F8FC3F6-D3CC-4219-9ED1-9F7C984B31C6}" name="Column1" headerRowDxfId="3423" dataDxfId="3422">
      <calculatedColumnFormula>_xlfn.RANK.EQ(BV26,$BV$26:$BV$29)</calculatedColumnFormula>
    </tableColumn>
    <tableColumn id="2" xr3:uid="{6F266CEA-080E-48AB-B12C-7AB1AB328D1D}" name="Column2" headerRowDxfId="3421" dataDxfId="3420"/>
    <tableColumn id="3" xr3:uid="{3AB0244E-6181-48AE-9963-50EB7A720E0A}" name="Column3" headerRowDxfId="3419" dataDxfId="3418"/>
    <tableColumn id="4" xr3:uid="{8A6CDBEF-96DE-45AF-A4D4-E8C2D0C8773C}" name="Column4" headerRowDxfId="3417" dataDxfId="3416"/>
    <tableColumn id="5" xr3:uid="{BEE1FD59-8BA8-48D6-8736-FAA2742F8E9C}" name="Column5" headerRowDxfId="3415" dataDxfId="3414">
      <calculatedColumnFormula>_xlfn.RANK.EQ(BZ26,$BZ$26:$BZ$29)</calculatedColumnFormula>
    </tableColumn>
    <tableColumn id="6" xr3:uid="{6AB84B66-DDF5-4B1D-B8B1-53ED6CEF3837}" name="Column6" headerRowDxfId="3413" dataDxfId="3412">
      <calculatedColumnFormula>IF(BV26=0,RAND(),0)</calculatedColumnFormula>
    </tableColumn>
  </tableColumns>
  <tableStyleInfo name="TableStyleMedium2" showFirstColumn="0" showLastColumn="0" showRowStripes="1" showColumnStripes="0"/>
</table>
</file>

<file path=xl/tables/table5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7" xr:uid="{036DF2C4-BB27-4EBD-95D7-761084FD0897}" name="Table72333447789846903312376878" displayName="Table72333447789846903312376878" ref="BU30:BZ32" headerRowCount="0" totalsRowShown="0" headerRowDxfId="3411" dataDxfId="3410">
  <tableColumns count="6">
    <tableColumn id="1" xr3:uid="{F4FC3F48-1DBF-49A7-9979-076A49B2FF50}" name="Column1" headerRowDxfId="3409" dataDxfId="3408">
      <calculatedColumnFormula>_xlfn.RANK.EQ(BV30,$BV$30:$BV$32)</calculatedColumnFormula>
    </tableColumn>
    <tableColumn id="2" xr3:uid="{E0E5E234-66F3-400B-A54E-BFFA84F389E2}" name="Column2" headerRowDxfId="3407" dataDxfId="3406"/>
    <tableColumn id="3" xr3:uid="{570F2D02-91EA-424F-8F47-DB4AA80F2177}" name="Column3" headerRowDxfId="3405" dataDxfId="3404"/>
    <tableColumn id="4" xr3:uid="{EE8E210A-53AF-4B09-82ED-9F73B797D472}" name="Column4" headerRowDxfId="3403" dataDxfId="3402"/>
    <tableColumn id="5" xr3:uid="{AFE687C7-1799-429C-87B0-174AC7187A16}" name="Column5" headerRowDxfId="3401" dataDxfId="3400">
      <calculatedColumnFormula>_xlfn.RANK.EQ(BZ30,$BZ$30:$BZ$32)</calculatedColumnFormula>
    </tableColumn>
    <tableColumn id="6" xr3:uid="{96BA720B-8606-4E5C-AD03-8FC83B37814F}" name="Column6" headerRowDxfId="3399" dataDxfId="3398">
      <calculatedColumnFormula>IF(BV30=0,RAND(),0)</calculatedColumnFormula>
    </tableColumn>
  </tableColumns>
  <tableStyleInfo name="TableStyleMedium2" showFirstColumn="0" showLastColumn="0" showRowStripes="1" showColumnStripes="0"/>
</table>
</file>

<file path=xl/tables/table5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8" xr:uid="{A56BDA46-65DC-414F-B640-574610FBA56A}" name="Table60334448790847904313377879" displayName="Table60334448790847904313377879" ref="B240:T271" headerRowCount="0" totalsRowShown="0" headerRowDxfId="3397" dataDxfId="3396" tableBorderDxfId="3395">
  <tableColumns count="19">
    <tableColumn id="3" xr3:uid="{2D5B03BB-FC22-47F2-979E-54F07F9D2491}" name="Column3" headerRowDxfId="3394" dataDxfId="3393"/>
    <tableColumn id="4" xr3:uid="{E75AFA1D-E4AC-427B-B2F4-79DE2080DC4A}" name="Column4" headerRowDxfId="3392" dataDxfId="3391"/>
    <tableColumn id="5" xr3:uid="{07DD380F-FEBF-4A13-841B-6C5D3D60B582}" name="Column5" headerRowDxfId="3390" dataDxfId="3389"/>
    <tableColumn id="6" xr3:uid="{AC160A8E-7075-4D83-B5BE-4F987944B2A5}" name="Column6" headerRowDxfId="3388" dataDxfId="3387"/>
    <tableColumn id="7" xr3:uid="{9977E1EC-0E63-49F3-841D-AD00B584E3D3}" name="Column7" headerRowDxfId="3386" dataDxfId="3385"/>
    <tableColumn id="8" xr3:uid="{BF3897C6-52ED-42E9-B037-2240AAD0B23D}" name="Column8" headerRowDxfId="3384" dataDxfId="3383"/>
    <tableColumn id="9" xr3:uid="{3111DDD3-01D6-486F-8593-5584C7ECE334}" name="Column9" headerRowDxfId="3382" dataDxfId="3381"/>
    <tableColumn id="10" xr3:uid="{ACBFEDF8-0060-401A-B6BA-7A40C68F6B38}" name="Column10" headerRowDxfId="3380" dataDxfId="3379"/>
    <tableColumn id="11" xr3:uid="{DDB299EC-BF02-422C-9349-7E478FECE306}" name="Column11" headerRowDxfId="3378" dataDxfId="3377"/>
    <tableColumn id="12" xr3:uid="{CF4D89DA-6E9C-41D4-BA2B-C8B75C46A346}" name="Column12" headerRowDxfId="3376" dataDxfId="3375"/>
    <tableColumn id="13" xr3:uid="{4BD3E9DA-BC2A-4965-970C-484F210AF102}" name="Column13" headerRowDxfId="3374" dataDxfId="3373"/>
    <tableColumn id="14" xr3:uid="{13C58838-FA7B-4F6A-A21C-093C6120F8AE}" name="Column14" headerRowDxfId="3372" dataDxfId="3371"/>
    <tableColumn id="15" xr3:uid="{790E687E-2992-441E-81D6-644CAA5A435E}" name="Column15" headerRowDxfId="3370" dataDxfId="3369"/>
    <tableColumn id="2" xr3:uid="{29FEDD87-6A33-453B-ABF4-B50A32B78200}" name="Column2" headerRowDxfId="3368" dataDxfId="3367"/>
    <tableColumn id="16" xr3:uid="{1F32CF47-2102-4741-AD22-7B726907DB9B}" name="Column16" headerRowDxfId="3366" dataDxfId="3365"/>
    <tableColumn id="17" xr3:uid="{9549BE36-6772-4AB7-810F-FFE4B107BE27}" name="Column17" headerRowDxfId="3364" dataDxfId="3363"/>
    <tableColumn id="18" xr3:uid="{FF59E30B-8695-4E48-B2AA-61F3FC2E69DE}" name="Column18" headerRowDxfId="3362" dataDxfId="3361"/>
    <tableColumn id="19" xr3:uid="{4F664D30-3752-4C35-A190-C1BF08446D8A}" name="Column19" headerRowDxfId="3360" dataDxfId="3359"/>
    <tableColumn id="20" xr3:uid="{8773E5A8-F2BE-4448-A8B1-F373BF5996AD}" name="Column20" headerRowDxfId="3358" dataDxfId="3357">
      <calculatedColumnFormula>IF(AND($Q$15="Otherworldly patron - great old one",T$244&gt;=O171),INDEX('Spell Tables'!$AF$226:$AF$231,MATCH(O171,('Spell Tables'!$AD$226:$AD$231),0)),IF(AND($Q$15="Otherworldly patron - fiend",T$244&gt;=O171),INDEX('Spell Tables'!$AF$210:$AF$215,MATCH(O171,('Spell Tables'!$AD$210:$AD$215),0)),IF(AND($Q$15="Otherworldly patron - archfey",T$244&gt;=O171),INDEX('Spell Tables'!$AF$194:$AF$199,MATCH(O171,('Spell Tables'!$AD$194:$AD$199),0)),IF($T$242&gt;=O171,INDEX($AL$80:$AL$89,MATCH(O171,($AJ$80:$AJ$89),0)),IF($T$246&gt;=O171,INDEX('Spell Tables'!$AF$168:$AF$177,MATCH(O171,('Spell Tables'!$AD$168:$AD$177),0)),IF($T$248&gt;=O171,INDEX('Spell Tables'!$AR$141:$AR$144,MATCH(O171,('Spell Tables'!$AP$141:$AP$144),0)),IF($T$250&gt;=O171,INDEX('Spell Tables'!$AB$119:$AB$123,MATCH(O171,('Spell Tables'!$Z$119:$Z$123),0)),IF($T$252&gt;=O171,INDEX('Spell Tables'!$AB$97:$AB$102,MATCH(O171,('Spell Tables'!$Z$97:$Z$102),0)),IF($T$254&gt;=O171,INDEX('Spell Tables'!$AR$70:$AR$75,MATCH(O171,('Spell Tables'!$AP$70:$AP$75),0)),IF($T$256&gt;=O171,INDEX('Spell Tables'!$AF$48:$AF$63,MATCH(O171,('Spell Tables'!$AD$48:$AD$63),0)),IF($T$258&gt;=O171,INDEX('Spell Tables'!$AF$26:$AF$33,MATCH(O171,('Spell Tables'!$AD$26:$AD$33),0)),IF($T$260&gt;=O171,INDEX('Spell Tables'!$AF$2:$AF$9,MATCH(O171,('Spell Tables'!$AD$2:$AD$9),0))," "))))))))))))</calculatedColumnFormula>
    </tableColumn>
  </tableColumns>
  <tableStyleInfo name="TableStyleMedium2" showFirstColumn="0" showLastColumn="0" showRowStripes="1" showColumnStripes="0"/>
</table>
</file>

<file path=xl/tables/table5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9" xr:uid="{9CB1137E-F223-4D7C-AD8B-F1BEA785733D}" name="Table200335449791848905314378880" displayName="Table200335449791848905314378880" ref="AJ43:AL53" headerRowCount="0" totalsRowShown="0" headerRowDxfId="3356" dataDxfId="3355">
  <tableColumns count="3">
    <tableColumn id="1" xr3:uid="{D9DD1575-E2CD-4568-A807-D02254A214C4}" name="Column1" headerRowDxfId="3354" dataDxfId="3353"/>
    <tableColumn id="2" xr3:uid="{50D7C571-ABE5-4E4A-89CE-D577CCD33595}" name="Column2" headerRowDxfId="3352" dataDxfId="3351">
      <calculatedColumnFormula>RAND()</calculatedColumnFormula>
    </tableColumn>
    <tableColumn id="3" xr3:uid="{F7FE87C8-9F75-48E5-AE36-0B96AB01D582}" name="Column3" headerRowDxfId="3350" dataDxfId="3349">
      <calculatedColumnFormula>AN12</calculatedColumnFormula>
    </tableColumn>
  </tableColumns>
  <tableStyleInfo name="TableStyleMedium2" showFirstColumn="0" showLastColumn="0" showRowStripes="1" showColumnStripes="0"/>
</table>
</file>

<file path=xl/tables/table5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0" xr:uid="{2E3D96B8-40C2-4546-A87D-98AB6C32B23E}" name="Table201336450792849906315379881" displayName="Table201336450792849906315379881" ref="AJ55:AL65" headerRowCount="0" totalsRowShown="0" headerRowDxfId="3348" dataDxfId="3347">
  <tableColumns count="3">
    <tableColumn id="1" xr3:uid="{6B940823-7E30-4CC8-9335-7A1828C73BDE}" name="Column1" headerRowDxfId="3346" dataDxfId="3345">
      <calculatedColumnFormula>_xlfn.RANK.EQ(AK56,$L$308:$L$320)</calculatedColumnFormula>
    </tableColumn>
    <tableColumn id="2" xr3:uid="{A25CAA1C-5739-4FD1-9B67-11D762837CA9}" name="Column2" headerRowDxfId="3344" dataDxfId="3343">
      <calculatedColumnFormula>IF(AL56=" ", 0,RAND())</calculatedColumnFormula>
    </tableColumn>
    <tableColumn id="3" xr3:uid="{2B47DACB-8662-4A4B-BC41-AF1B062A0F4F}" name="Column3" headerRowDxfId="3342" dataDxfId="3341">
      <calculatedColumnFormula>AO12</calculatedColumnFormula>
    </tableColumn>
  </tableColumns>
  <tableStyleInfo name="TableStyleMedium2" showFirstColumn="0" showLastColumn="0" showRowStripes="1" showColumnStripes="0"/>
</table>
</file>

<file path=xl/tables/table5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1" xr:uid="{F7B29336-BC60-4971-AFE8-FBB1976BFC64}" name="Table202337451793850907320380882" displayName="Table202337451793850907320380882" ref="AJ67:AL77" headerRowCount="0" totalsRowShown="0" headerRowDxfId="3340" dataDxfId="3339">
  <tableColumns count="3">
    <tableColumn id="1" xr3:uid="{2BB1F142-FE4C-41BF-879E-2ACFC4515632}" name="Column1" headerRowDxfId="3338" dataDxfId="3337"/>
    <tableColumn id="2" xr3:uid="{E2B017F6-FA1A-4287-87BF-FCE8A793C5F5}" name="Column2" headerRowDxfId="3336" dataDxfId="3335">
      <calculatedColumnFormula>IF(AL68=" ", 0,RAND())</calculatedColumnFormula>
    </tableColumn>
    <tableColumn id="3" xr3:uid="{A1743008-B0F8-4767-A424-9DC59DFA864F}" name="Column3" headerRowDxfId="3334" dataDxfId="3333">
      <calculatedColumnFormula>AP12</calculatedColumnFormula>
    </tableColumn>
  </tableColumns>
  <tableStyleInfo name="TableStyleMedium2" showFirstColumn="0" showLastColumn="0" showRowStripes="1" showColumnStripes="0"/>
</table>
</file>

<file path=xl/tables/table5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2" xr:uid="{AF1CB61A-7B22-4A79-A5F4-AB6904991A69}" name="Table203338452794851908321381883" displayName="Table203338452794851908321381883" ref="AJ79:AL89" headerRowCount="0" totalsRowShown="0" headerRowDxfId="3332" dataDxfId="3331">
  <tableColumns count="3">
    <tableColumn id="1" xr3:uid="{8FD5C62B-15F2-45F2-A648-27527563E7EF}" name="Column1" headerRowDxfId="3330" dataDxfId="3329"/>
    <tableColumn id="2" xr3:uid="{C57AF912-41E5-4068-8CF3-2F7D11A3E0A8}" name="Column2" headerRowDxfId="3328" dataDxfId="3327"/>
    <tableColumn id="3" xr3:uid="{10DDB2AD-601C-4B45-953C-1519B117107E}" name="Column3" headerRowDxfId="3326" dataDxfId="3325"/>
  </tableColumns>
  <tableStyleInfo name="TableStyleMedium2" showFirstColumn="0" showLastColumn="0" showRowStripes="1" showColumnStripes="0"/>
</table>
</file>

<file path=xl/tables/table5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3" xr:uid="{A243444D-42B7-4705-8BFC-82478F901E40}" name="Table204339453795852909322382884" displayName="Table204339453795852909322382884" ref="AJ91:AL101" headerRowCount="0" totalsRowShown="0" headerRowDxfId="3324" dataDxfId="3323">
  <tableColumns count="3">
    <tableColumn id="1" xr3:uid="{0DD16C3F-5845-43BD-9F0F-83C4329C493C}" name="Column1" headerRowDxfId="3322" dataDxfId="3321"/>
    <tableColumn id="2" xr3:uid="{148FD1BD-3702-4630-8EF7-83DC31B43E7B}" name="Column2" headerRowDxfId="3320" dataDxfId="3319"/>
    <tableColumn id="3" xr3:uid="{D5BD37FF-03E9-41AA-810C-B30551E8C227}" name="Column3" headerRowDxfId="3318" dataDxfId="3317"/>
  </tableColumns>
  <tableStyleInfo name="TableStyleMedium2" showFirstColumn="0" showLastColumn="0" showRowStripes="1" showColumnStripes="0"/>
</table>
</file>

<file path=xl/tables/table5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4" xr:uid="{2CA96683-A3E7-46EE-8980-AFF03F019CA0}" name="Table205340454796853910326383885" displayName="Table205340454796853910326383885" ref="AJ103:AL113" headerRowCount="0" totalsRowShown="0" headerRowDxfId="3316" dataDxfId="3315">
  <tableColumns count="3">
    <tableColumn id="1" xr3:uid="{DA359560-DB99-4B5C-8F7C-22EC97DF12F9}" name="Column1" headerRowDxfId="3314" dataDxfId="3313"/>
    <tableColumn id="2" xr3:uid="{0779767B-78E5-431A-8C8F-EC053F4D97C5}" name="Column2" headerRowDxfId="3312" dataDxfId="3311"/>
    <tableColumn id="3" xr3:uid="{22719276-063C-49EF-99A7-7E6E44F7EC30}" name="Column3" headerRowDxfId="3310" dataDxfId="3309"/>
  </tableColumns>
  <tableStyleInfo name="TableStyleMedium2" showFirstColumn="0" showLastColumn="0" showRowStripes="1" showColumnStripes="0"/>
</table>
</file>

<file path=xl/tables/table5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5" xr:uid="{4317B2B3-DECD-4FB4-AC37-340015179BEE}" name="Table206341455797854911327384886" displayName="Table206341455797854911327384886" ref="AJ115:AL125" headerRowCount="0" totalsRowShown="0" headerRowDxfId="3308" dataDxfId="3307">
  <tableColumns count="3">
    <tableColumn id="1" xr3:uid="{7BF101BD-1CBA-4B7E-AF58-281C8D2452DD}" name="Column1" headerRowDxfId="3306" dataDxfId="3305"/>
    <tableColumn id="2" xr3:uid="{32F1CFBA-51E9-4467-B203-5A4453BBD019}" name="Column2" headerRowDxfId="3304" dataDxfId="3303"/>
    <tableColumn id="3" xr3:uid="{12B73B4C-7A38-4CD8-96C2-8D2BCE97A90D}" name="Column3" headerRowDxfId="3302" dataDxfId="3301"/>
  </tableColumns>
  <tableStyleInfo name="TableStyleMedium2" showFirstColumn="0" showLastColumn="0" showRowStripes="1" showColumnStripes="0"/>
</table>
</file>

<file path=xl/tables/table5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6" xr:uid="{32061E56-7A2D-4A2D-AC22-307EFEB41461}" name="Table207342456798855912328385887" displayName="Table207342456798855912328385887" ref="AJ127:AL137" headerRowCount="0" totalsRowShown="0" headerRowDxfId="3300" dataDxfId="3299">
  <tableColumns count="3">
    <tableColumn id="1" xr3:uid="{6CB7B683-130B-4314-99C2-BF69F6068F57}" name="Column1" headerRowDxfId="3298" dataDxfId="3297"/>
    <tableColumn id="2" xr3:uid="{9865CAB2-0F37-408A-A53F-3CFF8B05F760}" name="Column2" headerRowDxfId="3296" dataDxfId="3295"/>
    <tableColumn id="3" xr3:uid="{906F7029-B34D-468C-9735-890B1DDD8FF4}" name="Column3" headerRowDxfId="3294" dataDxfId="3293"/>
  </tableColumns>
  <tableStyleInfo name="TableStyleMedium2" showFirstColumn="0" showLastColumn="0" showRowStripes="1" showColumnStripes="0"/>
</table>
</file>

<file path=xl/tables/table5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7" xr:uid="{95C18611-206A-4628-94F0-4DBAA7215F7D}" name="Table208343457799856913329386888" displayName="Table208343457799856913329386888" ref="AJ139:AL149" headerRowCount="0" totalsRowShown="0" headerRowDxfId="3292" dataDxfId="3291">
  <tableColumns count="3">
    <tableColumn id="1" xr3:uid="{97E92BA6-1A14-43EE-B9A0-4300EC80EBDE}" name="Column1" headerRowDxfId="3290" dataDxfId="3289"/>
    <tableColumn id="2" xr3:uid="{2172AFE9-B53B-4296-8FD7-5BF031AA4224}" name="Column2" headerRowDxfId="3288" dataDxfId="3287"/>
    <tableColumn id="3" xr3:uid="{5677AFC8-0336-460F-A95A-F7DF6A51C7FE}" name="Column3" headerRowDxfId="3286" dataDxfId="3285"/>
  </tableColumns>
  <tableStyleInfo name="TableStyleMedium2" showFirstColumn="0" showLastColumn="0" showRowStripes="1" showColumnStripes="0"/>
</table>
</file>

<file path=xl/tables/table5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8" xr:uid="{ED134C9C-14EC-49D2-B7F3-DA6ECA1D75B3}" name="Table219344458800857914330387889" displayName="Table219344458800857914330387889" ref="AJ151:AL161" headerRowCount="0" totalsRowShown="0" headerRowDxfId="3284" dataDxfId="3283">
  <tableColumns count="3">
    <tableColumn id="1" xr3:uid="{5ACD0304-4279-4EC6-A53F-2957342F2A4D}" name="Column1" headerRowDxfId="3282" dataDxfId="3281"/>
    <tableColumn id="2" xr3:uid="{AA251BBA-97DA-4BAF-BE18-5B171ECDA3EB}" name="Column2" headerRowDxfId="3280" dataDxfId="3279"/>
    <tableColumn id="5" xr3:uid="{971531C8-5C22-4066-9B74-0C8B1B6C2771}" name="Column3" headerRowDxfId="3278" dataDxfId="3277"/>
  </tableColumns>
  <tableStyleInfo name="TableStyleMedium2" showFirstColumn="0" showLastColumn="0" showRowStripes="1" showColumnStripes="0"/>
</table>
</file>

<file path=xl/tables/table5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9" xr:uid="{840E3B2D-DBC3-40CC-9E5A-F8495D0F6269}" name="Table220345459801858915331388890" displayName="Table220345459801858915331388890" ref="AJ163:AL173" headerRowCount="0" totalsRowShown="0" headerRowDxfId="3276" dataDxfId="3275">
  <tableColumns count="3">
    <tableColumn id="1" xr3:uid="{BDC73B68-E98B-4FCC-A89D-A97E0A7EC330}" name="Column1" headerRowDxfId="3274" dataDxfId="3273"/>
    <tableColumn id="2" xr3:uid="{D5D09A7C-BA4E-435F-A7FE-61F145261352}" name="Column2" headerRowDxfId="3272" dataDxfId="3271"/>
    <tableColumn id="3" xr3:uid="{EE4C0193-9683-453D-9F37-DAEF513E9701}" name="Column3" headerRowDxfId="3270" dataDxfId="3269"/>
  </tableColumns>
  <tableStyleInfo name="TableStyleMedium2" showFirstColumn="0" showLastColumn="0" showRowStripes="1" showColumnStripes="0"/>
</table>
</file>

<file path=xl/tables/table5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0" xr:uid="{5649AE5D-8C47-4BA7-9830-9B71B3E5D3CE}" name="Table222346460802859916332389891" displayName="Table222346460802859916332389891" ref="AJ175:AL185" headerRowCount="0" totalsRowShown="0" headerRowDxfId="3268" dataDxfId="3267">
  <tableColumns count="3">
    <tableColumn id="1" xr3:uid="{D4C7449D-C395-4BB5-91B1-D7E2EADA6F82}" name="Column1" headerRowDxfId="3266" dataDxfId="3265"/>
    <tableColumn id="2" xr3:uid="{D22DCAE5-F037-4F0B-9DC0-E5F2AE8C641B}" name="Column2" headerRowDxfId="3264" dataDxfId="3263"/>
    <tableColumn id="3" xr3:uid="{48C789A7-2D7F-4679-A20D-E640D8E9DDE8}" name="Column3" headerRowDxfId="3262" dataDxfId="3261"/>
  </tableColumns>
  <tableStyleInfo name="TableStyleMedium2" showFirstColumn="0" showLastColumn="0" showRowStripes="1" showColumnStripes="0"/>
</table>
</file>

<file path=xl/tables/table5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1" xr:uid="{39A8544F-6955-45EB-B364-9309D638CBD4}" name="Table250347461803860917333390892" displayName="Table250347461803860917333390892" ref="AJ187:AL197" headerRowCount="0" totalsRowShown="0" headerRowDxfId="3260" dataDxfId="3259">
  <tableColumns count="3">
    <tableColumn id="1" xr3:uid="{99BAF7D2-76F6-4961-AA56-AA6A22ABBB90}" name="Column1" headerRowDxfId="3258" dataDxfId="3257"/>
    <tableColumn id="2" xr3:uid="{5C9BFDC4-889E-4583-AD46-5931469B75C3}" name="Column2" headerRowDxfId="3256" dataDxfId="3255"/>
    <tableColumn id="3" xr3:uid="{BA2CE289-0326-4157-8F54-2541FFE558EA}" name="Column3" headerRowDxfId="3254" dataDxfId="3253"/>
  </tableColumns>
  <tableStyleInfo name="TableStyleMedium2" showFirstColumn="0" showLastColumn="0" showRowStripes="1" showColumnStripes="0"/>
</table>
</file>

<file path=xl/tables/table5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2" xr:uid="{9B3EB00C-CEDF-4664-BC4B-1A24EC9FAEE2}" name="Table39348462804861918334391893" displayName="Table39348462804861918334391893" ref="CB1:CD7" headerRowCount="0" totalsRowShown="0" headerRowDxfId="3252" dataDxfId="3251">
  <tableColumns count="3">
    <tableColumn id="1" xr3:uid="{B1EE1D86-B755-4D67-AACC-78C664CC3EB1}" name="Column1" dataDxfId="3250"/>
    <tableColumn id="2" xr3:uid="{5C4495F1-EC23-4C7B-8100-D3C446E21BF3}" name="Column2" dataDxfId="3249"/>
    <tableColumn id="3" xr3:uid="{0B09EF7E-077D-4D0C-AB15-6E4A64BFA6DE}" name="Column3" headerRowDxfId="3248" dataDxfId="3247"/>
  </tableColumns>
  <tableStyleInfo name="TableStyleMedium2" showFirstColumn="0" showLastColumn="0" showRowStripes="1" showColumnStripes="0"/>
</table>
</file>

<file path=xl/tables/table5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3" xr:uid="{932F2133-468F-4BB5-AA32-728A3592B6AD}" name="Table50349463805862919335392894" displayName="Table50349463805862919335392894" ref="CB29:CD34" headerRowCount="0" totalsRowShown="0" headerRowDxfId="3246" dataDxfId="3245">
  <tableColumns count="3">
    <tableColumn id="1" xr3:uid="{800B5B32-240F-46A9-81A2-94B3F058A077}" name="Column1" headerRowDxfId="3244" dataDxfId="3243"/>
    <tableColumn id="2" xr3:uid="{EE0E74CA-9975-47ED-9604-D842002DAD7A}" name="Column2" headerRowDxfId="3242" dataDxfId="3241">
      <calculatedColumnFormula>RAND()</calculatedColumnFormula>
    </tableColumn>
    <tableColumn id="3" xr3:uid="{7B1058F0-4AB7-4C9F-8EB4-6EB7F59B9F73}" name="Column3" headerRowDxfId="3240" dataDxfId="3239"/>
  </tableColumns>
  <tableStyleInfo name="TableStyleMedium2" showFirstColumn="0" showLastColumn="0" showRowStripes="1" showColumnStripes="0"/>
</table>
</file>

<file path=xl/tables/table5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4" xr:uid="{37F346A4-29CB-40EA-9E3D-939221493F99}" name="Table51350464806863920336393895" displayName="Table51350464806863920336393895" ref="CB36:CD44" headerRowCount="0" totalsRowShown="0" headerRowDxfId="3238" dataDxfId="3237">
  <tableColumns count="3">
    <tableColumn id="1" xr3:uid="{F7DB3A79-2134-4845-A29E-3B96914144DF}" name="Column1" headerRowDxfId="3236" dataDxfId="3235"/>
    <tableColumn id="2" xr3:uid="{7F5AA45F-6440-469B-9D17-7A1774748B8E}" name="Column2" headerRowDxfId="3234" dataDxfId="3233"/>
    <tableColumn id="3" xr3:uid="{9A382A94-5334-468E-B08C-FD9E54529AF1}" name="Column3" headerRowDxfId="3232" dataDxfId="3231"/>
  </tableColumns>
  <tableStyleInfo name="TableStyleMedium2" showFirstColumn="0" showLastColumn="0" showRowStripes="1" showColumnStripes="0"/>
</table>
</file>

<file path=xl/tables/table5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5" xr:uid="{1E82A9CD-6DB3-4E54-BB39-52A0D269439B}" name="Table52351465807864921337394896" displayName="Table52351465807864921337394896" ref="CB46:CD54" headerRowCount="0" totalsRowShown="0" headerRowDxfId="3230" dataDxfId="3229">
  <tableColumns count="3">
    <tableColumn id="1" xr3:uid="{727E66AE-569B-4F40-A236-008232B60E5C}" name="Column1" headerRowDxfId="3228" dataDxfId="3227"/>
    <tableColumn id="2" xr3:uid="{01686B3E-3074-48CC-B60E-A8DF34D768BF}" name="Column2" headerRowDxfId="3226" dataDxfId="3225"/>
    <tableColumn id="3" xr3:uid="{B9C3DF6E-0911-425E-AFEB-EAD37DC20D56}" name="Column3" headerRowDxfId="3224" dataDxfId="3223"/>
  </tableColumns>
  <tableStyleInfo name="TableStyleMedium2" showFirstColumn="0" showLastColumn="0" showRowStripes="1" showColumnStripes="0"/>
</table>
</file>

<file path=xl/tables/table5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6" xr:uid="{CBA99100-9778-4C47-BB47-A361DF1CBBCE}" name="Table53352466808865922338395897" displayName="Table53352466808865922338395897" ref="CB56:CD62" headerRowCount="0" totalsRowShown="0" headerRowDxfId="3222" dataDxfId="3221">
  <tableColumns count="3">
    <tableColumn id="1" xr3:uid="{FE3980B9-744D-4BE1-84AA-4E486AD18A7E}" name="Column1" headerRowDxfId="3220" dataDxfId="3219"/>
    <tableColumn id="2" xr3:uid="{D7BCB08F-7630-45D1-A6A6-514CE0761CA1}" name="Column2" headerRowDxfId="3218" dataDxfId="3217"/>
    <tableColumn id="3" xr3:uid="{48ABD57F-AAA8-4B7A-A1BE-22928A1B1C5B}" name="Column3" headerRowDxfId="3216" dataDxfId="3215"/>
  </tableColumns>
  <tableStyleInfo name="TableStyleMedium2" showFirstColumn="0" showLastColumn="0" showRowStripes="1" showColumnStripes="0"/>
</table>
</file>

<file path=xl/tables/table5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7" xr:uid="{FAC6E3ED-A615-4F00-BCC8-D1F80AF3EC9A}" name="Table54353467809866923339396898" displayName="Table54353467809866923339396898" ref="CB64:CD70" headerRowCount="0" totalsRowShown="0" headerRowDxfId="3214" dataDxfId="3213">
  <tableColumns count="3">
    <tableColumn id="1" xr3:uid="{765ACCE6-B151-4CE8-A2FE-505E75A1DE05}" name="Column1" headerRowDxfId="3212" dataDxfId="3211"/>
    <tableColumn id="2" xr3:uid="{2BCF88DD-3F6A-453C-800A-B76546EAF943}" name="Column2" headerRowDxfId="3210" dataDxfId="3209"/>
    <tableColumn id="3" xr3:uid="{49417C7F-10CF-481B-BE91-2A389BEBDC69}" name="Column3" headerRowDxfId="3208" dataDxfId="3207"/>
  </tableColumns>
  <tableStyleInfo name="TableStyleMedium2" showFirstColumn="0" showLastColumn="0" showRowStripes="1" showColumnStripes="0"/>
</table>
</file>

<file path=xl/tables/table5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8" xr:uid="{1B2A201B-3024-4830-97D3-5A174D24065C}" name="Table55354468810867924340397899" displayName="Table55354468810867924340397899" ref="CB72:CD81" headerRowCount="0" totalsRowShown="0" headerRowDxfId="3206" dataDxfId="3205">
  <tableColumns count="3">
    <tableColumn id="1" xr3:uid="{7000C048-1644-47AE-9635-30D06DE068E5}" name="Column1" headerRowDxfId="3204" dataDxfId="3203"/>
    <tableColumn id="2" xr3:uid="{470A2697-3FD9-4C0F-AE9C-B86668020DC9}" name="Column2" headerRowDxfId="3202" dataDxfId="3201"/>
    <tableColumn id="3" xr3:uid="{5FB12A1F-BB24-4F01-9F1F-8BF024516C04}" name="Column3" headerRowDxfId="3200" dataDxfId="3199"/>
  </tableColumns>
  <tableStyleInfo name="TableStyleMedium2" showFirstColumn="0" showLastColumn="0" showRowStripes="1" showColumnStripes="0"/>
</table>
</file>

<file path=xl/tables/table5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9" xr:uid="{DA5E511C-DC25-4F4B-88DB-D496780C7733}" name="Table56355469811868925341398900" displayName="Table56355469811868925341398900" ref="CB83:CD94" headerRowCount="0" totalsRowShown="0" headerRowDxfId="3198" dataDxfId="3197">
  <tableColumns count="3">
    <tableColumn id="1" xr3:uid="{C255EED7-6180-4E4A-AC8E-51FDC5376098}" name="Column1" headerRowDxfId="3196" dataDxfId="3195"/>
    <tableColumn id="2" xr3:uid="{BC7C3A0B-C658-41DA-8DF0-3DE5D2771E74}" name="Column2" headerRowDxfId="3194" dataDxfId="3193"/>
    <tableColumn id="3" xr3:uid="{B1A6537C-0098-49A6-82D7-A4E54FD62D6E}" name="Column3" headerRowDxfId="3192" dataDxfId="3191"/>
  </tableColumns>
  <tableStyleInfo name="TableStyleMedium2" showFirstColumn="0" showLastColumn="0" showRowStripes="1" showColumnStripes="0"/>
</table>
</file>

<file path=xl/tables/table5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0" xr:uid="{0E6DD191-14FA-4A53-B671-343024845F49}" name="Table57356470812869926342399901" displayName="Table57356470812869926342399901" ref="CB96:CD102" headerRowCount="0" totalsRowShown="0" headerRowDxfId="3190" dataDxfId="3189">
  <tableColumns count="3">
    <tableColumn id="1" xr3:uid="{9326D4BE-9579-4C44-895D-928F4919A185}" name="Column1" headerRowDxfId="3188" dataDxfId="3187"/>
    <tableColumn id="2" xr3:uid="{51DA2BD8-2DDC-4524-AEAF-4C5F0002DEB6}" name="Column2" headerRowDxfId="3186" dataDxfId="3185"/>
    <tableColumn id="3" xr3:uid="{0A211694-C27B-40C4-9079-46900658077A}" name="Column3" headerRowDxfId="3184" dataDxfId="3183"/>
  </tableColumns>
  <tableStyleInfo name="TableStyleMedium2" showFirstColumn="0" showLastColumn="0" showRowStripes="1" showColumnStripes="0"/>
</table>
</file>

<file path=xl/tables/table5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1" xr:uid="{842C864E-0D89-47AD-82D0-3E94CEAAFA23}" name="Table58357471813870927343400902" displayName="Table58357471813870927343400902" ref="CB104:CD111" headerRowCount="0" totalsRowShown="0" headerRowDxfId="3182" dataDxfId="3181">
  <tableColumns count="3">
    <tableColumn id="1" xr3:uid="{497887F8-C8D9-411C-BB11-77306E5FB6BC}" name="Column1" headerRowDxfId="3180" dataDxfId="3179"/>
    <tableColumn id="2" xr3:uid="{4F968F01-7BC1-4DEC-8F8A-748F27D06DD2}" name="Column2" headerRowDxfId="3178" dataDxfId="3177"/>
    <tableColumn id="3" xr3:uid="{7CB79C58-CE86-4B7C-939A-0417AA84DFBF}" name="Column3" headerRowDxfId="3176" dataDxfId="3175"/>
  </tableColumns>
  <tableStyleInfo name="TableStyleMedium2" showFirstColumn="0" showLastColumn="0" showRowStripes="1" showColumnStripes="0"/>
</table>
</file>

<file path=xl/tables/table5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2" xr:uid="{73571367-E257-465D-B4F2-99466A7FD0E0}" name="Table59358472814871928344401903" displayName="Table59358472814871928344401903" ref="CB113:CD119" headerRowCount="0" totalsRowShown="0" headerRowDxfId="3174" dataDxfId="3173">
  <tableColumns count="3">
    <tableColumn id="1" xr3:uid="{5182672C-5EB9-4546-A408-8AF874447BCE}" name="Column1" headerRowDxfId="3172" dataDxfId="3171"/>
    <tableColumn id="2" xr3:uid="{7C7CAECB-8895-4C58-8EC0-595BF15CDB52}" name="Column2" headerRowDxfId="3170" dataDxfId="3169"/>
    <tableColumn id="3" xr3:uid="{36B035BD-AF91-4944-A7A5-1246BC410C67}" name="Column3" headerRowDxfId="3168" dataDxfId="3167"/>
  </tableColumns>
  <tableStyleInfo name="TableStyleMedium2" showFirstColumn="0" showLastColumn="0" showRowStripes="1" showColumnStripes="0"/>
</table>
</file>

<file path=xl/tables/table5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3" xr:uid="{34F94896-0733-4C2C-8A37-AD695CB97824}" name="Table81359473815872929345402904" displayName="Table81359473815872929345402904" ref="CB9:CD27" headerRowCount="0" totalsRowShown="0" headerRowDxfId="3166" dataDxfId="3165">
  <tableColumns count="3">
    <tableColumn id="1" xr3:uid="{9D98BB0C-B0A2-4D54-950F-91DAFF98D681}" name="Column1" headerRowDxfId="3164" dataDxfId="3163"/>
    <tableColumn id="2" xr3:uid="{CA23CC09-2504-44C0-BB33-054AE97829B7}" name="Column2" headerRowDxfId="3162" dataDxfId="3161"/>
    <tableColumn id="3" xr3:uid="{48119E60-61E1-41D7-80B9-38D96922BBCB}" name="Column3" headerRowDxfId="3160" dataDxfId="3159">
      <calculatedColumnFormula>RAND()</calculatedColumnFormula>
    </tableColumn>
  </tableColumns>
  <tableStyleInfo name="TableStyleMedium2" showFirstColumn="0" showLastColumn="0" showRowStripes="1" showColumnStripes="0"/>
</table>
</file>

<file path=xl/tables/table5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4" xr:uid="{B050B059-F6B0-47AD-9D96-11D8433D5436}" name="Table264360474816873930346403905" displayName="Table264360474816873930346403905" ref="B14:B19" headerRowCount="0" totalsRowShown="0" headerRowDxfId="3158" dataDxfId="3157" tableBorderDxfId="3156">
  <tableColumns count="1">
    <tableColumn id="1" xr3:uid="{57D623AA-A264-4AAD-B26F-9BF47F2F95B4}" name="Column1" headerRowDxfId="3155" dataDxfId="3154"/>
  </tableColumns>
  <tableStyleInfo name="TableStyleMedium2" showFirstColumn="0" showLastColumn="0" showRowStripes="1" showColumnStripes="0"/>
</table>
</file>

<file path=xl/tables/table5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5" xr:uid="{883C8A34-41A6-47A8-A965-173BAC3FB2DD}" name="Table265361475817874931347404906" displayName="Table265361475817874931347404906" ref="S17:S26" headerRowCount="0" totalsRowShown="0" headerRowDxfId="3153" dataDxfId="3152" tableBorderDxfId="3151">
  <tableColumns count="1">
    <tableColumn id="1" xr3:uid="{2BC36879-61CA-45F4-A0F5-B047D619A06D}" name="Column1" headerRowDxfId="3150" dataDxfId="3149"/>
  </tableColumns>
  <tableStyleInfo name="TableStyleMedium2" showFirstColumn="0" showLastColumn="0" showRowStripes="1" showColumnStripes="0"/>
</table>
</file>

<file path=xl/tables/table5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6" xr:uid="{1639195B-5B45-4EED-9255-4B901585D643}" name="Table266362476818875932348405907" displayName="Table266362476818875932348405907" ref="O75:O85" headerRowCount="0" totalsRowShown="0" headerRowDxfId="3148" dataDxfId="3147" tableBorderDxfId="3146">
  <tableColumns count="1">
    <tableColumn id="1" xr3:uid="{7082838D-09BC-43A4-9650-A1431578E3D6}" name="Column1" headerRowDxfId="3145" dataDxfId="3144"/>
  </tableColumns>
  <tableStyleInfo name="TableStyleMedium2" showFirstColumn="0" showLastColumn="0" showRowStripes="1" showColumnStripes="0"/>
</table>
</file>

<file path=xl/tables/table5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7" xr:uid="{99E3D3F1-1F66-4471-A9FB-DBF65AE368A5}" name="Table268363477819876933349406908" displayName="Table268363477819876933349406908" ref="O14:O35" headerRowCount="0" totalsRowShown="0" headerRowDxfId="3143" dataDxfId="3142" tableBorderDxfId="3141">
  <tableColumns count="1">
    <tableColumn id="1" xr3:uid="{BDFDEF9D-33BA-42A1-91FB-5B78A7EB0F5A}" name="Column1" headerRowDxfId="3140" dataDxfId="3139"/>
  </tableColumns>
  <tableStyleInfo name="TableStyleMedium2" showFirstColumn="0" showLastColumn="0" showRowStripes="1" showColumnStripes="0"/>
</table>
</file>

<file path=xl/tables/table5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8" xr:uid="{9CBAE015-CE92-41E8-A9F8-4A450BCBF520}" name="Table271364478820877934350407909" displayName="Table271364478820877934350407909" ref="Q14:Q30" headerRowCount="0" totalsRowShown="0" headerRowDxfId="3138" dataDxfId="3137" tableBorderDxfId="3136">
  <tableColumns count="1">
    <tableColumn id="1" xr3:uid="{FDB92C37-67E9-48E1-8E99-9C779E91B4D3}" name="Column1" headerRowDxfId="3135" dataDxfId="3134"/>
  </tableColumns>
  <tableStyleInfo name="TableStyleMedium2" showFirstColumn="0" showLastColumn="0" showRowStripes="1" showColumnStripes="0"/>
</table>
</file>

<file path=xl/tables/table5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9" xr:uid="{45774CA6-3E05-4C7B-B7CE-061F85460210}" name="Table272365479821878935351408910" displayName="Table272365479821878935351408910" ref="S10:S12" headerRowCount="0" totalsRowShown="0" headerRowDxfId="3133" dataDxfId="3132" tableBorderDxfId="3131">
  <tableColumns count="1">
    <tableColumn id="1" xr3:uid="{81906C11-D214-4FAE-AB05-2BE40FEAD370}" name="Column1" headerRowDxfId="3130" dataDxfId="3129"/>
  </tableColumns>
  <tableStyleInfo name="TableStyleMedium2" showFirstColumn="0" showLastColumn="0" showRowStripes="1" showColumnStripes="0"/>
</table>
</file>

<file path=xl/tables/table5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0" xr:uid="{86B4CAD6-BBBE-4DFC-8745-30B2FF148D3F}" name="Table273366480822879936352409911" displayName="Table273366480822879936352409911" ref="S14:S16" headerRowCount="0" totalsRowShown="0" headerRowDxfId="3128" dataDxfId="3127" tableBorderDxfId="3126">
  <tableColumns count="1">
    <tableColumn id="1" xr3:uid="{136CFE61-4726-4532-861A-EED19FA1C4DA}" name="Column1" headerRowDxfId="3125" dataDxfId="3124"/>
  </tableColumns>
  <tableStyleInfo name="TableStyleMedium2" showFirstColumn="0" showLastColumn="0" showRowStripes="1" showColumnStripes="0"/>
</table>
</file>

<file path=xl/tables/table5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1" xr:uid="{D3BB0D8F-B367-4B6F-9CA8-C4D0EB0DA8EE}" name="Table274367481823880937353410912" displayName="Table274367481823880937353410912" ref="P14:P28" headerRowCount="0" totalsRowShown="0" headerRowDxfId="3123" dataDxfId="3122" tableBorderDxfId="3121">
  <tableColumns count="1">
    <tableColumn id="1" xr3:uid="{8DDEB335-6EA9-4B02-9C08-F47FB838BB44}" name="Column1" headerRowDxfId="3120" dataDxfId="3119"/>
  </tableColumns>
  <tableStyleInfo name="TableStyleMedium2" showFirstColumn="0" showLastColumn="0" showRowStripes="1" showColumnStripes="0"/>
</table>
</file>

<file path=xl/tables/table5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2" xr:uid="{6924AB5F-8CDB-4C81-805B-93CDD3522B4A}" name="Table275368482824881938354411913" displayName="Table275368482824881938354411913" ref="R14:R26" headerRowCount="0" totalsRowShown="0" headerRowDxfId="3118" dataDxfId="3117" tableBorderDxfId="3116">
  <tableColumns count="1">
    <tableColumn id="1" xr3:uid="{6422E72D-1528-4E77-AC21-DA28F04F936F}" name="Column1" headerRowDxfId="3115" dataDxfId="3114"/>
  </tableColumns>
  <tableStyleInfo name="TableStyleMedium2" showFirstColumn="0" showLastColumn="0" showRowStripes="1" showColumnStripes="0"/>
</table>
</file>

<file path=xl/tables/table5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3" xr:uid="{C88407F3-FF6A-4C6D-9ACB-83A3EBC18CB7}" name="Table276369483825882939355412914" displayName="Table276369483825882939355412914" ref="B37:P43" headerRowCount="0" totalsRowShown="0" headerRowDxfId="3113" dataDxfId="3112">
  <tableColumns count="15">
    <tableColumn id="2" xr3:uid="{7B41E0AC-4A0E-45C9-8CEF-27639AAD2C59}" name="Column2" headerRowDxfId="3111" dataDxfId="3110"/>
    <tableColumn id="3" xr3:uid="{32ABDF35-BBDF-4F3F-9A92-DB91804AE4BB}" name="Column3" headerRowDxfId="3109" dataDxfId="3108"/>
    <tableColumn id="4" xr3:uid="{706FA8A9-47C3-4D56-8F53-D485B4840948}" name="Column4" headerRowDxfId="3107" dataDxfId="3106"/>
    <tableColumn id="5" xr3:uid="{43667953-839A-469E-89B8-4D50CED4C278}" name="Column5" headerRowDxfId="3105" dataDxfId="3104"/>
    <tableColumn id="6" xr3:uid="{A0D116AD-48BE-4E63-9E8A-DC9ED0E1F6B6}" name="Column6" headerRowDxfId="3103" dataDxfId="3102"/>
    <tableColumn id="7" xr3:uid="{AD318CEE-1D27-4840-A47C-D8EF8F588937}" name="Column7" headerRowDxfId="3101" dataDxfId="3100"/>
    <tableColumn id="8" xr3:uid="{C6FC19FA-3DCE-4B78-B44A-6D30A607E809}" name="Column8" headerRowDxfId="3099" dataDxfId="3098"/>
    <tableColumn id="9" xr3:uid="{AE95837F-CB15-44CF-9AC5-F3860FEF3997}" name="Column9" headerRowDxfId="3097" dataDxfId="3096"/>
    <tableColumn id="10" xr3:uid="{244BF46B-37FD-444A-BFEE-8677FA0455A2}" name="Column10" headerRowDxfId="3095" dataDxfId="3094">
      <calculatedColumnFormula>RANDBETWEEN(1,6)</calculatedColumnFormula>
    </tableColumn>
    <tableColumn id="11" xr3:uid="{69A29D4F-4793-41B9-B603-8BF22C3694FB}" name="Column11" headerRowDxfId="3093" dataDxfId="3092">
      <calculatedColumnFormula>RANDBETWEEN(1,6)</calculatedColumnFormula>
    </tableColumn>
    <tableColumn id="12" xr3:uid="{A5F329C7-2C47-4482-BFF0-830152216F32}" name="Column12" headerRowDxfId="3091" dataDxfId="3090">
      <calculatedColumnFormula>RANDBETWEEN(1,6)</calculatedColumnFormula>
    </tableColumn>
    <tableColumn id="13" xr3:uid="{0DC92C67-19CF-4D7D-8316-8B1299A98E4B}" name="Column13" headerRowDxfId="3089" dataDxfId="3088">
      <calculatedColumnFormula>RANDBETWEEN(1,6)</calculatedColumnFormula>
    </tableColumn>
    <tableColumn id="14" xr3:uid="{D0D413EE-0911-473A-96B1-5359026B5682}" name="Column14" headerRowDxfId="3087" dataDxfId="3086"/>
    <tableColumn id="15" xr3:uid="{1B9AC9C2-3607-49B3-9438-805AFB5361AD}" name="Column15" headerRowDxfId="3085" dataDxfId="3084"/>
    <tableColumn id="16" xr3:uid="{94FAA30B-96D6-4359-A743-2C9143E21E11}" name="Column16" headerRowDxfId="3083" dataDxfId="3082">
      <calculatedColumnFormula>VLOOKUP(O37,Table1[],2)</calculatedColumnFormula>
    </tableColumn>
  </tableColumns>
  <tableStyleInfo name="TableStyleMedium2" showFirstColumn="0" showLastColumn="0" showRowStripes="1" showColumnStripes="0"/>
</table>
</file>

<file path=xl/tables/table5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4" xr:uid="{ACFD6BF7-5FE5-4397-A502-BC72EE6CA6B3}" name="Table277370484826883940356413915" displayName="Table277370484826883940356413915" ref="B45:P51" headerRowCount="0" totalsRowShown="0" headerRowDxfId="3081" dataDxfId="3080" tableBorderDxfId="3079">
  <tableColumns count="15">
    <tableColumn id="2" xr3:uid="{B01357B0-016A-487D-B9AE-88FA0DBBCFE2}" name="Column2" headerRowDxfId="3078" dataDxfId="3077"/>
    <tableColumn id="3" xr3:uid="{C7D3679E-24FB-4916-940D-62138AAF2203}" name="Column3" headerRowDxfId="3076" dataDxfId="3075"/>
    <tableColumn id="4" xr3:uid="{4005DACA-481B-413C-BE19-CA6063F03982}" name="Column4" headerRowDxfId="3074" dataDxfId="3073"/>
    <tableColumn id="5" xr3:uid="{C7704E61-5B90-4B5F-8DB1-D28E4FA63A81}" name="Column5" headerRowDxfId="3072" dataDxfId="3071"/>
    <tableColumn id="6" xr3:uid="{B823D5EA-5682-4595-8580-B625E0FA3A22}" name="Column6" headerRowDxfId="3070" dataDxfId="3069"/>
    <tableColumn id="7" xr3:uid="{3CD5ACF0-7CF5-40A6-96FF-B9E0F78E42FF}" name="Column7" headerRowDxfId="3068" dataDxfId="3067"/>
    <tableColumn id="8" xr3:uid="{452C5C3E-8F3F-4C0F-A472-B9CCFF1BC9F8}" name="Column8" headerRowDxfId="3066" dataDxfId="3065"/>
    <tableColumn id="9" xr3:uid="{1184AFED-50D3-4E00-BAA0-6A7B04ED253C}" name="Column9" headerRowDxfId="3064" dataDxfId="3063"/>
    <tableColumn id="10" xr3:uid="{DBC3CC1B-F93C-4637-8812-A7ADF017354D}" name="Column10" headerRowDxfId="3062" dataDxfId="3061"/>
    <tableColumn id="11" xr3:uid="{E5D7FC2E-BD9F-4066-B779-49D342B92B78}" name="Column11" headerRowDxfId="3060" dataDxfId="3059"/>
    <tableColumn id="12" xr3:uid="{10A46C65-94F4-49BB-A978-CBE60F1379BF}" name="Column12" headerRowDxfId="3058" dataDxfId="3057"/>
    <tableColumn id="13" xr3:uid="{F47B2DE1-07C3-463F-8795-BB738DC14AA5}" name="Column13" headerRowDxfId="3056" dataDxfId="3055"/>
    <tableColumn id="14" xr3:uid="{157CF3BB-CFC8-474C-BE6C-C055A81D4BA2}" name="Column14" headerRowDxfId="3054" dataDxfId="3053"/>
    <tableColumn id="15" xr3:uid="{8BFC3DCF-DBE2-486A-B6B5-A354D600688B}" name="Column15" headerRowDxfId="3052" dataDxfId="3051"/>
    <tableColumn id="16" xr3:uid="{A7C2F4BB-B2F2-412D-854E-A0AA82F2E109}" name="Column16" headerRowDxfId="3050" dataDxfId="3049">
      <calculatedColumnFormula>IF(O45="x",SUM(P37,$P$8),P37)</calculatedColumnFormula>
    </tableColumn>
  </tableColumns>
  <tableStyleInfo name="TableStyleMedium2" showFirstColumn="0" showLastColumn="0" showRowStripes="1" showColumnStripes="0"/>
</table>
</file>

<file path=xl/tables/table5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5" xr:uid="{9E83E006-C0D6-4C39-8BD8-102544D26AED}" name="Table278371485827884941357414916" displayName="Table278371485827884941357414916" ref="O1:Q3" headerRowCount="0" totalsRowShown="0" headerRowDxfId="3048" dataDxfId="3047">
  <tableColumns count="3">
    <tableColumn id="15" xr3:uid="{2FBC3396-B24F-4088-A3C7-2B341F4FC914}" name="Column15" headerRowDxfId="3046" dataDxfId="3045"/>
    <tableColumn id="16" xr3:uid="{C64C6004-D837-4F54-B0BB-4CD9D4F0F09D}" name="Column16" headerRowDxfId="3044" dataDxfId="3043"/>
    <tableColumn id="17" xr3:uid="{CD0E14FB-7177-4524-B897-40D5ABC65B40}" name="Column17" headerRowDxfId="3042" dataDxfId="3041"/>
  </tableColumns>
  <tableStyleInfo name="TableStyleMedium2" showFirstColumn="0" showLastColumn="0" showRowStripes="1" showColumnStripes="0"/>
</table>
</file>

<file path=xl/tables/table5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6" xr:uid="{985F93EE-357E-45BF-982E-3F4EBCBB4B7B}" name="Table282373487829886943359415917" displayName="Table282373487829886943359415917" ref="B53:P72" headerRowCount="0" totalsRowShown="0" headerRowDxfId="3040" dataDxfId="3039">
  <tableColumns count="15">
    <tableColumn id="2" xr3:uid="{5147B37F-DFE2-4EA0-A44C-6A5BEFB93A5F}" name="Column2" headerRowDxfId="3038" dataDxfId="3037"/>
    <tableColumn id="3" xr3:uid="{8E73B10E-C657-43E5-B0D6-EA352FB6148C}" name="Column3" headerRowDxfId="3036" dataDxfId="3035"/>
    <tableColumn id="4" xr3:uid="{A24B19AE-7EBB-44E5-B0C0-854E09A0521A}" name="Column4" headerRowDxfId="3034" dataDxfId="3033"/>
    <tableColumn id="5" xr3:uid="{9A43A747-D951-4D07-8E76-26E1A9317FA0}" name="Column5" headerRowDxfId="3032" dataDxfId="3031"/>
    <tableColumn id="6" xr3:uid="{986717A8-B1FD-40F7-842D-58562A5943FA}" name="Column6" headerRowDxfId="3030" dataDxfId="3029"/>
    <tableColumn id="7" xr3:uid="{0631B553-B507-4F94-A293-20F8354E4D48}" name="Column7" headerRowDxfId="3028" dataDxfId="3027"/>
    <tableColumn id="8" xr3:uid="{25B2D9CB-22C3-450D-A039-42CB3B8FAB80}" name="Column8" headerRowDxfId="3026" dataDxfId="3025"/>
    <tableColumn id="9" xr3:uid="{1BDAE88C-FF7F-4943-B688-34A65651B020}" name="Column9" headerRowDxfId="3024" dataDxfId="3023"/>
    <tableColumn id="10" xr3:uid="{8D0A9701-AC2C-44AF-A55A-8F950EBBB438}" name="Column10" headerRowDxfId="3022" dataDxfId="3021"/>
    <tableColumn id="11" xr3:uid="{A07B7B1A-BFFB-4F4E-8985-75CBE99F3D88}" name="Column11" headerRowDxfId="3020" dataDxfId="3019"/>
    <tableColumn id="12" xr3:uid="{87F9687B-B4BC-4FAF-8D0F-1E8A084D5D4F}" name="Column12" headerRowDxfId="3018" dataDxfId="3017"/>
    <tableColumn id="13" xr3:uid="{F59FF45D-872C-435D-9C33-B4EA05D57195}" name="Column13" headerRowDxfId="3016" dataDxfId="3015"/>
    <tableColumn id="14" xr3:uid="{A4F4A27D-B898-465D-8083-C1B53B109B1B}" name="Column14" headerRowDxfId="3014" dataDxfId="3013"/>
    <tableColumn id="15" xr3:uid="{BE2443F5-029E-40A7-9C6C-30A31A342876}" name="Column15" headerRowDxfId="3012" dataDxfId="3011"/>
    <tableColumn id="16" xr3:uid="{FADC457A-DB23-4BF6-B27C-0F20C861EFC3}" name="Column16" headerRowDxfId="3010" dataDxfId="3009"/>
  </tableColumns>
  <tableStyleInfo name="TableStyleMedium2" showFirstColumn="0" showLastColumn="0" showRowStripes="1" showColumnStripes="0"/>
</table>
</file>

<file path=xl/tables/table5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7" xr:uid="{0023354C-5C78-4A04-A99D-7830D6550391}" name="Table283374488830887944360416918" displayName="Table283374488830887944360416918" ref="B75:B79" headerRowCount="0" totalsRowShown="0" headerRowDxfId="3008" dataDxfId="3007" tableBorderDxfId="3006">
  <tableColumns count="1">
    <tableColumn id="1" xr3:uid="{89627221-D4A4-4CB2-99A4-9351A0BE1A3C}" name="Column1" headerRowDxfId="3005" dataDxfId="3004"/>
  </tableColumns>
  <tableStyleInfo name="TableStyleMedium2" showFirstColumn="0" showLastColumn="0" showRowStripes="1" showColumnStripes="0"/>
</table>
</file>

<file path=xl/tables/table5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8" xr:uid="{01946E8A-69F6-4DCB-94F9-81A34C2431AC}" name="Table293375489831888945361417919" displayName="Table293375489831888945361417919" ref="AO44:AQ59" headerRowCount="0" totalsRowShown="0" headerRowDxfId="3003" dataDxfId="3002">
  <tableColumns count="3">
    <tableColumn id="1" xr3:uid="{1AC0F249-0A91-40A1-93D1-0C08A26DF34F}" name="Column1" headerRowDxfId="3001" dataDxfId="3000"/>
    <tableColumn id="2" xr3:uid="{CA45F231-3A57-4C47-9568-F2024DA704E0}" name="Column2" headerRowDxfId="2999" dataDxfId="2998">
      <calculatedColumnFormula>IF(#REF!=" ", 0,RAND())</calculatedColumnFormula>
    </tableColumn>
    <tableColumn id="3" xr3:uid="{5A76B00C-768A-47EF-B417-7F11FE229A3B}" name="Column3" headerRowDxfId="2997" dataDxfId="2996">
      <calculatedColumnFormula>O28</calculatedColumnFormula>
    </tableColumn>
  </tableColumns>
  <tableStyleInfo name="TableStyleMedium2" showFirstColumn="0" showLastColumn="0" showRowStripes="1" showColumnStripes="0"/>
</table>
</file>

<file path=xl/tables/table5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1" xr:uid="{00C5CFEA-07F2-4868-B50D-4C76C4BA0116}" name="Table302378492834891948364420922" displayName="Table302378492834891948364420922" ref="B102:P109" headerRowCount="0" totalsRowShown="0" headerRowDxfId="2995" dataDxfId="2994" tableBorderDxfId="2993">
  <tableColumns count="15">
    <tableColumn id="2" xr3:uid="{846C0716-827B-46E8-842B-081BD5CEE588}" name="Column2" headerRowDxfId="2992" dataDxfId="2991"/>
    <tableColumn id="3" xr3:uid="{59471D6E-5B1E-4FB0-9CFF-3DCD21B84FB5}" name="Column3" headerRowDxfId="2990" dataDxfId="2989"/>
    <tableColumn id="4" xr3:uid="{59AD33E6-526F-46BB-B59F-7435B2970F8D}" name="Column4" headerRowDxfId="2988" dataDxfId="2987"/>
    <tableColumn id="5" xr3:uid="{D82318AD-141A-4B30-9144-3B52B5D6CCD5}" name="Column5" headerRowDxfId="2986" dataDxfId="2985"/>
    <tableColumn id="6" xr3:uid="{FCC4C255-EC10-4A90-ACF0-DAE75A5C3CC7}" name="Column6" headerRowDxfId="2984" dataDxfId="2983"/>
    <tableColumn id="7" xr3:uid="{43ED31C4-3A16-4372-8BC2-679F78E6B5D6}" name="Column7" headerRowDxfId="2982" dataDxfId="2981"/>
    <tableColumn id="8" xr3:uid="{558C3315-4579-4330-814D-ACA1F785E582}" name="Column8" headerRowDxfId="2980" dataDxfId="2979"/>
    <tableColumn id="9" xr3:uid="{8A7F1ECF-FD2F-4511-BEA6-313E3ABEBAF5}" name="Column9" headerRowDxfId="2978" dataDxfId="2977"/>
    <tableColumn id="10" xr3:uid="{29325427-F8D8-4D14-B479-00F83369B046}" name="Column10" headerRowDxfId="2976" dataDxfId="2975"/>
    <tableColumn id="11" xr3:uid="{3F243E36-D827-4576-90B8-464A75E00460}" name="Column11" headerRowDxfId="2974" dataDxfId="2973"/>
    <tableColumn id="12" xr3:uid="{0F643B7E-58DF-484D-BEE4-7DFF88660FAA}" name="Column12" headerRowDxfId="2972" dataDxfId="2971"/>
    <tableColumn id="13" xr3:uid="{1C00A537-8B9A-4EDB-9BEF-995DE71CA61D}" name="Column13" headerRowDxfId="2970" dataDxfId="2969"/>
    <tableColumn id="14" xr3:uid="{F7C7C6FD-B18E-4F44-8351-38BD808AE021}" name="Column14" headerRowDxfId="2968" dataDxfId="2967"/>
    <tableColumn id="15" xr3:uid="{2AD1C3AE-5FF5-41CE-BA21-494322F010DE}" name="Column15" headerRowDxfId="2966" dataDxfId="2965"/>
    <tableColumn id="16" xr3:uid="{F1CE53E4-C12B-46A4-AE7E-E07BFAC5929F}" name="Column16" headerRowDxfId="2964" dataDxfId="2963"/>
  </tableColumns>
  <tableStyleInfo name="TableStyleMedium2" showFirstColumn="0" showLastColumn="0" showRowStripes="1" showColumnStripes="0"/>
</table>
</file>

<file path=xl/tables/table5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2" xr:uid="{2E86F955-A86D-4684-B822-5F96C96FF68B}" name="Table303379493835892949365421923" displayName="Table303379493835892949365421923" ref="Q102:Q107" headerRowCount="0" totalsRowShown="0" headerRowDxfId="2962" dataDxfId="2961" tableBorderDxfId="2960">
  <tableColumns count="1">
    <tableColumn id="1" xr3:uid="{E9C9CBAC-5962-42BD-8A02-54FD344F262C}" name="Column1" headerRowDxfId="2959" dataDxfId="2958"/>
  </tableColumns>
  <tableStyleInfo name="TableStyleMedium2" showFirstColumn="0" showLastColumn="0" showRowStripes="1" showColumnStripes="0"/>
</table>
</file>

<file path=xl/tables/table5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3" xr:uid="{48783497-245F-4453-8A38-2715CE3A767D}" name="Table304380494836893950366422924" displayName="Table304380494836893950366422924" ref="R102:R103" headerRowCount="0" totalsRowShown="0" headerRowDxfId="2957" dataDxfId="2956" tableBorderDxfId="2955">
  <tableColumns count="1">
    <tableColumn id="1" xr3:uid="{F43EC8C4-B806-4038-B8F3-4902F09E3131}" name="Column1" headerRowDxfId="2954" dataDxfId="2953"/>
  </tableColumns>
  <tableStyleInfo name="TableStyleMedium2" showFirstColumn="0" showLastColumn="0" showRowStripes="1" showColumnStripes="0"/>
</table>
</file>

<file path=xl/tables/table5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4" xr:uid="{7FE38B19-6742-4DAC-AB76-C80472FAF973}" name="Table305381495837894951367423925" displayName="Table305381495837894951367423925" ref="R104:R105" headerRowCount="0" totalsRowShown="0" headerRowDxfId="2952" dataDxfId="2951" tableBorderDxfId="2950">
  <tableColumns count="1">
    <tableColumn id="1" xr3:uid="{D689EA5A-AD0C-4890-BFBB-514F2DA3268F}" name="Column1" headerRowDxfId="2949" dataDxfId="2948">
      <calculatedColumnFormula>IF(COUNTIF(B91:B93,"*"&amp;"sling"&amp;"*"),RANDBETWEEN(6,13)&amp;" Sling Bullets"," ")</calculatedColumnFormula>
    </tableColumn>
  </tableColumns>
  <tableStyleInfo name="TableStyleMedium2" showFirstColumn="0" showLastColumn="0" showRowStripes="1" showColumnStripes="0"/>
</table>
</file>

<file path=xl/tables/table5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5" xr:uid="{AA0E3D56-88DC-47AF-A961-889C77C5BE1C}" name="Table306382496838895952368424926" displayName="Table306382496838895952368424926" ref="R106:R107" headerRowCount="0" totalsRowShown="0" headerRowDxfId="2947" dataDxfId="2946" tableBorderDxfId="2945">
  <tableColumns count="1">
    <tableColumn id="1" xr3:uid="{21EC063F-841C-438A-AE24-72DC4DCDBF1C}" name="Column1" headerRowDxfId="2944" dataDxfId="2943">
      <calculatedColumnFormula>IF(COUNTIF(B91:B93,"*"&amp;"longbow"&amp;"*"),RANDBETWEEN(10,24)&amp;" Arrows",IF(COUNTIF(B91:B93,"*"&amp;"shortbow"&amp;"*"),RANDBETWEEN(10,24)&amp;" Arrows",IF(COUNTIF(B91:B93,"*"&amp;"light crossbow"&amp;"*"),RANDBETWEEN(10,24)&amp;" Bolts",IF(COUNTIF(B91:B93,"*"&amp;"hand crossbow"&amp;"*"),RANDBETWEEN(10,24)&amp;" Bolts",IF(COUNTIF(B91:B93,"*"&amp;"heavy crossbow"&amp;"*"),RANDBETWEEN(10,24)&amp;" Bolts"," ")))))</calculatedColumnFormula>
    </tableColumn>
  </tableColumns>
  <tableStyleInfo name="TableStyleMedium2" showFirstColumn="0" showLastColumn="0" showRowStripes="1" showColumnStripes="0"/>
</table>
</file>

<file path=xl/tables/table5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6" xr:uid="{563218A8-3511-4F41-B9AD-57F71AC2A4BF}" name="Table300376490832889946362418294927" displayName="Table300376490832889946362418294927" ref="B88:T90" headerRowCount="0" totalsRowShown="0" headerRowDxfId="2942" dataDxfId="2941" tableBorderDxfId="2940">
  <tableColumns count="19">
    <tableColumn id="2" xr3:uid="{11CBF8B0-AAE0-4174-B1F0-7548B1D3D90F}" name="Column2" headerRowDxfId="2939" dataDxfId="2938"/>
    <tableColumn id="3" xr3:uid="{8C6B1800-BC09-4299-8AC0-1E8227637895}" name="Column3" headerRowDxfId="2937" dataDxfId="2936"/>
    <tableColumn id="4" xr3:uid="{DCFC9D59-4E7D-4A16-AA9F-47BF076514D6}" name="Column4" headerRowDxfId="2935" dataDxfId="2934"/>
    <tableColumn id="5" xr3:uid="{ABAAC554-5DE7-436F-9701-10DA1D54D253}" name="Column5" headerRowDxfId="2933" dataDxfId="2932"/>
    <tableColumn id="6" xr3:uid="{CA9F1C92-2A21-4D32-930C-7DE0F8A18A11}" name="Column6" headerRowDxfId="2931" dataDxfId="2930"/>
    <tableColumn id="7" xr3:uid="{2AC865BB-8E2A-4318-9B48-0B36B114F170}" name="Column7" headerRowDxfId="2929" dataDxfId="2928"/>
    <tableColumn id="8" xr3:uid="{3A979BF8-C415-49DB-916D-72B5700390B8}" name="Column8" headerRowDxfId="2927" dataDxfId="2926"/>
    <tableColumn id="9" xr3:uid="{9B0097F4-BD8D-4232-B605-CB0C3DFB223C}" name="Column9" headerRowDxfId="2925" dataDxfId="2924"/>
    <tableColumn id="10" xr3:uid="{A2E8114C-CF5D-4A7B-8AE8-0797E0D0BC5D}" name="Column10" headerRowDxfId="2923" dataDxfId="2922"/>
    <tableColumn id="11" xr3:uid="{146FFB18-3F15-4C58-95EF-C4FC6F7B1B24}" name="Column11" headerRowDxfId="2921" dataDxfId="2920"/>
    <tableColumn id="12" xr3:uid="{99BC9B81-71C1-4A38-AF91-A503D82F34E1}" name="Column12" headerRowDxfId="2919" dataDxfId="2918"/>
    <tableColumn id="13" xr3:uid="{093FA516-06E0-4513-A878-8632C8C01503}" name="Column13" headerRowDxfId="2917" dataDxfId="2916"/>
    <tableColumn id="14" xr3:uid="{5BCE321E-607C-4771-A1F1-691984DD92F8}" name="Column14" headerRowDxfId="2915" dataDxfId="2914"/>
    <tableColumn id="15" xr3:uid="{6519B21E-C6A9-4FA3-AF97-D23F07FFC8BE}" name="Column15" headerRowDxfId="2913" dataDxfId="2912"/>
    <tableColumn id="16" xr3:uid="{9AC7479D-BF95-4789-B2F2-D6AAB3D5416D}" name="Column16" headerRowDxfId="2911" dataDxfId="2910"/>
    <tableColumn id="17" xr3:uid="{2C92F88E-DD65-4594-8BAB-84BDF8EAC190}" name="Column17" headerRowDxfId="2909" dataDxfId="2908"/>
    <tableColumn id="18" xr3:uid="{98D435AA-5291-4B19-B068-D54470E7857E}" name="Column18" headerRowDxfId="2907" dataDxfId="2906"/>
    <tableColumn id="19" xr3:uid="{352EE5D1-A21E-44C1-9181-90816ACE7634}" name="Column19" headerRowDxfId="2905" dataDxfId="2904"/>
    <tableColumn id="20" xr3:uid="{5234AE38-5DA2-4549-BDB6-7152A71DBB95}" name="Column20" headerRowDxfId="2903" dataDxfId="2902"/>
  </tableColumns>
  <tableStyleInfo name="TableStyleMedium2" showFirstColumn="0" showLastColumn="0" showRowStripes="1" showColumnStripes="0"/>
</table>
</file>

<file path=xl/tables/table5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7" xr:uid="{08603D8E-C3B9-4E7A-B413-5141044D62AC}" name="Table301377491833890947363419301928" displayName="Table301377491833890947363419301928" ref="B91:S100" headerRowCount="0" totalsRowShown="0" headerRowDxfId="2901" dataDxfId="2900" tableBorderDxfId="2899">
  <tableColumns count="18">
    <tableColumn id="2" xr3:uid="{041221A3-E3D9-4669-901B-EE9797E213BE}" name="Column2" headerRowDxfId="2898" dataDxfId="2897"/>
    <tableColumn id="3" xr3:uid="{AB6F3CAE-D793-489C-AAA6-F6E59A921447}" name="Column3" headerRowDxfId="2896" dataDxfId="2895"/>
    <tableColumn id="4" xr3:uid="{EC0B36A8-5BB0-4527-BB7F-29B57EAC4D1B}" name="Column4" headerRowDxfId="2894" dataDxfId="2893"/>
    <tableColumn id="5" xr3:uid="{733BB3B6-5029-4C44-A975-C519F9C45B63}" name="Column5" headerRowDxfId="2892" dataDxfId="2891"/>
    <tableColumn id="6" xr3:uid="{F3FAD7CB-8F16-477F-A0CF-72EBFD0C1DB3}" name="Column6" headerRowDxfId="2890" dataDxfId="2889"/>
    <tableColumn id="7" xr3:uid="{2B9CCCB1-7042-444B-841A-F0874BEF6D4D}" name="Column7" headerRowDxfId="2888" dataDxfId="2887"/>
    <tableColumn id="8" xr3:uid="{D93A3FC7-CA93-4783-B078-26F848449720}" name="Column8" headerRowDxfId="2886" dataDxfId="2885"/>
    <tableColumn id="9" xr3:uid="{3FBD992E-E40E-477C-B4CB-2F7C917026A1}" name="Column9" headerRowDxfId="2884" dataDxfId="2883"/>
    <tableColumn id="10" xr3:uid="{0D1DA16A-B5A2-4375-9506-98FA72019A99}" name="Column10" headerRowDxfId="2882" dataDxfId="2881"/>
    <tableColumn id="11" xr3:uid="{3EFA1766-19DC-4855-893B-8AD2F27C5947}" name="Column11" headerRowDxfId="2880" dataDxfId="2879"/>
    <tableColumn id="12" xr3:uid="{62AD8D15-574A-41B3-BB8E-AF35C89B0965}" name="Column12" headerRowDxfId="2878" dataDxfId="2877"/>
    <tableColumn id="13" xr3:uid="{85D55871-FC1D-4AF7-BAE8-81E5FDAB3139}" name="Column13" headerRowDxfId="2876" dataDxfId="2875"/>
    <tableColumn id="14" xr3:uid="{332A905C-088F-4658-BF5E-35E773187064}" name="Column14" headerRowDxfId="2874" dataDxfId="2873"/>
    <tableColumn id="15" xr3:uid="{34A21B1C-44D9-42C5-8FFB-942043663712}" name="Column15" headerRowDxfId="2872" dataDxfId="2871"/>
    <tableColumn id="16" xr3:uid="{5670E25C-60F9-4F24-A64A-B10A5D048BB4}" name="Column16" headerRowDxfId="2870" dataDxfId="2869"/>
    <tableColumn id="17" xr3:uid="{1B55F454-F00F-47E1-974B-8A29B26D986A}" name="Column17" headerRowDxfId="2868" dataDxfId="2867"/>
    <tableColumn id="18" xr3:uid="{AB1102FB-6F8B-4A26-A483-25C6B082384E}" name="Column18" headerRowDxfId="2866" dataDxfId="2865"/>
    <tableColumn id="19" xr3:uid="{F7A96D09-CDB7-42D2-B9DE-57E0A41E18DF}" name="Column19" headerRowDxfId="2864" dataDxfId="2863"/>
  </tableColumns>
  <tableStyleInfo name="TableStyleMedium2" showFirstColumn="0" showLastColumn="0" showRowStripes="1" showColumnStripes="0"/>
</table>
</file>

<file path=xl/tables/table5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FCD23BCC-195B-43D1-93DC-6240A17AC563}" name="Table4832644078283989661" displayName="Table4832644078283989661" ref="B113:R116" headerRowCount="0" totalsRowShown="0" headerRowDxfId="2862" dataDxfId="2861">
  <tableColumns count="17">
    <tableColumn id="2" xr3:uid="{96F0EE9D-A1A2-44B2-BBEB-9B28681DB511}" name="Column1" headerRowDxfId="2860" dataDxfId="2859"/>
    <tableColumn id="3" xr3:uid="{EA8FE06B-A274-4B7B-9300-B783C069C6B3}" name="Column2" headerRowDxfId="2858" dataDxfId="2857"/>
    <tableColumn id="4" xr3:uid="{27C6CCF0-26B5-4493-9A9C-4F9424EEC3AF}" name="Column3" headerRowDxfId="2856" dataDxfId="2855"/>
    <tableColumn id="5" xr3:uid="{6462325D-17D1-4A64-8305-EFE1B7CACBCF}" name="Column4" headerRowDxfId="2854" dataDxfId="2853"/>
    <tableColumn id="6" xr3:uid="{B7C6DE40-91DD-4562-88CE-77F903C3B001}" name="Column5" headerRowDxfId="2852" dataDxfId="2851"/>
    <tableColumn id="7" xr3:uid="{E74AAA30-18BA-4711-891B-41BDA8C24608}" name="Column6" headerRowDxfId="2850" dataDxfId="2849"/>
    <tableColumn id="8" xr3:uid="{14FB4CBF-EFFE-468A-8535-39A573BF0A47}" name="Column7" headerRowDxfId="2848" dataDxfId="2847"/>
    <tableColumn id="9" xr3:uid="{FD2383DF-D654-4327-A0AE-C2826F51C79E}" name="Column8" headerRowDxfId="2846" dataDxfId="2845"/>
    <tableColumn id="10" xr3:uid="{3D950C7C-34D5-43D6-AE24-AFA7D44F7AF9}" name="Column9" headerRowDxfId="2844" dataDxfId="2843"/>
    <tableColumn id="11" xr3:uid="{9B6FD629-7339-40D8-BD9C-8C280262C451}" name="Column10" headerRowDxfId="2842" dataDxfId="2841"/>
    <tableColumn id="12" xr3:uid="{93FDB4C5-1391-4892-BAFD-3A8119AE2160}" name="Column11" headerRowDxfId="2840" dataDxfId="2839"/>
    <tableColumn id="13" xr3:uid="{8A29BCAC-F843-4905-8007-5009DB6EF0D7}" name="Column12" headerRowDxfId="2838" dataDxfId="2837"/>
    <tableColumn id="14" xr3:uid="{8706953D-CB94-42CE-8BF3-5257AC473E9D}" name="Column13" headerRowDxfId="2836" dataDxfId="2835"/>
    <tableColumn id="15" xr3:uid="{C5C755E1-9899-44F1-8FC6-84E701CD4C21}" name="Cantrip" headerRowDxfId="2834" dataDxfId="2833"/>
    <tableColumn id="16" xr3:uid="{D94D585B-0792-40D9-BE5F-8A27353410A1}" name="1st Level" headerRowDxfId="2832" dataDxfId="2831"/>
    <tableColumn id="17" xr3:uid="{492D972A-7E2F-46BA-A330-BBC61E3A8444}" name="2nd Level" headerRowDxfId="2830" dataDxfId="2829"/>
    <tableColumn id="1" xr3:uid="{27361BDB-1744-43B8-BC62-C3E1C8B14213}" name="Column14" headerRowDxfId="2828" dataDxfId="2827"/>
  </tableColumns>
  <tableStyleInfo name="TableStyleMedium2" showFirstColumn="0" showLastColumn="0" showRowStripes="1" showColumnStripes="0"/>
</table>
</file>

<file path=xl/tables/table5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E6D31545-72FE-4C7F-90F0-98040FD623B0}" name="Table4932744178384089762" displayName="Table4932744178384089762" ref="B120:T129" headerRowCount="0" headerRowDxfId="2826" dataDxfId="2825" totalsRowDxfId="2824">
  <tableColumns count="19">
    <tableColumn id="2" xr3:uid="{814F088F-3B23-406E-9F21-28AA98BC8028}" name="Column1" headerRowDxfId="2823" dataDxfId="2822"/>
    <tableColumn id="3" xr3:uid="{542867AC-369A-49AB-AD18-A4CF82DDA7D5}" name="Column2" headerRowDxfId="2821" dataDxfId="2820" totalsRowDxfId="2819"/>
    <tableColumn id="4" xr3:uid="{AA587615-47C6-48F4-B58B-FB891A311020}" name="Column3" headerRowDxfId="2818" dataDxfId="2817" totalsRowDxfId="2816"/>
    <tableColumn id="5" xr3:uid="{7BA77143-61EA-4591-B8D9-8972DB4B359A}" name="Column4" headerRowDxfId="2815" dataDxfId="2814" totalsRowDxfId="2813"/>
    <tableColumn id="6" xr3:uid="{29B35833-293E-495B-98C9-EA935B2E9D6C}" name="Column5" headerRowDxfId="2812" dataDxfId="2811" totalsRowDxfId="2810"/>
    <tableColumn id="7" xr3:uid="{FBC37324-7259-488B-82A7-B17431932E7E}" name="Column6" headerRowDxfId="2809" dataDxfId="2808" totalsRowDxfId="2807"/>
    <tableColumn id="8" xr3:uid="{9FE5D4DB-1438-4CF3-B63D-E0617DF3EF49}" name="Column7" headerRowDxfId="2806" dataDxfId="2805" totalsRowDxfId="2804"/>
    <tableColumn id="9" xr3:uid="{B4FE196E-898A-47C8-BC39-A49C89E8078A}" name="Column8" headerRowDxfId="2803" dataDxfId="2802" totalsRowDxfId="2801"/>
    <tableColumn id="10" xr3:uid="{49D1C78D-648B-4775-9F74-F0D746F157C9}" name="Column9" headerRowDxfId="2800" dataDxfId="2799" totalsRowDxfId="2798"/>
    <tableColumn id="11" xr3:uid="{4DC062DA-23FC-4DCD-A56A-860295E4CBBA}" name="Column10" headerRowDxfId="2797" dataDxfId="2796" totalsRowDxfId="2795"/>
    <tableColumn id="12" xr3:uid="{18EC173F-7184-4B21-9936-637863CADBDC}" name="Column11" headerRowDxfId="2794" dataDxfId="2793" totalsRowDxfId="2792"/>
    <tableColumn id="13" xr3:uid="{F96BD897-1D2E-4842-AA5E-D969DFA5BE06}" name="Column12" headerRowDxfId="2791" dataDxfId="2790" totalsRowDxfId="2789"/>
    <tableColumn id="14" xr3:uid="{EEF9A8AB-33EB-466E-A7F1-2FE8F4811D6E}" name="Column13" headerRowDxfId="2788" dataDxfId="2787" totalsRowDxfId="2786"/>
    <tableColumn id="15" xr3:uid="{F9CD1021-8E89-43BC-9D6F-2C00F2EC4987}" name="Cantrip" headerRowDxfId="2785" dataDxfId="2784"/>
    <tableColumn id="16" xr3:uid="{7520FCC8-78F5-4588-823E-0CC97B88FC8F}" name="1st Level" headerRowDxfId="2783" dataDxfId="2782"/>
    <tableColumn id="17" xr3:uid="{68F282BD-D51F-4F72-9A93-D2DC6EF9A44A}" name="2nd Level" headerRowDxfId="2781" dataDxfId="2780"/>
    <tableColumn id="18" xr3:uid="{B999B8F1-7D57-4EBF-85BB-FF157B3C30AE}" name="3rd Level" headerRowDxfId="2779" dataDxfId="2778"/>
    <tableColumn id="19" xr3:uid="{D0008C65-1EE1-4857-89BB-85F48AA159A3}" name="4th Level" headerRowDxfId="2777" dataDxfId="2776"/>
    <tableColumn id="1" xr3:uid="{DFD6C8AE-1AF5-496E-8F8B-E6DD12A5EE28}" name="Column14" headerRowDxfId="2775" dataDxfId="2774" totalsRowDxfId="2773"/>
  </tableColumns>
  <tableStyleInfo name="TableStyleMedium2" showFirstColumn="0" showLastColumn="0" showRowStripes="1" showColumnStripes="0"/>
</table>
</file>

<file path=xl/tables/table5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7" xr:uid="{E7FD1C7D-5B60-47A7-A435-4D81B0B54120}" name="Table62328442784841898268" displayName="Table62328442784841898268" ref="B171:T202" headerRowCount="0" headerRowDxfId="2772" dataDxfId="2771" totalsRowDxfId="2769" tableBorderDxfId="2770">
  <tableColumns count="19">
    <tableColumn id="2" xr3:uid="{5A039277-52DB-41D9-8EF5-C249B24C3E89}" name="Column2" headerRowDxfId="2768" dataDxfId="2767" totalsRowDxfId="2766"/>
    <tableColumn id="3" xr3:uid="{5648134F-DBF2-4902-A956-4ABF21F10C90}" name="Column3" headerRowDxfId="2765" dataDxfId="2764" totalsRowDxfId="2763"/>
    <tableColumn id="4" xr3:uid="{96E4CB0D-8687-4341-8629-F7C2BD3DDEF3}" name="Column4" headerRowDxfId="2762" dataDxfId="2761" totalsRowDxfId="2760"/>
    <tableColumn id="5" xr3:uid="{58FD46C0-97E1-4786-B26A-16DF60302A6B}" name="Column5" headerRowDxfId="2759" dataDxfId="2758" totalsRowDxfId="2757"/>
    <tableColumn id="6" xr3:uid="{65E51DC0-D9C1-4DD5-B294-F2BB8E387D72}" name="Column6" headerRowDxfId="2756" dataDxfId="2755" totalsRowDxfId="2754"/>
    <tableColumn id="7" xr3:uid="{D249538B-9BA2-415A-8901-4F4BBCD2791C}" name="Column7" headerRowDxfId="2753" dataDxfId="2752" totalsRowDxfId="2751"/>
    <tableColumn id="8" xr3:uid="{18DFE8A0-FF44-4072-A9C3-226EFFEEEAC7}" name="Column8" headerRowDxfId="2750" dataDxfId="2749" totalsRowDxfId="2748"/>
    <tableColumn id="9" xr3:uid="{07B42BB5-258C-4173-8E45-A7F3EFBFE08A}" name="Column9" headerRowDxfId="2747" dataDxfId="2746" totalsRowDxfId="2745"/>
    <tableColumn id="10" xr3:uid="{235E2411-AFD9-49AD-B21A-E4EF001D998A}" name="Column10" headerRowDxfId="2744" dataDxfId="2743" totalsRowDxfId="2742"/>
    <tableColumn id="11" xr3:uid="{4162C55F-032F-4005-915D-EAB3C09BE757}" name="Column11" headerRowDxfId="2741" dataDxfId="2740" totalsRowDxfId="2739"/>
    <tableColumn id="12" xr3:uid="{F0AB2125-EB32-456F-BDA6-B263FC206682}" name="Column12" headerRowDxfId="2738" dataDxfId="2737" totalsRowDxfId="2736"/>
    <tableColumn id="13" xr3:uid="{45958D5F-8EB4-4786-8C86-EB662871AD63}" name="Column13" headerRowDxfId="2735" dataDxfId="2734" totalsRowDxfId="2733"/>
    <tableColumn id="14" xr3:uid="{9E7727D3-2245-45B1-BFF5-7D13C7BE7C52}" name="Column14" headerRowDxfId="2732" dataDxfId="2731" totalsRowDxfId="2730"/>
    <tableColumn id="15" xr3:uid="{860CCDC7-E790-49E4-9DED-5F3CF8946E50}" name="Column15" headerRowDxfId="2729" dataDxfId="2728" totalsRowDxfId="2727"/>
    <tableColumn id="16" xr3:uid="{5BE8B367-7243-4DD4-86E5-EED9782181BE}" name="Column16" headerRowDxfId="2726" dataDxfId="2725" totalsRowDxfId="2724"/>
    <tableColumn id="17" xr3:uid="{2E8B5DEE-BDE4-4D8E-A42C-B63233F74961}" name="Column17" headerRowDxfId="2723" dataDxfId="2722" totalsRowDxfId="2721"/>
    <tableColumn id="18" xr3:uid="{22C8CBBD-5FEA-4D13-A57C-CF2EED5FA45F}" name="Column18" headerRowDxfId="2720" dataDxfId="2719" totalsRowDxfId="2718"/>
    <tableColumn id="19" xr3:uid="{3137D1C7-A76C-4AAC-8F5C-284C9C5BBC07}" name="Column19" headerRowDxfId="2717" dataDxfId="2716" totalsRowDxfId="2715"/>
    <tableColumn id="1" xr3:uid="{C0B14A7D-FD71-4280-A983-EDAEA99806E7}" name="Column1" headerRowDxfId="2714" dataDxfId="2713" totalsRowDxfId="2712"/>
  </tableColumns>
  <tableStyleInfo name="TableStyleMedium2" showFirstColumn="0" showLastColumn="0" showRowStripes="1" showColumnStripes="0"/>
</table>
</file>

<file path=xl/tables/table5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9" xr:uid="{E4B8430D-C2CB-40EE-B1A5-6BD6BF50C83D}" name="Table64329443785842899270" displayName="Table64329443785842899270" ref="B307:T324" headerRowCount="0" totalsRowShown="0" headerRowDxfId="2711" dataDxfId="2710">
  <tableColumns count="19">
    <tableColumn id="2" xr3:uid="{6D010BA4-2E5A-4CEA-B064-089A16DCAB1F}" name="Column2" headerRowDxfId="2709" dataDxfId="2708"/>
    <tableColumn id="3" xr3:uid="{52A59675-92CC-41F5-8A9E-BF0EA8C9455A}" name="Column3" headerRowDxfId="2707" dataDxfId="2706"/>
    <tableColumn id="4" xr3:uid="{62ADE8E3-DA74-42DB-A120-F3F29458D1AA}" name="Column4" headerRowDxfId="2705" dataDxfId="2704"/>
    <tableColumn id="5" xr3:uid="{BF11A836-C738-42B4-BEB6-9CA37D857356}" name="Column5" headerRowDxfId="2703" dataDxfId="2702"/>
    <tableColumn id="6" xr3:uid="{371AD9A7-15D9-4CD2-9F61-6E63D8F6A3A0}" name="Column6" headerRowDxfId="2701" dataDxfId="2700"/>
    <tableColumn id="7" xr3:uid="{4F3BDE38-B161-478A-8346-0E19AE8D1A5B}" name="Column7" headerRowDxfId="2699" dataDxfId="2698"/>
    <tableColumn id="8" xr3:uid="{A2D48C93-8332-4983-94E9-42F83D67F803}" name="Column8" headerRowDxfId="2697" dataDxfId="2696"/>
    <tableColumn id="9" xr3:uid="{3278F042-01CD-4A89-83D1-945931EE3E7A}" name="Column9" headerRowDxfId="2695" dataDxfId="2694"/>
    <tableColumn id="10" xr3:uid="{2F371FAB-384F-4E0B-875D-CABD091480A0}" name="Column10" headerRowDxfId="2693" dataDxfId="2692"/>
    <tableColumn id="11" xr3:uid="{4DE505C0-4A0A-4CD8-8AEE-CE584578E6A8}" name="Column11" headerRowDxfId="2691" dataDxfId="2690"/>
    <tableColumn id="12" xr3:uid="{B596E58F-5139-457F-ADF1-BA69A1199057}" name="Column12" headerRowDxfId="2689" dataDxfId="2688"/>
    <tableColumn id="13" xr3:uid="{603DA471-3FB1-4568-B6EA-A63896BF7BFE}" name="Column13" headerRowDxfId="2687" dataDxfId="2686"/>
    <tableColumn id="14" xr3:uid="{6562DA2A-F62E-4082-B30C-A97F75531615}" name="Column14" headerRowDxfId="2685" dataDxfId="2684"/>
    <tableColumn id="15" xr3:uid="{431CECED-2E20-4A23-861D-D3B11FFFD39B}" name="Column15" headerRowDxfId="2683" dataDxfId="2682"/>
    <tableColumn id="16" xr3:uid="{5427D6BB-294C-4F5C-AA40-BC957498EF2C}" name="Column16" headerRowDxfId="2681" dataDxfId="2680">
      <calculatedColumnFormula>IF($Q$324&gt;=O322,INDEX('Spell Tables'!$T$242:$T$271,MATCH(O322,('Spell Tables'!$R$242:$R$271),0))," ")</calculatedColumnFormula>
    </tableColumn>
    <tableColumn id="17" xr3:uid="{69C58AEE-69BA-4CC1-8FA3-C5795FF39A90}" name="Column17" headerRowDxfId="2679" dataDxfId="2678">
      <calculatedColumnFormula>IF($R$324&gt;=O322,INDEX('Spell Tables'!$X$242:$X$275,MATCH(O322,('Spell Tables'!$V$242:$V$275),0))," ")</calculatedColumnFormula>
    </tableColumn>
    <tableColumn id="18" xr3:uid="{EAE00E07-1EB3-4C1C-90E0-2A32A116075E}" name="Column18" headerRowDxfId="2677" dataDxfId="2676"/>
    <tableColumn id="19" xr3:uid="{1E2FA483-445C-40EA-AFDE-D5BD685C497C}" name="Column19" headerRowDxfId="2675" dataDxfId="2674"/>
    <tableColumn id="20" xr3:uid="{E1ECDB77-2C9B-42B2-BB71-8005CEE925E0}" name="Column20" headerRowDxfId="2673" dataDxfId="2672">
      <calculatedColumnFormula>IF($S$309&gt;=O307,INDEX('Spell Tables'!$AF$242:$AF$264,MATCH(O307,('Spell Tables'!$AD$242:$AD$264),0)),IF(AND($Q$11="wizard",$S$312&gt;=O307),INDEX('Spell Tables'!$AF$242:$AF$264,MATCH(O307,('Spell Tables'!$AD$242:$AD$264),0))," "))</calculatedColumnFormula>
    </tableColumn>
  </tableColumns>
  <tableStyleInfo name="TableStyleMedium2" showFirstColumn="0" showLastColumn="0" showRowStripes="1" showColumnStripes="0"/>
</table>
</file>

<file path=xl/tables/table5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8" xr:uid="{19C20E1C-FACB-4D68-9DC0-550308B6039E}" name="Table4967330444786843900309" displayName="Table4967330444786843900309" ref="B146:T155" headerRowCount="0" headerRowDxfId="2671" dataDxfId="2670" totalsRowDxfId="2669">
  <tableColumns count="19">
    <tableColumn id="2" xr3:uid="{A90D1FC5-2DFB-4334-B039-C0A99B1764CC}" name="Column1" headerRowDxfId="2668" dataDxfId="2667" totalsRowDxfId="2666"/>
    <tableColumn id="3" xr3:uid="{0CD314C2-7D76-447A-8E5B-6C8ABB9B7F4A}" name="Column2" headerRowDxfId="2665" dataDxfId="2664" totalsRowDxfId="2663"/>
    <tableColumn id="4" xr3:uid="{786EB5C1-D178-4532-96EB-DD282E33BDE1}" name="Column3" headerRowDxfId="2662" dataDxfId="2661" totalsRowDxfId="2660"/>
    <tableColumn id="5" xr3:uid="{FD4D7634-D171-466B-A3E4-1B94C315CB78}" name="Column4" headerRowDxfId="2659" dataDxfId="2658" totalsRowDxfId="2657"/>
    <tableColumn id="6" xr3:uid="{A55FD13E-126B-44E6-B3A0-072940B19796}" name="Column5" headerRowDxfId="2656" dataDxfId="2655" totalsRowDxfId="2654"/>
    <tableColumn id="7" xr3:uid="{B36B83B2-1C80-4169-814A-AAE43AEA6E7B}" name="Column6" headerRowDxfId="2653" dataDxfId="2652" totalsRowDxfId="2651"/>
    <tableColumn id="8" xr3:uid="{8DFBC79D-88CA-4629-8867-C52AC53BCA6C}" name="Column7" headerRowDxfId="2650" dataDxfId="2649" totalsRowDxfId="2648"/>
    <tableColumn id="9" xr3:uid="{EA8DD9AA-97AA-45F1-B7C4-A5BFCC39335C}" name="Column8" headerRowDxfId="2647" dataDxfId="2646" totalsRowDxfId="2645"/>
    <tableColumn id="10" xr3:uid="{46C05D14-B51D-4A6B-A50C-BFCB4938FDB7}" name="Column9" headerRowDxfId="2644" dataDxfId="2643" totalsRowDxfId="2642"/>
    <tableColumn id="11" xr3:uid="{2333D6A9-B4C1-4B3C-B670-C5B91EEB22E2}" name="Column10" headerRowDxfId="2641" dataDxfId="2640" totalsRowDxfId="2639"/>
    <tableColumn id="12" xr3:uid="{CC1D1092-09C3-41ED-9DE2-97CB227FF5F6}" name="Column11" headerRowDxfId="2638" dataDxfId="2637" totalsRowDxfId="2636"/>
    <tableColumn id="13" xr3:uid="{5EEB0EF7-A431-4EED-B3B2-2CECC8FE1976}" name="Column12" headerRowDxfId="2635" dataDxfId="2634" totalsRowDxfId="2633"/>
    <tableColumn id="14" xr3:uid="{457B9CBB-7171-439A-B936-BF02368CD9D4}" name="Column13" headerRowDxfId="2632" dataDxfId="2631" totalsRowDxfId="2630"/>
    <tableColumn id="15" xr3:uid="{4AEB2B75-761E-49FF-8EB2-BC02E5930376}" name="Cantrip" headerRowDxfId="2629" dataDxfId="2628" totalsRowDxfId="2627"/>
    <tableColumn id="16" xr3:uid="{C13C86A4-4D8B-4CFA-8ABF-4E6E3AF9BC44}" name="1st Level" headerRowDxfId="2626" dataDxfId="2625" totalsRowDxfId="2624"/>
    <tableColumn id="17" xr3:uid="{C9A9B387-9863-4858-A41D-37BAA4873BA5}" name="2nd Level" totalsRowFunction="custom" headerRowDxfId="2623" dataDxfId="2622" totalsRowDxfId="2621">
      <totalsRowFormula>IF(R15="way of the shadow","Silence"," ")</totalsRowFormula>
    </tableColumn>
    <tableColumn id="18" xr3:uid="{54ACE15B-45FD-4E48-A0DA-6BF3854B899B}" name="3rd Level" headerRowDxfId="2620" dataDxfId="2619" totalsRowDxfId="2618"/>
    <tableColumn id="19" xr3:uid="{B8C0A1FA-E34C-426B-BD5E-515ADFA5EAFE}" name="4th Level" headerRowDxfId="2617" dataDxfId="2616" totalsRowDxfId="2615"/>
    <tableColumn id="1" xr3:uid="{FA1A5A2D-85CA-4099-9204-8BDD8697C6A3}" name="Column14" headerRowDxfId="2614" dataDxfId="2613" totalsRowDxfId="2612"/>
  </tableColumns>
  <tableStyleInfo name="TableStyleMedium2" showFirstColumn="0" showLastColumn="0" showRowStripes="1" showColumnStripes="0"/>
</table>
</file>

<file path=xl/tables/table5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9" xr:uid="{7DDDDD14-ED90-414C-B3D5-D08400904681}" name="Table69331445787844901310" displayName="Table69331445787844901310" ref="BN26:BS43" headerRowCount="0" totalsRowShown="0" headerRowDxfId="2611" dataDxfId="2610">
  <tableColumns count="6">
    <tableColumn id="1" xr3:uid="{79C8476A-04D6-43B0-833E-F97C222972D2}" name="Column1" headerRowDxfId="2609" dataDxfId="2608">
      <calculatedColumnFormula>_xlfn.RANK.EQ(BO26,$BO$26:$BO$43)</calculatedColumnFormula>
    </tableColumn>
    <tableColumn id="2" xr3:uid="{F0251BB2-195E-4455-8879-8363A35561F7}" name="Column2" headerRowDxfId="2607" dataDxfId="2606"/>
    <tableColumn id="3" xr3:uid="{1E177DBE-3B72-4F5C-B54C-2D70022F4A97}" name="Column3" headerRowDxfId="2605" dataDxfId="2604">
      <calculatedColumnFormula>IF(OR(BM6&gt;=1,AV6&gt;=1),AH6," ")</calculatedColumnFormula>
    </tableColumn>
    <tableColumn id="4" xr3:uid="{D76AB2DE-0FEF-476C-816C-80AB3E629E87}" name="Column4" headerRowDxfId="2603" dataDxfId="2602"/>
    <tableColumn id="5" xr3:uid="{C7945D0B-55B6-469B-A518-8D715F1D3932}" name="Column5" headerRowDxfId="2601" dataDxfId="2600">
      <calculatedColumnFormula>_xlfn.RANK.EQ(BS26,$BS$26:$BS$43)</calculatedColumnFormula>
    </tableColumn>
    <tableColumn id="6" xr3:uid="{622CF623-84FA-43A2-B70A-D6C1516E9DE9}" name="Column6" headerRowDxfId="2599" dataDxfId="2598">
      <calculatedColumnFormula>IF(BO26=0,RAND(),0)</calculatedColumnFormula>
    </tableColumn>
  </tableColumns>
  <tableStyleInfo name="TableStyleMedium2" showFirstColumn="0" showLastColumn="0" showRowStripes="1" showColumnStripes="0"/>
</table>
</file>

<file path=xl/tables/table5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0" xr:uid="{ED93C898-76BD-4D0B-9446-64A604E29595}" name="Table70332446788845902311" displayName="Table70332446788845902311" ref="BU26:BZ29" headerRowCount="0" totalsRowShown="0" headerRowDxfId="2597" dataDxfId="2596">
  <tableColumns count="6">
    <tableColumn id="1" xr3:uid="{5810ABBB-7446-48DC-9C5A-1190CF2BB947}" name="Column1" headerRowDxfId="2595" dataDxfId="2594">
      <calculatedColumnFormula>_xlfn.RANK.EQ(BV26,$BV$26:$BV$29)</calculatedColumnFormula>
    </tableColumn>
    <tableColumn id="2" xr3:uid="{EB663D13-8B5D-4502-AF63-D708DB174B64}" name="Column2" headerRowDxfId="2593" dataDxfId="2592"/>
    <tableColumn id="3" xr3:uid="{D053A945-4D15-487B-A8A3-C94DD2D0A58A}" name="Column3" headerRowDxfId="2591" dataDxfId="2590"/>
    <tableColumn id="4" xr3:uid="{EDE613D2-F017-45A4-83D6-6163ADBDCE7E}" name="Column4" headerRowDxfId="2589" dataDxfId="2588"/>
    <tableColumn id="5" xr3:uid="{04019D38-7159-4019-BADE-41A1185A9725}" name="Column5" headerRowDxfId="2587" dataDxfId="2586">
      <calculatedColumnFormula>_xlfn.RANK.EQ(BZ26,$BZ$26:$BZ$29)</calculatedColumnFormula>
    </tableColumn>
    <tableColumn id="6" xr3:uid="{F629245C-9239-4C42-A5F0-7E82376DD542}" name="Column6" headerRowDxfId="2585" dataDxfId="2584">
      <calculatedColumnFormula>IF(BV26=0,RAND(),0)</calculatedColumnFormula>
    </tableColumn>
  </tableColumns>
  <tableStyleInfo name="TableStyleMedium2" showFirstColumn="0" showLastColumn="0" showRowStripes="1" showColumnStripes="0"/>
</table>
</file>

<file path=xl/tables/table5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1" xr:uid="{B4290EA2-EACF-4A74-89D1-C3BF0F25FBB7}" name="Table72333447789846903312" displayName="Table72333447789846903312" ref="BU30:BZ32" headerRowCount="0" totalsRowShown="0" headerRowDxfId="2583" dataDxfId="2582">
  <tableColumns count="6">
    <tableColumn id="1" xr3:uid="{7EAE8F90-026D-4DC3-AF2A-C9E379B0B6AF}" name="Column1" headerRowDxfId="2581" dataDxfId="2580">
      <calculatedColumnFormula>_xlfn.RANK.EQ(BV30,$BV$30:$BV$32)</calculatedColumnFormula>
    </tableColumn>
    <tableColumn id="2" xr3:uid="{3D7F529E-5360-4CD4-A106-FAE9E1CBD7E4}" name="Column2" headerRowDxfId="2579" dataDxfId="2578"/>
    <tableColumn id="3" xr3:uid="{9D900D87-92F2-4132-80F2-F7B9EB3B422A}" name="Column3" headerRowDxfId="2577" dataDxfId="2576"/>
    <tableColumn id="4" xr3:uid="{91432796-C8E6-4177-A81E-6B147F3D16BA}" name="Column4" headerRowDxfId="2575" dataDxfId="2574"/>
    <tableColumn id="5" xr3:uid="{79F3992B-9558-4ACA-A9C9-2B78671212D9}" name="Column5" headerRowDxfId="2573" dataDxfId="2572">
      <calculatedColumnFormula>_xlfn.RANK.EQ(BZ30,$BZ$30:$BZ$32)</calculatedColumnFormula>
    </tableColumn>
    <tableColumn id="6" xr3:uid="{CB5EA47A-5C52-472B-A829-70359435884B}" name="Column6" headerRowDxfId="2571" dataDxfId="2570">
      <calculatedColumnFormula>IF(BV30=0,RAND(),0)</calculatedColumnFormula>
    </tableColumn>
  </tableColumns>
  <tableStyleInfo name="TableStyleMedium2" showFirstColumn="0" showLastColumn="0" showRowStripes="1" showColumnStripes="0"/>
</table>
</file>

<file path=xl/tables/table5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2" xr:uid="{6FEEA635-D4F5-44FF-AAB5-76A04E6166B2}" name="Table60334448790847904313" displayName="Table60334448790847904313" ref="B240:T271" headerRowCount="0" totalsRowShown="0" headerRowDxfId="2569" dataDxfId="2568" tableBorderDxfId="2567">
  <tableColumns count="19">
    <tableColumn id="3" xr3:uid="{9F12871F-D7D6-4A7A-9BED-6E16F576915C}" name="Column3" headerRowDxfId="2566" dataDxfId="2565"/>
    <tableColumn id="4" xr3:uid="{6281C328-2D36-43BB-9434-7F199CEAF005}" name="Column4" headerRowDxfId="2564" dataDxfId="2563"/>
    <tableColumn id="5" xr3:uid="{2CD1C227-291C-44A0-BD65-073EA220CBB5}" name="Column5" headerRowDxfId="2562" dataDxfId="2561"/>
    <tableColumn id="6" xr3:uid="{0AAFF86F-68F4-4CC9-9EFD-18B9E0E34DF7}" name="Column6" headerRowDxfId="2560" dataDxfId="2559"/>
    <tableColumn id="7" xr3:uid="{3C6C150A-EC47-4533-9E44-E0E10154F348}" name="Column7" headerRowDxfId="2558" dataDxfId="2557"/>
    <tableColumn id="8" xr3:uid="{3E1EB0DD-2DA5-44A3-9F4E-9BF99B45272B}" name="Column8" headerRowDxfId="2556" dataDxfId="2555"/>
    <tableColumn id="9" xr3:uid="{88B51468-CF3F-42D6-BE8D-17FD42E9EAF7}" name="Column9" headerRowDxfId="2554" dataDxfId="2553"/>
    <tableColumn id="10" xr3:uid="{12B498D7-5CEC-4853-96DA-C482CA1A7079}" name="Column10" headerRowDxfId="2552" dataDxfId="2551"/>
    <tableColumn id="11" xr3:uid="{2B170E7A-EC96-4A8F-AD07-D1BB1996B691}" name="Column11" headerRowDxfId="2550" dataDxfId="2549"/>
    <tableColumn id="12" xr3:uid="{7EA0646C-79D6-430C-9194-5A4B5C410CB1}" name="Column12" headerRowDxfId="2548" dataDxfId="2547"/>
    <tableColumn id="13" xr3:uid="{A44273AE-AF1A-4276-8AA3-21B4317AA6FB}" name="Column13" headerRowDxfId="2546" dataDxfId="2545"/>
    <tableColumn id="14" xr3:uid="{ACC77024-D9CB-434B-9E70-57BAB050404F}" name="Column14" headerRowDxfId="2544" dataDxfId="2543"/>
    <tableColumn id="15" xr3:uid="{DE5DFCF4-6D1E-4391-8DE3-CDC5537FD9BA}" name="Column15" headerRowDxfId="2542" dataDxfId="2541"/>
    <tableColumn id="2" xr3:uid="{5DCED3A7-DACF-4572-9EB6-1EE0F0D5FF34}" name="Column2" headerRowDxfId="2540" dataDxfId="2539"/>
    <tableColumn id="16" xr3:uid="{6A09D1F5-591B-40D0-BF38-CE103F37DE33}" name="Column16" headerRowDxfId="2538" dataDxfId="2537"/>
    <tableColumn id="17" xr3:uid="{AD42B960-387C-455D-84CB-AC8400BE4A5C}" name="Column17" headerRowDxfId="2536" dataDxfId="2535"/>
    <tableColumn id="18" xr3:uid="{92C142AA-72C5-40DF-91F3-9AA1DB310C85}" name="Column18" headerRowDxfId="2534" dataDxfId="2533"/>
    <tableColumn id="19" xr3:uid="{F3ABB178-38D4-4071-8395-2D91C9427173}" name="Column19" headerRowDxfId="2532" dataDxfId="2531"/>
    <tableColumn id="20" xr3:uid="{E9E12531-5AEE-4269-A2A8-22A4B25BC382}" name="Column20" headerRowDxfId="2530" dataDxfId="2529">
      <calculatedColumnFormula>IF(AND($Q$15="Otherworldly patron - great old one",T$244&gt;=O171),INDEX('Spell Tables'!$AF$226:$AF$231,MATCH(O171,('Spell Tables'!$AD$226:$AD$231),0)),IF(AND($Q$15="Otherworldly patron - fiend",T$244&gt;=O171),INDEX('Spell Tables'!$AF$210:$AF$215,MATCH(O171,('Spell Tables'!$AD$210:$AD$215),0)),IF(AND($Q$15="Otherworldly patron - archfey",T$244&gt;=O171),INDEX('Spell Tables'!$AF$194:$AF$199,MATCH(O171,('Spell Tables'!$AD$194:$AD$199),0)),IF($T$242&gt;=O171,INDEX($AL$80:$AL$89,MATCH(O171,($AJ$80:$AJ$89),0)),IF($T$246&gt;=O171,INDEX('Spell Tables'!$AF$168:$AF$177,MATCH(O171,('Spell Tables'!$AD$168:$AD$177),0)),IF($T$248&gt;=O171,INDEX('Spell Tables'!$AR$141:$AR$144,MATCH(O171,('Spell Tables'!$AP$141:$AP$144),0)),IF($T$250&gt;=O171,INDEX('Spell Tables'!$AB$119:$AB$123,MATCH(O171,('Spell Tables'!$Z$119:$Z$123),0)),IF($T$252&gt;=O171,INDEX('Spell Tables'!$AB$97:$AB$102,MATCH(O171,('Spell Tables'!$Z$97:$Z$102),0)),IF($T$254&gt;=O171,INDEX('Spell Tables'!$AR$70:$AR$75,MATCH(O171,('Spell Tables'!$AP$70:$AP$75),0)),IF($T$256&gt;=O171,INDEX('Spell Tables'!$AF$48:$AF$63,MATCH(O171,('Spell Tables'!$AD$48:$AD$63),0)),IF($T$258&gt;=O171,INDEX('Spell Tables'!$AF$26:$AF$33,MATCH(O171,('Spell Tables'!$AD$26:$AD$33),0)),IF($T$260&gt;=O171,INDEX('Spell Tables'!$AF$2:$AF$9,MATCH(O171,('Spell Tables'!$AD$2:$AD$9),0))," "))))))))))))</calculatedColumnFormula>
    </tableColumn>
  </tableColumns>
  <tableStyleInfo name="TableStyleMedium2" showFirstColumn="0" showLastColumn="0" showRowStripes="1" showColumnStripes="0"/>
</table>
</file>

<file path=xl/tables/table5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3" xr:uid="{62E73A09-25B2-45CF-9FC7-4FB0497ABA22}" name="Table200335449791848905314" displayName="Table200335449791848905314" ref="AJ43:AL53" headerRowCount="0" totalsRowShown="0" headerRowDxfId="2528" dataDxfId="2527">
  <tableColumns count="3">
    <tableColumn id="1" xr3:uid="{77EFF771-FB72-4836-8470-39BB952502C9}" name="Column1" headerRowDxfId="2526" dataDxfId="2525"/>
    <tableColumn id="2" xr3:uid="{10F49C10-DF0A-4821-A2FE-8E6B48D7229E}" name="Column2" headerRowDxfId="2524" dataDxfId="2523">
      <calculatedColumnFormula>RAND()</calculatedColumnFormula>
    </tableColumn>
    <tableColumn id="3" xr3:uid="{A6149182-4865-44E0-B548-8FC09A2D0B4E}" name="Column3" headerRowDxfId="2522" dataDxfId="2521">
      <calculatedColumnFormula>AN12</calculatedColumnFormula>
    </tableColumn>
  </tableColumns>
  <tableStyleInfo name="TableStyleMedium2" showFirstColumn="0" showLastColumn="0" showRowStripes="1" showColumnStripes="0"/>
</table>
</file>

<file path=xl/tables/table5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4" xr:uid="{FFD30A47-8A94-4A69-B384-DFFD39DF6C10}" name="Table201336450792849906315" displayName="Table201336450792849906315" ref="AJ55:AL65" headerRowCount="0" totalsRowShown="0" headerRowDxfId="2520" dataDxfId="2519">
  <tableColumns count="3">
    <tableColumn id="1" xr3:uid="{03BFE0CD-0B8D-4EEB-BDFD-4B2587BFBA1C}" name="Column1" headerRowDxfId="2518" dataDxfId="2517">
      <calculatedColumnFormula>_xlfn.RANK.EQ(AK56,$L$308:$L$320)</calculatedColumnFormula>
    </tableColumn>
    <tableColumn id="2" xr3:uid="{D91B3CA5-6421-42D4-A372-03D89C83D13E}" name="Column2" headerRowDxfId="2516" dataDxfId="2515">
      <calculatedColumnFormula>IF(AL56=" ", 0,RAND())</calculatedColumnFormula>
    </tableColumn>
    <tableColumn id="3" xr3:uid="{37722EBD-514E-48C9-B1ED-EAC3A10EAF90}" name="Column3" headerRowDxfId="2514" dataDxfId="2513">
      <calculatedColumnFormula>AO12</calculatedColumnFormula>
    </tableColumn>
  </tableColumns>
  <tableStyleInfo name="TableStyleMedium2" showFirstColumn="0" showLastColumn="0" showRowStripes="1" showColumnStripes="0"/>
</table>
</file>

<file path=xl/tables/table5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9" xr:uid="{69FB5DF4-74E5-44F0-8B7C-0793D41E0D5D}" name="Table202337451793850907320" displayName="Table202337451793850907320" ref="AJ67:AL77" headerRowCount="0" totalsRowShown="0" headerRowDxfId="2512" dataDxfId="2511">
  <tableColumns count="3">
    <tableColumn id="1" xr3:uid="{30EC9B08-8D10-40EA-AD4C-86FED17CEBB2}" name="Column1" headerRowDxfId="2510" dataDxfId="2509"/>
    <tableColumn id="2" xr3:uid="{97715A70-EAB4-40A7-A79D-30DB6E8FD66D}" name="Column2" headerRowDxfId="2508" dataDxfId="2507">
      <calculatedColumnFormula>IF(AL68=" ", 0,RAND())</calculatedColumnFormula>
    </tableColumn>
    <tableColumn id="3" xr3:uid="{CDFF316E-FB29-4DA9-A805-6D12B22326DA}" name="Column3" headerRowDxfId="2506" dataDxfId="2505">
      <calculatedColumnFormula>AP12</calculatedColumnFormula>
    </tableColumn>
  </tableColumns>
  <tableStyleInfo name="TableStyleMedium2" showFirstColumn="0" showLastColumn="0" showRowStripes="1" showColumnStripes="0"/>
</table>
</file>

<file path=xl/tables/table5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0" xr:uid="{3F43C460-4CAF-4A0C-8A4F-F9BC93BFE04A}" name="Table203338452794851908321" displayName="Table203338452794851908321" ref="AJ79:AL89" headerRowCount="0" totalsRowShown="0" headerRowDxfId="2504" dataDxfId="2503">
  <tableColumns count="3">
    <tableColumn id="1" xr3:uid="{304601D8-5C9A-4939-BE84-6B76E28266CC}" name="Column1" headerRowDxfId="2502" dataDxfId="2501"/>
    <tableColumn id="2" xr3:uid="{654F2A80-BB39-4EF3-9FE0-64D06868446B}" name="Column2" headerRowDxfId="2500" dataDxfId="2499"/>
    <tableColumn id="3" xr3:uid="{3497BFA6-0790-4F9F-9A4C-DC4DDC83894F}" name="Column3" headerRowDxfId="2498" dataDxfId="2497"/>
  </tableColumns>
  <tableStyleInfo name="TableStyleMedium2" showFirstColumn="0" showLastColumn="0" showRowStripes="1" showColumnStripes="0"/>
</table>
</file>

<file path=xl/tables/table5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1" xr:uid="{F4302B11-6EE0-4CFD-B433-489E1251CD6F}" name="Table204339453795852909322" displayName="Table204339453795852909322" ref="AJ91:AL101" headerRowCount="0" totalsRowShown="0" headerRowDxfId="2496" dataDxfId="2495">
  <tableColumns count="3">
    <tableColumn id="1" xr3:uid="{FAC5DF8E-5D96-4B56-8F26-DF3E7A2399E3}" name="Column1" headerRowDxfId="2494" dataDxfId="2493"/>
    <tableColumn id="2" xr3:uid="{DB4A4BBB-0EB9-435C-AC67-3638DAA58FDD}" name="Column2" headerRowDxfId="2492" dataDxfId="2491"/>
    <tableColumn id="3" xr3:uid="{6F6A6403-9CC1-4971-9652-D1979CA0E702}" name="Column3" headerRowDxfId="2490" dataDxfId="2489"/>
  </tableColumns>
  <tableStyleInfo name="TableStyleMedium2" showFirstColumn="0" showLastColumn="0" showRowStripes="1" showColumnStripes="0"/>
</table>
</file>

<file path=xl/tables/table5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5" xr:uid="{238E0F76-4A67-4D75-B8BE-AF573F6397AF}" name="Table205340454796853910326" displayName="Table205340454796853910326" ref="AJ103:AL113" headerRowCount="0" totalsRowShown="0" headerRowDxfId="2488" dataDxfId="2487">
  <tableColumns count="3">
    <tableColumn id="1" xr3:uid="{B93D799E-3EBA-4C52-807A-C3A0D245ECF3}" name="Column1" headerRowDxfId="2486" dataDxfId="2485"/>
    <tableColumn id="2" xr3:uid="{D4E49064-0498-445C-9490-93132957D3D8}" name="Column2" headerRowDxfId="2484" dataDxfId="2483"/>
    <tableColumn id="3" xr3:uid="{E14B611C-07A5-4370-9A16-5B4C2FC5533D}" name="Column3" headerRowDxfId="2482" dataDxfId="2481"/>
  </tableColumns>
  <tableStyleInfo name="TableStyleMedium2" showFirstColumn="0" showLastColumn="0" showRowStripes="1" showColumnStripes="0"/>
</table>
</file>

<file path=xl/tables/table5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6" xr:uid="{6AD0FEA0-C894-4EBB-92B1-63FF80958922}" name="Table206341455797854911327" displayName="Table206341455797854911327" ref="AJ115:AL125" headerRowCount="0" totalsRowShown="0" headerRowDxfId="2480" dataDxfId="2479">
  <tableColumns count="3">
    <tableColumn id="1" xr3:uid="{C509D0B8-F8AF-452C-ABBA-0E3A517963D0}" name="Column1" headerRowDxfId="2478" dataDxfId="2477"/>
    <tableColumn id="2" xr3:uid="{AB24AE4F-1C88-4252-8736-3460373F06A5}" name="Column2" headerRowDxfId="2476" dataDxfId="2475"/>
    <tableColumn id="3" xr3:uid="{42DFFF8E-B904-4C24-8410-1669A5C24074}" name="Column3" headerRowDxfId="2474" dataDxfId="2473"/>
  </tableColumns>
  <tableStyleInfo name="TableStyleMedium2" showFirstColumn="0" showLastColumn="0" showRowStripes="1" showColumnStripes="0"/>
</table>
</file>

<file path=xl/tables/table5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7" xr:uid="{347C389F-7343-419B-823A-E677144A682B}" name="Table207342456798855912328" displayName="Table207342456798855912328" ref="AJ127:AL137" headerRowCount="0" totalsRowShown="0" headerRowDxfId="2472" dataDxfId="2471">
  <tableColumns count="3">
    <tableColumn id="1" xr3:uid="{CCA90348-6C5A-4686-AFDC-E354B2F321A3}" name="Column1" headerRowDxfId="2470" dataDxfId="2469"/>
    <tableColumn id="2" xr3:uid="{F2A586D8-E4A1-489A-A73D-A64E1717A0CD}" name="Column2" headerRowDxfId="2468" dataDxfId="2467"/>
    <tableColumn id="3" xr3:uid="{1ED427A3-FB57-43AE-BFC9-4ECE0D85613C}" name="Column3" headerRowDxfId="2466" dataDxfId="2465"/>
  </tableColumns>
  <tableStyleInfo name="TableStyleMedium2" showFirstColumn="0" showLastColumn="0" showRowStripes="1" showColumnStripes="0"/>
</table>
</file>

<file path=xl/tables/table5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8" xr:uid="{3896288D-2A1D-4511-B2A2-328A0C30F975}" name="Table208343457799856913329" displayName="Table208343457799856913329" ref="AJ139:AL149" headerRowCount="0" totalsRowShown="0" headerRowDxfId="2464" dataDxfId="2463">
  <tableColumns count="3">
    <tableColumn id="1" xr3:uid="{DC064E73-718A-43D0-B575-A61D7E6229B3}" name="Column1" headerRowDxfId="2462" dataDxfId="2461"/>
    <tableColumn id="2" xr3:uid="{E697361A-0B20-4BB1-B7C8-BB1C2EAEFF68}" name="Column2" headerRowDxfId="2460" dataDxfId="2459"/>
    <tableColumn id="3" xr3:uid="{FBCAE53A-9E90-4792-9AD1-365628B17037}" name="Column3" headerRowDxfId="2458" dataDxfId="2457"/>
  </tableColumns>
  <tableStyleInfo name="TableStyleMedium2" showFirstColumn="0" showLastColumn="0" showRowStripes="1" showColumnStripes="0"/>
</table>
</file>

<file path=xl/tables/table5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9" xr:uid="{0EFFCB9C-013D-4A06-8643-0B843A490214}" name="Table219344458800857914330" displayName="Table219344458800857914330" ref="AJ151:AL161" headerRowCount="0" totalsRowShown="0" headerRowDxfId="2456" dataDxfId="2455">
  <tableColumns count="3">
    <tableColumn id="1" xr3:uid="{8EBD72EC-627E-48E1-9AC9-0BE0CA476E60}" name="Column1" headerRowDxfId="2454" dataDxfId="2453"/>
    <tableColumn id="2" xr3:uid="{66A61E49-874B-421D-9636-24E58BD50601}" name="Column2" headerRowDxfId="2452" dataDxfId="2451"/>
    <tableColumn id="5" xr3:uid="{533ADC63-91A8-43C1-9234-4C66E14F0087}" name="Column3" headerRowDxfId="2450" dataDxfId="2449"/>
  </tableColumns>
  <tableStyleInfo name="TableStyleMedium2" showFirstColumn="0" showLastColumn="0" showRowStripes="1" showColumnStripes="0"/>
</table>
</file>

<file path=xl/tables/table6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0" xr:uid="{050952AA-68A7-4CDA-A4A1-E78B333EDD0A}" name="Table220345459801858915331" displayName="Table220345459801858915331" ref="AJ163:AL173" headerRowCount="0" totalsRowShown="0" headerRowDxfId="2448" dataDxfId="2447">
  <tableColumns count="3">
    <tableColumn id="1" xr3:uid="{E8E46D1D-3661-4584-AC88-D1B56860A114}" name="Column1" headerRowDxfId="2446" dataDxfId="2445"/>
    <tableColumn id="2" xr3:uid="{FC8DD98E-7CB4-40D3-A605-CC2F4A669514}" name="Column2" headerRowDxfId="2444" dataDxfId="2443"/>
    <tableColumn id="3" xr3:uid="{89FBA3FA-3CB0-4F1B-84FC-9E37D3F2D031}" name="Column3" headerRowDxfId="2442" dataDxfId="2441"/>
  </tableColumns>
  <tableStyleInfo name="TableStyleMedium2" showFirstColumn="0" showLastColumn="0" showRowStripes="1" showColumnStripes="0"/>
</table>
</file>

<file path=xl/tables/table6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1" xr:uid="{E235CFBA-3921-4878-AFA8-A35DCDF9D688}" name="Table222346460802859916332" displayName="Table222346460802859916332" ref="AJ175:AL185" headerRowCount="0" totalsRowShown="0" headerRowDxfId="2440" dataDxfId="2439">
  <tableColumns count="3">
    <tableColumn id="1" xr3:uid="{FCBDF882-FD2D-4A06-A250-93A715956804}" name="Column1" headerRowDxfId="2438" dataDxfId="2437"/>
    <tableColumn id="2" xr3:uid="{1B30B766-65D8-4367-BA3E-61AD6CDF9911}" name="Column2" headerRowDxfId="2436" dataDxfId="2435"/>
    <tableColumn id="3" xr3:uid="{DB38A5FC-C7AB-4A16-8249-A63C4B9F11CB}" name="Column3" headerRowDxfId="2434" dataDxfId="2433"/>
  </tableColumns>
  <tableStyleInfo name="TableStyleMedium2" showFirstColumn="0" showLastColumn="0" showRowStripes="1" showColumnStripes="0"/>
</table>
</file>

<file path=xl/tables/table6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2" xr:uid="{DF793E50-13D9-4DB6-BCFF-247FC45732DA}" name="Table250347461803860917333" displayName="Table250347461803860917333" ref="AJ187:AL197" headerRowCount="0" totalsRowShown="0" headerRowDxfId="2432" dataDxfId="2431">
  <tableColumns count="3">
    <tableColumn id="1" xr3:uid="{3A15448A-6F56-43D6-88E9-547906DCD477}" name="Column1" headerRowDxfId="2430" dataDxfId="2429"/>
    <tableColumn id="2" xr3:uid="{834D134E-BBE4-4E51-B445-03B305DD460B}" name="Column2" headerRowDxfId="2428" dataDxfId="2427"/>
    <tableColumn id="3" xr3:uid="{46199257-0C15-4BF2-AF6A-76E0EA5F310F}" name="Column3" headerRowDxfId="2426" dataDxfId="2425"/>
  </tableColumns>
  <tableStyleInfo name="TableStyleMedium2" showFirstColumn="0" showLastColumn="0" showRowStripes="1" showColumnStripes="0"/>
</table>
</file>

<file path=xl/tables/table6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3" xr:uid="{6243C124-405A-4D23-88B9-0E9906196F6F}" name="Table39348462804861918334" displayName="Table39348462804861918334" ref="CB1:CD7" headerRowCount="0" totalsRowShown="0" headerRowDxfId="2424" dataDxfId="2423">
  <tableColumns count="3">
    <tableColumn id="1" xr3:uid="{C708833F-C85E-450B-BA2F-BEC22CD8C54E}" name="Column1" dataDxfId="2422"/>
    <tableColumn id="2" xr3:uid="{48AC0CBB-8E47-493B-8245-0D6510408C4D}" name="Column2" dataDxfId="2421"/>
    <tableColumn id="3" xr3:uid="{BAD7697F-9DEB-4987-9001-11B67FAC52E8}" name="Column3" headerRowDxfId="2420" dataDxfId="2419"/>
  </tableColumns>
  <tableStyleInfo name="TableStyleMedium2" showFirstColumn="0" showLastColumn="0" showRowStripes="1" showColumnStripes="0"/>
</table>
</file>

<file path=xl/tables/table6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4" xr:uid="{F709682D-DB0A-4715-A632-CF1E2B635075}" name="Table50349463805862919335" displayName="Table50349463805862919335" ref="CB29:CD34" headerRowCount="0" totalsRowShown="0" headerRowDxfId="2418" dataDxfId="2417">
  <tableColumns count="3">
    <tableColumn id="1" xr3:uid="{44D2301A-2CF9-492A-94A1-4A6541595957}" name="Column1" headerRowDxfId="2416" dataDxfId="2415"/>
    <tableColumn id="2" xr3:uid="{4DF49A33-4A4E-4920-AC58-157E99B0866B}" name="Column2" headerRowDxfId="2414" dataDxfId="2413">
      <calculatedColumnFormula>RAND()</calculatedColumnFormula>
    </tableColumn>
    <tableColumn id="3" xr3:uid="{92ECBBB3-6405-4E43-AAA3-0049C7E343A0}" name="Column3" headerRowDxfId="2412" dataDxfId="2411"/>
  </tableColumns>
  <tableStyleInfo name="TableStyleMedium2" showFirstColumn="0" showLastColumn="0" showRowStripes="1" showColumnStripes="0"/>
</table>
</file>

<file path=xl/tables/table6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5" xr:uid="{6208FC2C-0C33-40F6-B559-F3EFBA685608}" name="Table51350464806863920336" displayName="Table51350464806863920336" ref="CB36:CD44" headerRowCount="0" totalsRowShown="0" headerRowDxfId="2410" dataDxfId="2409">
  <tableColumns count="3">
    <tableColumn id="1" xr3:uid="{2ECA85EF-4BA8-4507-9414-1C2424484CAB}" name="Column1" headerRowDxfId="2408" dataDxfId="2407"/>
    <tableColumn id="2" xr3:uid="{FE61393D-75DB-4AA6-BEF4-91D5A6EE06F8}" name="Column2" headerRowDxfId="2406" dataDxfId="2405"/>
    <tableColumn id="3" xr3:uid="{4974FB82-0A98-49D7-AF0E-067D1B03F8E7}" name="Column3" headerRowDxfId="2404" dataDxfId="2403"/>
  </tableColumns>
  <tableStyleInfo name="TableStyleMedium2" showFirstColumn="0" showLastColumn="0" showRowStripes="1" showColumnStripes="0"/>
</table>
</file>

<file path=xl/tables/table6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6" xr:uid="{487A357B-C5B2-4CB1-9D7A-DAD92B78D369}" name="Table52351465807864921337" displayName="Table52351465807864921337" ref="CB46:CD54" headerRowCount="0" totalsRowShown="0" headerRowDxfId="2402" dataDxfId="2401">
  <tableColumns count="3">
    <tableColumn id="1" xr3:uid="{F2F66644-66AB-4D48-BA9C-B51C791158D5}" name="Column1" headerRowDxfId="2400" dataDxfId="2399"/>
    <tableColumn id="2" xr3:uid="{09A65A78-01B4-4D31-9D80-8658737FAD63}" name="Column2" headerRowDxfId="2398" dataDxfId="2397"/>
    <tableColumn id="3" xr3:uid="{EDAAB4EF-AAE1-4925-BB1B-049B3F5D85B3}" name="Column3" headerRowDxfId="2396" dataDxfId="2395"/>
  </tableColumns>
  <tableStyleInfo name="TableStyleMedium2" showFirstColumn="0" showLastColumn="0" showRowStripes="1" showColumnStripes="0"/>
</table>
</file>

<file path=xl/tables/table6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7" xr:uid="{978C65D6-FEF2-40F4-8F1F-9ECA2608AFA5}" name="Table53352466808865922338" displayName="Table53352466808865922338" ref="CB56:CD62" headerRowCount="0" totalsRowShown="0" headerRowDxfId="2394" dataDxfId="2393">
  <tableColumns count="3">
    <tableColumn id="1" xr3:uid="{13CCCB3C-EA7F-42F8-B5B1-59360AC3D5DF}" name="Column1" headerRowDxfId="2392" dataDxfId="2391"/>
    <tableColumn id="2" xr3:uid="{C1C196DF-06AC-4EC5-98C0-A5B5A9ADEBAA}" name="Column2" headerRowDxfId="2390" dataDxfId="2389"/>
    <tableColumn id="3" xr3:uid="{6857BF69-9D5C-4EEA-90D2-674D7DB5BB8B}" name="Column3" headerRowDxfId="2388" dataDxfId="2387"/>
  </tableColumns>
  <tableStyleInfo name="TableStyleMedium2" showFirstColumn="0" showLastColumn="0" showRowStripes="1" showColumnStripes="0"/>
</table>
</file>

<file path=xl/tables/table6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8" xr:uid="{8B9C28BF-608F-45AD-A996-A48CE6E1E085}" name="Table54353467809866923339" displayName="Table54353467809866923339" ref="CB64:CD70" headerRowCount="0" totalsRowShown="0" headerRowDxfId="2386" dataDxfId="2385">
  <tableColumns count="3">
    <tableColumn id="1" xr3:uid="{3FD33588-F39A-470F-9A4A-034475CE63EC}" name="Column1" headerRowDxfId="2384" dataDxfId="2383"/>
    <tableColumn id="2" xr3:uid="{8D0DBC1D-76CC-418C-B9EC-420F8B1157CD}" name="Column2" headerRowDxfId="2382" dataDxfId="2381"/>
    <tableColumn id="3" xr3:uid="{65EFA058-B2BD-4004-B3B2-FB772F550FCB}" name="Column3" headerRowDxfId="2380" dataDxfId="2379"/>
  </tableColumns>
  <tableStyleInfo name="TableStyleMedium2" showFirstColumn="0" showLastColumn="0" showRowStripes="1" showColumnStripes="0"/>
</table>
</file>

<file path=xl/tables/table6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9" xr:uid="{C47FD409-CFD3-4F7F-8D93-5B63EABAF445}" name="Table55354468810867924340" displayName="Table55354468810867924340" ref="CB72:CD81" headerRowCount="0" totalsRowShown="0" headerRowDxfId="2378" dataDxfId="2377">
  <tableColumns count="3">
    <tableColumn id="1" xr3:uid="{F9C51CCA-C345-4722-80B6-0D2676DE4F7E}" name="Column1" headerRowDxfId="2376" dataDxfId="2375"/>
    <tableColumn id="2" xr3:uid="{67498B7F-AE7B-4FCE-9D56-FB6ECEF7B7B5}" name="Column2" headerRowDxfId="2374" dataDxfId="2373"/>
    <tableColumn id="3" xr3:uid="{ECD6C5B5-15E8-4332-AABD-7A26F851D1D1}" name="Column3" headerRowDxfId="2372" dataDxfId="2371"/>
  </tableColumns>
  <tableStyleInfo name="TableStyleMedium2" showFirstColumn="0" showLastColumn="0" showRowStripes="1" showColumnStripes="0"/>
</table>
</file>

<file path=xl/tables/table6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0" xr:uid="{076B4185-3034-4FC1-B86A-43047801DA91}" name="Table56355469811868925341" displayName="Table56355469811868925341" ref="CB83:CD94" headerRowCount="0" totalsRowShown="0" headerRowDxfId="2370" dataDxfId="2369">
  <tableColumns count="3">
    <tableColumn id="1" xr3:uid="{55BEA682-E8C4-45B8-8D02-BE4472D2C4CA}" name="Column1" headerRowDxfId="2368" dataDxfId="2367"/>
    <tableColumn id="2" xr3:uid="{77D8F232-1ED3-42F1-937C-E8EC8F77B661}" name="Column2" headerRowDxfId="2366" dataDxfId="2365"/>
    <tableColumn id="3" xr3:uid="{00B688F0-8A9D-42AD-A885-EE77A5401B8D}" name="Column3" headerRowDxfId="2364" dataDxfId="2363"/>
  </tableColumns>
  <tableStyleInfo name="TableStyleMedium2" showFirstColumn="0" showLastColumn="0" showRowStripes="1" showColumnStripes="0"/>
</table>
</file>

<file path=xl/tables/table6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1" xr:uid="{29AEE7EC-8A0D-46F0-B954-A823162A9BB7}" name="Table57356470812869926342" displayName="Table57356470812869926342" ref="CB96:CD102" headerRowCount="0" totalsRowShown="0" headerRowDxfId="2362" dataDxfId="2361">
  <tableColumns count="3">
    <tableColumn id="1" xr3:uid="{95AB886A-73C0-41DB-A42E-493E834F50C0}" name="Column1" headerRowDxfId="2360" dataDxfId="2359"/>
    <tableColumn id="2" xr3:uid="{FEAE6EEE-E9E8-4FE6-A542-373BE4247291}" name="Column2" headerRowDxfId="2358" dataDxfId="2357"/>
    <tableColumn id="3" xr3:uid="{43AABB1A-9B99-4FEA-860F-FDCE9BF60DF6}" name="Column3" headerRowDxfId="2356" dataDxfId="2355"/>
  </tableColumns>
  <tableStyleInfo name="TableStyleMedium2" showFirstColumn="0" showLastColumn="0" showRowStripes="1" showColumnStripes="0"/>
</table>
</file>

<file path=xl/tables/table6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2" xr:uid="{C2441A14-5E3A-4437-A5EB-DC1B2D9F6605}" name="Table58357471813870927343" displayName="Table58357471813870927343" ref="CB104:CD111" headerRowCount="0" totalsRowShown="0" headerRowDxfId="2354" dataDxfId="2353">
  <tableColumns count="3">
    <tableColumn id="1" xr3:uid="{B96D3788-B053-488E-9DA4-EF056F40E4C4}" name="Column1" headerRowDxfId="2352" dataDxfId="2351"/>
    <tableColumn id="2" xr3:uid="{DFB7457B-59D7-413F-839E-63DC2CAC2D26}" name="Column2" headerRowDxfId="2350" dataDxfId="2349"/>
    <tableColumn id="3" xr3:uid="{06B6B4E4-2FE9-48EF-81F6-64DE518AECC5}" name="Column3" headerRowDxfId="2348" dataDxfId="2347"/>
  </tableColumns>
  <tableStyleInfo name="TableStyleMedium2" showFirstColumn="0" showLastColumn="0" showRowStripes="1" showColumnStripes="0"/>
</table>
</file>

<file path=xl/tables/table6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3" xr:uid="{DC4E061E-1567-4AA2-B073-FE0560A259BE}" name="Table59358472814871928344" displayName="Table59358472814871928344" ref="CB113:CD119" headerRowCount="0" totalsRowShown="0" headerRowDxfId="2346" dataDxfId="2345">
  <tableColumns count="3">
    <tableColumn id="1" xr3:uid="{C4668914-0EE3-4F28-9396-C6A0015F008D}" name="Column1" headerRowDxfId="2344" dataDxfId="2343"/>
    <tableColumn id="2" xr3:uid="{29B1C1BC-EEAE-4B2A-B12A-F08689699EAB}" name="Column2" headerRowDxfId="2342" dataDxfId="2341"/>
    <tableColumn id="3" xr3:uid="{F674BC3F-C7F5-4074-8F45-477EE0DF6765}" name="Column3" headerRowDxfId="2340" dataDxfId="2339"/>
  </tableColumns>
  <tableStyleInfo name="TableStyleMedium2" showFirstColumn="0" showLastColumn="0" showRowStripes="1" showColumnStripes="0"/>
</table>
</file>

<file path=xl/tables/table6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4" xr:uid="{D2AF0FD9-2E9C-4EE0-84D4-1FB71E08FB25}" name="Table81359473815872929345" displayName="Table81359473815872929345" ref="CB9:CD27" headerRowCount="0" totalsRowShown="0" headerRowDxfId="2338" dataDxfId="2337">
  <tableColumns count="3">
    <tableColumn id="1" xr3:uid="{21FCD0CB-377B-4AE8-92AA-B8A445DB5102}" name="Column1" headerRowDxfId="2336" dataDxfId="2335"/>
    <tableColumn id="2" xr3:uid="{EBC0FBEC-5D9A-4115-9E79-63883DAEEE26}" name="Column2" headerRowDxfId="2334" dataDxfId="2333"/>
    <tableColumn id="3" xr3:uid="{6CBE3F2D-6E4A-43FE-8914-8C8F8D54E5C3}" name="Column3" headerRowDxfId="2332" dataDxfId="2331">
      <calculatedColumnFormula>RAND()</calculatedColumnFormula>
    </tableColumn>
  </tableColumns>
  <tableStyleInfo name="TableStyleMedium2" showFirstColumn="0" showLastColumn="0" showRowStripes="1" showColumnStripes="0"/>
</table>
</file>

<file path=xl/tables/table6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5" xr:uid="{4C27D177-614E-4DF9-A6FF-0C8A46F7343B}" name="Table264360474816873930346" displayName="Table264360474816873930346" ref="B14:B19" headerRowCount="0" totalsRowShown="0" headerRowDxfId="2330" dataDxfId="2329" tableBorderDxfId="2328">
  <tableColumns count="1">
    <tableColumn id="1" xr3:uid="{EF1459E4-E2F7-4097-97AE-727625F19EF5}" name="Column1" headerRowDxfId="2327" dataDxfId="2326"/>
  </tableColumns>
  <tableStyleInfo name="TableStyleMedium2" showFirstColumn="0" showLastColumn="0" showRowStripes="1" showColumnStripes="0"/>
</table>
</file>

<file path=xl/tables/table6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6" xr:uid="{37A7802E-DF78-4F5B-915E-55DC2E630113}" name="Table265361475817874931347" displayName="Table265361475817874931347" ref="S17:S26" headerRowCount="0" totalsRowShown="0" headerRowDxfId="2325" dataDxfId="2324" tableBorderDxfId="2323">
  <tableColumns count="1">
    <tableColumn id="1" xr3:uid="{C05E2C6E-6233-421A-ABFC-B1F53DC30AD9}" name="Column1" headerRowDxfId="2322" dataDxfId="2321"/>
  </tableColumns>
  <tableStyleInfo name="TableStyleMedium2" showFirstColumn="0" showLastColumn="0" showRowStripes="1" showColumnStripes="0"/>
</table>
</file>

<file path=xl/tables/table6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7" xr:uid="{2D39D4BD-8190-4B5F-8E14-33718E8E0A48}" name="Table266362476818875932348" displayName="Table266362476818875932348" ref="O75:O85" headerRowCount="0" totalsRowShown="0" headerRowDxfId="2320" dataDxfId="2319" tableBorderDxfId="2318">
  <tableColumns count="1">
    <tableColumn id="1" xr3:uid="{0808E274-9A35-4F52-ABBC-29CEFF1F7509}" name="Column1" headerRowDxfId="2317" dataDxfId="2316"/>
  </tableColumns>
  <tableStyleInfo name="TableStyleMedium2" showFirstColumn="0" showLastColumn="0" showRowStripes="1" showColumnStripes="0"/>
</table>
</file>

<file path=xl/tables/table6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8" xr:uid="{6CDA014B-2D52-4D74-A227-B84713D77C23}" name="Table268363477819876933349" displayName="Table268363477819876933349" ref="O14:O35" headerRowCount="0" totalsRowShown="0" headerRowDxfId="2315" dataDxfId="2314" tableBorderDxfId="2313">
  <tableColumns count="1">
    <tableColumn id="1" xr3:uid="{B0C15781-677F-49F8-972E-265381ACACAF}" name="Column1" headerRowDxfId="2312" dataDxfId="2311"/>
  </tableColumns>
  <tableStyleInfo name="TableStyleMedium2" showFirstColumn="0" showLastColumn="0" showRowStripes="1" showColumnStripes="0"/>
</table>
</file>

<file path=xl/tables/table6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9" xr:uid="{C7D4FE2C-CCF6-4DA2-85AE-B13BFB70950A}" name="Table271364478820877934350" displayName="Table271364478820877934350" ref="Q14:Q30" headerRowCount="0" totalsRowShown="0" headerRowDxfId="2310" dataDxfId="2309" tableBorderDxfId="2308">
  <tableColumns count="1">
    <tableColumn id="1" xr3:uid="{C525C8B8-BA66-4ADB-B767-D29FC22F25FA}" name="Column1" headerRowDxfId="2307" dataDxfId="2306"/>
  </tableColumns>
  <tableStyleInfo name="TableStyleMedium2" showFirstColumn="0" showLastColumn="0" showRowStripes="1" showColumnStripes="0"/>
</table>
</file>

<file path=xl/tables/table6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0" xr:uid="{A115DF44-D4A1-4592-BF0D-9F6164CD98F3}" name="Table272365479821878935351" displayName="Table272365479821878935351" ref="S10:S12" headerRowCount="0" totalsRowShown="0" headerRowDxfId="2305" dataDxfId="2304" tableBorderDxfId="2303">
  <tableColumns count="1">
    <tableColumn id="1" xr3:uid="{66126257-4F22-485B-A78B-0D335170CAC9}" name="Column1" headerRowDxfId="2302" dataDxfId="2301"/>
  </tableColumns>
  <tableStyleInfo name="TableStyleMedium2" showFirstColumn="0" showLastColumn="0" showRowStripes="1" showColumnStripes="0"/>
</table>
</file>

<file path=xl/tables/table6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1" xr:uid="{04AF9A1F-1C1B-4DE4-9AA1-2752FD736B1B}" name="Table273366480822879936352" displayName="Table273366480822879936352" ref="S14:S16" headerRowCount="0" totalsRowShown="0" headerRowDxfId="2300" dataDxfId="2299" tableBorderDxfId="2298">
  <tableColumns count="1">
    <tableColumn id="1" xr3:uid="{94CC9867-ED7B-4DF2-A49F-EF535A32725A}" name="Column1" headerRowDxfId="2297" dataDxfId="2296"/>
  </tableColumns>
  <tableStyleInfo name="TableStyleMedium2" showFirstColumn="0" showLastColumn="0" showRowStripes="1" showColumnStripes="0"/>
</table>
</file>

<file path=xl/tables/table6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2" xr:uid="{0019C95D-D53C-46D1-9661-0884B3112349}" name="Table274367481823880937353" displayName="Table274367481823880937353" ref="P14:P28" headerRowCount="0" totalsRowShown="0" headerRowDxfId="2295" dataDxfId="2294" tableBorderDxfId="2293">
  <tableColumns count="1">
    <tableColumn id="1" xr3:uid="{510C68BC-1D58-4B7E-A079-55C7B8768C17}" name="Column1" headerRowDxfId="2292" dataDxfId="2291"/>
  </tableColumns>
  <tableStyleInfo name="TableStyleMedium2" showFirstColumn="0" showLastColumn="0" showRowStripes="1" showColumnStripes="0"/>
</table>
</file>

<file path=xl/tables/table6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3" xr:uid="{7E3B00C5-A863-4D5E-864D-67253C6E5DBB}" name="Table275368482824881938354" displayName="Table275368482824881938354" ref="R14:R26" headerRowCount="0" totalsRowShown="0" headerRowDxfId="2290" dataDxfId="2289" tableBorderDxfId="2288">
  <tableColumns count="1">
    <tableColumn id="1" xr3:uid="{B261A368-1EB7-4099-896F-DE6747B65FE6}" name="Column1" headerRowDxfId="2287" dataDxfId="2286"/>
  </tableColumns>
  <tableStyleInfo name="TableStyleMedium2" showFirstColumn="0" showLastColumn="0" showRowStripes="1" showColumnStripes="0"/>
</table>
</file>

<file path=xl/tables/table6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4" xr:uid="{538A33E3-5294-4729-AD52-CE313D112849}" name="Table276369483825882939355" displayName="Table276369483825882939355" ref="B37:P43" headerRowCount="0" totalsRowShown="0" headerRowDxfId="2285" dataDxfId="2284">
  <tableColumns count="15">
    <tableColumn id="2" xr3:uid="{679A5F32-40D0-464F-9D8B-871D5A801751}" name="Column2" headerRowDxfId="2283" dataDxfId="2282"/>
    <tableColumn id="3" xr3:uid="{9FB78B29-0559-41E9-BA89-FFB01589C906}" name="Column3" headerRowDxfId="2281" dataDxfId="2280"/>
    <tableColumn id="4" xr3:uid="{5C701731-6B7D-464C-AC48-5D5B123A38B0}" name="Column4" headerRowDxfId="2279" dataDxfId="2278"/>
    <tableColumn id="5" xr3:uid="{6BEDBEFA-CEF0-4304-87DA-8C750361A1A7}" name="Column5" headerRowDxfId="2277" dataDxfId="2276"/>
    <tableColumn id="6" xr3:uid="{DCCF5FCC-0E10-41A8-A06A-B790CF2D8A68}" name="Column6" headerRowDxfId="2275" dataDxfId="2274"/>
    <tableColumn id="7" xr3:uid="{90E2BCDF-8375-4081-94EA-B514112C5D86}" name="Column7" headerRowDxfId="2273" dataDxfId="2272"/>
    <tableColumn id="8" xr3:uid="{8A588814-A5C9-4C46-AE5D-52862B17467E}" name="Column8" headerRowDxfId="2271" dataDxfId="2270"/>
    <tableColumn id="9" xr3:uid="{A7A2F081-5132-4D62-AA03-BA257C181785}" name="Column9" headerRowDxfId="2269" dataDxfId="2268"/>
    <tableColumn id="10" xr3:uid="{5D719DD9-D20E-41E3-B78D-F139C984B7BF}" name="Column10" headerRowDxfId="2267" dataDxfId="2266">
      <calculatedColumnFormula>RANDBETWEEN(1,6)</calculatedColumnFormula>
    </tableColumn>
    <tableColumn id="11" xr3:uid="{EDA49001-EA26-4CF3-AD8F-90248D4DF4A2}" name="Column11" headerRowDxfId="2265" dataDxfId="2264">
      <calculatedColumnFormula>RANDBETWEEN(1,6)</calculatedColumnFormula>
    </tableColumn>
    <tableColumn id="12" xr3:uid="{92F522AB-98DB-40C2-B953-4BA6A3E31FBE}" name="Column12" headerRowDxfId="2263" dataDxfId="2262">
      <calculatedColumnFormula>RANDBETWEEN(1,6)</calculatedColumnFormula>
    </tableColumn>
    <tableColumn id="13" xr3:uid="{BB406B5A-F266-49AE-8D7B-4F6063DFD706}" name="Column13" headerRowDxfId="2261" dataDxfId="2260">
      <calculatedColumnFormula>RANDBETWEEN(1,6)</calculatedColumnFormula>
    </tableColumn>
    <tableColumn id="14" xr3:uid="{AC517E95-52BF-417E-B9C6-C0CC451E5829}" name="Column14" headerRowDxfId="2259" dataDxfId="2258"/>
    <tableColumn id="15" xr3:uid="{65EB592F-D2A0-49FF-A950-755A980C2748}" name="Column15" headerRowDxfId="2257" dataDxfId="2256"/>
    <tableColumn id="16" xr3:uid="{B0BA2BDD-1240-4CAC-B040-34BD7F642629}" name="Column16" headerRowDxfId="2255" dataDxfId="2254">
      <calculatedColumnFormula>VLOOKUP(O37,Table1[],2)</calculatedColumnFormula>
    </tableColumn>
  </tableColumns>
  <tableStyleInfo name="TableStyleMedium2" showFirstColumn="0" showLastColumn="0" showRowStripes="1" showColumnStripes="0"/>
</table>
</file>

<file path=xl/tables/table6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5" xr:uid="{3C3FB248-3043-4608-8B7C-DC57F500EACF}" name="Table277370484826883940356" displayName="Table277370484826883940356" ref="B45:P51" headerRowCount="0" totalsRowShown="0" headerRowDxfId="2253" dataDxfId="2252" tableBorderDxfId="2251">
  <tableColumns count="15">
    <tableColumn id="2" xr3:uid="{CBC1EEB6-8AAC-4FA1-95B0-D57E8EA9468B}" name="Column2" headerRowDxfId="2250" dataDxfId="2249"/>
    <tableColumn id="3" xr3:uid="{8F06C5E9-837F-46C1-BFA7-D78DB5D5BF27}" name="Column3" headerRowDxfId="2248" dataDxfId="2247"/>
    <tableColumn id="4" xr3:uid="{6B6BC8A3-4848-4ED0-B61C-2BA724780736}" name="Column4" headerRowDxfId="2246" dataDxfId="2245"/>
    <tableColumn id="5" xr3:uid="{F969C936-F126-437D-A3EB-74F953254E6C}" name="Column5" headerRowDxfId="2244" dataDxfId="2243"/>
    <tableColumn id="6" xr3:uid="{CE36DE31-39E0-466C-9422-0B2B84325549}" name="Column6" headerRowDxfId="2242" dataDxfId="2241"/>
    <tableColumn id="7" xr3:uid="{FC9D762F-8B4F-4169-8E43-A12B7341394E}" name="Column7" headerRowDxfId="2240" dataDxfId="2239"/>
    <tableColumn id="8" xr3:uid="{643A63C9-F30C-47F7-A2D9-B2D92B405EE3}" name="Column8" headerRowDxfId="2238" dataDxfId="2237"/>
    <tableColumn id="9" xr3:uid="{0DAE38C5-5078-4BEE-B323-CB804460570D}" name="Column9" headerRowDxfId="2236" dataDxfId="2235"/>
    <tableColumn id="10" xr3:uid="{7C0006BA-7AD2-4515-BD07-6D5DF95A9631}" name="Column10" headerRowDxfId="2234" dataDxfId="2233"/>
    <tableColumn id="11" xr3:uid="{703D5667-F3F6-4DFC-86E6-F7E4A2DAE289}" name="Column11" headerRowDxfId="2232" dataDxfId="2231"/>
    <tableColumn id="12" xr3:uid="{26209023-E5D2-412A-8B30-C93918BDC28E}" name="Column12" headerRowDxfId="2230" dataDxfId="2229"/>
    <tableColumn id="13" xr3:uid="{3A382F2F-D916-41D8-B2C4-B30A40411ACB}" name="Column13" headerRowDxfId="2228" dataDxfId="2227"/>
    <tableColumn id="14" xr3:uid="{1EBF910E-DEA7-47D6-9982-5745A195A5FE}" name="Column14" headerRowDxfId="2226" dataDxfId="2225"/>
    <tableColumn id="15" xr3:uid="{989236CB-AA46-42E4-AD50-554D0D49BDFD}" name="Column15" headerRowDxfId="2224" dataDxfId="2223"/>
    <tableColumn id="16" xr3:uid="{BFB343AD-DD4E-4370-A97F-708A67D318CA}" name="Column16" headerRowDxfId="2222" dataDxfId="2221">
      <calculatedColumnFormula>IF(O45="x",SUM(P37,$P$8),P37)</calculatedColumnFormula>
    </tableColumn>
  </tableColumns>
  <tableStyleInfo name="TableStyleMedium2" showFirstColumn="0" showLastColumn="0" showRowStripes="1" showColumnStripes="0"/>
</table>
</file>

<file path=xl/tables/table6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6" xr:uid="{1FC01702-018F-4779-AD93-5751E4A95F74}" name="Table278371485827884941357" displayName="Table278371485827884941357" ref="O1:Q3" headerRowCount="0" totalsRowShown="0" headerRowDxfId="2220" dataDxfId="2219">
  <tableColumns count="3">
    <tableColumn id="15" xr3:uid="{B6C0CBED-3A07-4564-8168-390ECD422035}" name="Column15" headerRowDxfId="2218" dataDxfId="2217"/>
    <tableColumn id="16" xr3:uid="{A176F85B-AC1C-4FBE-97E9-6351CF096B12}" name="Column16" headerRowDxfId="2216" dataDxfId="2215"/>
    <tableColumn id="17" xr3:uid="{2471328F-2BA2-47E0-8F19-1884871E4C06}" name="Column17" headerRowDxfId="2214" dataDxfId="2213"/>
  </tableColumns>
  <tableStyleInfo name="TableStyleMedium2" showFirstColumn="0" showLastColumn="0" showRowStripes="1" showColumnStripes="0"/>
</table>
</file>

<file path=xl/tables/table6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8" xr:uid="{64D1CA39-D0A5-4864-9FAC-4EED00FDADEC}" name="Table282373487829886943359" displayName="Table282373487829886943359" ref="B53:P72" headerRowCount="0" totalsRowShown="0" headerRowDxfId="2212" dataDxfId="2211">
  <tableColumns count="15">
    <tableColumn id="2" xr3:uid="{2866B1B9-9975-40D2-B92C-729FB73F2795}" name="Column2" headerRowDxfId="2210" dataDxfId="2209"/>
    <tableColumn id="3" xr3:uid="{28798424-E9A6-4C5B-9FE1-D9B4E506C318}" name="Column3" headerRowDxfId="2208" dataDxfId="2207"/>
    <tableColumn id="4" xr3:uid="{778FDB0A-A6D5-42A1-A942-BD324FE2573A}" name="Column4" headerRowDxfId="2206" dataDxfId="2205"/>
    <tableColumn id="5" xr3:uid="{45FAFED4-6ABD-447C-80AB-628EC0706618}" name="Column5" headerRowDxfId="2204" dataDxfId="2203"/>
    <tableColumn id="6" xr3:uid="{7CC8F883-455A-4360-826D-3E4180260877}" name="Column6" headerRowDxfId="2202" dataDxfId="2201"/>
    <tableColumn id="7" xr3:uid="{ABBEBC47-AE46-4B56-95B7-9449D3C8F63A}" name="Column7" headerRowDxfId="2200" dataDxfId="2199"/>
    <tableColumn id="8" xr3:uid="{4AAC4DF1-D73D-4D6A-A5E3-0AFB3C923EA1}" name="Column8" headerRowDxfId="2198" dataDxfId="2197"/>
    <tableColumn id="9" xr3:uid="{DB2E0A84-8B8B-48F0-B2D1-142522B46668}" name="Column9" headerRowDxfId="2196" dataDxfId="2195"/>
    <tableColumn id="10" xr3:uid="{318CB301-86C7-44B4-A9DC-CEFEB5D1E758}" name="Column10" headerRowDxfId="2194" dataDxfId="2193"/>
    <tableColumn id="11" xr3:uid="{15191531-AA49-4802-88D7-081869D4CFD3}" name="Column11" headerRowDxfId="2192" dataDxfId="2191"/>
    <tableColumn id="12" xr3:uid="{0DB349B9-A9E5-4C26-827A-31DCABB21F45}" name="Column12" headerRowDxfId="2190" dataDxfId="2189"/>
    <tableColumn id="13" xr3:uid="{4ACBAE47-952D-4C52-952A-D59B17F24E33}" name="Column13" headerRowDxfId="2188" dataDxfId="2187"/>
    <tableColumn id="14" xr3:uid="{B5909A69-97D5-415A-B3E8-C5C42F7C451F}" name="Column14" headerRowDxfId="2186" dataDxfId="2185"/>
    <tableColumn id="15" xr3:uid="{0BB06C2F-C606-4D94-B1DE-3C95284C9DA6}" name="Column15" headerRowDxfId="2184" dataDxfId="2183"/>
    <tableColumn id="16" xr3:uid="{26F9258B-7162-4A83-960C-90CBEA41708A}" name="Column16" headerRowDxfId="2182" dataDxfId="2181"/>
  </tableColumns>
  <tableStyleInfo name="TableStyleMedium2" showFirstColumn="0" showLastColumn="0" showRowStripes="1" showColumnStripes="0"/>
</table>
</file>

<file path=xl/tables/table6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9" xr:uid="{B7518410-309A-424D-8BD5-418BA0074F6D}" name="Table283374488830887944360" displayName="Table283374488830887944360" ref="B75:B79" headerRowCount="0" totalsRowShown="0" headerRowDxfId="2180" dataDxfId="2179" tableBorderDxfId="2178">
  <tableColumns count="1">
    <tableColumn id="1" xr3:uid="{17BCA8EA-727C-48AF-AEDB-DEEE666DDDC3}" name="Column1" headerRowDxfId="2177" dataDxfId="2176"/>
  </tableColumns>
  <tableStyleInfo name="TableStyleMedium2" showFirstColumn="0" showLastColumn="0" showRowStripes="1" showColumnStripes="0"/>
</table>
</file>

<file path=xl/tables/table6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0" xr:uid="{87CCFCB0-04D2-43B9-AD77-1B9880297C09}" name="Table293375489831888945361" displayName="Table293375489831888945361" ref="AO44:AQ59" headerRowCount="0" totalsRowShown="0" headerRowDxfId="2175" dataDxfId="2174">
  <tableColumns count="3">
    <tableColumn id="1" xr3:uid="{D45CBFC7-5045-488D-A42A-89DE5E877B83}" name="Column1" headerRowDxfId="2173" dataDxfId="2172"/>
    <tableColumn id="2" xr3:uid="{968C5399-E8D6-4252-888D-FB84692981B5}" name="Column2" headerRowDxfId="2171" dataDxfId="2170">
      <calculatedColumnFormula>IF(Table200335449791848905314[[#This Row],[Column3]]=" ", 0,RAND())</calculatedColumnFormula>
    </tableColumn>
    <tableColumn id="3" xr3:uid="{1AF3013A-8C81-445B-B4CB-3782DBCEEE36}" name="Column3" headerRowDxfId="2169" dataDxfId="2168">
      <calculatedColumnFormula>O28</calculatedColumnFormula>
    </tableColumn>
  </tableColumns>
  <tableStyleInfo name="TableStyleMedium2" showFirstColumn="0" showLastColumn="0" showRowStripes="1" showColumnStripes="0"/>
</table>
</file>

<file path=xl/tables/table6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3" xr:uid="{BB6EFA96-ABB5-4636-A48B-4612D650A4F6}" name="Table302378492834891948364" displayName="Table302378492834891948364" ref="B102:P109" headerRowCount="0" totalsRowShown="0" headerRowDxfId="2167" dataDxfId="2166" tableBorderDxfId="2165">
  <tableColumns count="15">
    <tableColumn id="2" xr3:uid="{423F01A6-9A72-4005-BE53-69A2AEF7EFB8}" name="Column2" headerRowDxfId="2164" dataDxfId="2163"/>
    <tableColumn id="3" xr3:uid="{D8E21094-0418-48E6-B11E-9095AA23E307}" name="Column3" headerRowDxfId="2162" dataDxfId="2161"/>
    <tableColumn id="4" xr3:uid="{FA1E3CBF-141F-4DD6-99FD-963167A27563}" name="Column4" headerRowDxfId="2160" dataDxfId="2159"/>
    <tableColumn id="5" xr3:uid="{34B42851-B6FE-4BB6-BBCC-3A9B73D6C5D9}" name="Column5" headerRowDxfId="2158" dataDxfId="2157"/>
    <tableColumn id="6" xr3:uid="{AD486FEB-6F27-41EB-ABF2-E1D3988266A2}" name="Column6" headerRowDxfId="2156" dataDxfId="2155"/>
    <tableColumn id="7" xr3:uid="{7AC6858B-082D-4372-95E2-D350A1B31F04}" name="Column7" headerRowDxfId="2154" dataDxfId="2153"/>
    <tableColumn id="8" xr3:uid="{88FEFF8E-E6D7-4529-8A73-8F570C016F5E}" name="Column8" headerRowDxfId="2152" dataDxfId="2151"/>
    <tableColumn id="9" xr3:uid="{72A6AAED-9CE2-4EAB-97AA-26061750A9A1}" name="Column9" headerRowDxfId="2150" dataDxfId="2149"/>
    <tableColumn id="10" xr3:uid="{C6E71EE0-8EE6-4538-BE31-D74A7176303B}" name="Column10" headerRowDxfId="2148" dataDxfId="2147"/>
    <tableColumn id="11" xr3:uid="{E6ACF2BE-E67B-44A4-ADF9-695CEC851839}" name="Column11" headerRowDxfId="2146" dataDxfId="2145"/>
    <tableColumn id="12" xr3:uid="{05226877-E079-4093-90E0-70A0F03ACB01}" name="Column12" headerRowDxfId="2144" dataDxfId="2143"/>
    <tableColumn id="13" xr3:uid="{637BA8EE-B663-4DC6-B6C8-84599E401945}" name="Column13" headerRowDxfId="2142" dataDxfId="2141"/>
    <tableColumn id="14" xr3:uid="{A61A50C2-0B0D-4BC2-829F-0ED702B91A7C}" name="Column14" headerRowDxfId="2140" dataDxfId="2139"/>
    <tableColumn id="15" xr3:uid="{521A04F4-B653-4417-A150-FDC9260A9285}" name="Column15" headerRowDxfId="2138" dataDxfId="2137"/>
    <tableColumn id="16" xr3:uid="{B5C9A034-1432-4FDC-BF0C-86A679BD505E}" name="Column16" headerRowDxfId="2136" dataDxfId="2135"/>
  </tableColumns>
  <tableStyleInfo name="TableStyleMedium2" showFirstColumn="0" showLastColumn="0" showRowStripes="1" showColumnStripes="0"/>
</table>
</file>

<file path=xl/tables/table6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4" xr:uid="{DD9F4F55-E1DC-4438-8FC3-CF1587F1BC06}" name="Table303379493835892949365" displayName="Table303379493835892949365" ref="Q102:Q107" headerRowCount="0" totalsRowShown="0" headerRowDxfId="2134" dataDxfId="2133" tableBorderDxfId="2132">
  <tableColumns count="1">
    <tableColumn id="1" xr3:uid="{EAA08A51-48D7-4E11-B4E8-1DBD2D38B5E7}" name="Column1" headerRowDxfId="2131" dataDxfId="2130"/>
  </tableColumns>
  <tableStyleInfo name="TableStyleMedium2" showFirstColumn="0" showLastColumn="0" showRowStripes="1" showColumnStripes="0"/>
</table>
</file>

<file path=xl/tables/table6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5" xr:uid="{128265FA-35E3-41F1-8846-1AFEE492CF55}" name="Table304380494836893950366" displayName="Table304380494836893950366" ref="R102:R103" headerRowCount="0" totalsRowShown="0" headerRowDxfId="2129" dataDxfId="2128" tableBorderDxfId="2127">
  <tableColumns count="1">
    <tableColumn id="1" xr3:uid="{F991B90F-5744-4504-86D2-B6C22FB99DD4}" name="Column1" headerRowDxfId="2126" dataDxfId="2125"/>
  </tableColumns>
  <tableStyleInfo name="TableStyleMedium2" showFirstColumn="0" showLastColumn="0" showRowStripes="1" showColumnStripes="0"/>
</table>
</file>

<file path=xl/tables/table6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6" xr:uid="{848930D0-8E92-43A9-8654-57035FED25D9}" name="Table305381495837894951367" displayName="Table305381495837894951367" ref="R104:R105" headerRowCount="0" totalsRowShown="0" headerRowDxfId="2124" dataDxfId="2123" tableBorderDxfId="2122">
  <tableColumns count="1">
    <tableColumn id="1" xr3:uid="{71D41019-5E74-4E3B-9933-5381D6ED5BBB}" name="Column1" headerRowDxfId="2121" dataDxfId="2120">
      <calculatedColumnFormula>IF(COUNTIF(B91:B93,"*"&amp;"sling"&amp;"*"),RANDBETWEEN(6,13)&amp;" Sling Bullets"," ")</calculatedColumnFormula>
    </tableColumn>
  </tableColumns>
  <tableStyleInfo name="TableStyleMedium2" showFirstColumn="0" showLastColumn="0" showRowStripes="1" showColumnStripes="0"/>
</table>
</file>

<file path=xl/tables/table6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7" xr:uid="{CCD21BDA-6440-4045-9C9E-642800D750E8}" name="Table306382496838895952368" displayName="Table306382496838895952368" ref="R106:R107" headerRowCount="0" totalsRowShown="0" headerRowDxfId="2119" dataDxfId="2118" tableBorderDxfId="2117">
  <tableColumns count="1">
    <tableColumn id="1" xr3:uid="{73B7DED3-7D80-410D-9109-58BD5BDC68D0}" name="Column1" headerRowDxfId="2116" dataDxfId="2115">
      <calculatedColumnFormula>IF(COUNTIF(B91:B93,"*"&amp;"longbow"&amp;"*"),RANDBETWEEN(10,24)&amp;" Arrows",IF(COUNTIF(B91:B93,"*"&amp;"shortbow"&amp;"*"),RANDBETWEEN(10,24)&amp;" Arrows",IF(COUNTIF(B91:B93,"*"&amp;"light crossbow"&amp;"*"),RANDBETWEEN(10,24)&amp;" Bolts",IF(COUNTIF(B91:B93,"*"&amp;"hand crossbow"&amp;"*"),RANDBETWEEN(10,24)&amp;" Bolts",IF(COUNTIF(B91:B93,"*"&amp;"heavy crossbow"&amp;"*"),RANDBETWEEN(10,24)&amp;" Bolts"," ")))))</calculatedColumnFormula>
    </tableColumn>
  </tableColumns>
  <tableStyleInfo name="TableStyleMedium2" showFirstColumn="0" showLastColumn="0" showRowStripes="1" showColumnStripes="0"/>
</table>
</file>

<file path=xl/tables/table6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4" xr:uid="{D9578ED9-D251-49C7-9EB1-EC0FD0F434B0}" name="Table300376490832889946362418294927945" displayName="Table300376490832889946362418294927945" ref="B88:T90" headerRowCount="0" totalsRowShown="0" headerRowDxfId="2114" dataDxfId="2113" tableBorderDxfId="2112">
  <tableColumns count="19">
    <tableColumn id="2" xr3:uid="{209A54DF-2F18-4CF6-8609-EF354D5D737F}" name="Column2" headerRowDxfId="2111" dataDxfId="2110"/>
    <tableColumn id="3" xr3:uid="{B5383005-DC6C-4BD3-BBE5-F5127B736D37}" name="Column3" headerRowDxfId="2109" dataDxfId="2108"/>
    <tableColumn id="4" xr3:uid="{5F9FA1FB-2E98-4386-89F2-8ABB6AED558D}" name="Column4" headerRowDxfId="2107" dataDxfId="2106"/>
    <tableColumn id="5" xr3:uid="{FC37B3C8-6B63-401D-9CCE-91B6EE2C6D79}" name="Column5" headerRowDxfId="2105" dataDxfId="2104"/>
    <tableColumn id="6" xr3:uid="{2558DF12-CA02-4AAC-B24C-598037BC4639}" name="Column6" headerRowDxfId="2103" dataDxfId="2102"/>
    <tableColumn id="7" xr3:uid="{2864B13B-E6AF-4797-82D1-FD82A3AF6EF2}" name="Column7" headerRowDxfId="2101" dataDxfId="2100"/>
    <tableColumn id="8" xr3:uid="{2E378AF4-05C1-4390-BA7F-2E004A74740E}" name="Column8" headerRowDxfId="2099" dataDxfId="2098"/>
    <tableColumn id="9" xr3:uid="{976D71B0-83FF-4F1D-AA53-4872A0496B9E}" name="Column9" headerRowDxfId="2097" dataDxfId="2096"/>
    <tableColumn id="10" xr3:uid="{D476A2EF-CF22-4687-B8A3-EDB1947951DB}" name="Column10" headerRowDxfId="2095" dataDxfId="2094"/>
    <tableColumn id="11" xr3:uid="{CC492027-346C-4850-A1D5-1475141C80E6}" name="Column11" headerRowDxfId="2093" dataDxfId="2092"/>
    <tableColumn id="12" xr3:uid="{A1CC288F-2FA0-45D6-8BA0-7B99344C06F6}" name="Column12" headerRowDxfId="2091" dataDxfId="2090"/>
    <tableColumn id="13" xr3:uid="{942E94DA-7217-4F15-8637-5B4FFFA7A14C}" name="Column13" headerRowDxfId="2089" dataDxfId="2088"/>
    <tableColumn id="14" xr3:uid="{EEA77465-4E6D-4A55-B910-48AD0C231C11}" name="Column14" headerRowDxfId="2087" dataDxfId="2086"/>
    <tableColumn id="15" xr3:uid="{6A7271C4-10E7-422D-822B-2C5AB96EF3F8}" name="Column15" headerRowDxfId="2085" dataDxfId="2084"/>
    <tableColumn id="16" xr3:uid="{467A9B50-3ABB-4D34-AB53-F1F583C78F85}" name="Column16" headerRowDxfId="2083" dataDxfId="2082"/>
    <tableColumn id="17" xr3:uid="{09DD4A94-9CAF-47E3-9A90-829BF5C53800}" name="Column17" headerRowDxfId="2081" dataDxfId="2080"/>
    <tableColumn id="18" xr3:uid="{8E5E3A73-1106-4AD0-AE76-4605D8E65BBE}" name="Column18" headerRowDxfId="2079" dataDxfId="2078"/>
    <tableColumn id="19" xr3:uid="{F9A4E682-AD6A-4024-9A6F-C6C4E90DA5A9}" name="Column19" headerRowDxfId="2077" dataDxfId="2076"/>
    <tableColumn id="20" xr3:uid="{933F4D03-E825-45F9-8431-906C28E75F31}" name="Column20" headerRowDxfId="2075" dataDxfId="2074"/>
  </tableColumns>
  <tableStyleInfo name="TableStyleMedium2" showFirstColumn="0" showLastColumn="0" showRowStripes="1" showColumnStripes="0"/>
</table>
</file>

<file path=xl/tables/table6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5" xr:uid="{AD50A3C5-0EEB-4EA5-8FD5-EE72285DD3C3}" name="Table301377491833890947363419301928946" displayName="Table301377491833890947363419301928946" ref="B91:S100" headerRowCount="0" totalsRowShown="0" headerRowDxfId="2073" dataDxfId="2072" tableBorderDxfId="2071">
  <tableColumns count="18">
    <tableColumn id="2" xr3:uid="{3A8502B7-38B7-482C-BBD7-54B8801EBE78}" name="Column2" headerRowDxfId="2070" dataDxfId="2069"/>
    <tableColumn id="3" xr3:uid="{A5969C41-21A0-46CD-8EBB-58BA384AE1C4}" name="Column3" headerRowDxfId="2068" dataDxfId="2067"/>
    <tableColumn id="4" xr3:uid="{752A82F5-00DC-43B2-BE8D-5F8DB7750FF8}" name="Column4" headerRowDxfId="2066" dataDxfId="2065"/>
    <tableColumn id="5" xr3:uid="{86C9B6E0-5FD5-4A83-B15D-2952140C831E}" name="Column5" headerRowDxfId="2064" dataDxfId="2063"/>
    <tableColumn id="6" xr3:uid="{D3E2B310-C650-4AD3-870F-F1F73A910BE8}" name="Column6" headerRowDxfId="2062" dataDxfId="2061"/>
    <tableColumn id="7" xr3:uid="{0BCC4680-3201-4254-9682-6A27217DAEDA}" name="Column7" headerRowDxfId="2060" dataDxfId="2059"/>
    <tableColumn id="8" xr3:uid="{69FE838A-208B-41D1-9BC3-8286EB7A6852}" name="Column8" headerRowDxfId="2058" dataDxfId="2057"/>
    <tableColumn id="9" xr3:uid="{6BE96C87-00BB-43FC-BCCB-6CFBC2B851CE}" name="Column9" headerRowDxfId="2056" dataDxfId="2055"/>
    <tableColumn id="10" xr3:uid="{41B17FBC-499C-4290-941B-CBCB2D0493A5}" name="Column10" headerRowDxfId="2054" dataDxfId="2053"/>
    <tableColumn id="11" xr3:uid="{E789F0AE-B137-44B8-BB46-3C23E7FD2B8D}" name="Column11" headerRowDxfId="2052" dataDxfId="2051"/>
    <tableColumn id="12" xr3:uid="{9F8505CE-4F64-47D7-96E8-0AFA60041221}" name="Column12" headerRowDxfId="2050" dataDxfId="2049"/>
    <tableColumn id="13" xr3:uid="{CD1750DB-84C5-4519-9BA1-9077218DADE2}" name="Column13" headerRowDxfId="2048" dataDxfId="2047"/>
    <tableColumn id="14" xr3:uid="{938CFC12-E444-4C04-9850-B133082DE3DB}" name="Column14" headerRowDxfId="2046" dataDxfId="2045"/>
    <tableColumn id="15" xr3:uid="{301B66DA-2E94-4E97-A96C-C5ECB8783496}" name="Column15" headerRowDxfId="2044" dataDxfId="2043"/>
    <tableColumn id="16" xr3:uid="{71C6C377-70DC-4AE9-8D6B-C49282C56F1C}" name="Column16" headerRowDxfId="2042" dataDxfId="2041"/>
    <tableColumn id="17" xr3:uid="{EB89267E-3D4A-410B-8A0B-114DD5298565}" name="Column17" headerRowDxfId="2040" dataDxfId="2039"/>
    <tableColumn id="18" xr3:uid="{5A9AE32E-3BF6-4554-B442-12A077A2E7FD}" name="Column18" headerRowDxfId="2038" dataDxfId="2037"/>
    <tableColumn id="19" xr3:uid="{C1DEA8CF-EE3C-4BF4-893A-74F23B74CA44}" name="Column19" headerRowDxfId="2036" dataDxfId="2035"/>
  </tableColumns>
  <tableStyleInfo name="TableStyleMedium2" showFirstColumn="0" showLastColumn="0" showRowStripes="1" showColumnStripes="0"/>
</table>
</file>

<file path=xl/tables/table6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BDA76BF-88B2-40B5-B9D9-2EA0F76C489A}" name="Table1" displayName="Table1" ref="A1:B31" headerRowCount="0" totalsRowShown="0" headerRowDxfId="2034" dataDxfId="2033">
  <tableColumns count="2">
    <tableColumn id="1" xr3:uid="{6A8F6202-3EBD-47AE-B50D-14F1BDBD02AC}" name="Column1" dataDxfId="2032"/>
    <tableColumn id="2" xr3:uid="{351B3B9B-C364-4D5E-8E17-63EEABCA01D7}" name="Column2" dataDxfId="2031"/>
  </tableColumns>
  <tableStyleInfo name="TableStyleMedium2" showFirstColumn="0" showLastColumn="0" showRowStripes="1" showColumnStripes="0"/>
</table>
</file>

<file path=xl/tables/table6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B087B64-3F75-4333-A1E3-88BAC9122AE7}" name="Table3" displayName="Table3" ref="G1:H4" headerRowCount="0" totalsRowShown="0" headerRowDxfId="2030" dataDxfId="2029">
  <tableColumns count="2">
    <tableColumn id="1" xr3:uid="{2F7EB72B-C2AC-4382-8EA1-661CD0061FAA}" name="Column1" dataDxfId="2028"/>
    <tableColumn id="2" xr3:uid="{0C99C445-CF4E-47B7-B5A6-18BD37F09756}" name="Column2" dataDxfId="2027"/>
  </tableColumns>
  <tableStyleInfo name="TableStyleMedium2" showFirstColumn="0" showLastColumn="0" showRowStripes="1" showColumnStripes="0"/>
</table>
</file>

<file path=xl/tables/table6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8BEE3B3-9161-4838-822B-6A7B660C8022}" name="Table4" displayName="Table4" ref="J1:K31" headerRowCount="0" totalsRowShown="0" headerRowDxfId="2026" dataDxfId="2025">
  <tableColumns count="2">
    <tableColumn id="1" xr3:uid="{B08A644B-4B4A-41A1-B571-339F0C4AE4B9}" name="Column1" headerRowDxfId="2024" dataDxfId="2023"/>
    <tableColumn id="2" xr3:uid="{EFA5667C-78DA-41F9-B714-2A7368B4E26C}" name="Column2" headerRowDxfId="2022" dataDxfId="2021"/>
  </tableColumns>
  <tableStyleInfo name="TableStyleMedium2" showFirstColumn="0" showLastColumn="0" showRowStripes="1" showColumnStripes="0"/>
</table>
</file>

<file path=xl/tables/table6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860EE79-82BD-4EE3-B360-5D891BD6BB8B}" name="Table5" displayName="Table5" ref="J33:K48" headerRowCount="0" totalsRowShown="0" headerRowDxfId="2020" dataDxfId="2019">
  <tableColumns count="2">
    <tableColumn id="1" xr3:uid="{B6AA0236-2C40-4B41-82D2-4BF70383D3E2}" name="Column1" headerRowDxfId="2018" dataDxfId="2017"/>
    <tableColumn id="2" xr3:uid="{EBA8CEC8-3AC5-4D56-87FE-593E13D27B03}" name="Column2" headerRowDxfId="2016" dataDxfId="2015"/>
  </tableColumns>
  <tableStyleInfo name="TableStyleMedium2" showFirstColumn="0" showLastColumn="0" showRowStripes="1" showColumnStripes="0"/>
</table>
</file>

<file path=xl/tables/table6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CCB3105-16F4-4063-ADB3-3ABBA688C8DF}" name="Table2" displayName="Table2" ref="D1:E10" headerRowCount="0" totalsRowShown="0" headerRowDxfId="2014" dataDxfId="2013">
  <tableColumns count="2">
    <tableColumn id="1" xr3:uid="{C9E458DE-A3ED-4B8C-8B01-664E3E74BBA0}" name="Column1" headerRowDxfId="2012" dataDxfId="2011"/>
    <tableColumn id="2" xr3:uid="{981F0929-43ED-4B0C-929C-3201B8E4CB33}" name="Column2" headerRowDxfId="2010" dataDxfId="2009"/>
  </tableColumns>
  <tableStyleInfo name="TableStyleMedium2" showFirstColumn="0" showLastColumn="0" showRowStripes="1" showColumnStripes="0"/>
</table>
</file>

<file path=xl/tables/table6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B05F7E-2B48-4849-BAE6-7B8D6D47230E}" name="Table6" displayName="Table6" ref="P1:Q39" headerRowCount="0" totalsRowShown="0" headerRowDxfId="2008" dataDxfId="2007">
  <tableColumns count="2">
    <tableColumn id="1" xr3:uid="{6C93C1FB-601D-495D-8F7E-5D820EC5D403}" name="Column1" dataDxfId="2006"/>
    <tableColumn id="2" xr3:uid="{45380491-8226-4F1F-B1F7-16BE609D1FD7}" name="Column2" dataDxfId="2005"/>
  </tableColumns>
  <tableStyleInfo name="TableStyleMedium2" showFirstColumn="0" showLastColumn="0" showRowStripes="1" showColumnStripes="0"/>
</table>
</file>

<file path=xl/tables/table6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F410A7B-921B-4410-A8BF-43881BF7C3D9}" name="Table7" displayName="Table7" ref="P41:Q51" headerRowCount="0" totalsRowShown="0" headerRowDxfId="2004" dataDxfId="2003">
  <tableColumns count="2">
    <tableColumn id="1" xr3:uid="{40444E99-0111-49BF-B034-D0EB6665E4AE}" name="Column1" headerRowDxfId="2002" dataDxfId="2001"/>
    <tableColumn id="2" xr3:uid="{0604879B-A0B8-4D37-9179-AC99F7036BCC}" name="Column2" headerRowDxfId="2000" dataDxfId="1999"/>
  </tableColumns>
  <tableStyleInfo name="TableStyleMedium2" showFirstColumn="0" showLastColumn="0" showRowStripes="1" showColumnStripes="0"/>
</table>
</file>

<file path=xl/tables/table6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F51CC9A-4A31-4894-A35A-5A4D349A6E9D}" name="Table8" displayName="Table8" ref="G6:H8" headerRowCount="0" totalsRowShown="0" headerRowDxfId="1998" dataDxfId="1997">
  <tableColumns count="2">
    <tableColumn id="1" xr3:uid="{A0396160-7A3F-4086-BE44-7B7DD6DBF1E3}" name="Column1" headerRowDxfId="1996" dataDxfId="1995"/>
    <tableColumn id="2" xr3:uid="{92AFB950-455C-4F63-8D35-157130E649F7}" name="Column2" headerRowDxfId="1994" dataDxfId="1993"/>
  </tableColumns>
  <tableStyleInfo name="TableStyleMedium2" showFirstColumn="0" showLastColumn="0" showRowStripes="1" showColumnStripes="0"/>
</table>
</file>

<file path=xl/tables/table6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FF54B8C2-2661-4074-9ADA-52CEBC4A1FAD}" name="Table9" displayName="Table9" ref="G10:H13" headerRowCount="0" totalsRowShown="0" headerRowDxfId="1992" dataDxfId="1991">
  <tableColumns count="2">
    <tableColumn id="1" xr3:uid="{878E030A-68DD-4E45-965B-3E11BA5EE3D6}" name="Column1" headerRowDxfId="1990" dataDxfId="1989"/>
    <tableColumn id="2" xr3:uid="{BECA824E-B22A-40B6-B230-8AF2A06203B2}" name="Column2" headerRowDxfId="1988" dataDxfId="1987"/>
  </tableColumns>
  <tableStyleInfo name="TableStyleMedium2" showFirstColumn="0" showLastColumn="0" showRowStripes="1" showColumnStripes="0"/>
</table>
</file>

<file path=xl/tables/table6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7753D4A-898B-47DA-99F6-6939E96CEFCA}" name="Table10" displayName="Table10" ref="V1:W18" headerRowCount="0" totalsRowShown="0" headerRowDxfId="1986" dataDxfId="1985">
  <tableColumns count="2">
    <tableColumn id="1" xr3:uid="{E94389F2-84A4-4DF9-8542-30E0A8737D8B}" name="Column1" headerRowDxfId="1984" dataDxfId="1983"/>
    <tableColumn id="2" xr3:uid="{12E36C8D-BD8C-46CD-A22B-491AFC8B53A4}" name="Column2" headerRowDxfId="1982" dataDxfId="1981"/>
  </tableColumns>
  <tableStyleInfo name="TableStyleMedium2" showFirstColumn="0" showLastColumn="0" showRowStripes="1" showColumnStripes="0"/>
</table>
</file>

<file path=xl/tables/table6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CDF3F9DA-024E-45C5-9106-4CE8C404B6A0}" name="Table11" displayName="Table11" ref="V20:W30" headerRowCount="0" totalsRowShown="0" headerRowDxfId="1980" dataDxfId="1979">
  <tableColumns count="2">
    <tableColumn id="1" xr3:uid="{4979513E-0DC4-4CFB-90FD-6EC9EBA4DD12}" name="Column1" headerRowDxfId="1978" dataDxfId="1977"/>
    <tableColumn id="2" xr3:uid="{CB5903E6-16A1-42C8-8AF3-B5CA522A3E85}" name="Column2" headerRowDxfId="1976" dataDxfId="1975"/>
  </tableColumns>
  <tableStyleInfo name="TableStyleMedium2" showFirstColumn="0" showLastColumn="0" showRowStripes="1" showColumnStripes="0"/>
</table>
</file>

<file path=xl/tables/table6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537616E-C0D7-4D85-B381-E6C719D14A7A}" name="Table12" displayName="Table12" ref="G15:H17" headerRowCount="0" totalsRowShown="0" headerRowDxfId="1974" dataDxfId="1973">
  <tableColumns count="2">
    <tableColumn id="1" xr3:uid="{74718949-8DC0-464A-9882-CC3F173A5C8C}" name="Column1" headerRowDxfId="1972" dataDxfId="1971"/>
    <tableColumn id="2" xr3:uid="{C64B8B38-C25F-404B-91CF-37220878C76E}" name="Column2" headerRowDxfId="1970" dataDxfId="1969"/>
  </tableColumns>
  <tableStyleInfo name="TableStyleMedium2" showFirstColumn="0" showLastColumn="0" showRowStripes="1" showColumnStripes="0"/>
</table>
</file>

<file path=xl/tables/table6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855CCA1-E2EE-4F96-9789-5F9F20EB66FD}" name="Table13" displayName="Table13" ref="M1:N24" headerRowCount="0" totalsRowShown="0" headerRowDxfId="1968" dataDxfId="1967">
  <tableColumns count="2">
    <tableColumn id="1" xr3:uid="{CF91A9D4-A76F-4FAF-809B-CE6979823AB3}" name="Column1" headerRowDxfId="1966" dataDxfId="1965"/>
    <tableColumn id="2" xr3:uid="{A24E8E77-4325-420C-8F6F-A0203A704D8D}" name="Column2" headerRowDxfId="1964" dataDxfId="1963"/>
  </tableColumns>
  <tableStyleInfo name="TableStyleMedium2" showFirstColumn="0" showLastColumn="0" showRowStripes="1" showColumnStripes="0"/>
</table>
</file>

<file path=xl/tables/table6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EE6D6BDB-3A94-445B-A8EC-63085685FBF7}" name="Table14" displayName="Table14" ref="D12:E14" headerRowCount="0" totalsRowShown="0" headerRowDxfId="1962" dataDxfId="1961">
  <tableColumns count="2">
    <tableColumn id="1" xr3:uid="{1F4F273C-A8FC-4969-B832-0364DAC36C19}" name="Column1" headerRowDxfId="1960" dataDxfId="1959"/>
    <tableColumn id="2" xr3:uid="{0F8F6F10-FF23-4ABB-912F-A5DA03131B1D}" name="Column2" headerRowDxfId="1958" dataDxfId="1957"/>
  </tableColumns>
  <tableStyleInfo name="TableStyleMedium2" showFirstColumn="0" showLastColumn="0" showRowStripes="1" showColumnStripes="0"/>
</table>
</file>

<file path=xl/tables/table6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77A2D59-D50D-482F-ACCA-1B0369C8F221}" name="Table15" displayName="Table15" ref="S1:T37" headerRowCount="0" totalsRowShown="0" headerRowDxfId="1956" dataDxfId="1955">
  <tableColumns count="2">
    <tableColumn id="1" xr3:uid="{94C5B811-D1B9-4639-A849-04C85D2C01A1}" name="Column1" dataDxfId="1954"/>
    <tableColumn id="2" xr3:uid="{9FAD9AFA-9596-46A7-85A2-1FDA3B74B138}" name="Column2" dataDxfId="1953"/>
  </tableColumns>
  <tableStyleInfo name="TableStyleMedium2" showFirstColumn="0" showLastColumn="0" showRowStripes="1" showColumnStripes="0"/>
</table>
</file>

<file path=xl/tables/table6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58EE462-CED7-4193-83A8-9ECD0A54965D}" name="Table16" displayName="Table16" ref="Y1:Z19" headerRowCount="0" totalsRowShown="0" headerRowDxfId="1952" dataDxfId="1951">
  <tableColumns count="2">
    <tableColumn id="1" xr3:uid="{3973F2EA-ADE9-423A-9210-D7411216578F}" name="Column1" dataDxfId="1950"/>
    <tableColumn id="2" xr3:uid="{0026A031-C57B-4C91-9050-4696135C9FE8}" name="Column2" dataDxfId="1949"/>
  </tableColumns>
  <tableStyleInfo name="TableStyleMedium2" showFirstColumn="0" showLastColumn="0" showRowStripes="1" showColumnStripes="0"/>
</table>
</file>

<file path=xl/tables/table6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7CCEE9C-FF69-4A64-9CDB-C99901DA448B}" name="Table17" displayName="Table17" ref="AB1:AC71" headerRowCount="0" totalsRowShown="0" headerRowDxfId="1948" dataDxfId="1947">
  <tableColumns count="2">
    <tableColumn id="1" xr3:uid="{4DBA4E30-1D9B-4CFB-9B32-48A65CD81187}" name="Column1" headerRowDxfId="1946" dataDxfId="1945"/>
    <tableColumn id="2" xr3:uid="{9D58DBDF-BEE6-41C6-BFCD-1CEEF901F2FD}" name="Column2" headerRowDxfId="1944" dataDxfId="1943"/>
  </tableColumns>
  <tableStyleInfo name="TableStyleMedium2" showFirstColumn="0" showLastColumn="0" showRowStripes="1" showColumnStripes="0"/>
</table>
</file>

<file path=xl/tables/table6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7C01FDBA-2CE9-41FE-AAEC-B3D340FAF6B6}" name="Table18" displayName="Table18" ref="AB73:AC125" headerRowCount="0" totalsRowShown="0" headerRowDxfId="1942" dataDxfId="1941">
  <sortState xmlns:xlrd2="http://schemas.microsoft.com/office/spreadsheetml/2017/richdata2" ref="AB73:AC125">
    <sortCondition ref="AC72:AC125"/>
  </sortState>
  <tableColumns count="2">
    <tableColumn id="1" xr3:uid="{8D6D72C8-C785-425C-A9FC-40A98FEC71FE}" name="Column1" headerRowDxfId="1940" dataDxfId="1939"/>
    <tableColumn id="2" xr3:uid="{3FA7FE0B-4709-49CB-8E11-ADB6E0804C0C}" name="Column2" headerRowDxfId="1938" dataDxfId="1937"/>
  </tableColumns>
  <tableStyleInfo name="TableStyleMedium2" showFirstColumn="0" showLastColumn="0" showRowStripes="1" showColumnStripes="0"/>
</table>
</file>

<file path=xl/tables/table6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515EAF4F-2234-448D-A899-FF4D280E3CD2}" name="Table19" displayName="Table19" ref="AE1:AF68" headerRowCount="0" totalsRowShown="0" dataDxfId="1936">
  <tableColumns count="2">
    <tableColumn id="1" xr3:uid="{CE898070-D487-4498-A324-455F454413A6}" name="Column1" headerRowDxfId="1935" dataDxfId="1934"/>
    <tableColumn id="2" xr3:uid="{E1C0FF4F-178E-46C3-8F74-155C79AD452A}" name="Column2" headerRowDxfId="1933" dataDxfId="1932"/>
  </tableColumns>
  <tableStyleInfo name="TableStyleMedium2" showFirstColumn="0" showLastColumn="0" showRowStripes="1" showColumnStripes="0"/>
</table>
</file>

<file path=xl/tables/table6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9AA9B908-57AF-439C-86B6-806ED6E07D7D}" name="Table20" displayName="Table20" ref="D16:E24" headerRowCount="0" totalsRowShown="0" headerRowDxfId="1931" dataDxfId="1930">
  <sortState xmlns:xlrd2="http://schemas.microsoft.com/office/spreadsheetml/2017/richdata2" ref="D16:E24">
    <sortCondition ref="E15:E24"/>
  </sortState>
  <tableColumns count="2">
    <tableColumn id="1" xr3:uid="{106AAE78-26A3-44CF-89E6-52C92C47921D}" name="Column1" headerRowDxfId="1929" dataDxfId="1928"/>
    <tableColumn id="2" xr3:uid="{636769AA-F251-450D-9F8A-223FC9EC865C}" name="Column2" headerRowDxfId="1927" dataDxfId="1926"/>
  </tableColumns>
  <tableStyleInfo name="TableStyleMedium2" showFirstColumn="0" showLastColumn="0" showRowStripes="1" showColumnStripes="0"/>
</table>
</file>

<file path=xl/tables/table6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E348DED-13CB-49B9-A8C9-57EF8C43267D}" name="Table21" displayName="Table21" ref="AH1:AI18" headerRowCount="0" totalsRowShown="0" headerRowDxfId="1925" dataDxfId="1924">
  <tableColumns count="2">
    <tableColumn id="1" xr3:uid="{363DDDFB-F0E9-4FA9-8BC8-B4D4C5B2C33D}" name="Column1" headerRowDxfId="1923" dataDxfId="1922"/>
    <tableColumn id="2" xr3:uid="{C784E952-9D16-4FEC-98F7-6177B53C9D5D}" name="Column2" headerRowDxfId="1921" dataDxfId="1920"/>
  </tableColumns>
  <tableStyleInfo name="TableStyleMedium2" showFirstColumn="0" showLastColumn="0" showRowStripes="1" showColumnStripes="0"/>
</table>
</file>

<file path=xl/tables/table6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C9AEBBA0-077A-4500-B2D2-08A8C001EB3B}" name="Table22" displayName="Table22" ref="AK1:AL18" headerRowCount="0" totalsRowShown="0" headerRowDxfId="1919" dataDxfId="1918">
  <tableColumns count="2">
    <tableColumn id="1" xr3:uid="{6D05BF20-998D-4627-96F6-E7CCDC540BDB}" name="Column1" headerRowDxfId="1917" dataDxfId="1916"/>
    <tableColumn id="2" xr3:uid="{E33C983A-506B-4DB6-9C3E-054C701545C1}" name="Column2" headerRowDxfId="1915" dataDxfId="1914"/>
  </tableColumns>
  <tableStyleInfo name="TableStyleMedium2" showFirstColumn="0" showLastColumn="0" showRowStripes="1" showColumnStripes="0"/>
</table>
</file>

<file path=xl/tables/table6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15F369E-5270-42E2-AA3B-939FA11AD222}" name="Table24" displayName="Table24" ref="AH20:AI38" headerRowCount="0" totalsRowShown="0" headerRowDxfId="1913" dataDxfId="1912">
  <tableColumns count="2">
    <tableColumn id="1" xr3:uid="{0FEE2443-F764-4BB0-91DC-77D914A3C9F7}" name="Column1" headerRowDxfId="1911" dataDxfId="1910"/>
    <tableColumn id="2" xr3:uid="{14CA2943-2144-4837-82A7-CFACC74DD37D}" name="Column2" headerRowDxfId="1909" dataDxfId="1908"/>
  </tableColumns>
  <tableStyleInfo name="TableStyleMedium2" showFirstColumn="0" showLastColumn="0" showRowStripes="1" showColumnStripes="0"/>
</table>
</file>

<file path=xl/tables/table6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571736B2-2108-4231-A64F-B9A8ADE1100C}" name="Table25" displayName="Table25" ref="G19:H29" headerRowCount="0" totalsRowShown="0" dataDxfId="1907">
  <tableColumns count="2">
    <tableColumn id="1" xr3:uid="{6BF1961F-B70B-4881-9B0A-2FE485AC4ED6}" name="Column1" headerRowDxfId="1906" dataDxfId="1905"/>
    <tableColumn id="2" xr3:uid="{BAFDA538-80CF-4E1D-9F47-CDB58DF1A732}" name="Column2" headerRowDxfId="1904" dataDxfId="1903"/>
  </tableColumns>
  <tableStyleInfo name="TableStyleMedium2" showFirstColumn="0" showLastColumn="0" showRowStripes="1" showColumnStripes="0"/>
</table>
</file>

<file path=xl/tables/table6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CEB6F1EE-35C2-4131-9E39-090A1C1D2F7B}" name="Table26" displayName="Table26" ref="A33:B53" headerRowCount="0" totalsRowShown="0" headerRowDxfId="1902" dataDxfId="1901">
  <tableColumns count="2">
    <tableColumn id="1" xr3:uid="{63F11DB7-BF9F-4B6B-B1CB-9AD92EA1EDDE}" name="Column1" headerRowDxfId="1900" dataDxfId="1899"/>
    <tableColumn id="2" xr3:uid="{D10D2056-3FA7-4675-920D-24E5F489CF27}" name="Column2" headerRowDxfId="1898" dataDxfId="1897"/>
  </tableColumns>
  <tableStyleInfo name="TableStyleMedium2" showFirstColumn="0" showLastColumn="0" showRowStripes="1" showColumnStripes="0"/>
</table>
</file>

<file path=xl/tables/table6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8E5D6FB2-2001-47D8-AF89-F7388B4AE19D}" name="Table27" displayName="Table27" ref="AN26:AO39" headerRowCount="0" totalsRowShown="0" headerRowDxfId="1896" dataDxfId="1895">
  <tableColumns count="2">
    <tableColumn id="1" xr3:uid="{81D08680-647E-4B30-BD97-898E6F24CF81}" name="Column1" headerRowDxfId="1894" dataDxfId="1893"/>
    <tableColumn id="2" xr3:uid="{45A053BB-35E0-4057-A896-8AFE174470FA}" name="Column2" headerRowDxfId="1892" dataDxfId="1891"/>
  </tableColumns>
  <tableStyleInfo name="TableStyleMedium2" showFirstColumn="0" showLastColumn="0" showRowStripes="1" showColumnStripes="0"/>
</table>
</file>

<file path=xl/tables/table6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119CBC29-C2CE-4D4D-AB0F-E192DBACA8D5}" name="Table28" displayName="Table28" ref="AN1:AO24" headerRowCount="0" totalsRowShown="0" headerRowDxfId="1890" dataDxfId="1889">
  <tableColumns count="2">
    <tableColumn id="1" xr3:uid="{E37C9FF8-6B82-4AEB-880A-9E11844ED1D5}" name="Column1" headerRowDxfId="1888" dataDxfId="1887"/>
    <tableColumn id="2" xr3:uid="{607564B5-A0AE-4D63-85B6-D3885143DB62}" name="Column2" headerRowDxfId="1886" dataDxfId="1885"/>
  </tableColumns>
  <tableStyleInfo name="TableStyleMedium2" showFirstColumn="0" showLastColumn="0" showRowStripes="1" showColumnStripes="0"/>
</table>
</file>

<file path=xl/tables/table6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A8B7DCB8-8A8D-412A-A269-BFFA2708359B}" name="Table29" displayName="Table29" ref="AQ1:AR23" headerRowCount="0" totalsRowShown="0" headerRowDxfId="1884" dataDxfId="1883">
  <tableColumns count="2">
    <tableColumn id="1" xr3:uid="{C50542D1-C620-489F-8A04-B1C1A28D162B}" name="Column1" headerRowDxfId="1882" dataDxfId="1881"/>
    <tableColumn id="2" xr3:uid="{F42CFCA4-3FFC-4FBE-9A7F-4D014A8AE805}" name="Column2" headerRowDxfId="1880" dataDxfId="1879"/>
  </tableColumns>
  <tableStyleInfo name="TableStyleMedium2" showFirstColumn="0" showLastColumn="0" showRowStripes="1" showColumnStripes="0"/>
</table>
</file>

<file path=xl/tables/table6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13F3449F-1084-4947-86E0-E624274E6C4D}" name="Table30" displayName="Table30" ref="G31:H33" headerRowCount="0" totalsRowShown="0" headerRowDxfId="1878" dataDxfId="1877">
  <tableColumns count="2">
    <tableColumn id="1" xr3:uid="{13B6E920-AE53-4873-92D7-5EF451324313}" name="Column1" headerRowDxfId="1876" dataDxfId="1875"/>
    <tableColumn id="2" xr3:uid="{7E5B3603-6D35-4B6F-87C2-9F07291D1A33}" name="Column2" headerRowDxfId="1874" dataDxfId="1873"/>
  </tableColumns>
  <tableStyleInfo name="TableStyleMedium2" showFirstColumn="0" showLastColumn="0" showRowStripes="1" showColumnStripes="0"/>
</table>
</file>

<file path=xl/tables/table6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A83CD450-E615-4F06-844A-2F03F719755B}" name="Table31" displayName="Table31" ref="AT1:AU109" headerRowCount="0" totalsRowShown="0" headerRowDxfId="1872" dataDxfId="1871">
  <tableColumns count="2">
    <tableColumn id="1" xr3:uid="{E8CF41D5-D451-4B21-AE26-A7A16CD7E240}" name="Column1" headerRowDxfId="1870" dataDxfId="1869"/>
    <tableColumn id="2" xr3:uid="{D631360C-A556-44BD-987E-09E79246342D}" name="Column2" headerRowDxfId="1868" dataDxfId="1867"/>
  </tableColumns>
  <tableStyleInfo name="TableStyleMedium2" showFirstColumn="0" showLastColumn="0" showRowStripes="1" showColumnStripes="0"/>
</table>
</file>

<file path=xl/tables/table6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AF0D3FA8-BE8B-4474-825A-F4F557B52480}" name="Table32" displayName="Table32" ref="AW1:AX104" headerRowCount="0" totalsRowShown="0" dataDxfId="1866">
  <tableColumns count="2">
    <tableColumn id="1" xr3:uid="{30D6EAF8-2C10-4815-B213-6E4B2E0C7F56}" name="Column1" headerRowDxfId="1865" dataDxfId="1864"/>
    <tableColumn id="2" xr3:uid="{0DD7EDBB-508C-4F18-A272-C8FA95E09D96}" name="Column2" headerRowDxfId="1863" dataDxfId="1862"/>
  </tableColumns>
  <tableStyleInfo name="TableStyleMedium2" showFirstColumn="0" showLastColumn="0" showRowStripes="1" showColumnStripes="0"/>
</table>
</file>

<file path=xl/tables/table6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C0DEDF79-18D5-4271-A451-D8BC0EAD6B1F}" name="Table33" displayName="Table33" ref="AT111:AU173" headerRowCount="0" totalsRowShown="0" headerRowDxfId="1861" dataDxfId="1860">
  <sortState xmlns:xlrd2="http://schemas.microsoft.com/office/spreadsheetml/2017/richdata2" ref="AT111:AU173">
    <sortCondition ref="AU110:AU173"/>
  </sortState>
  <tableColumns count="2">
    <tableColumn id="1" xr3:uid="{5AA9A663-89AA-4FE4-A96C-4D558E1DD076}" name="Column1" headerRowDxfId="1859" dataDxfId="1858"/>
    <tableColumn id="2" xr3:uid="{9FF0F9BB-44B8-403F-B687-B14D53845D2D}" name="Column2" headerRowDxfId="1857" dataDxfId="1856"/>
  </tableColumns>
  <tableStyleInfo name="TableStyleMedium2" showFirstColumn="0" showLastColumn="0" showRowStripes="1" showColumnStripes="0"/>
</table>
</file>

<file path=xl/tables/table6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F8B9568E-1740-4306-9D4A-F102EDDE5E33}" name="Table34" displayName="Table34" ref="D35:F53" headerRowCount="0" totalsRowShown="0" headerRowDxfId="1855">
  <tableColumns count="3">
    <tableColumn id="1" xr3:uid="{3B84F9E9-11A0-4ABC-89B8-B330E1F202CC}" name="Column1" headerRowDxfId="1854" dataDxfId="1853"/>
    <tableColumn id="2" xr3:uid="{0D15D3F5-F241-4C3F-81C8-E5D3980C8712}" name="Column2" headerRowDxfId="1852" dataDxfId="1851"/>
    <tableColumn id="3" xr3:uid="{776A8078-5318-4E6C-80A0-D20EE8950062}" name="Column3" headerRowDxfId="1850" dataDxfId="1849"/>
  </tableColumns>
  <tableStyleInfo name="TableStyleMedium2" showFirstColumn="0" showLastColumn="0" showRowStripes="1" showColumnStripes="0"/>
</table>
</file>

<file path=xl/tables/table6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16F06C18-17BD-4FC2-B8B2-E2977F0BB2B3}" name="Table35" displayName="Table35" ref="AZ1:BA11" headerRowCount="0" totalsRowShown="0" headerRowDxfId="1848" dataDxfId="1847">
  <tableColumns count="2">
    <tableColumn id="1" xr3:uid="{C8311D72-6896-4456-85BE-BD7B095BC706}" name="Column1" headerRowDxfId="1846" dataDxfId="1845"/>
    <tableColumn id="2" xr3:uid="{042BB0FE-FB56-4FEA-A04D-A680D887554E}" name="Column2" headerRowDxfId="1844" dataDxfId="1843"/>
  </tableColumns>
  <tableStyleInfo name="TableStyleMedium2" showFirstColumn="0" showLastColumn="0" showRowStripes="1" showColumnStripes="0"/>
</table>
</file>

<file path=xl/tables/table6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1D3290A9-723F-4D84-AC25-9BDFE310CEF9}" name="Table36" displayName="Table36" ref="BC1:BD14" headerRowCount="0" totalsRowShown="0" headerRowDxfId="1842" dataDxfId="1841">
  <tableColumns count="2">
    <tableColumn id="1" xr3:uid="{3B0F5E1F-EBD6-4EBB-8208-8BD17B8A035C}" name="Column1" headerRowDxfId="1840" dataDxfId="1839"/>
    <tableColumn id="2" xr3:uid="{A2CD3710-0914-436B-AEBB-E26879A105B1}" name="Column2" headerRowDxfId="1838" dataDxfId="1837"/>
  </tableColumns>
  <tableStyleInfo name="TableStyleMedium2" showFirstColumn="0" showLastColumn="0" showRowStripes="1" showColumnStripes="0"/>
</table>
</file>

<file path=xl/tables/table6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C22DAC71-3FBA-4C7F-81F2-01A2CF7D094C}" name="Table37" displayName="Table37" ref="BF1:BG34" headerRowCount="0" totalsRowShown="0" headerRowDxfId="1836" dataDxfId="1835">
  <tableColumns count="2">
    <tableColumn id="1" xr3:uid="{6F4D45F7-BE1C-4456-84AB-2DF2FC9648C9}" name="Column1" headerRowDxfId="1834" dataDxfId="1833"/>
    <tableColumn id="2" xr3:uid="{B94D0F24-ADEB-4694-BDD7-1590E57989EA}" name="Column2" headerRowDxfId="1832" dataDxfId="1831"/>
  </tableColumns>
  <tableStyleInfo name="TableStyleMedium2" showFirstColumn="0" showLastColumn="0" showRowStripes="1" showColumnStripes="0"/>
</table>
</file>

<file path=xl/tables/table6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717B1D16-DAB8-49A9-A1E0-2BB5FD289AC3}" name="Table38" displayName="Table38" ref="BI1:BJ35" headerRowCount="0" totalsRowShown="0" headerRowDxfId="1830" dataDxfId="1829">
  <tableColumns count="2">
    <tableColumn id="1" xr3:uid="{7C49F49D-A9E9-4254-B6BC-7B1ACA0F0945}" name="Column1" headerRowDxfId="1828" dataDxfId="1827"/>
    <tableColumn id="2" xr3:uid="{F1ED17F7-65DD-4B95-825C-3A500781F513}" name="Column2" headerRowDxfId="1826" dataDxfId="1825"/>
  </tableColumns>
  <tableStyleInfo name="TableStyleMedium2" showFirstColumn="0" showLastColumn="0" showRowStripes="1" showColumnStripes="0"/>
</table>
</file>

<file path=xl/tables/table6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 xr:uid="{D0C7CC46-E49D-463D-A70B-D38718D5F360}" name="Table92" displayName="Table92" ref="BL1:BM101" headerRowCount="0" totalsRowShown="0" headerRowDxfId="1824" dataDxfId="1823">
  <tableColumns count="2">
    <tableColumn id="1" xr3:uid="{F5CCC6D0-BEB6-4215-9A81-B788D47DF4C3}" name="Column1" headerRowDxfId="1822" dataDxfId="1821"/>
    <tableColumn id="2" xr3:uid="{25ACD191-338F-4941-81C6-154556B44320}" name="Column2" headerRowDxfId="1820" dataDxfId="1819"/>
  </tableColumns>
  <tableStyleInfo name="TableStyleMedium2" showFirstColumn="0" showLastColumn="0" showRowStripes="1" showColumnStripes="0"/>
</table>
</file>

<file path=xl/tables/table6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F8B8A3DF-8E8A-4FAF-BE86-1501C6BA96C6}" name="Table45" displayName="Table45" ref="D26:E33" headerRowCount="0" totalsRowShown="0" headerRowDxfId="1818" dataDxfId="1817">
  <tableColumns count="2">
    <tableColumn id="1" xr3:uid="{628723E2-D527-482C-8973-3BCBBE3E67EA}" name="Column1" headerRowDxfId="1816" dataDxfId="1815"/>
    <tableColumn id="2" xr3:uid="{1EF6B5C8-599D-428B-A2F7-776AC1F46171}" name="Column2" headerRowDxfId="1814" dataDxfId="1813"/>
  </tableColumns>
  <tableStyleInfo name="TableStyleMedium2" showFirstColumn="0" showLastColumn="0" showRowStripes="1" showColumnStripes="0"/>
</table>
</file>

<file path=xl/tables/table6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3" xr:uid="{2C39651F-0072-4C03-8BC8-AEEE501A810C}" name="Table253" displayName="Table253" ref="A55:B75" headerRowCount="0" totalsRowShown="0" headerRowDxfId="1812" dataDxfId="1811">
  <tableColumns count="2">
    <tableColumn id="1" xr3:uid="{872F2499-065F-4BC8-A338-25A75F659E81}" name="Column1" headerRowDxfId="1810" dataDxfId="1809"/>
    <tableColumn id="2" xr3:uid="{B024BC06-2ADF-4F25-B0F2-BBA7AB022C71}" name="Column2" headerRowDxfId="1808" dataDxfId="1807"/>
  </tableColumns>
  <tableStyleInfo name="TableStyleMedium2" showFirstColumn="0" showLastColumn="0" showRowStripes="1" showColumnStripes="0"/>
</table>
</file>

<file path=xl/tables/table6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088AE7E4-44BE-45F5-966F-245945301746}" name="Table40" displayName="Table40" ref="A19:B21" headerRowCount="0" totalsRowShown="0" headerRowDxfId="1806" dataDxfId="1805">
  <tableColumns count="2">
    <tableColumn id="1" xr3:uid="{4AACD4DE-8D7C-4962-86C9-194C474A7B7C}" name="Column1" headerRowDxfId="1804" dataDxfId="1803"/>
    <tableColumn id="2" xr3:uid="{0050064A-6721-4257-B2F7-810C39891C82}" name="Column2" headerRowDxfId="1802" dataDxfId="1801"/>
  </tableColumns>
  <tableStyleInfo name="TableStyleMedium2" showFirstColumn="0" showLastColumn="0" showRowStripes="1" showColumnStripes="0"/>
</table>
</file>

<file path=xl/tables/table6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97BA272E-07D5-40FD-9C13-3244870E019F}" name="Table41" displayName="Table41" ref="I19:J25" headerRowCount="0" totalsRowShown="0" headerRowDxfId="1800" dataDxfId="1799">
  <tableColumns count="2">
    <tableColumn id="1" xr3:uid="{342EE471-F724-4DE8-AB0B-268365CF1482}" name="Column1" headerRowDxfId="1798" dataDxfId="1797"/>
    <tableColumn id="2" xr3:uid="{EACA849F-C450-48F3-A6DB-DF9B17B2416B}" name="Column2" headerRowDxfId="1796" dataDxfId="1795"/>
  </tableColumns>
  <tableStyleInfo name="TableStyleMedium2" showFirstColumn="0" showLastColumn="0" showRowStripes="1" showColumnStripes="0"/>
</table>
</file>

<file path=xl/tables/table6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86C2A402-4B37-41AA-85CC-71840A5F1025}" name="Table42" displayName="Table42" ref="I27:J37" headerRowCount="0" totalsRowShown="0" headerRowDxfId="1794" dataDxfId="1793">
  <tableColumns count="2">
    <tableColumn id="1" xr3:uid="{950C71B6-B5E4-49D7-9534-02EF9B741558}" name="Column1" headerRowDxfId="1792" dataDxfId="1791"/>
    <tableColumn id="2" xr3:uid="{C0271474-32DB-46ED-A300-BE162F287B70}" name="Column2" headerRowDxfId="1790" dataDxfId="1789"/>
  </tableColumns>
  <tableStyleInfo name="TableStyleMedium2" showFirstColumn="0" showLastColumn="0" showRowStripes="1" showColumnStripes="0"/>
</table>
</file>

<file path=xl/tables/table6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4D9961D4-EF08-4450-AD11-E9ED3016111C}" name="Table43" displayName="Table43" ref="A1:N17" headerRowCount="0" totalsRowShown="0" headerRowDxfId="1788" dataDxfId="1787">
  <tableColumns count="14">
    <tableColumn id="1" xr3:uid="{F7F1778D-9225-4F30-84D3-D5D7ED3D2588}" name="Column1" headerRowDxfId="1786" dataDxfId="1785"/>
    <tableColumn id="2" xr3:uid="{79BC5E49-B0B0-46C2-96C2-1EDFE2373D66}" name="Column2" headerRowDxfId="1784" dataDxfId="1783"/>
    <tableColumn id="3" xr3:uid="{5F49D0C1-1FBF-4103-ACCA-EE21022E1912}" name="Column3" headerRowDxfId="1782" dataDxfId="1781"/>
    <tableColumn id="4" xr3:uid="{24D9D002-8A92-4564-8EB3-EDA0999C3E93}" name="Column4" headerRowDxfId="1780" dataDxfId="1779"/>
    <tableColumn id="5" xr3:uid="{4F39A759-8FE1-429D-8E5A-1C6E688647C2}" name="Column5" headerRowDxfId="1778" dataDxfId="1777"/>
    <tableColumn id="6" xr3:uid="{366F9C4E-13D9-4FBE-A387-41ABEC90B8BA}" name="Column6" headerRowDxfId="1776" dataDxfId="1775"/>
    <tableColumn id="7" xr3:uid="{F09213F9-AA6B-4736-9B51-6B5024C0BBF7}" name="Column7" headerRowDxfId="1774" dataDxfId="1773"/>
    <tableColumn id="8" xr3:uid="{F3E73F10-0428-4CDE-AB6C-151FF284394B}" name="Column8" headerRowDxfId="1772" dataDxfId="1771"/>
    <tableColumn id="9" xr3:uid="{501F6DD1-61AB-4BE2-AD68-98F4BE7355A8}" name="Column9" headerRowDxfId="1770" dataDxfId="1769"/>
    <tableColumn id="10" xr3:uid="{98B1FC3E-89FE-4BAB-B4F4-5CB6DEFE567A}" name="Column10" headerRowDxfId="1768" dataDxfId="1767"/>
    <tableColumn id="11" xr3:uid="{4B6ADABA-A206-45A2-A982-010F1D42E09F}" name="Column11" headerRowDxfId="1766" dataDxfId="1765"/>
    <tableColumn id="12" xr3:uid="{CD585837-6B31-47AB-81B2-19386B021F6B}" name="Column12" headerRowDxfId="1764" dataDxfId="1763"/>
    <tableColumn id="13" xr3:uid="{ACAB687E-7D05-4349-8141-B3C12711D3AC}" name="Column13" headerRowDxfId="1762" dataDxfId="1761"/>
    <tableColumn id="14" xr3:uid="{67C8D241-B896-41C3-8CF6-A2A79617A83E}" name="Column14" headerRowDxfId="1760" dataDxfId="1759"/>
  </tableColumns>
  <tableStyleInfo name="TableStyleMedium2" showFirstColumn="0" showLastColumn="0" showRowStripes="1" showColumnStripes="0"/>
</table>
</file>

<file path=xl/tables/table6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D5E9D7B8-A0EA-43A6-B4A6-6080E3099348}" name="Table44" displayName="Table44" ref="D19:G22" headerRowCount="0" totalsRowShown="0" headerRowDxfId="1758" dataDxfId="1757">
  <tableColumns count="4">
    <tableColumn id="1" xr3:uid="{0971F094-67CB-42AD-AF7B-087745629548}" name="Column1" headerRowDxfId="1756" dataDxfId="1755"/>
    <tableColumn id="2" xr3:uid="{B98F9728-B014-4FC6-8EBC-AA36A1757310}" name="Column2" headerRowDxfId="1754" dataDxfId="1753"/>
    <tableColumn id="3" xr3:uid="{D0F74FB1-2CB9-4FBA-968E-745E5A2328B7}" name="Column3" headerRowDxfId="1752" dataDxfId="1751"/>
    <tableColumn id="4" xr3:uid="{626C6861-0FDD-4CEA-B0DB-C63CDE0973B6}" name="Column4" headerRowDxfId="1750" dataDxfId="1749"/>
  </tableColumns>
  <tableStyleInfo name="TableStyleMedium2" showFirstColumn="0" showLastColumn="0" showRowStripes="1" showColumnStripes="0"/>
</table>
</file>

<file path=xl/tables/table6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3C9A752D-D995-4E3B-A59D-C39BF6A3DFE4}" name="Table47" displayName="Table47" ref="A24:B26" headerRowCount="0" totalsRowShown="0" headerRowDxfId="1748" dataDxfId="1747">
  <tableColumns count="2">
    <tableColumn id="1" xr3:uid="{0E425EA3-1CB7-434E-95F4-16F49C1C80B4}" name="Column1" headerRowDxfId="1746" dataDxfId="1745"/>
    <tableColumn id="2" xr3:uid="{50B2AEEA-4A80-434D-815B-03E9D87B01A3}" name="Column2" headerRowDxfId="1744" dataDxfId="1743"/>
  </tableColumns>
  <tableStyleInfo name="TableStyleMedium2" showFirstColumn="0" showLastColumn="0" showRowStripes="1" showColumnStripes="0"/>
</table>
</file>

<file path=xl/tables/table6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C8658BD2-6EF6-417B-9AF4-421161707E9D}" name="Table78" displayName="Table78" ref="D24:F34" headerRowCount="0" totalsRowShown="0" headerRowDxfId="1742" dataDxfId="1741">
  <tableColumns count="3">
    <tableColumn id="1" xr3:uid="{9D8C0766-52D1-4E18-8AAD-FF3032B17520}" name="Column1" headerRowDxfId="1740" dataDxfId="1739"/>
    <tableColumn id="2" xr3:uid="{3162540C-E916-4D82-9C45-2B7322946447}" name="Column2" headerRowDxfId="1738" dataDxfId="1737"/>
    <tableColumn id="3" xr3:uid="{8BC8946E-087E-4948-985E-C127EF910F3B}" name="Column3" headerRowDxfId="1736" dataDxfId="1735"/>
  </tableColumns>
  <tableStyleInfo name="TableStyleMedium2" showFirstColumn="0" showLastColumn="0" showRowStripes="1" showColumnStripes="0"/>
</table>
</file>

<file path=xl/tables/table6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8" xr:uid="{7D56FF16-0CC8-448C-8740-EE30355D3CF7}" name="Table178" displayName="Table178" ref="A41:B44" headerRowCount="0" totalsRowShown="0" headerRowDxfId="1734" dataDxfId="1733">
  <tableColumns count="2">
    <tableColumn id="1" xr3:uid="{77282A7C-AC8B-482C-B570-D5699569FF5A}" name="Column1" headerRowDxfId="1732" dataDxfId="1731"/>
    <tableColumn id="2" xr3:uid="{AE2F0206-C583-477B-BD4B-A024E42A4AD5}" name="Column2" headerRowDxfId="1730" dataDxfId="1729"/>
  </tableColumns>
  <tableStyleInfo name="TableStyleMedium2" showFirstColumn="0" showLastColumn="0" showRowStripes="1" showColumnStripes="0"/>
</table>
</file>

<file path=xl/tables/table6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9" xr:uid="{D6FD8B55-2375-4EB1-8169-3395F4A010FC}" name="Table189" displayName="Table189" ref="A72:B75" headerRowCount="0" totalsRowShown="0" headerRowDxfId="1728" dataDxfId="1727">
  <tableColumns count="2">
    <tableColumn id="1" xr3:uid="{445CAB2C-83C0-4307-A322-68DA148BBDEC}" name="Column1" headerRowDxfId="1726" dataDxfId="1725"/>
    <tableColumn id="2" xr3:uid="{238E01F9-FEFE-46FF-B9F6-6D59B34D69AC}" name="Column2" headerRowDxfId="1724" dataDxfId="1723"/>
  </tableColumns>
  <tableStyleInfo name="TableStyleMedium2" showFirstColumn="0" showLastColumn="0" showRowStripes="1" showColumnStripes="0"/>
</table>
</file>

<file path=xl/tables/table6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DA1F01DB-19A7-40F7-8167-E9C618ABE8EC}" name="Table65" displayName="Table65" ref="A28:B35" headerRowCount="0" totalsRowShown="0" headerRowDxfId="1722" dataDxfId="1721">
  <tableColumns count="2">
    <tableColumn id="1" xr3:uid="{354C1D7C-5B36-48EC-8E29-F9F64CEB1B1F}" name="Column1" headerRowDxfId="1720" dataDxfId="1719"/>
    <tableColumn id="2" xr3:uid="{D9A1894A-238E-4DD0-A784-82270A6B5A1E}" name="Column2" headerRowDxfId="1718" dataDxfId="1717"/>
  </tableColumns>
  <tableStyleInfo name="TableStyleMedium2" showFirstColumn="0" showLastColumn="0" showRowStripes="1" showColumnStripes="0"/>
</table>
</file>

<file path=xl/tables/table6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9B8AAB32-0018-4518-B58C-19CC608F87CA}" name="Table73" displayName="Table73" ref="A37:B39" headerRowCount="0" totalsRowShown="0" headerRowDxfId="1716" dataDxfId="1715">
  <tableColumns count="2">
    <tableColumn id="1" xr3:uid="{50CF72EE-C762-4262-9A25-6B10CDE2CACB}" name="Column1" headerRowDxfId="1714" dataDxfId="1713"/>
    <tableColumn id="2" xr3:uid="{70D10E28-50C5-4E6E-8A0D-87C7A1BFD1A9}" name="Column2" headerRowDxfId="1712" dataDxfId="1711"/>
  </tableColumns>
  <tableStyleInfo name="TableStyleMedium2" showFirstColumn="0" showLastColumn="0" showRowStripes="1" showColumnStripes="0"/>
</table>
</file>

<file path=xl/tables/table6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6A625685-1DB1-401A-B4BE-A2B5288A4B29}" name="Table74" displayName="Table74" ref="D37:E45" headerRowCount="0" totalsRowShown="0" headerRowDxfId="1710" dataDxfId="1709">
  <tableColumns count="2">
    <tableColumn id="1" xr3:uid="{B3B4A485-062E-474D-8083-5779541176AA}" name="Column1" headerRowDxfId="1708" dataDxfId="1707"/>
    <tableColumn id="2" xr3:uid="{B57EFCD6-9943-4EF8-92AD-42CEE6F71990}" name="Column2" headerRowDxfId="1706" dataDxfId="1705"/>
  </tableColumns>
  <tableStyleInfo name="TableStyleMedium2" showFirstColumn="0" showLastColumn="0" showRowStripes="1" showColumnStripes="0"/>
</table>
</file>

<file path=xl/tables/table6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49EE6992-BE38-428F-9CF1-8FBDFA079B4B}" name="Table75" displayName="Table75" ref="D47:F53" headerRowCount="0" totalsRowShown="0" headerRowDxfId="1704" dataDxfId="1703">
  <tableColumns count="3">
    <tableColumn id="1" xr3:uid="{7C28FAAE-82F7-493E-981D-97556D27F16F}" name="Column1" headerRowDxfId="1702" dataDxfId="1701"/>
    <tableColumn id="2" xr3:uid="{9982D4DE-F80F-43BB-8E2A-BD6525E478B5}" name="Column2" headerRowDxfId="1700" dataDxfId="1699"/>
    <tableColumn id="3" xr3:uid="{31478E7E-F2B7-4528-BECA-28E8E1112A93}" name="Column3" headerRowDxfId="1698" dataDxfId="1697"/>
  </tableColumns>
  <tableStyleInfo name="TableStyleMedium2" showFirstColumn="0" showLastColumn="0" showRowStripes="1" showColumnStripes="0"/>
</table>
</file>

<file path=xl/tables/table6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017E9E5F-F825-4EB4-86C7-D2E20AB139B3}" name="Table76" displayName="Table76" ref="I39:K55" headerRowCount="0" totalsRowShown="0" headerRowDxfId="1696">
  <tableColumns count="3">
    <tableColumn id="1" xr3:uid="{9197F1E8-6666-4105-A3AB-FB66BB7E914E}" name="Column1" headerRowDxfId="1695" dataDxfId="1694">
      <calculatedColumnFormula>_xlfn.RANK.EQ(J40,$J$41:$J$56)</calculatedColumnFormula>
    </tableColumn>
    <tableColumn id="2" xr3:uid="{4A8D23C9-DCBF-49EC-B66D-CDD470A644FF}" name="Column2" headerRowDxfId="1693" dataDxfId="1692">
      <calculatedColumnFormula>RAND()</calculatedColumnFormula>
    </tableColumn>
    <tableColumn id="3" xr3:uid="{134DD4C5-3F3A-4E83-9E26-54DC16684DCB}" name="Column3" headerRowDxfId="1691" dataDxfId="1690"/>
  </tableColumns>
  <tableStyleInfo name="TableStyleMedium2" showFirstColumn="0" showLastColumn="0" showRowStripes="1" showColumnStripes="0"/>
</table>
</file>

<file path=xl/tables/table6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F36E581E-B460-4CC1-99A9-066A9350F755}" name="Table77" displayName="Table77" ref="I57:J77" headerRowCount="0" totalsRowShown="0" headerRowDxfId="1689" dataDxfId="1688">
  <tableColumns count="2">
    <tableColumn id="1" xr3:uid="{C8D424C2-9E17-4144-89CA-C239BDFC85C0}" name="Column1" headerRowDxfId="1687" dataDxfId="1686"/>
    <tableColumn id="2" xr3:uid="{EB376C92-256E-4625-BFBA-C7DB83F70A80}" name="Column2" headerRowDxfId="1685" dataDxfId="1684"/>
  </tableColumns>
  <tableStyleInfo name="TableStyleMedium2" showFirstColumn="0" showLastColumn="0" showRowStripes="1" showColumnStripes="0"/>
</table>
</file>

<file path=xl/tables/table6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05C7FAE9-598C-47DA-919E-EAD12F475EC0}" name="Table79" displayName="Table79" ref="I79:J95" headerRowCount="0" totalsRowShown="0" headerRowDxfId="1683" dataDxfId="1682">
  <tableColumns count="2">
    <tableColumn id="1" xr3:uid="{CE7B2270-D079-4E11-A5E3-AE75BCBDDCB1}" name="Column1" headerRowDxfId="1681" dataDxfId="1680"/>
    <tableColumn id="2" xr3:uid="{6D505B0B-0810-479F-9156-00842866DB6D}" name="Column2" headerRowDxfId="1679" dataDxfId="1678"/>
  </tableColumns>
  <tableStyleInfo name="TableStyleMedium2" showFirstColumn="0" showLastColumn="0" showRowStripes="1" showColumnStripes="0"/>
</table>
</file>

<file path=xl/tables/table6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5F6C5D06-7D86-43B2-B178-11AD06437FE1}" name="Table80" displayName="Table80" ref="I97:L117" headerRowCount="0" totalsRowShown="0" headerRowDxfId="1677" dataDxfId="1676">
  <tableColumns count="4">
    <tableColumn id="1" xr3:uid="{4EE93BE8-8DAA-4350-ACF2-7FE16B6F197D}" name="Column1" headerRowDxfId="1675" dataDxfId="1674"/>
    <tableColumn id="2" xr3:uid="{D78EEE1F-A00C-464D-A31E-92ED80500719}" name="Column2" headerRowDxfId="1673" dataDxfId="1672"/>
    <tableColumn id="3" xr3:uid="{2CA859A0-A895-49FA-A792-CE82B8BB5341}" name="Column3" headerRowDxfId="1671" dataDxfId="1670"/>
    <tableColumn id="4" xr3:uid="{847E2270-5DCC-47EF-BA52-8B1B773DF7AB}" name="Column4" headerRowDxfId="1669" dataDxfId="1668"/>
  </tableColumns>
  <tableStyleInfo name="TableStyleMedium2" showFirstColumn="0" showLastColumn="0" showRowStripes="1" showColumnStripes="0"/>
</table>
</file>

<file path=xl/tables/table6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09BE4922-97F1-4C97-9AE3-5DA6FB572E29}" name="Table82" displayName="Table82" ref="A46:B49" headerRowCount="0" totalsRowShown="0" headerRowDxfId="1667" dataDxfId="1666">
  <tableColumns count="2">
    <tableColumn id="1" xr3:uid="{3A781A40-19D8-4056-BDB6-9861F05035E3}" name="Column1" headerRowDxfId="1665" dataDxfId="1664"/>
    <tableColumn id="2" xr3:uid="{01AFAC02-2AA9-44B3-9BC9-6E68FE1905A1}" name="Column2" headerRowDxfId="1663" dataDxfId="1662"/>
  </tableColumns>
  <tableStyleInfo name="TableStyleMedium2" showFirstColumn="0" showLastColumn="0" showRowStripes="1" showColumnStripes="0"/>
</table>
</file>

<file path=xl/tables/table6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C78CACFD-7659-42D5-8704-60DBC577BB52}" name="Table83" displayName="Table83" ref="I119:K138" headerRowCount="0" totalsRowShown="0" headerRowDxfId="1661">
  <tableColumns count="3">
    <tableColumn id="1" xr3:uid="{75AB29BF-44C5-4626-B044-203D173AD48D}" name="Column1" headerRowDxfId="1660" dataDxfId="1659"/>
    <tableColumn id="2" xr3:uid="{8CFB5920-4FC1-4731-9D22-627DE4A41E66}" name="Column2" headerRowDxfId="1658" dataDxfId="1657">
      <calculatedColumnFormula>RAND()</calculatedColumnFormula>
    </tableColumn>
    <tableColumn id="3" xr3:uid="{FEA0F559-9C94-4D35-8E56-4BFD3D6BB93C}" name="Column3" headerRowDxfId="1656" dataDxfId="1655"/>
  </tableColumns>
  <tableStyleInfo name="TableStyleMedium2" showFirstColumn="0" showLastColumn="0" showRowStripes="1" showColumnStripes="0"/>
</table>
</file>

<file path=xl/tables/table6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49507DA7-FB88-4108-ACC7-5509052C9FA6}" name="Table84" displayName="Table84" ref="M119:N137" headerRowCount="0" totalsRowShown="0" headerRowDxfId="1654" dataDxfId="1653">
  <tableColumns count="2">
    <tableColumn id="1" xr3:uid="{A9EAE382-F198-4C8B-8849-372FB705E590}" name="Column1" headerRowDxfId="1652" dataDxfId="1651"/>
    <tableColumn id="2" xr3:uid="{E10B05F0-E36F-4F86-A2A7-603395D3E163}" name="Column2" headerRowDxfId="1650" dataDxfId="1649"/>
  </tableColumns>
  <tableStyleInfo name="TableStyleMedium2" showFirstColumn="0" showLastColumn="0" showRowStripes="1" showColumnStripes="0"/>
</table>
</file>

<file path=xl/tables/table6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92E6F97D-EA65-46ED-9987-938C56B8E770}" name="Table85" displayName="Table85" ref="L57:N77" headerRowCount="0" totalsRowShown="0" headerRowDxfId="1648" dataDxfId="1647">
  <tableColumns count="3">
    <tableColumn id="1" xr3:uid="{36EB0327-26F1-43A8-9B1E-0F57F9C6C97F}" name="Column1" headerRowDxfId="1646" dataDxfId="1645"/>
    <tableColumn id="2" xr3:uid="{6B7B1616-C5AE-418E-8614-A37CD73E9014}" name="Column2" headerRowDxfId="1644" dataDxfId="1643"/>
    <tableColumn id="3" xr3:uid="{DB2469F1-430F-4162-935C-BBE1D13C3930}" name="Column3" headerRowDxfId="1642" dataDxfId="1641"/>
  </tableColumns>
  <tableStyleInfo name="TableStyleMedium2" showFirstColumn="0" showLastColumn="0" showRowStripes="1" showColumnStripes="0"/>
</table>
</file>

<file path=xl/tables/table6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1E2A040F-2569-40E5-AA0E-8C315B5531DA}" name="Table86" displayName="Table86" ref="M139:O159" headerRowCount="0" totalsRowShown="0" headerRowDxfId="1640" dataDxfId="1639">
  <tableColumns count="3">
    <tableColumn id="1" xr3:uid="{70ED4390-9DB4-4E78-A8E8-3F96C020FAE5}" name="Column1" headerRowDxfId="1638" dataDxfId="1637"/>
    <tableColumn id="2" xr3:uid="{3C207128-7E06-4F58-9748-DF6B48E163B4}" name="Column2" headerRowDxfId="1636" dataDxfId="1635"/>
    <tableColumn id="3" xr3:uid="{93643279-BF0D-42A5-803F-E741BD12ADE6}" name="Column3" headerRowDxfId="1634" dataDxfId="1633"/>
  </tableColumns>
  <tableStyleInfo name="TableStyleMedium2" showFirstColumn="0" showLastColumn="0" showRowStripes="1" showColumnStripes="0"/>
</table>
</file>

<file path=xl/tables/table6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F139737F-107C-4E15-9629-305AB4816619}" name="Table87" displayName="Table87" ref="Q139:R159" headerRowCount="0" totalsRowShown="0" headerRowDxfId="1632" dataDxfId="1631">
  <tableColumns count="2">
    <tableColumn id="1" xr3:uid="{8716539F-8827-441B-9450-9770EC822C1E}" name="Column1" headerRowDxfId="1630" dataDxfId="1629"/>
    <tableColumn id="2" xr3:uid="{DD8F1F1C-ED91-4EE3-B086-1E3A61128256}" name="Column2" headerRowDxfId="1628" dataDxfId="1627"/>
  </tableColumns>
  <tableStyleInfo name="TableStyleMedium2" showFirstColumn="0" showLastColumn="0" showRowStripes="1" showColumnStripes="0"/>
</table>
</file>

<file path=xl/tables/table7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62DD3EBB-F702-4BA4-AA9C-AC3CB18AA069}" name="Table88" displayName="Table88" ref="T139:U159" headerRowCount="0" totalsRowShown="0" headerRowDxfId="1626" dataDxfId="1625">
  <tableColumns count="2">
    <tableColumn id="1" xr3:uid="{ACDDD3A7-6865-4AF6-BD6F-054926F0F5DE}" name="Column1" headerRowDxfId="1624" dataDxfId="1623"/>
    <tableColumn id="2" xr3:uid="{5AED578F-2454-4E19-BD60-5170CCAE9C8D}" name="Column2" headerRowDxfId="1622" dataDxfId="1621"/>
  </tableColumns>
  <tableStyleInfo name="TableStyleMedium2" showFirstColumn="0" showLastColumn="0" showRowStripes="1" showColumnStripes="0"/>
</table>
</file>

<file path=xl/tables/table7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 xr:uid="{2BAC61B6-1870-4C4E-8923-58874B648C65}" name="Table89" displayName="Table89" ref="A51:B55" headerRowCount="0" totalsRowShown="0" headerRowDxfId="1620" dataDxfId="1619">
  <tableColumns count="2">
    <tableColumn id="1" xr3:uid="{AF85DFF7-C1EA-4DD3-9B90-2F7406DEDE85}" name="Column1" headerRowDxfId="1618" dataDxfId="1617"/>
    <tableColumn id="2" xr3:uid="{F8A13248-32FF-4943-98A1-D0B0F6DA7C57}" name="Column2" headerRowDxfId="1616" dataDxfId="1615"/>
  </tableColumns>
  <tableStyleInfo name="TableStyleMedium2" showFirstColumn="0" showLastColumn="0" showRowStripes="1" showColumnStripes="0"/>
</table>
</file>

<file path=xl/tables/table7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 xr:uid="{A41FD272-8600-4AA0-9E00-1C743C80EBA2}" name="Table90" displayName="Table90" ref="A57:B60" headerRowCount="0" totalsRowShown="0" headerRowDxfId="1614" dataDxfId="1613">
  <tableColumns count="2">
    <tableColumn id="1" xr3:uid="{04D03240-56E3-4CB9-93B0-F68E294126A1}" name="Column1" headerRowDxfId="1612" dataDxfId="1611"/>
    <tableColumn id="2" xr3:uid="{696033BF-95D8-431D-B85E-8E7E3C7BFA1D}" name="Column2" headerRowDxfId="1610" dataDxfId="1609"/>
  </tableColumns>
  <tableStyleInfo name="TableStyleMedium2" showFirstColumn="0" showLastColumn="0" showRowStripes="1" showColumnStripes="0"/>
</table>
</file>

<file path=xl/tables/table7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 xr:uid="{6F5F4D27-1BCD-4C72-91EB-A1195ECAD63C}" name="Table91" displayName="Table91" ref="Q161:R174" headerRowCount="0" totalsRowShown="0" headerRowDxfId="1608" dataDxfId="1607">
  <tableColumns count="2">
    <tableColumn id="1" xr3:uid="{489ED333-6050-404B-BB13-AC0E52805DA3}" name="Column1" headerRowDxfId="1606" dataDxfId="1605"/>
    <tableColumn id="2" xr3:uid="{7F03AF4F-7602-4D8D-8829-DC8A107F359D}" name="Column2" headerRowDxfId="1604" dataDxfId="1603"/>
  </tableColumns>
  <tableStyleInfo name="TableStyleMedium2" showFirstColumn="0" showLastColumn="0" showRowStripes="1" showColumnStripes="0"/>
</table>
</file>

<file path=xl/tables/table7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5" xr:uid="{01ABDCC2-B991-44B4-A01C-275A128C6D28}" name="Table95" displayName="Table95" ref="Q176:S220" headerRowCount="0" totalsRowShown="0" headerRowDxfId="1602" dataDxfId="1601">
  <tableColumns count="3">
    <tableColumn id="1" xr3:uid="{0F9CC7A1-EC5D-422A-B6CC-99CF25325744}" name="Column1" headerRowDxfId="1600" dataDxfId="1599"/>
    <tableColumn id="2" xr3:uid="{15DE4E44-0715-479B-98AB-93D346497C24}" name="Column2" headerRowDxfId="1598" dataDxfId="1597">
      <calculatedColumnFormula>RAND()</calculatedColumnFormula>
    </tableColumn>
    <tableColumn id="3" xr3:uid="{A198D7EE-4FA5-4A0A-B23E-036718BDF5A8}" name="Column3" headerRowDxfId="1596" dataDxfId="1595"/>
  </tableColumns>
  <tableStyleInfo name="TableStyleMedium2" showFirstColumn="0" showLastColumn="0" showRowStripes="1" showColumnStripes="0"/>
</table>
</file>

<file path=xl/tables/table7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6" xr:uid="{87F196C9-85AF-4724-B5AD-F4158905D08E}" name="Table96" displayName="Table96" ref="A62:B66" headerRowCount="0" totalsRowShown="0" dataDxfId="1594">
  <tableColumns count="2">
    <tableColumn id="1" xr3:uid="{48B571C8-3D5C-49ED-BA6E-7104E4204B3E}" name="Column1" headerRowDxfId="1593" dataDxfId="1592"/>
    <tableColumn id="2" xr3:uid="{2EDE8550-1CD4-4894-8E57-E043C11207DD}" name="Column2" headerRowDxfId="1591" dataDxfId="1590"/>
  </tableColumns>
  <tableStyleInfo name="TableStyleMedium2" showFirstColumn="0" showLastColumn="0" showRowStripes="1" showColumnStripes="0"/>
</table>
</file>

<file path=xl/tables/table7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7" xr:uid="{4A03ECB9-D977-4452-BBDA-7A2B80A4C011}" name="Table97" displayName="Table97" ref="A68:B70" headerRowCount="0" totalsRowShown="0" headerRowDxfId="1589" dataDxfId="1588">
  <tableColumns count="2">
    <tableColumn id="1" xr3:uid="{7E894EA1-726C-4FD2-9AB0-567A9B3DF9E3}" name="Column1" headerRowDxfId="1587" dataDxfId="1586"/>
    <tableColumn id="2" xr3:uid="{B73FBFE4-F261-405F-865B-5D1AE21F139B}" name="Column2" headerRowDxfId="1585" dataDxfId="1584"/>
  </tableColumns>
  <tableStyleInfo name="TableStyleMedium2" showFirstColumn="0" showLastColumn="0" showRowStripes="1" showColumnStripes="0"/>
</table>
</file>

<file path=xl/tables/table7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8" xr:uid="{89D4A035-5799-4083-8714-717AA417D6BD}" name="Table108" displayName="Table108" ref="U176:V179" headerRowCount="0" totalsRowShown="0" headerRowDxfId="1583" dataDxfId="1582">
  <tableColumns count="2">
    <tableColumn id="1" xr3:uid="{73B2158F-04D4-403C-8455-CF4D8D5A32E7}" name="Column1" headerRowDxfId="1581" dataDxfId="1580"/>
    <tableColumn id="2" xr3:uid="{E693B876-877E-45E4-AA0A-797420985B2C}" name="Column2" headerRowDxfId="1579" dataDxfId="1578"/>
  </tableColumns>
  <tableStyleInfo name="TableStyleMedium2" showFirstColumn="0" showLastColumn="0" showRowStripes="1" showColumnStripes="0"/>
</table>
</file>

<file path=xl/tables/table7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6" xr:uid="{51B1098C-46C8-4B50-AEA8-F9DC84313EA3}" name="Table126" displayName="Table126" ref="U181:V184" headerRowCount="0" totalsRowShown="0" headerRowDxfId="1577" dataDxfId="1576">
  <tableColumns count="2">
    <tableColumn id="1" xr3:uid="{FAF557C5-31BC-47A4-95AB-D3FE39643D3D}" name="Column1" headerRowDxfId="1575" dataDxfId="1574"/>
    <tableColumn id="2" xr3:uid="{6677CCAC-760F-4ECC-A38B-D96C5FE645E2}" name="Column2" headerRowDxfId="1573" dataDxfId="1572"/>
  </tableColumns>
  <tableStyleInfo name="TableStyleMedium2" showFirstColumn="0" showLastColumn="0" showRowStripes="1" showColumnStripes="0"/>
</table>
</file>

<file path=xl/tables/table7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9" xr:uid="{E6F10A4D-9FE4-4A36-AF3B-22D92FAD9E21}" name="Table179" displayName="Table179" ref="U186:V188" headerRowCount="0" totalsRowShown="0" headerRowDxfId="1571" dataDxfId="1570">
  <tableColumns count="2">
    <tableColumn id="1" xr3:uid="{4A43C7FC-2852-4986-839E-50AEF968DA8C}" name="Column1" headerRowDxfId="1569" dataDxfId="1568"/>
    <tableColumn id="2" xr3:uid="{0552995C-2366-4CC5-8BB1-A8F4FBFA7ADA}" name="Column2" headerRowDxfId="1567" dataDxfId="1566"/>
  </tableColumns>
  <tableStyleInfo name="TableStyleMedium2" showFirstColumn="0" showLastColumn="0" showRowStripes="1" showColumnStripes="0"/>
</table>
</file>

<file path=xl/tables/table7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9" xr:uid="{66DAAACF-41DA-4047-9F88-BCA32DF60224}" name="Table199" displayName="Table199" ref="U190:V193" headerRowCount="0" totalsRowShown="0" headerRowDxfId="1565" dataDxfId="1564">
  <tableColumns count="2">
    <tableColumn id="1" xr3:uid="{857A8E42-FF80-4E8E-9022-1914DBC4010C}" name="Column1" headerRowDxfId="1563" dataDxfId="1562"/>
    <tableColumn id="2" xr3:uid="{A3B71612-89DE-428B-A519-F63A6194863A}" name="Column2" headerRowDxfId="1561" dataDxfId="1560"/>
  </tableColumns>
  <tableStyleInfo name="TableStyleMedium2" showFirstColumn="0" showLastColumn="0" showRowStripes="1" showColumnStripes="0"/>
</table>
</file>

<file path=xl/tables/table7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8" xr:uid="{7D1188B6-FD36-423A-8FAE-5AB829556C99}" name="Table218" displayName="Table218" ref="U195:V234" headerRowCount="0" totalsRowShown="0" dataDxfId="1559">
  <tableColumns count="2">
    <tableColumn id="1" xr3:uid="{1895B65D-B24B-4847-BDB3-A450E7C6EB34}" name="Column1" headerRowDxfId="1558" dataDxfId="1557"/>
    <tableColumn id="2" xr3:uid="{5B1AA914-9324-432B-ACE6-1BF8CA3AF55C}" name="Column2" headerRowDxfId="1556" dataDxfId="1555"/>
  </tableColumns>
  <tableStyleInfo name="TableStyleMedium2" showFirstColumn="0" showLastColumn="0" showRowStripes="1" showColumnStripes="0"/>
</table>
</file>

<file path=xl/tables/table7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1" xr:uid="{D1365245-F9FB-454F-AEC0-377A23311451}" name="Table221" displayName="Table221" ref="D55:E75" headerRowCount="0" totalsRowShown="0" headerRowDxfId="1554" dataDxfId="1553">
  <tableColumns count="2">
    <tableColumn id="1" xr3:uid="{BF948DE8-C3E2-4571-ACB0-90E388E2B93F}" name="Column1" headerRowDxfId="1552" dataDxfId="1551"/>
    <tableColumn id="2" xr3:uid="{F0E34E02-1B7D-4F5A-BC54-43EE89C20DE2}" name="Column2" headerRowDxfId="1550" dataDxfId="1549"/>
  </tableColumns>
  <tableStyleInfo name="TableStyleMedium2" showFirstColumn="0" showLastColumn="0" showRowStripes="1" showColumnStripes="0"/>
</table>
</file>

<file path=xl/tables/table7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3" xr:uid="{1C09E619-8961-4FDF-BC1E-8430C7FCD7A1}" name="Table223" displayName="Table223" ref="D77:F85" headerRowCount="0" totalsRowShown="0" headerRowDxfId="1548">
  <tableColumns count="3">
    <tableColumn id="1" xr3:uid="{A455DEA0-ABA9-414D-BF27-A63E06BB4A59}" name="Column1" headerRowDxfId="1547" dataDxfId="1546">
      <calculatedColumnFormula>_xlfn.RANK.EQ(E78,$E$79:$E$86)</calculatedColumnFormula>
    </tableColumn>
    <tableColumn id="2" xr3:uid="{AC4E0D41-9270-4174-8059-88F37430D182}" name="Column2" headerRowDxfId="1545" dataDxfId="1544">
      <calculatedColumnFormula>RAND()</calculatedColumnFormula>
    </tableColumn>
    <tableColumn id="3" xr3:uid="{03051ACF-8B38-4CE0-883F-5D0C95740D14}" name="Column3" headerRowDxfId="1543" dataDxfId="1542"/>
  </tableColumns>
  <tableStyleInfo name="TableStyleMedium2" showFirstColumn="0" showLastColumn="0" showRowStripes="1" showColumnStripes="0"/>
</table>
</file>

<file path=xl/tables/table7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4" xr:uid="{FCDFE4C7-6239-4FB2-898A-FC99A5AEC8CE}" name="Table224" displayName="Table224" ref="A77:B79" headerRowCount="0" totalsRowShown="0" headerRowDxfId="1541" dataDxfId="1540">
  <tableColumns count="2">
    <tableColumn id="1" xr3:uid="{015E6E70-9CAE-45B9-976B-82887BE83720}" name="Column1" headerRowDxfId="1539" dataDxfId="1538"/>
    <tableColumn id="2" xr3:uid="{144F1F40-6077-4284-92AF-64394F05A3CA}" name="Column2" headerRowDxfId="1537" dataDxfId="1536"/>
  </tableColumns>
  <tableStyleInfo name="TableStyleMedium2" showFirstColumn="0" showLastColumn="0" showRowStripes="1" showColumnStripes="0"/>
</table>
</file>

<file path=xl/tables/table7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6" xr:uid="{F130E38C-CFD4-4C60-9218-A6B91248FFF7}" name="Table226" displayName="Table226" ref="A81:B84" headerRowCount="0" totalsRowShown="0" headerRowDxfId="1535" dataDxfId="1534">
  <tableColumns count="2">
    <tableColumn id="1" xr3:uid="{CABB4818-AA2A-43BE-BB47-FA18976B55BA}" name="Column1" headerRowDxfId="1533" dataDxfId="1532"/>
    <tableColumn id="2" xr3:uid="{84092E26-6359-463B-A316-B4BA9131FA5A}" name="Column2" headerRowDxfId="1531" dataDxfId="1530"/>
  </tableColumns>
  <tableStyleInfo name="TableStyleMedium2" showFirstColumn="0" showLastColumn="0" showRowStripes="1" showColumnStripes="0"/>
</table>
</file>

<file path=xl/tables/table7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7" xr:uid="{9091FA43-2A70-4989-A423-0036F61F08E6}" name="Table227" displayName="Table227" ref="D87:E90" headerRowCount="0" totalsRowShown="0" headerRowDxfId="1529" dataDxfId="1528">
  <tableColumns count="2">
    <tableColumn id="1" xr3:uid="{B7567D2C-F18C-4660-965E-861F47B52719}" name="Column1" headerRowDxfId="1527" dataDxfId="1526"/>
    <tableColumn id="2" xr3:uid="{90093C14-FCA6-4D68-9C9B-0E96E57B27A5}" name="Column2" headerRowDxfId="1525" dataDxfId="1524"/>
  </tableColumns>
  <tableStyleInfo name="TableStyleMedium2" showFirstColumn="0" showLastColumn="0" showRowStripes="1" showColumnStripes="0"/>
</table>
</file>

<file path=xl/tables/table7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8" xr:uid="{3479F708-2187-414E-AA8F-CD65EA29BA07}" name="Table228" displayName="Table228" ref="D163:F187" headerRowCount="0" totalsRowShown="0" headerRowDxfId="1523" dataDxfId="1522">
  <sortState xmlns:xlrd2="http://schemas.microsoft.com/office/spreadsheetml/2017/richdata2" ref="D163:F187">
    <sortCondition ref="F162:F187"/>
  </sortState>
  <tableColumns count="3">
    <tableColumn id="1" xr3:uid="{59ED109E-ED92-4D54-8D56-E8A9D9527BE5}" name="Column1" headerRowDxfId="1521" dataDxfId="1520"/>
    <tableColumn id="2" xr3:uid="{4C270353-2E3B-4C83-BFC1-18B7350738F6}" name="Column2" headerRowDxfId="1519" dataDxfId="1518"/>
    <tableColumn id="3" xr3:uid="{23AA4C67-108D-4E6B-87EE-0CFA59DC44FC}" name="Column3" headerRowDxfId="1517" dataDxfId="1516"/>
  </tableColumns>
  <tableStyleInfo name="TableStyleMedium2" showFirstColumn="0" showLastColumn="0" showRowStripes="1" showColumnStripes="0"/>
</table>
</file>

<file path=xl/tables/table7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9" xr:uid="{E45622D6-1D70-46C7-8AEA-403377901A6F}" name="Table229" displayName="Table229" ref="D140:F161" headerRowCount="0" totalsRowShown="0" headerRowDxfId="1515" dataDxfId="1514">
  <sortState xmlns:xlrd2="http://schemas.microsoft.com/office/spreadsheetml/2017/richdata2" ref="D140:F161">
    <sortCondition ref="F139:F161"/>
  </sortState>
  <tableColumns count="3">
    <tableColumn id="1" xr3:uid="{953E45AF-6AE6-401A-A39D-0E854886DB6A}" name="Column1" headerRowDxfId="1513" dataDxfId="1512"/>
    <tableColumn id="2" xr3:uid="{970C9424-3F86-458A-9062-958C8E5A5FC7}" name="Column2" headerRowDxfId="1511" dataDxfId="1510"/>
    <tableColumn id="3" xr3:uid="{DB38C316-6667-4045-AE07-50EAD379A1D5}" name="Column3" headerRowDxfId="1509" dataDxfId="1508"/>
  </tableColumns>
  <tableStyleInfo name="TableStyleMedium2" showFirstColumn="0" showLastColumn="0" showRowStripes="1" showColumnStripes="0"/>
</table>
</file>

<file path=xl/tables/table7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0" xr:uid="{D0CB0055-8819-4BF1-89D3-FF6583C7138B}" name="Table230" displayName="Table230" ref="D121:F138" headerRowCount="0" totalsRowShown="0" headerRowDxfId="1507" dataDxfId="1506">
  <sortState xmlns:xlrd2="http://schemas.microsoft.com/office/spreadsheetml/2017/richdata2" ref="D121:F138">
    <sortCondition ref="F120:F138"/>
  </sortState>
  <tableColumns count="3">
    <tableColumn id="1" xr3:uid="{E425518D-42D5-4E80-9869-5282AC60860E}" name="Column1" headerRowDxfId="1505" dataDxfId="1504"/>
    <tableColumn id="2" xr3:uid="{2B21126E-40D9-4CBF-8E43-C572A8057EB4}" name="Column2" headerRowDxfId="1503" dataDxfId="1502"/>
    <tableColumn id="3" xr3:uid="{C940D84C-DEFC-4C25-8500-3D8D61E230EE}" name="Column3" headerRowDxfId="1501" dataDxfId="1500"/>
  </tableColumns>
  <tableStyleInfo name="TableStyleMedium2" showFirstColumn="0" showLastColumn="0" showRowStripes="1" showColumnStripes="0"/>
</table>
</file>

<file path=xl/tables/table7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1" xr:uid="{DC8E998D-C956-44BA-9D63-381CBAEF3002}" name="Table231" displayName="Table231" ref="D105:F119" headerRowCount="0" totalsRowShown="0" headerRowDxfId="1499" dataDxfId="1498">
  <sortState xmlns:xlrd2="http://schemas.microsoft.com/office/spreadsheetml/2017/richdata2" ref="D105:F119">
    <sortCondition ref="F104:F119"/>
  </sortState>
  <tableColumns count="3">
    <tableColumn id="1" xr3:uid="{2396F1F4-F27F-4426-A17A-203B48FB259A}" name="Column1" headerRowDxfId="1497" dataDxfId="1496"/>
    <tableColumn id="2" xr3:uid="{09295F40-F4CC-4188-BD78-B8A055727979}" name="Column2" headerRowDxfId="1495" dataDxfId="1494"/>
    <tableColumn id="3" xr3:uid="{3D5DBE9C-58CC-47D6-8722-5E8C0C78B0E0}" name="Column3" headerRowDxfId="1493" dataDxfId="1492"/>
  </tableColumns>
  <tableStyleInfo name="TableStyleMedium2" showFirstColumn="0" showLastColumn="0" showRowStripes="1" showColumnStripes="0"/>
</table>
</file>

<file path=xl/tables/table7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3" xr:uid="{F73370A4-7166-4233-BFFB-A544D869AD75}" name="Table233" displayName="Table233" ref="D92:F103" headerRowCount="0" totalsRowShown="0" headerRowDxfId="1491" dataDxfId="1490">
  <sortState xmlns:xlrd2="http://schemas.microsoft.com/office/spreadsheetml/2017/richdata2" ref="D92:F103">
    <sortCondition ref="F91:F103"/>
  </sortState>
  <tableColumns count="3">
    <tableColumn id="1" xr3:uid="{31A2D832-DE57-4C42-B534-B57E2242C187}" name="Column1" headerRowDxfId="1489" dataDxfId="1488"/>
    <tableColumn id="2" xr3:uid="{418CF3FC-30E4-484B-BCA9-825FFFA21018}" name="Column2" headerRowDxfId="1487" dataDxfId="1486"/>
    <tableColumn id="3" xr3:uid="{39C93D2B-44FD-407B-A0C7-11303B2317C6}" name="Column3" headerRowDxfId="1485" dataDxfId="1484"/>
  </tableColumns>
  <tableStyleInfo name="TableStyleMedium2" showFirstColumn="0" showLastColumn="0" showRowStripes="1" showColumnStripes="0"/>
</table>
</file>

<file path=xl/tables/table7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4" xr:uid="{ECAC2B6D-D42A-4F22-BCF9-74DD8037330E}" name="Table234" displayName="Table234" ref="D189:E209" headerRowCount="0" totalsRowShown="0" headerRowDxfId="1483" dataDxfId="1482">
  <tableColumns count="2">
    <tableColumn id="1" xr3:uid="{F6EB5BC5-2625-4F43-8731-BBB939E6A3E5}" name="Column1" headerRowDxfId="1481" dataDxfId="1480"/>
    <tableColumn id="2" xr3:uid="{010232EB-FC3E-47AE-8282-7741F9B650FB}" name="Column2" headerRowDxfId="1479" dataDxfId="1478"/>
  </tableColumns>
  <tableStyleInfo name="TableStyleMedium2" showFirstColumn="0" showLastColumn="0" showRowStripes="1" showColumnStripes="0"/>
</table>
</file>

<file path=xl/tables/table7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1" xr:uid="{1015FF6D-32E0-4C63-B02F-D3434B711A02}" name="Table251" displayName="Table251" ref="A86:B94" headerRowCount="0" totalsRowShown="0" headerRowDxfId="1477" dataDxfId="1476">
  <tableColumns count="2">
    <tableColumn id="1" xr3:uid="{59F64FED-71F9-426F-9E25-8FECC29B048E}" name="Column1" headerRowDxfId="1475" dataDxfId="1474"/>
    <tableColumn id="2" xr3:uid="{02E5C6CE-DD7C-49C4-9325-368D640CAB4D}" name="Column2" headerRowDxfId="1473" dataDxfId="1472"/>
  </tableColumns>
  <tableStyleInfo name="TableStyleMedium2" showFirstColumn="0" showLastColumn="0" showRowStripes="1" showColumnStripes="0"/>
</table>
</file>

<file path=xl/tables/table7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2" xr:uid="{DE128A42-386E-4DCD-9244-03F4C7D4DBE9}" name="Table252" displayName="Table252" ref="A96:B220" headerRowCount="0" totalsRowShown="0" headerRowDxfId="1471" dataDxfId="1470">
  <sortState xmlns:xlrd2="http://schemas.microsoft.com/office/spreadsheetml/2017/richdata2" ref="A96:B256">
    <sortCondition ref="B95:B256"/>
  </sortState>
  <tableColumns count="2">
    <tableColumn id="1" xr3:uid="{C0DA3E72-7C2C-4A0D-991A-E1A7BF8CC178}" name="Column1" headerRowDxfId="1469" dataDxfId="1468"/>
    <tableColumn id="2" xr3:uid="{76149F37-AE37-4562-B1EE-22CBFE20A50F}" name="Column2" headerRowDxfId="1467" dataDxfId="1466"/>
  </tableColumns>
  <tableStyleInfo name="TableStyleMedium2" showFirstColumn="0" showLastColumn="0" showRowStripes="1" showColumnStripes="0"/>
</table>
</file>

<file path=xl/tables/table7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4" xr:uid="{93924593-5ED4-4948-8943-8257A35E7F08}" name="Table254" displayName="Table254" ref="A222:B237" headerRowCount="0" totalsRowShown="0" headerRowDxfId="1465" dataDxfId="1464">
  <tableColumns count="2">
    <tableColumn id="1" xr3:uid="{98F83790-169F-4E56-B7D3-A216B5622760}" name="Column1" headerRowDxfId="1463" dataDxfId="1462"/>
    <tableColumn id="2" xr3:uid="{766BE5F3-2E8E-42E2-8CD7-3747412F2312}" name="Column2" headerRowDxfId="1461" dataDxfId="1460"/>
  </tableColumns>
  <tableStyleInfo name="TableStyleMedium2" showFirstColumn="0" showLastColumn="0" showRowStripes="1" showColumnStripes="0"/>
</table>
</file>

<file path=xl/tables/table7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6" xr:uid="{A00D7150-DF96-47FE-BF21-D0F08DA68BBD}" name="Table256" displayName="Table256" ref="P1:Q9" headerRowCount="0" totalsRowShown="0" headerRowDxfId="1459" dataDxfId="1458">
  <tableColumns count="2">
    <tableColumn id="1" xr3:uid="{FE1FD67F-A905-4997-A88A-9BA51A73C70A}" name="Column1" headerRowDxfId="1457" dataDxfId="1456"/>
    <tableColumn id="2" xr3:uid="{A0363CEC-943F-4BCC-AEDC-787EAB19BF4E}" name="Column2" headerRowDxfId="1455" dataDxfId="1454"/>
  </tableColumns>
  <tableStyleInfo name="TableStyleMedium2" showFirstColumn="0" showLastColumn="0" showRowStripes="1" showColumnStripes="0"/>
</table>
</file>

<file path=xl/tables/table7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8" xr:uid="{DB34CC71-B4B3-4736-8FCD-2E3A557C3013}" name="Table258" displayName="Table258" ref="P11:Q15" headerRowCount="0" totalsRowShown="0" headerRowDxfId="1453" dataDxfId="1452">
  <tableColumns count="2">
    <tableColumn id="1" xr3:uid="{D38559AB-61FB-488E-A5FF-6D39D8D14BA4}" name="Column1" headerRowDxfId="1451" dataDxfId="1450"/>
    <tableColumn id="2" xr3:uid="{E71881FD-BDA4-4F95-80B9-5124D19AE8BF}" name="Column2" headerRowDxfId="1449" dataDxfId="1448"/>
  </tableColumns>
  <tableStyleInfo name="TableStyleMedium2" showFirstColumn="0" showLastColumn="0" showRowStripes="1" showColumnStripes="0"/>
</table>
</file>

<file path=xl/tables/table7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9" xr:uid="{4C047823-91B4-4EE7-8663-9A925C2A5055}" name="Table259" displayName="Table259" ref="P17:Q27" headerRowCount="0" totalsRowShown="0" headerRowDxfId="1447" dataDxfId="1446">
  <tableColumns count="2">
    <tableColumn id="1" xr3:uid="{D1E2F40B-9F58-43F2-94CA-53D3D7609B75}" name="Column1" headerRowDxfId="1445" dataDxfId="1444"/>
    <tableColumn id="2" xr3:uid="{30155F33-4D66-47BB-9906-D16623FC1CA1}" name="Column2" headerRowDxfId="1443" dataDxfId="1442"/>
  </tableColumns>
  <tableStyleInfo name="TableStyleMedium2" showFirstColumn="0" showLastColumn="0" showRowStripes="1" showColumnStripes="0"/>
</table>
</file>

<file path=xl/tables/table7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0" xr:uid="{C0B8E214-DE57-4800-8E7B-0F49D64CAE43}" name="Table260" displayName="Table260" ref="P29:Q49" headerRowCount="0" totalsRowShown="0" headerRowDxfId="1441" dataDxfId="1440">
  <tableColumns count="2">
    <tableColumn id="1" xr3:uid="{F0127379-B54F-478A-8055-7E282692C62B}" name="Column1" headerRowDxfId="1439" dataDxfId="1438"/>
    <tableColumn id="2" xr3:uid="{87D24B20-350C-45ED-9FB3-6BC0B49DEC70}" name="Column2" headerRowDxfId="1437" dataDxfId="1436"/>
  </tableColumns>
  <tableStyleInfo name="TableStyleMedium2" showFirstColumn="0" showLastColumn="0" showRowStripes="1" showColumnStripes="0"/>
</table>
</file>

<file path=xl/tables/table7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1" xr:uid="{12D5DCE9-3798-42BB-A10F-E82462B918EF}" name="Table261" displayName="Table261" ref="P51:Q61" headerRowCount="0" totalsRowShown="0" headerRowDxfId="1435" dataDxfId="1434">
  <tableColumns count="2">
    <tableColumn id="1" xr3:uid="{8FD45F1A-6065-4CD2-A844-6D3079CD59C8}" name="Column1" headerRowDxfId="1433" dataDxfId="1432"/>
    <tableColumn id="2" xr3:uid="{34976A77-BFF5-4180-B61B-16B9704E431D}" name="Column2" headerRowDxfId="1431" dataDxfId="1430"/>
  </tableColumns>
  <tableStyleInfo name="TableStyleMedium2" showFirstColumn="0" showLastColumn="0" showRowStripes="1" showColumnStripes="0"/>
</table>
</file>

<file path=xl/tables/table7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2" xr:uid="{AB1CBBA0-8C1C-4588-8A4C-E256679F50FB}" name="Table262" displayName="Table262" ref="P63:Q71" headerRowCount="0" totalsRowShown="0" headerRowDxfId="1429" dataDxfId="1428">
  <tableColumns count="2">
    <tableColumn id="1" xr3:uid="{D5A63444-CB60-429B-9B2B-D0CD7366D272}" name="Column1" headerRowDxfId="1427" dataDxfId="1426"/>
    <tableColumn id="2" xr3:uid="{E6F1BD07-A279-47BA-92AD-0942A96C2E8C}" name="Column2" headerRowDxfId="1425" dataDxfId="1424"/>
  </tableColumns>
  <tableStyleInfo name="TableStyleMedium2" showFirstColumn="0" showLastColumn="0" showRowStripes="1" showColumnStripes="0"/>
</table>
</file>

<file path=xl/tables/table7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3" xr:uid="{DAAAE139-105B-449F-9C46-2E058681C823}" name="Table263" displayName="Table263" ref="P73:Q81" headerRowCount="0" totalsRowShown="0" headerRowDxfId="1423" dataDxfId="1422">
  <tableColumns count="2">
    <tableColumn id="1" xr3:uid="{D363C2C2-F082-4223-92A7-AD923D32CAE9}" name="Column1" headerRowDxfId="1421" dataDxfId="1420"/>
    <tableColumn id="2" xr3:uid="{AAF5BF20-092A-47ED-B5A9-22D9FD9C43D7}" name="Column2" headerRowDxfId="1419" dataDxfId="1418"/>
  </tableColumns>
  <tableStyleInfo name="TableStyleMedium2" showFirstColumn="0" showLastColumn="0" showRowStripes="1" showColumnStripes="0"/>
</table>
</file>

<file path=xl/tables/table7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4" xr:uid="{3AE6A78B-B48D-4DBD-8846-196329BC91AB}" name="Table294" displayName="Table294" ref="I140:K160" headerRowCount="0" totalsRowShown="0" dataDxfId="1417">
  <tableColumns count="3">
    <tableColumn id="1" xr3:uid="{18758DC5-C696-4FD1-BADE-0D89B1758AB9}" name="Column1" headerRowDxfId="1416" dataDxfId="1415"/>
    <tableColumn id="2" xr3:uid="{24EF0AE8-25E3-4D68-ADAF-A4EDF02767F3}" name="Column2" headerRowDxfId="1414" dataDxfId="1413"/>
    <tableColumn id="3" xr3:uid="{6EC7B2F4-C733-432F-BB35-D19174BA9A6A}" name="Column3" dataDxfId="1412"/>
  </tableColumns>
  <tableStyleInfo name="TableStyleMedium2" showFirstColumn="0" showLastColumn="0" showRowStripes="1" showColumnStripes="0"/>
</table>
</file>

<file path=xl/tables/table7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5" xr:uid="{2A3F67F4-6A8C-41A2-B36C-BAB679AA70D7}" name="Table295" displayName="Table295" ref="D211:F219" headerRowCount="0" totalsRowShown="0" headerRowDxfId="1411">
  <tableColumns count="3">
    <tableColumn id="1" xr3:uid="{3B11D634-49DE-46BE-A3A2-1D5186481B43}" name="Column1" headerRowDxfId="1410" dataDxfId="1409">
      <calculatedColumnFormula>_xlfn.RANK.EQ(E212,$E$213:$E$220)</calculatedColumnFormula>
    </tableColumn>
    <tableColumn id="2" xr3:uid="{C3A29FED-CA59-4CC0-BB30-D977EFC83A35}" name="Column2" headerRowDxfId="1408" dataDxfId="1407">
      <calculatedColumnFormula>RAND()</calculatedColumnFormula>
    </tableColumn>
    <tableColumn id="3" xr3:uid="{376AD470-CF36-4AE8-B1B5-4133D720292E}" name="Column3" headerRowDxfId="1406" dataDxfId="1405"/>
  </tableColumns>
  <tableStyleInfo name="TableStyleMedium2" showFirstColumn="0" showLastColumn="0" showRowStripes="1" showColumnStripes="0"/>
</table>
</file>

<file path=xl/tables/table7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 xr:uid="{8B3A2C3E-999C-429A-8865-88FB7F4F253A}" name="Table93" displayName="Table93" ref="N1:P12" headerRowCount="0" totalsRowShown="0" headerRowDxfId="1404" dataDxfId="1403">
  <tableColumns count="3">
    <tableColumn id="1" xr3:uid="{BA34F7A5-BD7E-414B-83EE-C01B0F3278A5}" name="Column1" headerRowDxfId="1402" dataDxfId="1401"/>
    <tableColumn id="2" xr3:uid="{0EF9F3A1-2D28-4C4F-BE83-B787EC6D8FBF}" name="Column2" headerRowDxfId="1400" dataDxfId="1399"/>
    <tableColumn id="3" xr3:uid="{6EE3C9A4-B1C8-472F-953D-699449017DF9}" name="Column3" headerRowDxfId="1398" dataDxfId="1397"/>
  </tableColumns>
  <tableStyleInfo name="TableStyleMedium2" showFirstColumn="0" showLastColumn="0" showRowStripes="1" showColumnStripes="0"/>
</table>
</file>

<file path=xl/tables/table7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 xr:uid="{DE2DEC2A-F59D-46FB-A1D0-D0B1760E5210}" name="Table94" displayName="Table94" ref="A1:L21" headerRowCount="0" totalsRowShown="0" headerRowDxfId="1396" dataDxfId="1395">
  <tableColumns count="12">
    <tableColumn id="1" xr3:uid="{1D9CC86B-6357-41C3-A4CA-E790F7355ED4}" name="Column1" headerRowDxfId="1394" dataDxfId="1393"/>
    <tableColumn id="2" xr3:uid="{7AF4526C-37DB-4030-B26D-F9C1D299ED4D}" name="Column2" headerRowDxfId="1392" dataDxfId="1391"/>
    <tableColumn id="3" xr3:uid="{CA89660F-DACD-4E61-97BF-FD085A85C7BE}" name="Column3" headerRowDxfId="1390" dataDxfId="1389"/>
    <tableColumn id="4" xr3:uid="{B82738D8-C1A0-4DF3-9A4A-070ED77AEDC8}" name="Column4" headerRowDxfId="1388" dataDxfId="1387"/>
    <tableColumn id="5" xr3:uid="{44C71359-3820-4E47-979D-C07FBD94B119}" name="Column5" headerRowDxfId="1386" dataDxfId="1385"/>
    <tableColumn id="6" xr3:uid="{EC1B373D-75D2-40C6-A6D1-C9FF2522C3E5}" name="Column6" headerRowDxfId="1384" dataDxfId="1383"/>
    <tableColumn id="7" xr3:uid="{37B5B2CC-5907-4FF9-B804-9210B1897042}" name="Column7" headerRowDxfId="1382" dataDxfId="1381"/>
    <tableColumn id="8" xr3:uid="{1C5AA45C-ABB6-4637-A5AD-0C1BCCB89649}" name="Column8" headerRowDxfId="1380" dataDxfId="1379"/>
    <tableColumn id="9" xr3:uid="{22221150-613C-46BF-AEF9-75D66EE4F870}" name="Column9" headerRowDxfId="1378" dataDxfId="1377"/>
    <tableColumn id="10" xr3:uid="{E12E607A-2585-4239-B1AB-D58EB2B3EE3B}" name="Column10" headerRowDxfId="1376" dataDxfId="1375"/>
    <tableColumn id="11" xr3:uid="{97A6649A-181A-4A12-877F-84D1B51DBEE2}" name="Column11" headerRowDxfId="1374" dataDxfId="1373"/>
    <tableColumn id="12" xr3:uid="{0CCBE192-6FEA-4DBB-B80D-0BB2CE6F5CBA}" name="Column12" headerRowDxfId="1372" dataDxfId="1371"/>
  </tableColumns>
  <tableStyleInfo name="TableStyleMedium2" showFirstColumn="0" showLastColumn="0" showRowStripes="1" showColumnStripes="0"/>
</table>
</file>

<file path=xl/tables/table7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8" xr:uid="{D397FD36-5729-4C0A-BE36-6C58F4048209}" name="Table98" displayName="Table98" ref="R1:T22" headerRowCount="0" totalsRowShown="0" headerRowDxfId="1370" dataDxfId="1369">
  <tableColumns count="3">
    <tableColumn id="1" xr3:uid="{F8B7BE42-B559-448D-AF80-CCD2650AFFD1}" name="Column1" headerRowDxfId="1368" dataDxfId="1367"/>
    <tableColumn id="2" xr3:uid="{71548B80-AC7C-4ABC-B8EA-72A91BCB1CCD}" name="Column2" headerRowDxfId="1366" dataDxfId="1365"/>
    <tableColumn id="3" xr3:uid="{472A3588-FCCC-42C5-BF37-B3F18CA960E9}" name="Column3" headerRowDxfId="1364" dataDxfId="1363"/>
  </tableColumns>
  <tableStyleInfo name="TableStyleMedium2" showFirstColumn="0" showLastColumn="0" showRowStripes="1" showColumnStripes="0"/>
</table>
</file>

<file path=xl/tables/table7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9" xr:uid="{B3C4049C-B6A9-4C72-8B02-16F6D1C281CF}" name="Table99" displayName="Table99" ref="V1:X23" headerRowCount="0" totalsRowShown="0" headerRowDxfId="1362" dataDxfId="1361">
  <tableColumns count="3">
    <tableColumn id="1" xr3:uid="{5329F13C-03E9-4CE7-AEB6-BC3282E3F6C5}" name="Column1" headerRowDxfId="1360" dataDxfId="1359"/>
    <tableColumn id="2" xr3:uid="{93426721-053D-4DA5-8733-74487BC55A8A}" name="Column2" headerRowDxfId="1358" dataDxfId="1357"/>
    <tableColumn id="3" xr3:uid="{F8006941-3F72-4D6B-B3FC-C96F229DD602}" name="Column3" headerRowDxfId="1356" dataDxfId="1355"/>
  </tableColumns>
  <tableStyleInfo name="TableStyleMedium2" showFirstColumn="0" showLastColumn="0" showRowStripes="1" showColumnStripes="0"/>
</table>
</file>

<file path=xl/tables/table7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0" xr:uid="{F9ECF7AC-CE11-40AF-B8C5-4ED07947A936}" name="Table100" displayName="Table100" ref="Z1:AB17" headerRowCount="0" totalsRowShown="0" headerRowDxfId="1354" dataDxfId="1353">
  <tableColumns count="3">
    <tableColumn id="1" xr3:uid="{4B5176E1-B5A6-406F-9D1D-2712F93E7DB4}" name="Column1" headerRowDxfId="1352" dataDxfId="1351"/>
    <tableColumn id="2" xr3:uid="{61C069F7-F7B8-4C79-AD2F-F3EAB83B7BB8}" name="Column2" headerRowDxfId="1350" dataDxfId="1349"/>
    <tableColumn id="3" xr3:uid="{B5755F26-6B4B-4771-9A71-F72BBFDDB576}" name="Column3" headerRowDxfId="1348" dataDxfId="1347"/>
  </tableColumns>
  <tableStyleInfo name="TableStyleMedium2" showFirstColumn="0" showLastColumn="0" showRowStripes="1" showColumnStripes="0"/>
</table>
</file>

<file path=xl/tables/table7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1" xr:uid="{A2E2EC16-42ED-4CD1-8DC7-BF4EA3D7889D}" name="Table101" displayName="Table101" ref="AD1:AF9" headerRowCount="0" totalsRowShown="0" headerRowDxfId="1346" dataDxfId="1345">
  <tableColumns count="3">
    <tableColumn id="1" xr3:uid="{19E636E3-9121-4C6D-AA4E-B3B5B7A93430}" name="Column1" headerRowDxfId="1344" dataDxfId="1343"/>
    <tableColumn id="2" xr3:uid="{80159C21-4ADF-42A7-A7A3-4006B4A9241A}" name="Column2" headerRowDxfId="1342" dataDxfId="1341"/>
    <tableColumn id="3" xr3:uid="{C9F6BC95-D08E-429F-BB9A-A5F04F9D00D7}" name="Column3" headerRowDxfId="1340" dataDxfId="1339"/>
  </tableColumns>
  <tableStyleInfo name="TableStyleMedium2" showFirstColumn="0" showLastColumn="0" showRowStripes="1" showColumnStripes="0"/>
</table>
</file>

<file path=xl/tables/table7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2" xr:uid="{61F61940-294B-4D37-B2D0-E8185FD42BAB}" name="Table102" displayName="Table102" ref="AH1:AJ17" headerRowCount="0" totalsRowShown="0" headerRowDxfId="1338" dataDxfId="1337">
  <tableColumns count="3">
    <tableColumn id="1" xr3:uid="{124DBD60-FD62-4EEE-B003-958861A326F0}" name="Column1" headerRowDxfId="1336" dataDxfId="1335"/>
    <tableColumn id="2" xr3:uid="{B7732AB9-8716-423D-BBE3-7AD1F53BA826}" name="Column2" headerRowDxfId="1334" dataDxfId="1333"/>
    <tableColumn id="3" xr3:uid="{5EC4373E-F34B-491D-9AD4-B496545D30BF}" name="Column3" headerRowDxfId="1332" dataDxfId="1331"/>
  </tableColumns>
  <tableStyleInfo name="TableStyleMedium2" showFirstColumn="0" showLastColumn="0" showRowStripes="1" showColumnStripes="0"/>
</table>
</file>

<file path=xl/tables/table7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3" xr:uid="{15031498-8B63-4839-83EC-9BB072F32B1B}" name="Table103" displayName="Table103" ref="AL1:AN8" headerRowCount="0" totalsRowShown="0" headerRowDxfId="1330" dataDxfId="1329">
  <tableColumns count="3">
    <tableColumn id="1" xr3:uid="{00D52FEF-D45E-4E33-9E34-05358350CF96}" name="Column1" headerRowDxfId="1328" dataDxfId="1327"/>
    <tableColumn id="2" xr3:uid="{9F15F425-DD42-406C-B97D-283488987E54}" name="Column2" headerRowDxfId="1326" dataDxfId="1325"/>
    <tableColumn id="3" xr3:uid="{CD0C8469-1A38-46D0-B9E6-D53BDDE84C8B}" name="Column3" headerRowDxfId="1324" dataDxfId="1323"/>
  </tableColumns>
  <tableStyleInfo name="TableStyleMedium2" showFirstColumn="0" showLastColumn="0" showRowStripes="1" showColumnStripes="0"/>
</table>
</file>

<file path=xl/tables/table7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4" xr:uid="{44D1A2A2-A87B-459F-A2C0-BFCE98A8568A}" name="Table104" displayName="Table104" ref="AP1:AR11" headerRowCount="0" totalsRowShown="0" headerRowDxfId="1322" dataDxfId="1321">
  <tableColumns count="3">
    <tableColumn id="1" xr3:uid="{ECB514CB-4E89-454C-A2A3-9677936F3B6A}" name="Column1" headerRowDxfId="1320" dataDxfId="1319"/>
    <tableColumn id="2" xr3:uid="{0866C6C2-9762-4A62-9009-23D3DFD9EB2A}" name="Column2" headerRowDxfId="1318" dataDxfId="1317"/>
    <tableColumn id="3" xr3:uid="{36DD8072-ECD9-4713-BCC8-2BAA8ED0710E}" name="Column3" headerRowDxfId="1316" dataDxfId="1315"/>
  </tableColumns>
  <tableStyleInfo name="TableStyleMedium2" showFirstColumn="0" showLastColumn="0" showRowStripes="1" showColumnStripes="0"/>
</table>
</file>

<file path=xl/tables/table7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5" xr:uid="{72598591-B528-4A77-ACE4-4E7949E50321}" name="Table105" displayName="Table105" ref="AT1:AV6" headerRowCount="0" totalsRowShown="0" headerRowDxfId="1314" dataDxfId="1313">
  <tableColumns count="3">
    <tableColumn id="1" xr3:uid="{EA240136-C877-4F7A-B46C-EA9350683C9E}" name="Column1" headerRowDxfId="1312" dataDxfId="1311"/>
    <tableColumn id="2" xr3:uid="{2C64B873-96B9-4275-9B88-6EB25D3B00B7}" name="Column2" headerRowDxfId="1310" dataDxfId="1309"/>
    <tableColumn id="3" xr3:uid="{C874CD24-4C0F-4CCF-BC4D-B488ACF3077C}" name="Column3" headerRowDxfId="1308" dataDxfId="1307"/>
  </tableColumns>
  <tableStyleInfo name="TableStyleMedium2" showFirstColumn="0" showLastColumn="0" showRowStripes="1" showColumnStripes="0"/>
</table>
</file>

<file path=xl/tables/table7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6" xr:uid="{7348F287-5C58-4271-B5C6-15626C2A2A0E}" name="Table106" displayName="Table106" ref="AX1:AZ5" headerRowCount="0" totalsRowShown="0" headerRowDxfId="1306" dataDxfId="1305">
  <tableColumns count="3">
    <tableColumn id="1" xr3:uid="{65A8B15A-E1D1-4E83-AA9C-86992EEF0EFB}" name="Column1" headerRowDxfId="1304" dataDxfId="1303"/>
    <tableColumn id="2" xr3:uid="{F67060CE-1680-4AF8-8BF6-D46D923D28A2}" name="Column2" headerRowDxfId="1302" dataDxfId="1301"/>
    <tableColumn id="3" xr3:uid="{AC73022F-241D-42FC-94C1-1175E0E8841A}" name="Column3" headerRowDxfId="1300" dataDxfId="1299"/>
  </tableColumns>
  <tableStyleInfo name="TableStyleMedium2" showFirstColumn="0" showLastColumn="0" showRowStripes="1" showColumnStripes="0"/>
</table>
</file>

<file path=xl/tables/table7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7" xr:uid="{93717C6A-9BC4-4C25-B3EF-D254424EFD91}" name="Table107" displayName="Table107" ref="B25:L45" headerRowCount="0" totalsRowShown="0" headerRowDxfId="1298" dataDxfId="1297">
  <tableColumns count="11">
    <tableColumn id="1" xr3:uid="{69EF8E77-2ABD-40D5-9D3D-7C45A4CC9C1D}" name="Column1" headerRowDxfId="1296" dataDxfId="1295"/>
    <tableColumn id="2" xr3:uid="{96E5FD69-F0BE-4625-8526-D19947355759}" name="Column2" headerRowDxfId="1294" dataDxfId="1293"/>
    <tableColumn id="3" xr3:uid="{AB4361A3-A761-433D-A606-1BBC0EA20FF4}" name="Column3" headerRowDxfId="1292" dataDxfId="1291"/>
    <tableColumn id="4" xr3:uid="{6826F65E-C4FE-46D4-93C2-C63B474597BC}" name="Column4" headerRowDxfId="1290" dataDxfId="1289"/>
    <tableColumn id="5" xr3:uid="{A5D31539-7850-41C1-8447-CC57E2AD351C}" name="Column5" headerRowDxfId="1288" dataDxfId="1287"/>
    <tableColumn id="6" xr3:uid="{4375E096-AA9C-43FE-8CD7-B70ED0C2F6D1}" name="Column6" headerRowDxfId="1286" dataDxfId="1285"/>
    <tableColumn id="7" xr3:uid="{BE03628B-F6C8-4A51-9921-D138866DF0FB}" name="Column7" headerRowDxfId="1284" dataDxfId="1283"/>
    <tableColumn id="8" xr3:uid="{E5FFD01B-E2E1-4316-AC50-04B8FAE74F61}" name="Column8" headerRowDxfId="1282" dataDxfId="1281"/>
    <tableColumn id="9" xr3:uid="{0896AC0E-640F-41B7-9A96-1F5B6793B1B7}" name="Column9" headerRowDxfId="1280" dataDxfId="1279"/>
    <tableColumn id="10" xr3:uid="{4534220B-4FDD-4AFA-B985-0AB907FB8F11}" name="Column10" headerRowDxfId="1278" dataDxfId="1277"/>
    <tableColumn id="11" xr3:uid="{0DAF513E-EC86-4DD5-9543-61167E0A0F84}" name="Column11" headerRowDxfId="1276" dataDxfId="1275"/>
  </tableColumns>
  <tableStyleInfo name="TableStyleMedium2" showFirstColumn="0" showLastColumn="0" showRowStripes="1" showColumnStripes="0"/>
</table>
</file>

<file path=xl/tables/table7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9" xr:uid="{1DD1A3B7-BD60-499C-ADB7-BEC5C6F3E869}" name="Table109" displayName="Table109" ref="N25:P32" headerRowCount="0" totalsRowShown="0" headerRowDxfId="1274">
  <tableColumns count="3">
    <tableColumn id="1" xr3:uid="{602C195C-740B-432B-BB50-EE85FD630469}" name="Column1" headerRowDxfId="1273" dataDxfId="1272">
      <calculatedColumnFormula>_xlfn.RANK.EQ(O47,$O$48:$O$56)</calculatedColumnFormula>
    </tableColumn>
    <tableColumn id="2" xr3:uid="{93AD998F-0142-44A7-9D9A-2727EAF7E3DA}" name="Column2" headerRowDxfId="1271" dataDxfId="1270">
      <calculatedColumnFormula>RAND()</calculatedColumnFormula>
    </tableColumn>
    <tableColumn id="3" xr3:uid="{F56E4B5D-E3BD-43E0-BF17-759414490F99}" name="Column3" headerRowDxfId="1269" dataDxfId="1268"/>
  </tableColumns>
  <tableStyleInfo name="TableStyleMedium2" showFirstColumn="0" showLastColumn="0" showRowStripes="1" showColumnStripes="0"/>
</table>
</file>

<file path=xl/tables/table7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0" xr:uid="{26874635-8DEF-4ADC-9850-8B86511E242A}" name="Table110" displayName="Table110" ref="R25:T40" headerRowCount="0" totalsRowShown="0" headerRowDxfId="1267" dataDxfId="1266">
  <tableColumns count="3">
    <tableColumn id="1" xr3:uid="{C52E6B1D-E359-4251-9906-32A9673D9A38}" name="Column1" headerRowDxfId="1265" dataDxfId="1264"/>
    <tableColumn id="2" xr3:uid="{B913C796-1041-4E6D-B006-586F402EC80F}" name="Column2" headerRowDxfId="1263" dataDxfId="1262"/>
    <tableColumn id="3" xr3:uid="{B7A53CE0-AE1B-4A24-8807-61F4680428CA}" name="Column3" headerRowDxfId="1261" dataDxfId="1260"/>
  </tableColumns>
  <tableStyleInfo name="TableStyleMedium2" showFirstColumn="0" showLastColumn="0" showRowStripes="1" showColumnStripes="0"/>
</table>
</file>

<file path=xl/tables/table7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1" xr:uid="{F0C79182-1F75-4A7C-AEB4-2DF057D7CBCE}" name="Table111" displayName="Table111" ref="V25:X42" headerRowCount="0" totalsRowShown="0" headerRowDxfId="1259" dataDxfId="1258">
  <tableColumns count="3">
    <tableColumn id="1" xr3:uid="{EAD1659D-CB3F-44D5-9AF1-6F4AA42918E3}" name="Column1" headerRowDxfId="1257" dataDxfId="1256"/>
    <tableColumn id="2" xr3:uid="{9F8A1966-914D-484A-A159-57FAB0282A5F}" name="Column2" headerRowDxfId="1255" dataDxfId="1254"/>
    <tableColumn id="3" xr3:uid="{0EB0BC51-15D4-4FB8-A2AB-D45F255D7812}" name="Column3" headerRowDxfId="1253" dataDxfId="1252"/>
  </tableColumns>
  <tableStyleInfo name="TableStyleMedium2" showFirstColumn="0" showLastColumn="0" showRowStripes="1" showColumnStripes="0"/>
</table>
</file>

<file path=xl/tables/table7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2" xr:uid="{B799A4D4-CBEA-4095-B3A1-ABD31373F197}" name="Table112" displayName="Table112" ref="Z25:AB45" headerRowCount="0" totalsRowShown="0" headerRowDxfId="1251" dataDxfId="1250">
  <tableColumns count="3">
    <tableColumn id="1" xr3:uid="{50A9BE15-C821-4878-AD01-45969B3F8753}" name="Column1" headerRowDxfId="1249" dataDxfId="1248"/>
    <tableColumn id="2" xr3:uid="{51EF928C-C1D2-4B81-A19A-A11761B17805}" name="Column2" headerRowDxfId="1247" dataDxfId="1246"/>
    <tableColumn id="3" xr3:uid="{7B078C79-4EB4-4612-9FCE-18E70CC7F4FB}" name="Column3" headerRowDxfId="1245" dataDxfId="1244"/>
  </tableColumns>
  <tableStyleInfo name="TableStyleMedium2" showFirstColumn="0" showLastColumn="0" showRowStripes="1" showColumnStripes="0"/>
</table>
</file>

<file path=xl/tables/table7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3" xr:uid="{89FBE741-16E1-4CC1-84D8-053C35D00188}" name="Table113" displayName="Table113" ref="AD25:AF33" headerRowCount="0" totalsRowShown="0" headerRowDxfId="1243" dataDxfId="1242">
  <tableColumns count="3">
    <tableColumn id="1" xr3:uid="{480F4340-F5AC-46C1-8D5D-677AAFA8961C}" name="Column1" headerRowDxfId="1241" dataDxfId="1240"/>
    <tableColumn id="2" xr3:uid="{AB768A4A-7CEF-4951-B708-17D99ECAAF90}" name="Column2" headerRowDxfId="1239" dataDxfId="1238"/>
    <tableColumn id="3" xr3:uid="{31F7047A-E940-4299-8780-70A456ADE33B}" name="Column3" headerRowDxfId="1237" dataDxfId="1236"/>
  </tableColumns>
  <tableStyleInfo name="TableStyleMedium2" showFirstColumn="0" showLastColumn="0" showRowStripes="1" showColumnStripes="0"/>
</table>
</file>

<file path=xl/tables/table7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4" xr:uid="{E4D78EE5-D451-4A5B-8036-6144D053F92F}" name="Table114" displayName="Table114" ref="AH25:AJ38" headerRowCount="0" totalsRowShown="0" headerRowDxfId="1235" dataDxfId="1234">
  <tableColumns count="3">
    <tableColumn id="1" xr3:uid="{21ADF6A2-369F-4AC6-AEEA-A74194048D10}" name="Column1" headerRowDxfId="1233" dataDxfId="1232"/>
    <tableColumn id="2" xr3:uid="{A7B7D600-AD59-4BC1-B965-C1F456FAEFFD}" name="Column2" headerRowDxfId="1231" dataDxfId="1230"/>
    <tableColumn id="3" xr3:uid="{C61CB6F2-B9C2-4B61-A16E-90E74773230E}" name="Column3" headerRowDxfId="1229" dataDxfId="1228"/>
  </tableColumns>
  <tableStyleInfo name="TableStyleMedium2" showFirstColumn="0" showLastColumn="0" showRowStripes="1" showColumnStripes="0"/>
</table>
</file>

<file path=xl/tables/table7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5" xr:uid="{BDCC5248-C6BF-4719-9F2C-482C3CB3ED50}" name="Table115" displayName="Table115" ref="AL25:AN35" headerRowCount="0" totalsRowShown="0" headerRowDxfId="1227" dataDxfId="1226">
  <tableColumns count="3">
    <tableColumn id="1" xr3:uid="{DDEBD464-DFD5-47A0-A3D1-37F4EE09907D}" name="Column1" headerRowDxfId="1225" dataDxfId="1224"/>
    <tableColumn id="2" xr3:uid="{7DECC3CD-56CD-4539-934A-B64E0CD9EB71}" name="Column2" headerRowDxfId="1223" dataDxfId="1222"/>
    <tableColumn id="3" xr3:uid="{52977D56-ADCB-47C5-AF0B-0F4272D01820}" name="Column3" headerRowDxfId="1221" dataDxfId="1220"/>
  </tableColumns>
  <tableStyleInfo name="TableStyleMedium2" showFirstColumn="0" showLastColumn="0" showRowStripes="1" showColumnStripes="0"/>
</table>
</file>

<file path=xl/tables/table7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6" xr:uid="{DD598B51-C532-4139-9998-FD4F6C9D79D6}" name="Table116" displayName="Table116" ref="AP25:AR33" headerRowCount="0" totalsRowShown="0" headerRowDxfId="1219" dataDxfId="1218">
  <tableColumns count="3">
    <tableColumn id="1" xr3:uid="{15AE7249-D165-4634-88CE-48F65A1D8803}" name="Column1" headerRowDxfId="1217" dataDxfId="1216"/>
    <tableColumn id="2" xr3:uid="{AFEDFE58-E43B-4CE8-A141-1FA24A4D835D}" name="Column2" headerRowDxfId="1215" dataDxfId="1214"/>
    <tableColumn id="3" xr3:uid="{E443F8FC-B225-4899-836F-F69E9E0A5A0F}" name="Column3" headerRowDxfId="1213" dataDxfId="1212"/>
  </tableColumns>
  <tableStyleInfo name="TableStyleMedium2" showFirstColumn="0" showLastColumn="0" showRowStripes="1" showColumnStripes="0"/>
</table>
</file>

<file path=xl/tables/table7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7" xr:uid="{1D955368-4254-4DEA-BBB3-CF42D0674D6D}" name="Table117" displayName="Table117" ref="AT25:AV29" headerRowCount="0" totalsRowShown="0" headerRowDxfId="1211" dataDxfId="1210">
  <tableColumns count="3">
    <tableColumn id="1" xr3:uid="{AF9416D6-36DC-49DC-97AA-F78A1DE7EBA4}" name="Column1" headerRowDxfId="1209" dataDxfId="1208"/>
    <tableColumn id="2" xr3:uid="{8920A37A-E7C1-4361-A81E-1C901F46A3A3}" name="Column2" headerRowDxfId="1207" dataDxfId="1206"/>
    <tableColumn id="3" xr3:uid="{DDEC1511-1748-4487-BB5C-253D9A434AC5}" name="Column3" headerRowDxfId="1205" dataDxfId="1204"/>
  </tableColumns>
  <tableStyleInfo name="TableStyleMedium2" showFirstColumn="0" showLastColumn="0" showRowStripes="1" showColumnStripes="0"/>
</table>
</file>

<file path=xl/tables/table7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8" xr:uid="{070050E4-B97A-4B3F-A31B-401455F51FD4}" name="Table118" displayName="Table118" ref="AX25:AZ29" headerRowCount="0" totalsRowShown="0" headerRowDxfId="1203" dataDxfId="1202">
  <tableColumns count="3">
    <tableColumn id="1" xr3:uid="{4143EED4-DB09-4F22-9D3A-068690544D55}" name="Column1" headerRowDxfId="1201" dataDxfId="1200"/>
    <tableColumn id="2" xr3:uid="{C05B598D-B28A-476A-87AD-2B92A58D36B6}" name="Column2" headerRowDxfId="1199" dataDxfId="1198"/>
    <tableColumn id="3" xr3:uid="{4C75D08C-3F75-4A41-AA37-B7CB2CEB8B33}" name="Column3" headerRowDxfId="1197" dataDxfId="1196"/>
  </tableColumns>
  <tableStyleInfo name="TableStyleMedium2" showFirstColumn="0" showLastColumn="0" showRowStripes="1" showColumnStripes="0"/>
</table>
</file>

<file path=xl/tables/table7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9" xr:uid="{28EA0009-DDB1-4C2C-B6D8-AA61F2715DB2}" name="Table119" displayName="Table119" ref="B47:L67" headerRowCount="0" totalsRowShown="0" headerRowDxfId="1195" dataDxfId="1194">
  <tableColumns count="11">
    <tableColumn id="1" xr3:uid="{C6080F0E-DDF2-499D-8D19-6C27343870CB}" name="Column1" headerRowDxfId="1193" dataDxfId="1192"/>
    <tableColumn id="2" xr3:uid="{167A2AF0-A754-4434-BFB2-71453F5190D4}" name="Column2" headerRowDxfId="1191" dataDxfId="1190"/>
    <tableColumn id="3" xr3:uid="{31820681-D93D-4E03-9CA1-5E42269CC083}" name="Column3" headerRowDxfId="1189" dataDxfId="1188"/>
    <tableColumn id="4" xr3:uid="{D0B98AB4-DAF5-4CF5-8693-9B2A8DA50679}" name="Column4" headerRowDxfId="1187" dataDxfId="1186"/>
    <tableColumn id="5" xr3:uid="{39842E97-E33F-4DA7-90A5-109CD347FA0D}" name="Column5" headerRowDxfId="1185" dataDxfId="1184"/>
    <tableColumn id="6" xr3:uid="{3CCFCE5A-591B-4D32-9508-F0625C82C0F0}" name="Column6" headerRowDxfId="1183" dataDxfId="1182"/>
    <tableColumn id="7" xr3:uid="{CA8A943C-45DC-4706-BE6F-7EE0D0DEFF07}" name="Column7" headerRowDxfId="1181" dataDxfId="1180"/>
    <tableColumn id="8" xr3:uid="{1054E957-27DA-4378-A25F-81DFAE4E3BC7}" name="Column8" headerRowDxfId="1179" dataDxfId="1178"/>
    <tableColumn id="9" xr3:uid="{9C99FE11-4881-4117-893A-CAA9F9453852}" name="Column9" headerRowDxfId="1177" dataDxfId="1176"/>
    <tableColumn id="10" xr3:uid="{38E75557-18B6-4D75-B84D-644E2145CB7B}" name="Column10" headerRowDxfId="1175" dataDxfId="1174"/>
    <tableColumn id="11" xr3:uid="{8A1741F5-2A86-4DC2-AB8F-09808CBF670F}" name="Column11" headerRowDxfId="1173" dataDxfId="1172"/>
  </tableColumns>
  <tableStyleInfo name="TableStyleMedium2" showFirstColumn="0" showLastColumn="0" showRowStripes="1" showColumnStripes="0"/>
</table>
</file>

<file path=xl/tables/table7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0" xr:uid="{CD8AE736-0F2A-4586-8234-A6107C019385}" name="Table120" displayName="Table120" ref="A69:G89" headerRowCount="0" totalsRowShown="0" headerRowDxfId="1171" dataDxfId="1170">
  <tableColumns count="7">
    <tableColumn id="1" xr3:uid="{8B990538-0EEF-4BF6-BC76-B5EAC0CA02A6}" name="Column1" headerRowDxfId="1169" dataDxfId="1168"/>
    <tableColumn id="2" xr3:uid="{E7CCF7C4-2327-4E7C-8AF5-B6FA1160381D}" name="Column2" headerRowDxfId="1167" dataDxfId="1166"/>
    <tableColumn id="3" xr3:uid="{E21B9C8E-D6DC-4A13-AC47-AA789263C059}" name="Column3" headerRowDxfId="1165" dataDxfId="1164"/>
    <tableColumn id="4" xr3:uid="{997B9C9A-2094-4E23-8540-DAE88D6A8DD8}" name="Column4" headerRowDxfId="1163" dataDxfId="1162"/>
    <tableColumn id="5" xr3:uid="{8C2B2011-2420-467A-8D6D-AA957E712AB2}" name="Column5" headerRowDxfId="1161" dataDxfId="1160"/>
    <tableColumn id="6" xr3:uid="{ED144D26-6215-418F-8C63-65BC261555C2}" name="Column6" headerRowDxfId="1159" dataDxfId="1158"/>
    <tableColumn id="7" xr3:uid="{0C1E82B2-6FFF-4B24-B901-D3C40B046CCE}" name="Column7" headerRowDxfId="1157" dataDxfId="1156"/>
  </tableColumns>
  <tableStyleInfo name="TableStyleMedium2" showFirstColumn="0" showLastColumn="0" showRowStripes="1" showColumnStripes="0"/>
</table>
</file>

<file path=xl/tables/table7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1" xr:uid="{F64FC39F-DFD6-4AF1-8D4C-9F156AFECB65}" name="Table121" displayName="Table121" ref="C96:H116" headerRowCount="0" totalsRowShown="0" headerRowDxfId="1155" dataDxfId="1154">
  <tableColumns count="6">
    <tableColumn id="1" xr3:uid="{03D8470D-8EBA-4732-9BCB-5E529F7EFA0B}" name="Column1" headerRowDxfId="1153" dataDxfId="1152"/>
    <tableColumn id="2" xr3:uid="{2BC4D53A-03FF-4BE2-9399-8E30358926C8}" name="Column2" headerRowDxfId="1151" dataDxfId="1150"/>
    <tableColumn id="3" xr3:uid="{5A32894B-B634-4925-8655-8EE69A952D55}" name="Column3" headerRowDxfId="1149" dataDxfId="1148"/>
    <tableColumn id="4" xr3:uid="{42068DAE-0B63-4401-9B4C-8ED2D776FD56}" name="Column4" headerRowDxfId="1147" dataDxfId="1146"/>
    <tableColumn id="5" xr3:uid="{68446C98-3F09-45B7-B7E4-CA5D1B1EED9E}" name="Column5" headerRowDxfId="1145" dataDxfId="1144"/>
    <tableColumn id="6" xr3:uid="{DA7C6733-6EE7-4A0F-BE55-343974148235}" name="Column6" headerRowDxfId="1143" dataDxfId="1142"/>
  </tableColumns>
  <tableStyleInfo name="TableStyleMedium2" showFirstColumn="0" showLastColumn="0" showRowStripes="1" showColumnStripes="0"/>
</table>
</file>

<file path=xl/tables/table7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2" xr:uid="{BBD3F1B6-7080-472D-8D1F-6D824779241B}" name="Table122" displayName="Table122" ref="B118:H138" headerRowCount="0" totalsRowShown="0" headerRowDxfId="1141" dataDxfId="1140">
  <tableColumns count="7">
    <tableColumn id="1" xr3:uid="{AC310259-B7B2-4ED1-90B2-659A2C9754C2}" name="Column1" headerRowDxfId="1139" dataDxfId="1138"/>
    <tableColumn id="2" xr3:uid="{F27C054A-5E56-4F3F-8EDA-940BF4506342}" name="Column2" headerRowDxfId="1137" dataDxfId="1136"/>
    <tableColumn id="3" xr3:uid="{4976A64D-B7C9-4B9C-8640-EE5ECBAC0B77}" name="Column3" headerRowDxfId="1135" dataDxfId="1134"/>
    <tableColumn id="4" xr3:uid="{07D1CEC1-604E-4069-9395-52AB64CAECCE}" name="Column4" headerRowDxfId="1133" dataDxfId="1132"/>
    <tableColumn id="5" xr3:uid="{F30CFB54-EE8C-4C4F-8E95-125D67A45643}" name="Column5" headerRowDxfId="1131" dataDxfId="1130"/>
    <tableColumn id="6" xr3:uid="{FE543DC1-B1AC-4888-BD53-67D7489197BC}" name="Column6" headerRowDxfId="1129" dataDxfId="1128"/>
    <tableColumn id="7" xr3:uid="{E4E6D864-58FE-4129-A315-65FF134B1709}" name="Column7" headerRowDxfId="1127" dataDxfId="1126"/>
  </tableColumns>
  <tableStyleInfo name="TableStyleMedium2" showFirstColumn="0" showLastColumn="0" showRowStripes="1" showColumnStripes="0"/>
</table>
</file>

<file path=xl/tables/table7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3" xr:uid="{18DD9521-471C-426C-8919-A8BAA6909B42}" name="Table123" displayName="Table123" ref="A140:G160" headerRowCount="0" totalsRowShown="0" headerRowDxfId="1125" dataDxfId="1124">
  <tableColumns count="7">
    <tableColumn id="1" xr3:uid="{F9DF0E2F-C69D-4B8F-AE54-9314B2F9D147}" name="Column1" headerRowDxfId="1123" dataDxfId="1122"/>
    <tableColumn id="2" xr3:uid="{D0727480-B72A-4A38-80FD-3D17BC708672}" name="Column2" headerRowDxfId="1121" dataDxfId="1120"/>
    <tableColumn id="3" xr3:uid="{FD66F1DD-5B13-4E87-98F1-E2A117DB116B}" name="Column3" headerRowDxfId="1119" dataDxfId="1118"/>
    <tableColumn id="4" xr3:uid="{9699951F-4B33-4BB2-BBA4-54EC5596CB62}" name="Column4" headerRowDxfId="1117" dataDxfId="1116"/>
    <tableColumn id="5" xr3:uid="{F3196019-1A29-421E-ACA7-93BCAE0D9BBC}" name="Column5" headerRowDxfId="1115" dataDxfId="1114"/>
    <tableColumn id="6" xr3:uid="{53193A0E-0964-494B-BDDE-B5F5D9452004}" name="Column6" headerRowDxfId="1113" dataDxfId="1112"/>
    <tableColumn id="7" xr3:uid="{A1BCE620-193C-4681-9737-4C838C60D2E3}" name="Column7" headerRowDxfId="1111" dataDxfId="1110"/>
  </tableColumns>
  <tableStyleInfo name="TableStyleMedium2" showFirstColumn="0" showLastColumn="0" showRowStripes="1" showColumnStripes="0"/>
</table>
</file>

<file path=xl/tables/table7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4" xr:uid="{C9B57D4C-CC72-43CA-84D0-1B4B595B706E}" name="Table124" displayName="Table124" ref="A167:L187" headerRowCount="0" totalsRowShown="0" headerRowDxfId="1109" dataDxfId="1108">
  <tableColumns count="12">
    <tableColumn id="1" xr3:uid="{DB8DC613-D870-4265-9AA1-ABAA215F27A8}" name="Column1" headerRowDxfId="1107" dataDxfId="1106"/>
    <tableColumn id="2" xr3:uid="{652B6DEC-E7D5-4820-9FC5-6A0B5893CE32}" name="Column2" headerRowDxfId="1105" dataDxfId="1104"/>
    <tableColumn id="3" xr3:uid="{8E9F4661-81B4-46BB-B563-B6E013EADAED}" name="Column3" headerRowDxfId="1103" dataDxfId="1102"/>
    <tableColumn id="4" xr3:uid="{2ED62BBA-2D65-481D-B055-A9C035593A5E}" name="Column4" headerRowDxfId="1101" dataDxfId="1100"/>
    <tableColumn id="5" xr3:uid="{F5EC4E87-9AE7-492B-A5DB-9D406C0226E4}" name="Column5" headerRowDxfId="1099" dataDxfId="1098"/>
    <tableColumn id="6" xr3:uid="{FB745FEB-BCFE-487C-AF5F-8938B0BDC8F1}" name="Column6" headerRowDxfId="1097" dataDxfId="1096"/>
    <tableColumn id="7" xr3:uid="{252A4CF7-A5D5-4ED1-B8DE-839BAF906036}" name="Column7" headerRowDxfId="1095" dataDxfId="1094"/>
    <tableColumn id="8" xr3:uid="{40575E9C-DB80-4EB3-B5BF-6FE8B09FBF29}" name="Column8" headerRowDxfId="1093" dataDxfId="1092"/>
    <tableColumn id="9" xr3:uid="{D2B70B08-B421-4A44-B479-94FE8902FEB3}" name="Column9" headerRowDxfId="1091" dataDxfId="1090"/>
    <tableColumn id="10" xr3:uid="{FACD8F41-DAA8-45BA-91B9-702E85800864}" name="Column10" headerRowDxfId="1089" dataDxfId="1088"/>
    <tableColumn id="11" xr3:uid="{715EC270-865C-4AAF-8056-47EFC5A7C74F}" name="Column11" headerRowDxfId="1087" dataDxfId="1086"/>
    <tableColumn id="12" xr3:uid="{7A2625CB-EFCE-40F7-A6D4-9BF6E89275F4}" name="Column12" headerRowDxfId="1085" dataDxfId="1084"/>
  </tableColumns>
  <tableStyleInfo name="TableStyleMedium2" showFirstColumn="0" showLastColumn="0" showRowStripes="1" showColumnStripes="0"/>
</table>
</file>

<file path=xl/tables/table7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5" xr:uid="{7B23F4C5-5E50-4E27-9E81-E6FF128275FD}" name="Table125" displayName="Table125" ref="A193:F213" headerRowCount="0" totalsRowShown="0" headerRowDxfId="1083" dataDxfId="1082">
  <tableColumns count="6">
    <tableColumn id="1" xr3:uid="{36D3906E-664C-4B54-9C22-F04EC5D624F0}" name="Column1" headerRowDxfId="1081" dataDxfId="1080"/>
    <tableColumn id="2" xr3:uid="{494577E5-4DAF-4ECC-92E3-1E9ACF91F97F}" name="Column2" headerRowDxfId="1079" dataDxfId="1078"/>
    <tableColumn id="3" xr3:uid="{CA051128-3DA5-4E23-9058-B01F5C845231}" name="Column3" headerRowDxfId="1077" dataDxfId="1076"/>
    <tableColumn id="4" xr3:uid="{103C50B8-E310-4B42-88A7-268A4EDCADE9}" name="Column4" headerRowDxfId="1075" dataDxfId="1074"/>
    <tableColumn id="5" xr3:uid="{C9DEB244-912A-4F74-8D43-BED5ECDAD80F}" name="Column5" headerRowDxfId="1073" dataDxfId="1072"/>
    <tableColumn id="6" xr3:uid="{28FE45AF-15F0-4C14-B928-E4DE219BE52F}" name="Column6" headerRowDxfId="1071" dataDxfId="1070"/>
  </tableColumns>
  <tableStyleInfo name="TableStyleMedium2" showFirstColumn="0" showLastColumn="0" showRowStripes="1" showColumnStripes="0"/>
</table>
</file>

<file path=xl/tables/table7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7" xr:uid="{391C4617-DADE-48F6-9C43-A0AA9112DC73}" name="Table127" displayName="Table127" ref="B241:L261" headerRowCount="0" totalsRowShown="0" headerRowDxfId="1069" dataDxfId="1068">
  <tableColumns count="11">
    <tableColumn id="1" xr3:uid="{98210655-5660-4B01-AD3D-C94ECA884BB1}" name="Column1" headerRowDxfId="1067" dataDxfId="1066"/>
    <tableColumn id="2" xr3:uid="{D347C0BD-9F48-429F-BCF1-29CAB6051A66}" name="Column2" headerRowDxfId="1065" dataDxfId="1064"/>
    <tableColumn id="3" xr3:uid="{CB6FD480-20EE-49AA-9F4D-6D41DEA91E86}" name="Column3" headerRowDxfId="1063" dataDxfId="1062"/>
    <tableColumn id="4" xr3:uid="{4BE7DBBE-51AD-4F99-9338-E6173474DAEF}" name="Column4" headerRowDxfId="1061" dataDxfId="1060"/>
    <tableColumn id="5" xr3:uid="{AD751138-9C86-42CA-9BC1-26DC1F0AFCE8}" name="Column5" headerRowDxfId="1059" dataDxfId="1058"/>
    <tableColumn id="6" xr3:uid="{C272A7F8-C6CE-4AEF-87B4-122F6E01705E}" name="Column6" headerRowDxfId="1057" dataDxfId="1056"/>
    <tableColumn id="7" xr3:uid="{16941F56-D66B-4AFF-BBEB-4AFB0E677FA5}" name="Column7" headerRowDxfId="1055" dataDxfId="1054"/>
    <tableColumn id="8" xr3:uid="{1458921C-7677-4820-A1C9-7606FA7B4C78}" name="Column8" headerRowDxfId="1053" dataDxfId="1052"/>
    <tableColumn id="9" xr3:uid="{D428249A-DBAE-4B93-8069-E95A03EEDDF0}" name="Column9" headerRowDxfId="1051" dataDxfId="1050"/>
    <tableColumn id="10" xr3:uid="{86EE15A9-D48D-4890-A116-BC9AF728F7CD}" name="Column10" headerRowDxfId="1049" dataDxfId="1048"/>
    <tableColumn id="11" xr3:uid="{3D6E7AF9-972A-4DC7-8FC2-60934D2BEEA1}" name="Column11" headerRowDxfId="1047" dataDxfId="1046"/>
  </tableColumns>
  <tableStyleInfo name="TableStyleMedium2" showFirstColumn="0" showLastColumn="0" showRowStripes="1" showColumnStripes="0"/>
</table>
</file>

<file path=xl/tables/table7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8" xr:uid="{F464D27D-ECF2-43D2-940C-82962FF1EA7C}" name="Table128" displayName="Table128" ref="N47:P55" headerRowCount="0" totalsRowShown="0" headerRowDxfId="1045" dataDxfId="1044">
  <tableColumns count="3">
    <tableColumn id="1" xr3:uid="{9849E1D7-59A5-4B4A-A906-448E15BE1985}" name="Column1" headerRowDxfId="1043" dataDxfId="1042"/>
    <tableColumn id="2" xr3:uid="{820CDA45-752F-423B-85F9-D330B8CA27F7}" name="Column2" headerRowDxfId="1041" dataDxfId="1040"/>
    <tableColumn id="3" xr3:uid="{BCE2F0F4-82E4-4C8A-92FC-D62AF71754A2}" name="Column3" headerRowDxfId="1039" dataDxfId="1038"/>
  </tableColumns>
  <tableStyleInfo name="TableStyleMedium2" showFirstColumn="0" showLastColumn="0" showRowStripes="1" showColumnStripes="0"/>
</table>
</file>

<file path=xl/tables/table7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9" xr:uid="{51161FEE-AFF5-4733-A24E-5FFB51A86651}" name="Table129" displayName="Table129" ref="AX47:AZ51" headerRowCount="0" totalsRowShown="0" headerRowDxfId="1037" dataDxfId="1036">
  <tableColumns count="3">
    <tableColumn id="1" xr3:uid="{996FD945-19A5-4061-AA7F-EB6CF876EF50}" name="Column1" headerRowDxfId="1035" dataDxfId="1034"/>
    <tableColumn id="2" xr3:uid="{6F293A64-1EA2-4B12-AAD4-93EE6161020A}" name="Column2" headerRowDxfId="1033" dataDxfId="1032"/>
    <tableColumn id="3" xr3:uid="{5105960B-D90C-44E2-930C-CF19083F1B11}" name="Column3" headerRowDxfId="1031" dataDxfId="1030"/>
  </tableColumns>
  <tableStyleInfo name="TableStyleMedium2" showFirstColumn="0" showLastColumn="0" showRowStripes="1" showColumnStripes="0"/>
</table>
</file>

<file path=xl/tables/table7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0" xr:uid="{3CBFEB49-EDDE-4B55-AC0A-AE46703D6A76}" name="Table130" displayName="Table130" ref="AT47:AV54" headerRowCount="0" totalsRowShown="0" headerRowDxfId="1029" dataDxfId="1028">
  <tableColumns count="3">
    <tableColumn id="1" xr3:uid="{FEE178F4-265F-41D7-89FA-552F241FE89E}" name="Column1" headerRowDxfId="1027" dataDxfId="1026"/>
    <tableColumn id="2" xr3:uid="{13FBD347-A107-4252-A6FA-190133901C61}" name="Column2" headerRowDxfId="1025" dataDxfId="1024"/>
    <tableColumn id="3" xr3:uid="{5ACC0824-438D-4ED5-868D-2CEF662F6DA4}" name="Column3" headerRowDxfId="1023" dataDxfId="1022"/>
  </tableColumns>
  <tableStyleInfo name="TableStyleMedium2" showFirstColumn="0" showLastColumn="0" showRowStripes="1" showColumnStripes="0"/>
</table>
</file>

<file path=xl/tables/table7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1" xr:uid="{B2A25644-5821-47A7-8597-42B9A42A0796}" name="Table131" displayName="Table131" ref="AP47:AR52" headerRowCount="0" totalsRowShown="0" headerRowDxfId="1021" dataDxfId="1020">
  <tableColumns count="3">
    <tableColumn id="1" xr3:uid="{C7629B99-D4E3-4959-86C7-D1F69FFF80D6}" name="Column1" headerRowDxfId="1019" dataDxfId="1018"/>
    <tableColumn id="2" xr3:uid="{EA40E707-2F6E-4D2B-819B-44B435E23324}" name="Column2" headerRowDxfId="1017" dataDxfId="1016"/>
    <tableColumn id="3" xr3:uid="{DCEFBE35-E3AC-4981-A836-260282EF8F1A}" name="Column3" headerRowDxfId="1015" dataDxfId="1014"/>
  </tableColumns>
  <tableStyleInfo name="TableStyleMedium2" showFirstColumn="0" showLastColumn="0" showRowStripes="1" showColumnStripes="0"/>
</table>
</file>

<file path=xl/tables/table7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2" xr:uid="{32F1F921-0409-4314-813E-C8E3975852B2}" name="Table132" displayName="Table132" ref="AL47:AN56" headerRowCount="0" totalsRowShown="0" headerRowDxfId="1013" dataDxfId="1012">
  <tableColumns count="3">
    <tableColumn id="1" xr3:uid="{3A4F0C8A-3B8C-4414-8ED9-B93299A60568}" name="Column1" headerRowDxfId="1011" dataDxfId="1010"/>
    <tableColumn id="2" xr3:uid="{311B2CA8-E7EB-4A22-B8D4-6AE10A0410ED}" name="Column2" headerRowDxfId="1009" dataDxfId="1008"/>
    <tableColumn id="3" xr3:uid="{49C1265C-67B1-4438-A4B5-AF5DC33392C6}" name="Column3" headerRowDxfId="1007" dataDxfId="1006"/>
  </tableColumns>
  <tableStyleInfo name="TableStyleMedium2" showFirstColumn="0" showLastColumn="0" showRowStripes="1" showColumnStripes="0"/>
</table>
</file>

<file path=xl/tables/table7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3" xr:uid="{752A7F10-0614-4D64-8CAF-E682FD577390}" name="Table133" displayName="Table133" ref="AH47:AJ61" headerRowCount="0" totalsRowShown="0" headerRowDxfId="1005" dataDxfId="1004">
  <tableColumns count="3">
    <tableColumn id="1" xr3:uid="{B1A20739-E883-4E46-BCC3-5A3374BF9139}" name="Column1" headerRowDxfId="1003" dataDxfId="1002"/>
    <tableColumn id="2" xr3:uid="{ED6C9554-80B5-4811-A5EF-B7A0B6F041E5}" name="Column2" headerRowDxfId="1001" dataDxfId="1000"/>
    <tableColumn id="3" xr3:uid="{EF552DBD-CD23-42C9-836C-7EDB63F10104}" name="Column3" headerRowDxfId="999" dataDxfId="998"/>
  </tableColumns>
  <tableStyleInfo name="TableStyleMedium2" showFirstColumn="0" showLastColumn="0" showRowStripes="1" showColumnStripes="0"/>
</table>
</file>

<file path=xl/tables/table7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4" xr:uid="{BD4066A9-5C8A-4AF5-82B8-F6ABC5E5CFD2}" name="Table134" displayName="Table134" ref="AD47:AF63" headerRowCount="0" totalsRowShown="0" headerRowDxfId="997" dataDxfId="996">
  <tableColumns count="3">
    <tableColumn id="1" xr3:uid="{7792AD4D-D9FB-4619-8C82-F142688AB1DE}" name="Column1" headerRowDxfId="995" dataDxfId="994"/>
    <tableColumn id="2" xr3:uid="{26B5F297-DA20-4BD0-9837-6F9817BCCE73}" name="Column2" headerRowDxfId="993" dataDxfId="992"/>
    <tableColumn id="3" xr3:uid="{EC0EB2F3-599F-436E-B899-56A6897B3B59}" name="Column3" headerRowDxfId="991" dataDxfId="990"/>
  </tableColumns>
  <tableStyleInfo name="TableStyleMedium2" showFirstColumn="0" showLastColumn="0" showRowStripes="1" showColumnStripes="0"/>
</table>
</file>

<file path=xl/tables/table7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5" xr:uid="{D7CB9981-EF59-4D68-9D40-5228E66387E9}" name="Table135" displayName="Table135" ref="Z47:AB60" headerRowCount="0" totalsRowShown="0" headerRowDxfId="989" dataDxfId="988">
  <tableColumns count="3">
    <tableColumn id="1" xr3:uid="{174DAA18-D72D-4B81-9EE7-FD14B56BC30A}" name="Column1" headerRowDxfId="987" dataDxfId="986"/>
    <tableColumn id="2" xr3:uid="{DFD579B3-0F0A-4A2B-BCA8-36639F7844A1}" name="Column2" headerRowDxfId="985" dataDxfId="984"/>
    <tableColumn id="3" xr3:uid="{9F758DF1-753D-44E8-B99A-BF097914076B}" name="Column3" headerRowDxfId="983" dataDxfId="982"/>
  </tableColumns>
  <tableStyleInfo name="TableStyleMedium2" showFirstColumn="0" showLastColumn="0" showRowStripes="1" showColumnStripes="0"/>
</table>
</file>

<file path=xl/tables/table7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6" xr:uid="{BB8B5D1F-FFEA-4801-877C-8382C3D42A10}" name="Table136" displayName="Table136" ref="V47:X65" headerRowCount="0" totalsRowShown="0" headerRowDxfId="981" dataDxfId="980">
  <tableColumns count="3">
    <tableColumn id="1" xr3:uid="{04F99CB6-6943-4EA5-B3ED-567877805977}" name="Column1" headerRowDxfId="979" dataDxfId="978"/>
    <tableColumn id="2" xr3:uid="{4DB772C4-ABD6-458A-B872-188EFD1D4B2C}" name="Column2" headerRowDxfId="977" dataDxfId="976"/>
    <tableColumn id="3" xr3:uid="{8BC851DD-CBED-447F-8DD3-F941F58203DD}" name="Column3" headerRowDxfId="975" dataDxfId="974"/>
  </tableColumns>
  <tableStyleInfo name="TableStyleMedium2" showFirstColumn="0" showLastColumn="0" showRowStripes="1" showColumnStripes="0"/>
</table>
</file>

<file path=xl/tables/table7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7" xr:uid="{D3B15334-C69A-4424-B62E-2FA8D136173C}" name="Table137" displayName="Table137" ref="R47:T63" headerRowCount="0" totalsRowShown="0" headerRowDxfId="973" dataDxfId="972">
  <tableColumns count="3">
    <tableColumn id="1" xr3:uid="{327454C2-00F7-419F-AC34-246983F9D1C0}" name="Column1" headerRowDxfId="971" dataDxfId="970"/>
    <tableColumn id="2" xr3:uid="{A627E672-0DC3-40B2-9753-1EF1866AA1E6}" name="Column2" headerRowDxfId="969" dataDxfId="968"/>
    <tableColumn id="3" xr3:uid="{3B228684-F8D2-43E9-9155-B660EDBDAD05}" name="Column3" headerRowDxfId="967" dataDxfId="966"/>
  </tableColumns>
  <tableStyleInfo name="TableStyleMedium2" showFirstColumn="0" showLastColumn="0" showRowStripes="1" showColumnStripes="0"/>
</table>
</file>

<file path=xl/tables/table7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8" xr:uid="{24DA300B-02EC-43F8-9F37-78E526B24C8F}" name="Table138" displayName="Table138" ref="N96:P111" headerRowCount="0" totalsRowShown="0" headerRowDxfId="965" dataDxfId="964">
  <tableColumns count="3">
    <tableColumn id="1" xr3:uid="{BEDBF390-CB26-49FA-9018-371138210E3B}" name="Column1" headerRowDxfId="963" dataDxfId="962"/>
    <tableColumn id="2" xr3:uid="{68B976BB-90CF-4E69-8F07-94DEE4832DC3}" name="Column2" headerRowDxfId="961" dataDxfId="960"/>
    <tableColumn id="3" xr3:uid="{2BB77EFF-15E4-4586-9278-A43BC24173FC}" name="Column3" headerRowDxfId="959" dataDxfId="958"/>
  </tableColumns>
  <tableStyleInfo name="TableStyleMedium2" showFirstColumn="0" showLastColumn="0" showRowStripes="1" showColumnStripes="0"/>
</table>
</file>

<file path=xl/tables/table7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9" xr:uid="{EB00F250-8E1F-44C9-9C3A-86281CDBBD31}" name="Table139" displayName="Table139" ref="R96:T104" headerRowCount="0" totalsRowShown="0" headerRowDxfId="957" dataDxfId="956">
  <tableColumns count="3">
    <tableColumn id="1" xr3:uid="{0F148866-0C86-4755-9F49-8FEC934A1710}" name="Column1" headerRowDxfId="955" dataDxfId="954"/>
    <tableColumn id="2" xr3:uid="{9AF071D5-83F2-42B2-A0F5-32F57D34790D}" name="Column2" headerRowDxfId="953" dataDxfId="952"/>
    <tableColumn id="3" xr3:uid="{3FA26BAE-C3D5-4A95-8B0E-671DF1FEF3C6}" name="Column3" headerRowDxfId="951" dataDxfId="950"/>
  </tableColumns>
  <tableStyleInfo name="TableStyleMedium2" showFirstColumn="0" showLastColumn="0" showRowStripes="1" showColumnStripes="0"/>
</table>
</file>

<file path=xl/tables/table7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0" xr:uid="{DECC9D5A-0551-4F85-A786-00160376B291}" name="Table140" displayName="Table140" ref="V96:X106" headerRowCount="0" totalsRowShown="0" headerRowDxfId="949" dataDxfId="948">
  <tableColumns count="3">
    <tableColumn id="1" xr3:uid="{647252EB-4B86-46A1-B84D-0A73697A9821}" name="Column1" headerRowDxfId="947" dataDxfId="946"/>
    <tableColumn id="2" xr3:uid="{8C1AF2AE-5636-44A8-8228-E5BC5629DEF2}" name="Column2" headerRowDxfId="945" dataDxfId="944"/>
    <tableColumn id="3" xr3:uid="{4A161695-7C1B-4682-8A3D-1052B8AACD0F}" name="Column3" headerRowDxfId="943" dataDxfId="942"/>
  </tableColumns>
  <tableStyleInfo name="TableStyleMedium2" showFirstColumn="0" showLastColumn="0" showRowStripes="1" showColumnStripes="0"/>
</table>
</file>

<file path=xl/tables/table7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1" xr:uid="{30F5BCC3-04C5-4BFA-8E4A-F9C28A9A52F6}" name="Table141" displayName="Table141" ref="Z96:AB102" headerRowCount="0" totalsRowShown="0" headerRowDxfId="941" dataDxfId="940">
  <tableColumns count="3">
    <tableColumn id="1" xr3:uid="{34AEF0C2-DDB8-445E-AB61-120AFFCE0030}" name="Column1" headerRowDxfId="939" dataDxfId="938"/>
    <tableColumn id="2" xr3:uid="{0BD7BB27-E3F0-470D-BD05-EEAE2B9B1788}" name="Column2" headerRowDxfId="937" dataDxfId="936"/>
    <tableColumn id="3" xr3:uid="{010DE8F1-DDE5-4997-84A3-6766C9DB70D8}" name="Column3" headerRowDxfId="935" dataDxfId="934"/>
  </tableColumns>
  <tableStyleInfo name="TableStyleMedium2" showFirstColumn="0" showLastColumn="0" showRowStripes="1" showColumnStripes="0"/>
</table>
</file>

<file path=xl/tables/table7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2" xr:uid="{C5334734-2D0E-4452-8CBA-5C35B513ACCB}" name="Table142" displayName="Table142" ref="AD96:AF102" headerRowCount="0" totalsRowShown="0" headerRowDxfId="933" dataDxfId="932">
  <tableColumns count="3">
    <tableColumn id="1" xr3:uid="{4172C23B-710E-4CE1-8B85-246D5C9D3903}" name="Column1" headerRowDxfId="931" dataDxfId="930"/>
    <tableColumn id="2" xr3:uid="{BD2499BA-A8E1-4C5E-B77A-8A42FD7CC3A9}" name="Column2" headerRowDxfId="929" dataDxfId="928"/>
    <tableColumn id="3" xr3:uid="{CFFDEAAE-8A2E-4DE5-9852-88AAC01B4502}" name="Column3" headerRowDxfId="927" dataDxfId="926"/>
  </tableColumns>
  <tableStyleInfo name="TableStyleMedium2" showFirstColumn="0" showLastColumn="0" showRowStripes="1" showColumnStripes="0"/>
</table>
</file>

<file path=xl/tables/table7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3" xr:uid="{D416538D-E779-46C0-BDD7-FADE912D1EEA}" name="Table143" displayName="Table143" ref="N118:P131" headerRowCount="0" totalsRowShown="0" headerRowDxfId="925" dataDxfId="924">
  <tableColumns count="3">
    <tableColumn id="1" xr3:uid="{F49C71E3-3F31-4459-BBBC-DF0A3E6E49AF}" name="Column1" headerRowDxfId="923" dataDxfId="922"/>
    <tableColumn id="2" xr3:uid="{5E4272BB-EEBB-43F2-A85A-3E8429969F72}" name="Column2" headerRowDxfId="921" dataDxfId="920"/>
    <tableColumn id="3" xr3:uid="{B1F13201-8776-432F-A677-B3734FE38818}" name="Column3" headerRowDxfId="919" dataDxfId="918"/>
  </tableColumns>
  <tableStyleInfo name="TableStyleMedium2" showFirstColumn="0" showLastColumn="0" showRowStripes="1" showColumnStripes="0"/>
</table>
</file>

<file path=xl/tables/table7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4" xr:uid="{E77CA19F-3858-4636-B566-3E83BE3617A1}" name="Table144" displayName="Table144" ref="R118:T131" headerRowCount="0" totalsRowShown="0" headerRowDxfId="917" dataDxfId="916">
  <tableColumns count="3">
    <tableColumn id="1" xr3:uid="{CA1EDF2A-C65D-49EE-9C65-80B28CE5DC85}" name="Column1" headerRowDxfId="915" dataDxfId="914"/>
    <tableColumn id="2" xr3:uid="{F66AC07C-9709-4259-B691-145EABC9DD43}" name="Column2" headerRowDxfId="913" dataDxfId="912"/>
    <tableColumn id="3" xr3:uid="{A930DF1C-0475-4067-B3F5-C0525584B356}" name="Column3" headerRowDxfId="911" dataDxfId="910"/>
  </tableColumns>
  <tableStyleInfo name="TableStyleMedium2" showFirstColumn="0" showLastColumn="0" showRowStripes="1" showColumnStripes="0"/>
</table>
</file>

<file path=xl/tables/table7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5" xr:uid="{890EDE27-3620-4ED1-BD95-A30BEBB86957}" name="Table145" displayName="Table145" ref="V118:X129" headerRowCount="0" totalsRowShown="0" headerRowDxfId="909" dataDxfId="908">
  <tableColumns count="3">
    <tableColumn id="1" xr3:uid="{AB43C698-7A2A-48F8-97F2-CD016813A6A1}" name="Column1" headerRowDxfId="907" dataDxfId="906"/>
    <tableColumn id="2" xr3:uid="{FD64FB8F-E696-4858-B43C-40AA810C526D}" name="Column2" headerRowDxfId="905" dataDxfId="904"/>
    <tableColumn id="3" xr3:uid="{41D5B098-0A3F-409E-8700-DBAB7C8EDE5C}" name="Column3" headerRowDxfId="903" dataDxfId="902"/>
  </tableColumns>
  <tableStyleInfo name="TableStyleMedium2" showFirstColumn="0" showLastColumn="0" showRowStripes="1" showColumnStripes="0"/>
</table>
</file>

<file path=xl/tables/table7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6" xr:uid="{C8996DFB-C663-4A63-8AD2-5A82F81C567D}" name="Table146" displayName="Table146" ref="Z118:AB123" headerRowCount="0" totalsRowShown="0" headerRowDxfId="901" dataDxfId="900">
  <tableColumns count="3">
    <tableColumn id="1" xr3:uid="{3E1A1CD1-A419-491D-86EF-4742D7E8BE75}" name="Column1" headerRowDxfId="899" dataDxfId="898"/>
    <tableColumn id="2" xr3:uid="{AC42A840-BC6F-4473-B94A-36959AC33056}" name="Column2" headerRowDxfId="897" dataDxfId="896"/>
    <tableColumn id="3" xr3:uid="{CE70C6AB-A53E-4029-B0BF-577E93AB11CC}" name="Column3" headerRowDxfId="895" dataDxfId="894"/>
  </tableColumns>
  <tableStyleInfo name="TableStyleMedium2" showFirstColumn="0" showLastColumn="0" showRowStripes="1" showColumnStripes="0"/>
</table>
</file>

<file path=xl/tables/table7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7" xr:uid="{98B9FAC0-26FB-4DB9-A1DB-B5AF709E2272}" name="Table147" displayName="Table147" ref="AD118:AF122" headerRowCount="0" totalsRowShown="0" headerRowDxfId="893">
  <tableColumns count="3">
    <tableColumn id="1" xr3:uid="{6F221DCF-D498-441C-B4D5-7DFFBA41E256}" name="Column1" headerRowDxfId="892"/>
    <tableColumn id="2" xr3:uid="{14B762A8-4F21-4AB9-84BF-BE1E9041B0A2}" name="Column2" headerRowDxfId="891"/>
    <tableColumn id="3" xr3:uid="{4BA7DF15-8753-4F3F-8B99-3EDBD5743C5A}" name="Column3" headerRowDxfId="890"/>
  </tableColumns>
  <tableStyleInfo name="TableStyleMedium2" showFirstColumn="0" showLastColumn="0" showRowStripes="1" showColumnStripes="0"/>
</table>
</file>

<file path=xl/tables/table7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8" xr:uid="{C0813B16-AF27-4199-8A5E-89EFA5133759}" name="Table148" displayName="Table148" ref="N167:P183" headerRowCount="0" totalsRowShown="0" headerRowDxfId="889" dataDxfId="888">
  <tableColumns count="3">
    <tableColumn id="1" xr3:uid="{3101C4A8-5030-46BA-99A4-9F434D05FEC3}" name="Column1" headerRowDxfId="887" dataDxfId="886"/>
    <tableColumn id="2" xr3:uid="{CB158042-6FE9-4058-999B-8E62A148B335}" name="Column2" headerRowDxfId="885" dataDxfId="884"/>
    <tableColumn id="3" xr3:uid="{C5CA5FF9-5C2F-496A-8351-47206AC12501}" name="Column3" headerRowDxfId="883" dataDxfId="882"/>
  </tableColumns>
  <tableStyleInfo name="TableStyleMedium2" showFirstColumn="0" showLastColumn="0" showRowStripes="1" showColumnStripes="0"/>
</table>
</file>

<file path=xl/tables/table7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9" xr:uid="{F162AA47-D577-4734-A03E-F2A3B9B2E6B1}" name="Table149" displayName="Table149" ref="R167:T187" headerRowCount="0" totalsRowShown="0" headerRowDxfId="881" dataDxfId="880">
  <tableColumns count="3">
    <tableColumn id="1" xr3:uid="{0767B9ED-0CDC-4520-8B5D-47E9DB209BE4}" name="Column1" headerRowDxfId="879" dataDxfId="878"/>
    <tableColumn id="2" xr3:uid="{3686A42F-2670-4B68-B6FB-A6AF7665104C}" name="Column2" headerRowDxfId="877" dataDxfId="876"/>
    <tableColumn id="3" xr3:uid="{1E0821F2-1C2D-4E98-A35F-44FF47E2AB73}" name="Column3" headerRowDxfId="875" dataDxfId="874"/>
  </tableColumns>
  <tableStyleInfo name="TableStyleMedium2" showFirstColumn="0" showLastColumn="0" showRowStripes="1" showColumnStripes="0"/>
</table>
</file>

<file path=xl/tables/table7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0" xr:uid="{D4F80D69-1EDC-4592-977D-70AF7FA5E8CA}" name="Table150" displayName="Table150" ref="V167:X191" headerRowCount="0" totalsRowShown="0" headerRowDxfId="873" dataDxfId="872">
  <tableColumns count="3">
    <tableColumn id="1" xr3:uid="{662BB05E-FC1C-47FA-86F0-C923EA65E960}" name="Column1" headerRowDxfId="871" dataDxfId="870"/>
    <tableColumn id="2" xr3:uid="{CC82CB1F-93C3-4642-BA01-03A14D98CB20}" name="Column2" headerRowDxfId="869" dataDxfId="868"/>
    <tableColumn id="3" xr3:uid="{DF5DFB96-1FB5-4C9C-AE2D-A4EE25066625}" name="Column3" headerRowDxfId="867" dataDxfId="866"/>
  </tableColumns>
  <tableStyleInfo name="TableStyleMedium2" showFirstColumn="0" showLastColumn="0" showRowStripes="1" showColumnStripes="0"/>
</table>
</file>

<file path=xl/tables/table7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1" xr:uid="{84538A48-42FB-496A-9A8B-EAE03A456462}" name="Table151" displayName="Table151" ref="Z167:AB187" headerRowCount="0" totalsRowShown="0" headerRowDxfId="865" dataDxfId="864">
  <tableColumns count="3">
    <tableColumn id="1" xr3:uid="{F57F38F2-D57B-4BD8-964E-653D434767CE}" name="Column1" headerRowDxfId="863" dataDxfId="862"/>
    <tableColumn id="2" xr3:uid="{5E4ADF42-41D2-4A7C-8A14-CF803BBD503B}" name="Column2" headerRowDxfId="861" dataDxfId="860"/>
    <tableColumn id="3" xr3:uid="{23758E70-F64B-4456-823D-244B96288118}" name="Column3" headerRowDxfId="859" dataDxfId="858"/>
  </tableColumns>
  <tableStyleInfo name="TableStyleMedium2" showFirstColumn="0" showLastColumn="0" showRowStripes="1" showColumnStripes="0"/>
</table>
</file>

<file path=xl/tables/table7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2" xr:uid="{D910B24F-118D-4E6E-B782-F50AE79F8D82}" name="Table152" displayName="Table152" ref="AD167:AF177" headerRowCount="0" totalsRowShown="0" headerRowDxfId="857" dataDxfId="856">
  <tableColumns count="3">
    <tableColumn id="1" xr3:uid="{13EE5B93-26CE-4E1D-BCEC-0E595C58BCF3}" name="Column1" headerRowDxfId="855" dataDxfId="854"/>
    <tableColumn id="2" xr3:uid="{D4FE88FF-3F69-4F45-AF18-2ADACCB64A48}" name="Column2" headerRowDxfId="853" dataDxfId="852"/>
    <tableColumn id="3" xr3:uid="{182ADF3E-0EB0-4877-8126-8897A76D726A}" name="Column3" headerRowDxfId="851" dataDxfId="850"/>
  </tableColumns>
  <tableStyleInfo name="TableStyleMedium2" showFirstColumn="0" showLastColumn="0" showRowStripes="1" showColumnStripes="0"/>
</table>
</file>

<file path=xl/tables/table7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3" xr:uid="{0D57A8AB-E2F7-48F1-A953-A42CE8D4180F}" name="Table153" displayName="Table153" ref="AH167:AJ178" headerRowCount="0" totalsRowShown="0" headerRowDxfId="849" dataDxfId="848">
  <tableColumns count="3">
    <tableColumn id="1" xr3:uid="{3A7A39F1-5D97-4179-974E-F0FCB1E98F71}" name="Column1" headerRowDxfId="847" dataDxfId="846"/>
    <tableColumn id="2" xr3:uid="{0ACB1705-9A3E-4783-AFE0-ADECF11B53C8}" name="Column2" headerRowDxfId="845" dataDxfId="844"/>
    <tableColumn id="3" xr3:uid="{A53E797D-A08C-4A9B-8602-68ED3D46EE4C}" name="Column3" headerRowDxfId="843" dataDxfId="842"/>
  </tableColumns>
  <tableStyleInfo name="TableStyleMedium2" showFirstColumn="0" showLastColumn="0" showRowStripes="1" showColumnStripes="0"/>
</table>
</file>

<file path=xl/tables/table7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4" xr:uid="{E8D245F8-3A81-417A-AB7A-C2BA031B2231}" name="Table154" displayName="Table154" ref="AL167:AN177" headerRowCount="0" totalsRowShown="0" headerRowDxfId="841" dataDxfId="840">
  <tableColumns count="3">
    <tableColumn id="1" xr3:uid="{0128A153-7A33-4319-8D4A-691B686DDCE5}" name="Column1" headerRowDxfId="839" dataDxfId="838"/>
    <tableColumn id="2" xr3:uid="{E46A59B7-BF9A-48AD-BB5A-4F3A87A40FE0}" name="Column2" headerRowDxfId="837" dataDxfId="836"/>
    <tableColumn id="3" xr3:uid="{B9C96AC1-913F-4244-A676-0B28B9CF4D20}" name="Column3" headerRowDxfId="835" dataDxfId="834"/>
  </tableColumns>
  <tableStyleInfo name="TableStyleMedium2" showFirstColumn="0" showLastColumn="0" showRowStripes="1" showColumnStripes="0"/>
</table>
</file>

<file path=xl/tables/table7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5" xr:uid="{A36E88D9-2E3E-4023-80FD-EF5186597ECF}" name="Table155" displayName="Table155" ref="AP167:AR175" headerRowCount="0" totalsRowShown="0" headerRowDxfId="833" dataDxfId="832">
  <tableColumns count="3">
    <tableColumn id="1" xr3:uid="{4523E63D-4964-4436-A9AF-EB87E8AE94E0}" name="Column1" headerRowDxfId="831" dataDxfId="830"/>
    <tableColumn id="2" xr3:uid="{DA5B363E-0184-4543-AE39-8427586F48EF}" name="Column2" headerRowDxfId="829" dataDxfId="828"/>
    <tableColumn id="3" xr3:uid="{30D01A8A-881F-4B11-AE56-443DBDBA1434}" name="Column3" headerRowDxfId="827" dataDxfId="826"/>
  </tableColumns>
  <tableStyleInfo name="TableStyleMedium2" showFirstColumn="0" showLastColumn="0" showRowStripes="1" showColumnStripes="0"/>
</table>
</file>

<file path=xl/tables/table7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6" xr:uid="{483EE87C-FEDE-4933-8A5C-34B36600D26E}" name="Table156" displayName="Table156" ref="AT167:AV172" headerRowCount="0" totalsRowShown="0" headerRowDxfId="825" dataDxfId="824">
  <tableColumns count="3">
    <tableColumn id="1" xr3:uid="{F0B426AC-5DD2-4C30-AA03-1CDEA4678D68}" name="Column1" headerRowDxfId="823" dataDxfId="822"/>
    <tableColumn id="2" xr3:uid="{9A71E620-7D0C-4852-A2FF-14B11D7AA492}" name="Column2" headerRowDxfId="821" dataDxfId="820"/>
    <tableColumn id="3" xr3:uid="{D6F28B80-F386-4E15-B276-4B82DEAB7046}" name="Column3" headerRowDxfId="819" dataDxfId="818"/>
  </tableColumns>
  <tableStyleInfo name="TableStyleMedium2" showFirstColumn="0" showLastColumn="0" showRowStripes="1" showColumnStripes="0"/>
</table>
</file>

<file path=xl/tables/table7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7" xr:uid="{F06E629D-78ED-4C30-9454-566DE8C5A609}" name="Table157" displayName="Table157" ref="N193:P201" headerRowCount="0" totalsRowShown="0" headerRowDxfId="817" dataDxfId="816">
  <tableColumns count="3">
    <tableColumn id="1" xr3:uid="{2EA516D3-CF9E-4799-B0CD-9330CD3DF8B4}" name="Column1" headerRowDxfId="815" dataDxfId="814"/>
    <tableColumn id="2" xr3:uid="{76BEE14A-1A3B-4355-830D-4B92808A4314}" name="Column2" headerRowDxfId="813" dataDxfId="812"/>
    <tableColumn id="3" xr3:uid="{E6CD0B10-75B6-4836-B534-C74727C2C195}" name="Column3" headerRowDxfId="811" dataDxfId="810"/>
  </tableColumns>
  <tableStyleInfo name="TableStyleMedium2" showFirstColumn="0" showLastColumn="0" showRowStripes="1" showColumnStripes="0"/>
</table>
</file>

<file path=xl/tables/table7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8" xr:uid="{D8428034-3399-4ACC-8492-1CFB9CACCF62}" name="Table158" displayName="Table158" ref="R193:T206" headerRowCount="0" totalsRowShown="0" headerRowDxfId="809" dataDxfId="808">
  <tableColumns count="3">
    <tableColumn id="1" xr3:uid="{82DCEB12-EFFE-4DC3-A3BC-E941681A5287}" name="Column1" headerRowDxfId="807" dataDxfId="806"/>
    <tableColumn id="2" xr3:uid="{FCD17CC3-DB7B-4AFA-A195-999B303CB3EA}" name="Column2" headerRowDxfId="805" dataDxfId="804"/>
    <tableColumn id="3" xr3:uid="{EF379869-32FB-481E-9E1E-52E899D9390E}" name="Column3" headerRowDxfId="803" dataDxfId="802"/>
  </tableColumns>
  <tableStyleInfo name="TableStyleMedium2" showFirstColumn="0" showLastColumn="0" showRowStripes="1" showColumnStripes="0"/>
</table>
</file>

<file path=xl/tables/table7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9" xr:uid="{A625AE29-A8FD-41FE-8997-F0851D731C30}" name="Table159" displayName="Table159" ref="V193:X207" headerRowCount="0" totalsRowShown="0" headerRowDxfId="801" dataDxfId="800">
  <tableColumns count="3">
    <tableColumn id="1" xr3:uid="{495756CB-A344-4329-B8B2-A540DC59DDAE}" name="Column1" headerRowDxfId="799" dataDxfId="798"/>
    <tableColumn id="2" xr3:uid="{441BA4B1-8DE7-4956-9566-6811F89FD435}" name="Column2" headerRowDxfId="797" dataDxfId="796"/>
    <tableColumn id="3" xr3:uid="{0449835E-C995-49FD-8389-6072692D4E4A}" name="Column3" headerRowDxfId="795" dataDxfId="794"/>
  </tableColumns>
  <tableStyleInfo name="TableStyleMedium2" showFirstColumn="0" showLastColumn="0" showRowStripes="1" showColumnStripes="0"/>
</table>
</file>

<file path=xl/tables/table7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0" xr:uid="{49C2B156-E4E2-42FB-B703-66B4C9FC7B27}" name="Table160" displayName="Table160" ref="Z193:AB206" headerRowCount="0" totalsRowShown="0" headerRowDxfId="793" dataDxfId="792">
  <tableColumns count="3">
    <tableColumn id="1" xr3:uid="{279C4E65-5E8D-4616-9B8E-A8ED029D5436}" name="Column1" headerRowDxfId="791" dataDxfId="790"/>
    <tableColumn id="2" xr3:uid="{B080246E-7681-4280-8580-4299E72A6387}" name="Column2" headerRowDxfId="789" dataDxfId="788"/>
    <tableColumn id="3" xr3:uid="{7ABFA5FB-A4E0-4C29-B4C8-02EA64193742}" name="Column3" headerRowDxfId="787" dataDxfId="786"/>
  </tableColumns>
  <tableStyleInfo name="TableStyleMedium2" showFirstColumn="0" showLastColumn="0" showRowStripes="1" showColumnStripes="0"/>
</table>
</file>

<file path=xl/tables/table7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1" xr:uid="{DA5F2E57-F36E-4890-9499-DFE9C69EB200}" name="Table161" displayName="Table161" ref="AD193:AF199" headerRowCount="0" totalsRowShown="0" headerRowDxfId="785" dataDxfId="784">
  <tableColumns count="3">
    <tableColumn id="1" xr3:uid="{FDCE4554-0B1D-4376-9752-210F645F3BF8}" name="Column1" headerRowDxfId="783" dataDxfId="782"/>
    <tableColumn id="2" xr3:uid="{D9D37EA4-6A06-4F70-8AF9-74A1A46C89E9}" name="Column2" headerRowDxfId="781" dataDxfId="780"/>
    <tableColumn id="3" xr3:uid="{0D10E8AA-DD88-40CF-80DD-5BD685DD9721}" name="Column3" headerRowDxfId="779" dataDxfId="778"/>
  </tableColumns>
  <tableStyleInfo name="TableStyleMedium2" showFirstColumn="0" showLastColumn="0" showRowStripes="1" showColumnStripes="0"/>
</table>
</file>

<file path=xl/tables/table7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2" xr:uid="{75C9FEF7-D339-4973-9C7A-91DF38B11097}" name="Table162" displayName="Table162" ref="AH193:AJ199" headerRowCount="0" totalsRowShown="0" headerRowDxfId="777" dataDxfId="776">
  <tableColumns count="3">
    <tableColumn id="1" xr3:uid="{FBC72902-A104-4106-92C7-D7041A383111}" name="Column1" headerRowDxfId="775" dataDxfId="774"/>
    <tableColumn id="2" xr3:uid="{C82A9CA8-DB0D-4587-B778-09769ACB844F}" name="Column2" headerRowDxfId="773" dataDxfId="772"/>
    <tableColumn id="3" xr3:uid="{8C971E50-E811-4DF7-A909-FEE2F702D8C2}" name="Column3" headerRowDxfId="771" dataDxfId="770"/>
  </tableColumns>
  <tableStyleInfo name="TableStyleMedium2" showFirstColumn="0" showLastColumn="0" showRowStripes="1" showColumnStripes="0"/>
</table>
</file>

<file path=xl/tables/table8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3" xr:uid="{1C52C02E-9C90-456C-989A-B603722D2377}" name="Table163" displayName="Table163" ref="AL193:AN201" headerRowCount="0" totalsRowShown="0" headerRowDxfId="769" dataDxfId="768">
  <tableColumns count="3">
    <tableColumn id="1" xr3:uid="{E3963137-F239-4E0E-A889-D94D53DF8B44}" name="Column1" headerRowDxfId="767" dataDxfId="766"/>
    <tableColumn id="2" xr3:uid="{93F0A3F5-AB37-4D2F-A12E-E4EE2F712D36}" name="Column2" headerRowDxfId="765" dataDxfId="764"/>
    <tableColumn id="3" xr3:uid="{CCFE7A84-0513-4E8E-B033-7F6C5D82632B}" name="Column3" headerRowDxfId="763" dataDxfId="762"/>
  </tableColumns>
  <tableStyleInfo name="TableStyleMedium2" showFirstColumn="0" showLastColumn="0" showRowStripes="1" showColumnStripes="0"/>
</table>
</file>

<file path=xl/tables/table8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4" xr:uid="{23CA3137-C4BA-4AB9-AAB5-B6CF88D2F822}" name="Table164" displayName="Table164" ref="AP193:AR197" headerRowCount="0" totalsRowShown="0" headerRowDxfId="761" dataDxfId="760">
  <tableColumns count="3">
    <tableColumn id="1" xr3:uid="{E05AEB88-B040-48BB-AEC1-A973DA0586FD}" name="Column1" headerRowDxfId="759" dataDxfId="758"/>
    <tableColumn id="2" xr3:uid="{F19AE186-526C-4F76-BDF2-D0AEB53595A2}" name="Column2" headerRowDxfId="757" dataDxfId="756"/>
    <tableColumn id="3" xr3:uid="{7615421B-E99B-4283-A451-907C483C050F}" name="Column3" headerRowDxfId="755" dataDxfId="754"/>
  </tableColumns>
  <tableStyleInfo name="TableStyleMedium2" showFirstColumn="0" showLastColumn="0" showRowStripes="1" showColumnStripes="0"/>
</table>
</file>

<file path=xl/tables/table8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5" xr:uid="{9EE1415D-34EA-471A-8363-BAA5BB97F905}" name="Table165" displayName="Table165" ref="AT193:AV198" headerRowCount="0" totalsRowShown="0" headerRowDxfId="753" dataDxfId="752">
  <tableColumns count="3">
    <tableColumn id="1" xr3:uid="{6D3E8CE1-E1BE-4C6D-AF42-D8C6DD26044E}" name="Column1" headerRowDxfId="751" dataDxfId="750"/>
    <tableColumn id="2" xr3:uid="{D75FCBAC-9E46-409C-87BC-B21795EB9879}" name="Column2" headerRowDxfId="749" dataDxfId="748"/>
    <tableColumn id="3" xr3:uid="{66FA3934-43B1-49D0-B504-7826BD6B5046}" name="Column3" headerRowDxfId="747" dataDxfId="746"/>
  </tableColumns>
  <tableStyleInfo name="TableStyleMedium2" showFirstColumn="0" showLastColumn="0" showRowStripes="1" showColumnStripes="0"/>
</table>
</file>

<file path=xl/tables/table8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6" xr:uid="{BB0D257E-334C-44D9-AC77-2029696CDFE3}" name="Table166" displayName="Table166" ref="AX193:AZ198" headerRowCount="0" totalsRowShown="0" headerRowDxfId="745" dataDxfId="744">
  <tableColumns count="3">
    <tableColumn id="1" xr3:uid="{6CB1DC08-0DC8-41A2-BEA9-92A62F573D52}" name="Column1" headerRowDxfId="743" dataDxfId="742"/>
    <tableColumn id="2" xr3:uid="{3D9EB7A5-CBBC-4852-81BF-C6DBD8ADC093}" name="Column2" headerRowDxfId="741" dataDxfId="740"/>
    <tableColumn id="3" xr3:uid="{5BAA307A-2A79-44F5-823E-F82C06DD79D2}" name="Column3" headerRowDxfId="739" dataDxfId="738"/>
  </tableColumns>
  <tableStyleInfo name="TableStyleMedium2" showFirstColumn="0" showLastColumn="0" showRowStripes="1" showColumnStripes="0"/>
</table>
</file>

<file path=xl/tables/table8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7" xr:uid="{8DA87C83-7C98-465F-A3C6-056DE1959E46}" name="Table167" displayName="Table167" ref="N241:P257" headerRowCount="0" totalsRowShown="0" headerRowDxfId="737" dataDxfId="736">
  <tableColumns count="3">
    <tableColumn id="1" xr3:uid="{AC9D50B8-6052-412C-8FFB-215E14A99876}" name="Column1" headerRowDxfId="735" dataDxfId="734"/>
    <tableColumn id="2" xr3:uid="{11699EAA-F364-439B-ADD5-04484A804B70}" name="Column2" headerRowDxfId="733" dataDxfId="732"/>
    <tableColumn id="3" xr3:uid="{8873197A-B2CF-4EAA-9761-5B39C7B28228}" name="Column3" headerRowDxfId="731" dataDxfId="730"/>
  </tableColumns>
  <tableStyleInfo name="TableStyleMedium2" showFirstColumn="0" showLastColumn="0" showRowStripes="1" showColumnStripes="0"/>
</table>
</file>

<file path=xl/tables/table8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8" xr:uid="{9E532BF7-5A42-494F-8E7D-8D6CC5732101}" name="Table168" displayName="Table168" ref="R241:T271" headerRowCount="0" totalsRowShown="0" headerRowDxfId="729" dataDxfId="728">
  <sortState xmlns:xlrd2="http://schemas.microsoft.com/office/spreadsheetml/2017/richdata2" ref="R241:T271">
    <sortCondition ref="T240:T271"/>
  </sortState>
  <tableColumns count="3">
    <tableColumn id="1" xr3:uid="{8961C568-CA02-4E9A-9107-DACE2CE0B233}" name="Column1" headerRowDxfId="727" dataDxfId="726"/>
    <tableColumn id="2" xr3:uid="{A9E55A4C-9B98-465B-9A5D-6FF157612E4F}" name="Column2" headerRowDxfId="725" dataDxfId="724"/>
    <tableColumn id="3" xr3:uid="{0868FAD4-1234-467A-B41E-7F8486373EB4}" name="Column3" headerRowDxfId="723" dataDxfId="722"/>
  </tableColumns>
  <tableStyleInfo name="TableStyleMedium2" showFirstColumn="0" showLastColumn="0" showRowStripes="1" showColumnStripes="0"/>
</table>
</file>

<file path=xl/tables/table8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9" xr:uid="{025F6118-D9F8-417A-BC7F-2E7137825E76}" name="Table169" displayName="Table169" ref="V241:X275" headerRowCount="0" totalsRowShown="0" headerRowDxfId="721" dataDxfId="720">
  <sortState xmlns:xlrd2="http://schemas.microsoft.com/office/spreadsheetml/2017/richdata2" ref="V241:X275">
    <sortCondition ref="X240:X275"/>
  </sortState>
  <tableColumns count="3">
    <tableColumn id="1" xr3:uid="{C0DF01CD-39F1-4E33-8084-E235C06618FC}" name="Column1" headerRowDxfId="719" dataDxfId="718"/>
    <tableColumn id="2" xr3:uid="{B2C0159D-2B62-4616-9484-F0963CCD45C5}" name="Column2" headerRowDxfId="717" dataDxfId="716"/>
    <tableColumn id="3" xr3:uid="{304851B1-FCF9-45C9-87AE-28B1C996FD98}" name="Column3" headerRowDxfId="715" dataDxfId="714"/>
  </tableColumns>
  <tableStyleInfo name="TableStyleMedium2" showFirstColumn="0" showLastColumn="0" showRowStripes="1" showColumnStripes="0"/>
</table>
</file>

<file path=xl/tables/table8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0" xr:uid="{9BD7D868-36A2-49F3-A121-FD61D3F0FC29}" name="Table170" displayName="Table170" ref="Z241:AB270" headerRowCount="0" totalsRowShown="0" headerRowDxfId="713" dataDxfId="712">
  <sortState xmlns:xlrd2="http://schemas.microsoft.com/office/spreadsheetml/2017/richdata2" ref="Z241:AB270">
    <sortCondition ref="AB240:AB270"/>
  </sortState>
  <tableColumns count="3">
    <tableColumn id="1" xr3:uid="{F66C12A0-AE78-4AA2-8E6C-E084495F914D}" name="Column1" headerRowDxfId="711" dataDxfId="710">
      <calculatedColumnFormula>_xlfn.RANK.EQ(AA219,AA$220:AA$247)</calculatedColumnFormula>
    </tableColumn>
    <tableColumn id="2" xr3:uid="{21888E5C-166E-454B-A1E2-8627C7B5FE29}" name="Column2" headerRowDxfId="709" dataDxfId="708"/>
    <tableColumn id="3" xr3:uid="{565D64B7-273A-44FE-BF16-345E28A9923F}" name="Column3" headerRowDxfId="707" dataDxfId="706"/>
  </tableColumns>
  <tableStyleInfo name="TableStyleMedium2" showFirstColumn="0" showLastColumn="0" showRowStripes="1" showColumnStripes="0"/>
</table>
</file>

<file path=xl/tables/table8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1" xr:uid="{ED94611D-D067-4894-975A-3DEA52016D70}" name="Table171" displayName="Table171" ref="AD241:AF264" headerRowCount="0" totalsRowShown="0" headerRowDxfId="705" dataDxfId="704">
  <sortState xmlns:xlrd2="http://schemas.microsoft.com/office/spreadsheetml/2017/richdata2" ref="AD241:AF264">
    <sortCondition ref="AF240:AF264"/>
  </sortState>
  <tableColumns count="3">
    <tableColumn id="1" xr3:uid="{4AC4970A-858D-4E30-ADB6-44713A29A851}" name="Column1" headerRowDxfId="703" dataDxfId="702"/>
    <tableColumn id="2" xr3:uid="{5F1FC3C1-18A3-41DE-BF30-6145D9FD628E}" name="Column2" headerRowDxfId="701" dataDxfId="700"/>
    <tableColumn id="3" xr3:uid="{07A14671-0AB9-42CE-AD25-C3480B80B57A}" name="Column3" headerRowDxfId="699" dataDxfId="698"/>
  </tableColumns>
  <tableStyleInfo name="TableStyleMedium2" showFirstColumn="0" showLastColumn="0" showRowStripes="1" showColumnStripes="0"/>
</table>
</file>

<file path=xl/tables/table8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2" xr:uid="{A3339238-4A00-49B4-BEA5-C952F6DCF328}" name="Table172" displayName="Table172" ref="AH241:AJ264" headerRowCount="0" totalsRowShown="0" headerRowDxfId="697" dataDxfId="696">
  <tableColumns count="3">
    <tableColumn id="1" xr3:uid="{24BEA1F5-13FD-4785-9370-E9AB12524DC9}" name="Column1" headerRowDxfId="695" dataDxfId="694"/>
    <tableColumn id="2" xr3:uid="{11E7CC82-ADBF-4AFF-ABB9-39DE27717BD3}" name="Column2" headerRowDxfId="693" dataDxfId="692"/>
    <tableColumn id="3" xr3:uid="{1E4DD5E9-EDD3-4DD5-BEE7-714C97C26011}" name="Column3" headerRowDxfId="691" dataDxfId="690"/>
  </tableColumns>
  <tableStyleInfo name="TableStyleMedium2" showFirstColumn="0" showLastColumn="0" showRowStripes="1" showColumnStripes="0"/>
</table>
</file>

<file path=xl/tables/table8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3" xr:uid="{3BEB0DED-207C-4BA8-949D-07D78791DB4D}" name="Table173" displayName="Table173" ref="AL241:AN260" headerRowCount="0" totalsRowShown="0" headerRowDxfId="689" dataDxfId="688">
  <sortState xmlns:xlrd2="http://schemas.microsoft.com/office/spreadsheetml/2017/richdata2" ref="AL241:AN260">
    <sortCondition ref="AN240:AN260"/>
  </sortState>
  <tableColumns count="3">
    <tableColumn id="1" xr3:uid="{9F42CDED-A996-4170-A071-770F2B9EB2B1}" name="Column1" headerRowDxfId="687" dataDxfId="686"/>
    <tableColumn id="2" xr3:uid="{334135AE-6497-482E-B24E-F4DB400C3C12}" name="Column2" headerRowDxfId="685" dataDxfId="684"/>
    <tableColumn id="3" xr3:uid="{DC56C0BA-C92D-4B54-B192-CE6A0AC70D41}" name="Column3" headerRowDxfId="683" dataDxfId="682"/>
  </tableColumns>
  <tableStyleInfo name="TableStyleMedium2" showFirstColumn="0" showLastColumn="0" showRowStripes="1" showColumnStripes="0"/>
</table>
</file>

<file path=xl/tables/table8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4" xr:uid="{77445C4C-F400-44FC-96D7-253FCACC6D3A}" name="Table174" displayName="Table174" ref="AP241:AR256" headerRowCount="0" totalsRowShown="0" headerRowDxfId="681" dataDxfId="680">
  <tableColumns count="3">
    <tableColumn id="1" xr3:uid="{6646BA6F-07EE-4CA9-B8A8-C5744FD0253A}" name="Column1" headerRowDxfId="679" dataDxfId="678"/>
    <tableColumn id="2" xr3:uid="{9A01DAF4-F79B-4CFE-B374-DCDEAA18356C}" name="Column2" headerRowDxfId="677" dataDxfId="676"/>
    <tableColumn id="3" xr3:uid="{BAB8FE3F-23CA-4B12-9193-F62A911B95F5}" name="Column3" headerRowDxfId="675" dataDxfId="674"/>
  </tableColumns>
  <tableStyleInfo name="TableStyleMedium2" showFirstColumn="0" showLastColumn="0" showRowStripes="1" showColumnStripes="0"/>
</table>
</file>

<file path=xl/tables/table8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5" xr:uid="{D4139701-DC26-4F4A-BBBD-223426E76F84}" name="Table175" displayName="Table175" ref="AT241:AV255" headerRowCount="0" totalsRowShown="0" headerRowDxfId="673" dataDxfId="672">
  <tableColumns count="3">
    <tableColumn id="1" xr3:uid="{AC24DCF0-8029-41F3-9F00-C767E2B6F951}" name="Column1" headerRowDxfId="671" dataDxfId="670"/>
    <tableColumn id="2" xr3:uid="{C71BF54B-C676-4873-A512-CA996781D8A8}" name="Column2" headerRowDxfId="669" dataDxfId="668"/>
    <tableColumn id="3" xr3:uid="{FDDB8E35-A3E8-4575-83F1-56276E6E3B6E}" name="Column3" headerRowDxfId="667" dataDxfId="666"/>
  </tableColumns>
  <tableStyleInfo name="TableStyleMedium2" showFirstColumn="0" showLastColumn="0" showRowStripes="1" showColumnStripes="0"/>
</table>
</file>

<file path=xl/tables/table8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6" xr:uid="{1B18597B-229D-41EB-9CC9-06A033E2459B}" name="Table176" displayName="Table176" ref="AX241:AZ253" headerRowCount="0" totalsRowShown="0" headerRowDxfId="665" dataDxfId="664">
  <tableColumns count="3">
    <tableColumn id="1" xr3:uid="{16CE7A92-088F-4CAC-89A3-2230E669B834}" name="Column1" headerRowDxfId="663" dataDxfId="662"/>
    <tableColumn id="2" xr3:uid="{B3948F54-D348-4EC7-951E-8D85102A0AFA}" name="Column2" headerRowDxfId="661" dataDxfId="660"/>
    <tableColumn id="3" xr3:uid="{53C6CC64-3A09-4EC4-992D-9CBD00B706A3}" name="Column3" headerRowDxfId="659" dataDxfId="658"/>
  </tableColumns>
  <tableStyleInfo name="TableStyleMedium2" showFirstColumn="0" showLastColumn="0" showRowStripes="1" showColumnStripes="0"/>
</table>
</file>

<file path=xl/tables/table8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7" xr:uid="{7051D719-1667-47A0-9627-EAA3A03A5F59}" name="Table177" displayName="Table177" ref="AX167:AZ172" headerRowCount="0" totalsRowShown="0" headerRowDxfId="657" dataDxfId="656">
  <tableColumns count="3">
    <tableColumn id="1" xr3:uid="{BE2BE951-8954-4A78-B149-F5E9D179BE02}" name="Column1" headerRowDxfId="655" dataDxfId="654"/>
    <tableColumn id="2" xr3:uid="{63428CB3-E914-431A-BEAA-C9E19C7FB24D}" name="Column2" headerRowDxfId="653" dataDxfId="652"/>
    <tableColumn id="3" xr3:uid="{2B589A94-F7AF-4F4D-9CE9-8ED8E7A1FC1E}" name="Column3" headerRowDxfId="651" dataDxfId="650"/>
  </tableColumns>
  <tableStyleInfo name="TableStyleMedium2" showFirstColumn="0" showLastColumn="0" showRowStripes="1" showColumnStripes="0"/>
</table>
</file>

<file path=xl/tables/table8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0" xr:uid="{D5C115D6-6860-4CA6-AEF0-9EDC3694934A}" name="Table167181" displayName="Table167181" ref="N69:P83" headerRowCount="0" totalsRowShown="0" headerRowDxfId="649" dataDxfId="648">
  <tableColumns count="3">
    <tableColumn id="1" xr3:uid="{85490B61-FBF7-4F92-9238-3EA13A16D31E}" name="Column1" headerRowDxfId="647" dataDxfId="646"/>
    <tableColumn id="2" xr3:uid="{08902F2C-BD93-4075-A9BA-399D221BED88}" name="Column2" headerRowDxfId="645" dataDxfId="644"/>
    <tableColumn id="3" xr3:uid="{11A66681-D252-4BFE-B94E-C76EA05148BA}" name="Column3" headerRowDxfId="643" dataDxfId="642"/>
  </tableColumns>
  <tableStyleInfo name="TableStyleMedium2" showFirstColumn="0" showLastColumn="0" showRowStripes="1" showColumnStripes="0"/>
</table>
</file>

<file path=xl/tables/table8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1" xr:uid="{795AF635-6C27-4A5A-A0F0-2BCC4636338F}" name="Table181" displayName="Table181" ref="R69:T78" headerRowCount="0" totalsRowShown="0" headerRowDxfId="641" dataDxfId="640">
  <sortState xmlns:xlrd2="http://schemas.microsoft.com/office/spreadsheetml/2017/richdata2" ref="R69:T78">
    <sortCondition ref="T68:T78"/>
  </sortState>
  <tableColumns count="3">
    <tableColumn id="1" xr3:uid="{9F37F27F-26A0-4378-B879-246758FCA9EE}" name="Column1" headerRowDxfId="639" dataDxfId="638"/>
    <tableColumn id="2" xr3:uid="{705FB9DE-040D-4FBB-A025-BA410E9DCF6E}" name="Column2" headerRowDxfId="637" dataDxfId="636"/>
    <tableColumn id="3" xr3:uid="{6EE17633-9940-403A-8DF3-38495F47825B}" name="Column3" headerRowDxfId="635" dataDxfId="634"/>
  </tableColumns>
  <tableStyleInfo name="TableStyleMedium2" showFirstColumn="0" showLastColumn="0" showRowStripes="1" showColumnStripes="0"/>
</table>
</file>

<file path=xl/tables/table8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2" xr:uid="{B94F131D-2A81-4B13-A342-BF293D8F9AAB}" name="Table182" displayName="Table182" ref="Z69:AB75" headerRowCount="0" totalsRowShown="0" headerRowDxfId="633" dataDxfId="632">
  <sortState xmlns:xlrd2="http://schemas.microsoft.com/office/spreadsheetml/2017/richdata2" ref="Z69:AB75">
    <sortCondition ref="AB68:AB75"/>
  </sortState>
  <tableColumns count="3">
    <tableColumn id="1" xr3:uid="{347AC498-B109-48C5-AD45-6C47151A72BB}" name="Column1" headerRowDxfId="631" dataDxfId="630"/>
    <tableColumn id="2" xr3:uid="{3A6F8CCE-E6EE-4CA3-A3F5-0EF0DD7C0E4E}" name="Column2" headerRowDxfId="629" dataDxfId="628"/>
    <tableColumn id="3" xr3:uid="{16ACBD84-DA1D-43F4-9E78-D222CBE1C259}" name="Column3" headerRowDxfId="627" dataDxfId="626"/>
  </tableColumns>
  <tableStyleInfo name="TableStyleMedium2" showFirstColumn="0" showLastColumn="0" showRowStripes="1" showColumnStripes="0"/>
</table>
</file>

<file path=xl/tables/table8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3" xr:uid="{C08FC9D3-78CF-4292-9AD3-272753E7EA84}" name="Table183" displayName="Table183" ref="AH69:AJ79" headerRowCount="0" totalsRowShown="0" headerRowDxfId="625" dataDxfId="624">
  <sortState xmlns:xlrd2="http://schemas.microsoft.com/office/spreadsheetml/2017/richdata2" ref="AH69:AJ79">
    <sortCondition ref="AJ68:AJ79"/>
  </sortState>
  <tableColumns count="3">
    <tableColumn id="1" xr3:uid="{4DBD2F8A-876F-49C3-B91A-1F9A969275CC}" name="Column1" headerRowDxfId="623" dataDxfId="622"/>
    <tableColumn id="2" xr3:uid="{FF6C8D39-C534-4FB7-B011-ED3EFE3E551E}" name="Column2" headerRowDxfId="621" dataDxfId="620"/>
    <tableColumn id="3" xr3:uid="{07C05D2C-58F5-4E27-98DB-0156CCAAA9A0}" name="Column3" headerRowDxfId="619" dataDxfId="618"/>
  </tableColumns>
  <tableStyleInfo name="TableStyleMedium2" showFirstColumn="0" showLastColumn="0" showRowStripes="1" showColumnStripes="0"/>
</table>
</file>

<file path=xl/tables/table8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4" xr:uid="{C6193825-A27B-4E27-A561-5451E9F0990E}" name="Table184" displayName="Table184" ref="AP69:AR75" headerRowCount="0" totalsRowShown="0" headerRowDxfId="617" dataDxfId="616">
  <sortState xmlns:xlrd2="http://schemas.microsoft.com/office/spreadsheetml/2017/richdata2" ref="AP69:AR75">
    <sortCondition ref="AR68:AR75"/>
  </sortState>
  <tableColumns count="3">
    <tableColumn id="1" xr3:uid="{001243D9-B729-40E8-9E5E-357575EBBB84}" name="Column1" headerRowDxfId="615" dataDxfId="614"/>
    <tableColumn id="2" xr3:uid="{F40C83F4-5363-481C-B6CE-198DA4F6E913}" name="Column2" headerRowDxfId="613" dataDxfId="612"/>
    <tableColumn id="3" xr3:uid="{9ECEB417-992E-4A22-9D5B-96B9E21089BF}" name="Column3" headerRowDxfId="611" dataDxfId="610"/>
  </tableColumns>
  <tableStyleInfo name="TableStyleMedium2" showFirstColumn="0" showLastColumn="0" showRowStripes="1" showColumnStripes="0"/>
</table>
</file>

<file path=xl/tables/table8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5" xr:uid="{15EA1E0E-EF36-4989-AE0A-7B904191EE58}" name="Table185" displayName="Table185" ref="V69:X90" headerRowCount="0" totalsRowShown="0" headerRowDxfId="609" dataDxfId="608">
  <tableColumns count="3">
    <tableColumn id="1" xr3:uid="{8465098A-EED1-48D7-85F7-7C0C6289A1CE}" name="Column1" headerRowDxfId="607" dataDxfId="606"/>
    <tableColumn id="2" xr3:uid="{FA339EA7-BC5C-46F6-AFCC-FD7068833657}" name="Column2" headerRowDxfId="605" dataDxfId="604"/>
    <tableColumn id="3" xr3:uid="{C810FD14-D120-4026-83A3-24609C953531}" name="Column3" headerRowDxfId="603" dataDxfId="602"/>
  </tableColumns>
  <tableStyleInfo name="TableStyleMedium2" showFirstColumn="0" showLastColumn="0" showRowStripes="1" showColumnStripes="0"/>
</table>
</file>

<file path=xl/tables/table8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6" xr:uid="{2AF711DF-C21F-40E4-97D2-DD348B9940F0}" name="Table186" displayName="Table186" ref="AL69:AN88" headerRowCount="0" totalsRowShown="0" headerRowDxfId="601" dataDxfId="600">
  <tableColumns count="3">
    <tableColumn id="1" xr3:uid="{096E0CBD-B035-45E7-82C5-DC031F3C5C92}" name="Column1" headerRowDxfId="599" dataDxfId="598"/>
    <tableColumn id="2" xr3:uid="{F13CC773-4686-4563-BFA8-A8C77BEBBE31}" name="Column2" headerRowDxfId="597" dataDxfId="596"/>
    <tableColumn id="3" xr3:uid="{3232E82F-FFE0-4D15-BCCA-EEC47829108F}" name="Column3" headerRowDxfId="595" dataDxfId="594"/>
  </tableColumns>
  <tableStyleInfo name="TableStyleMedium2" showFirstColumn="0" showLastColumn="0" showRowStripes="1" showColumnStripes="0"/>
</table>
</file>

<file path=xl/tables/table8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7" xr:uid="{DC91BF4D-5009-4E75-823B-333CF1C01DFA}" name="Table187" displayName="Table187" ref="AD69:AF94" headerRowCount="0" totalsRowShown="0" headerRowDxfId="593" dataDxfId="592">
  <tableColumns count="3">
    <tableColumn id="1" xr3:uid="{AE5AE249-13D3-437C-997A-FF39DABEE590}" name="Column1" headerRowDxfId="591" dataDxfId="590"/>
    <tableColumn id="2" xr3:uid="{8B9F3A53-85A1-4FC7-810A-EA43FD0F7A29}" name="Column2" headerRowDxfId="589" dataDxfId="588"/>
    <tableColumn id="3" xr3:uid="{7AC0E9B6-3032-48F7-BAFE-075D0D52D30B}" name="Column3" headerRowDxfId="587" dataDxfId="586"/>
  </tableColumns>
  <tableStyleInfo name="TableStyleMedium2" showFirstColumn="0" showLastColumn="0" showRowStripes="1" showColumnStripes="0"/>
</table>
</file>

<file path=xl/tables/table8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8" xr:uid="{2840FA1F-B642-4777-BE46-C08C6C7C7302}" name="Table188" displayName="Table188" ref="AT69:AV86" headerRowCount="0" totalsRowShown="0" headerRowDxfId="585" dataDxfId="584">
  <tableColumns count="3">
    <tableColumn id="1" xr3:uid="{FE083993-9718-4CFE-BEAF-A8083B48566E}" name="Column1" headerRowDxfId="583" dataDxfId="582"/>
    <tableColumn id="2" xr3:uid="{56C8066B-331C-4A33-A2CF-6CCD7BDEF665}" name="Column2" headerRowDxfId="581" dataDxfId="580"/>
    <tableColumn id="3" xr3:uid="{C9B29F3C-5120-4DC8-8E75-8CB07984470F}" name="Column3" headerRowDxfId="579" dataDxfId="578"/>
  </tableColumns>
  <tableStyleInfo name="TableStyleMedium2" showFirstColumn="0" showLastColumn="0" showRowStripes="1" showColumnStripes="0"/>
</table>
</file>

<file path=xl/tables/table8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0" xr:uid="{B6C06D7B-57EF-469B-A347-DD74F975482B}" name="Table190" displayName="Table190" ref="AP140:AR144" headerRowCount="0" totalsRowShown="0" headerRowDxfId="577">
  <tableColumns count="3">
    <tableColumn id="1" xr3:uid="{FFB60FD1-7914-4C3F-960D-7814FE8DEADE}" name="Column1" headerRowDxfId="576"/>
    <tableColumn id="2" xr3:uid="{18834B24-7E32-4989-843C-8421D0173F71}" name="Column2" headerRowDxfId="575"/>
    <tableColumn id="3" xr3:uid="{676EF153-DFE9-48AC-8788-DFB1D17E7870}" name="Column3" headerRowDxfId="574"/>
  </tableColumns>
  <tableStyleInfo name="TableStyleMedium2" showFirstColumn="0" showLastColumn="0" showRowStripes="1" showColumnStripes="0"/>
</table>
</file>

<file path=xl/tables/table8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1" xr:uid="{D151CED6-585E-4B08-9BC6-76EE955EB836}" name="Table191" displayName="Table191" ref="AH140:AJ144" headerRowCount="0" totalsRowShown="0" headerRowDxfId="573">
  <tableColumns count="3">
    <tableColumn id="1" xr3:uid="{397DD6A2-FC4B-4152-9CC6-E02250C0F019}" name="Column1" headerRowDxfId="572"/>
    <tableColumn id="2" xr3:uid="{D88833CF-7660-4DCD-A05A-176B2B13E5D6}" name="Column2" headerRowDxfId="571"/>
    <tableColumn id="3" xr3:uid="{D139671A-95A2-4849-B0CA-829851A1F609}" name="Column3" headerRowDxfId="570"/>
  </tableColumns>
  <tableStyleInfo name="TableStyleMedium2" showFirstColumn="0" showLastColumn="0" showRowStripes="1" showColumnStripes="0"/>
</table>
</file>

<file path=xl/tables/table8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2" xr:uid="{3503235B-A35B-4937-A28F-521D660AC553}" name="Table192" displayName="Table192" ref="Z140:AB149" headerRowCount="0" totalsRowShown="0" headerRowDxfId="569" dataDxfId="568">
  <tableColumns count="3">
    <tableColumn id="1" xr3:uid="{63718826-35D2-41DB-8E76-3F76CFAF7715}" name="Column1" headerRowDxfId="567" dataDxfId="566"/>
    <tableColumn id="2" xr3:uid="{EC72AEF2-5856-456E-9892-F401D6284EBE}" name="Column2" headerRowDxfId="565" dataDxfId="564"/>
    <tableColumn id="3" xr3:uid="{16FBB721-3DFB-4170-B2F2-9E3D8C7163E9}" name="Column3" headerRowDxfId="563" dataDxfId="562"/>
  </tableColumns>
  <tableStyleInfo name="TableStyleMedium2" showFirstColumn="0" showLastColumn="0" showRowStripes="1" showColumnStripes="0"/>
</table>
</file>

<file path=xl/tables/table8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3" xr:uid="{B42E326F-CD1A-4E79-91FA-9554E3A87B50}" name="Table193" displayName="Table193" ref="R140:T147" headerRowCount="0" totalsRowShown="0" headerRowDxfId="561" dataDxfId="560">
  <tableColumns count="3">
    <tableColumn id="1" xr3:uid="{AA0128D6-6197-49F2-AD98-BCA3A84FB400}" name="Column1" headerRowDxfId="559" dataDxfId="558"/>
    <tableColumn id="2" xr3:uid="{0D4AA5B5-25C9-4C3B-80BA-1D6DAE0000AC}" name="Column2" headerRowDxfId="557" dataDxfId="556"/>
    <tableColumn id="3" xr3:uid="{B3EAEA40-BFD9-4648-91FC-BAE9F742CCE5}" name="Column3" headerRowDxfId="555" dataDxfId="554"/>
  </tableColumns>
  <tableStyleInfo name="TableStyleMedium2" showFirstColumn="0" showLastColumn="0" showRowStripes="1" showColumnStripes="0"/>
</table>
</file>

<file path=xl/tables/table8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4" xr:uid="{11C3FB8A-6598-40C4-8E52-CAF0A0940EBD}" name="Table194" displayName="Table194" ref="N140:P156" headerRowCount="0" totalsRowShown="0" headerRowDxfId="553" dataDxfId="552">
  <tableColumns count="3">
    <tableColumn id="1" xr3:uid="{373A3AF6-8187-43B8-9DB1-72711145E3B5}" name="Column1" headerRowDxfId="551" dataDxfId="550"/>
    <tableColumn id="2" xr3:uid="{068CE8AB-3438-413B-B1B6-91E314539B57}" name="Column2" headerRowDxfId="549" dataDxfId="548"/>
    <tableColumn id="3" xr3:uid="{A75A6A51-09AF-4EAF-B1D6-7CFCCA325D35}" name="Column3" headerRowDxfId="547" dataDxfId="546"/>
  </tableColumns>
  <tableStyleInfo name="TableStyleMedium2" showFirstColumn="0" showLastColumn="0" showRowStripes="1" showColumnStripes="0"/>
</table>
</file>

<file path=xl/tables/table8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5" xr:uid="{0228E336-3716-4629-9956-93CA09451D6B}" name="Table195" displayName="Table195" ref="AD140:AF165" headerRowCount="0" totalsRowShown="0" headerRowDxfId="545" dataDxfId="544">
  <tableColumns count="3">
    <tableColumn id="1" xr3:uid="{E1F379CF-EC75-40FE-973F-866D38BC1F96}" name="Column1" headerRowDxfId="543" dataDxfId="542"/>
    <tableColumn id="2" xr3:uid="{9A981FF2-C49B-4A02-AAB3-EDA6B45AD76C}" name="Column2" headerRowDxfId="541" dataDxfId="540"/>
    <tableColumn id="3" xr3:uid="{F433EF8F-D625-40DB-BB8B-1072DD83FE8B}" name="Column3" headerRowDxfId="539" dataDxfId="538"/>
  </tableColumns>
  <tableStyleInfo name="TableStyleMedium2" showFirstColumn="0" showLastColumn="0" showRowStripes="1" showColumnStripes="0"/>
</table>
</file>

<file path=xl/tables/table8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6" xr:uid="{78BEC46C-BB79-46EF-BA5D-A9FADF8AC998}" name="Table196" displayName="Table196" ref="AL140:AN165" headerRowCount="0" totalsRowShown="0" headerRowDxfId="537" dataDxfId="536">
  <tableColumns count="3">
    <tableColumn id="1" xr3:uid="{5485915C-1C78-4863-A4B9-6CF3B1BCF54A}" name="Column1" headerRowDxfId="535" dataDxfId="534"/>
    <tableColumn id="2" xr3:uid="{4E147635-AC7D-4DD8-997D-ED0CB921EAE8}" name="Column2" headerRowDxfId="533" dataDxfId="532"/>
    <tableColumn id="3" xr3:uid="{60B78C74-C2A4-446E-87EE-60743479D331}" name="Column3" headerRowDxfId="531" dataDxfId="530"/>
  </tableColumns>
  <tableStyleInfo name="TableStyleMedium2" showFirstColumn="0" showLastColumn="0" showRowStripes="1" showColumnStripes="0"/>
</table>
</file>

<file path=xl/tables/table8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7" xr:uid="{F84FAEC4-E4C1-4F6F-9F61-61EE8C74034D}" name="Table197" displayName="Table197" ref="V140:X163" headerRowCount="0" totalsRowShown="0" headerRowDxfId="529" dataDxfId="528">
  <tableColumns count="3">
    <tableColumn id="1" xr3:uid="{F9226FE5-7592-4996-AB81-B7C5015CCE34}" name="Column1" headerRowDxfId="527" dataDxfId="526"/>
    <tableColumn id="2" xr3:uid="{B9F60173-9AA3-4C45-8648-217E5AC9E4CA}" name="Column2" headerRowDxfId="525" dataDxfId="524"/>
    <tableColumn id="3" xr3:uid="{8807B7B6-8BAC-4FEE-9C99-1CC21954C23C}" name="Column3" headerRowDxfId="523" dataDxfId="522"/>
  </tableColumns>
  <tableStyleInfo name="TableStyleMedium2" showFirstColumn="0" showLastColumn="0" showRowStripes="1" showColumnStripes="0"/>
</table>
</file>

<file path=xl/tables/table8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8" xr:uid="{BA9C18FE-C97D-4F78-BC3B-F01ACEC1F106}" name="Table198" displayName="Table198" ref="AT140:AV159" headerRowCount="0" totalsRowShown="0" headerRowDxfId="521" dataDxfId="520">
  <tableColumns count="3">
    <tableColumn id="1" xr3:uid="{1FCA49D4-15F1-4134-B2E5-C031FE5721FE}" name="Column1" headerRowDxfId="519" dataDxfId="518"/>
    <tableColumn id="2" xr3:uid="{8A153DBB-D811-4CEE-90A5-1DE051F5895A}" name="Column2" headerRowDxfId="517" dataDxfId="516"/>
    <tableColumn id="3" xr3:uid="{71AAE6A2-F253-4419-9082-60EE48B0407C}" name="Column3" headerRowDxfId="515" dataDxfId="514"/>
  </tableColumns>
  <tableStyleInfo name="TableStyleMedium2" showFirstColumn="0" showLastColumn="0" showRowStripes="1" showColumnStripes="0"/>
</table>
</file>

<file path=xl/tables/table8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9" xr:uid="{99DCEC21-F064-4A28-AED1-F34B3745CF50}" name="Table209" displayName="Table209" ref="BF1:BH41" headerRowCount="0" totalsRowShown="0" headerRowDxfId="513" dataDxfId="512">
  <tableColumns count="3">
    <tableColumn id="1" xr3:uid="{2C7B1D71-7137-4DEC-B46E-F08AD5E1F557}" name="Column1" headerRowDxfId="511" dataDxfId="510"/>
    <tableColumn id="2" xr3:uid="{BBE8236B-94EE-4218-BEB2-8A971C219ED1}" name="Column2" headerRowDxfId="509" dataDxfId="508"/>
    <tableColumn id="3" xr3:uid="{45346C4B-1B9F-4455-BB10-7184819DBDEB}" name="Column3" headerRowDxfId="507" dataDxfId="506"/>
  </tableColumns>
  <tableStyleInfo name="TableStyleMedium2" showFirstColumn="0" showLastColumn="0" showRowStripes="1" showColumnStripes="0"/>
</table>
</file>

<file path=xl/tables/table8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0" xr:uid="{09C48524-C8B7-4B68-989E-71E3351E5E7E}" name="Table210" displayName="Table210" ref="BJ1:BL37" headerRowCount="0" totalsRowShown="0" headerRowDxfId="505" dataDxfId="504">
  <tableColumns count="3">
    <tableColumn id="1" xr3:uid="{1E132B6F-3E9C-40B6-93F0-62C7593B0D4B}" name="Column1" headerRowDxfId="503" dataDxfId="502"/>
    <tableColumn id="2" xr3:uid="{24D8CFCF-F679-476A-8C14-2E618518E01F}" name="Column2" headerRowDxfId="501" dataDxfId="500"/>
    <tableColumn id="3" xr3:uid="{21E3CE4E-4C4C-4049-9470-2E9F5332AC24}" name="Column3" headerRowDxfId="499" dataDxfId="498"/>
  </tableColumns>
  <tableStyleInfo name="TableStyleMedium2" showFirstColumn="0" showLastColumn="0" showRowStripes="1" showColumnStripes="0"/>
</table>
</file>

<file path=xl/tables/table8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1" xr:uid="{78FDFD12-874A-4F64-9A78-0EE390C84759}" name="Table211" displayName="Table211" ref="BN1:BP35" headerRowCount="0" totalsRowShown="0" headerRowDxfId="497" dataDxfId="496">
  <tableColumns count="3">
    <tableColumn id="1" xr3:uid="{640904EA-550E-406C-9413-CA78CBA1A7C5}" name="Column1" headerRowDxfId="495" dataDxfId="494"/>
    <tableColumn id="2" xr3:uid="{2AB92940-E5C0-4EBC-9345-725DA777857C}" name="Column2" headerRowDxfId="493" dataDxfId="492"/>
    <tableColumn id="3" xr3:uid="{2A5FF71C-8897-41BF-9F7E-EF407541EF27}" name="Column3" headerRowDxfId="491" dataDxfId="490"/>
  </tableColumns>
  <tableStyleInfo name="TableStyleMedium2" showFirstColumn="0" showLastColumn="0" showRowStripes="1" showColumnStripes="0"/>
</table>
</file>

<file path=xl/tables/table8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2" xr:uid="{0755850D-B309-451C-8887-371B549D7AE1}" name="Table212" displayName="Table212" ref="BR1:BT29" headerRowCount="0" totalsRowShown="0" dataDxfId="489">
  <tableColumns count="3">
    <tableColumn id="1" xr3:uid="{83DD8FD1-3A47-48B5-A39A-30B0595FABA4}" name="Column1" headerRowDxfId="488" dataDxfId="487"/>
    <tableColumn id="2" xr3:uid="{565F81CD-7B48-44A8-B833-B5D7EC9623B2}" name="Column2" headerRowDxfId="486" dataDxfId="485"/>
    <tableColumn id="3" xr3:uid="{EAE6DEB4-7608-48E9-A01E-31E326AFC945}" name="Column3" headerRowDxfId="484" dataDxfId="483"/>
  </tableColumns>
  <tableStyleInfo name="TableStyleMedium2" showFirstColumn="0" showLastColumn="0" showRowStripes="1" showColumnStripes="0"/>
</table>
</file>

<file path=xl/tables/table8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3" xr:uid="{E1F0BFA9-1FB0-48C0-9594-3BBBB854B9CA}" name="Table213" displayName="Table213" ref="BV1:BX24" headerRowCount="0" totalsRowShown="0" dataDxfId="482">
  <tableColumns count="3">
    <tableColumn id="1" xr3:uid="{77743D17-47FC-430A-B0AD-461C5BF9CDC7}" name="Column1" headerRowDxfId="481" dataDxfId="480"/>
    <tableColumn id="2" xr3:uid="{0951944D-5ECF-44D4-AB91-3EE50556A366}" name="Column2" headerRowDxfId="479" dataDxfId="478"/>
    <tableColumn id="3" xr3:uid="{FA599DD7-D86D-433C-A122-F75856B07731}" name="Column3" headerRowDxfId="477" dataDxfId="476"/>
  </tableColumns>
  <tableStyleInfo name="TableStyleMedium2" showFirstColumn="0" showLastColumn="0" showRowStripes="1" showColumnStripes="0"/>
</table>
</file>

<file path=xl/tables/table8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4" xr:uid="{BE92F2FC-9D7E-40A5-AB97-D3F65848DB9B}" name="Table214" displayName="Table214" ref="BZ1:CB27" headerRowCount="0" totalsRowShown="0" dataDxfId="475">
  <tableColumns count="3">
    <tableColumn id="1" xr3:uid="{A284011C-677F-490B-A2DA-4D12E6D61915}" name="Column1" headerRowDxfId="474" dataDxfId="473"/>
    <tableColumn id="2" xr3:uid="{4135F27E-A247-4F52-997E-105E5882EA53}" name="Column2" headerRowDxfId="472" dataDxfId="471"/>
    <tableColumn id="3" xr3:uid="{0193F933-C68A-46B4-ABC8-63D07CAAF081}" name="Column3" headerRowDxfId="470" dataDxfId="469"/>
  </tableColumns>
  <tableStyleInfo name="TableStyleMedium2" showFirstColumn="0" showLastColumn="0" showRowStripes="1" showColumnStripes="0"/>
</table>
</file>

<file path=xl/tables/table8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5" xr:uid="{DD9DE1D6-5925-42C9-8E83-FE0A0B84959C}" name="Table215" displayName="Table215" ref="CD1:CF11" headerRowCount="0" totalsRowShown="0" dataDxfId="468">
  <tableColumns count="3">
    <tableColumn id="1" xr3:uid="{A8E36291-6794-4232-97BE-BB1C705E5177}" name="Column1" headerRowDxfId="467" dataDxfId="466"/>
    <tableColumn id="2" xr3:uid="{A38AE0D4-DE3B-4D6B-ACE0-E4A8498A9BCB}" name="Column2" headerRowDxfId="465" dataDxfId="464"/>
    <tableColumn id="3" xr3:uid="{4F1E2783-8D6A-48EA-AFD7-15861670A03D}" name="Column3" headerRowDxfId="463" dataDxfId="462"/>
  </tableColumns>
  <tableStyleInfo name="TableStyleMedium2" showFirstColumn="0" showLastColumn="0" showRowStripes="1" showColumnStripes="0"/>
</table>
</file>

<file path=xl/tables/table8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6" xr:uid="{7A73CDD8-F09D-4DD8-80BD-52591D44F5C3}" name="Table216" displayName="Table216" ref="CH1:CJ14" headerRowCount="0" totalsRowShown="0" dataDxfId="461">
  <tableColumns count="3">
    <tableColumn id="1" xr3:uid="{072EFCB3-03CF-4935-BC64-42C6F5FEFE68}" name="Column1" headerRowDxfId="460" dataDxfId="459"/>
    <tableColumn id="2" xr3:uid="{41DC211C-3C86-4323-BA2D-1865C7054AA6}" name="Column2" headerRowDxfId="458" dataDxfId="457"/>
    <tableColumn id="3" xr3:uid="{A430128E-813D-4748-92DB-6B6A9D0392BD}" name="Column3" headerRowDxfId="456" dataDxfId="455"/>
  </tableColumns>
  <tableStyleInfo name="TableStyleMedium2" showFirstColumn="0" showLastColumn="0" showRowStripes="1" showColumnStripes="0"/>
</table>
</file>

<file path=xl/tables/table8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7" xr:uid="{94448650-9C8C-485E-9C42-C6F8C3748FA7}" name="Table217" displayName="Table217" ref="CL1:CN11" headerRowCount="0" totalsRowShown="0" dataDxfId="454">
  <tableColumns count="3">
    <tableColumn id="1" xr3:uid="{319339C4-2953-45E3-8603-ADCCCE4FBBF6}" name="Column1" headerRowDxfId="453" dataDxfId="452"/>
    <tableColumn id="2" xr3:uid="{038669BE-2448-49DA-A119-A085C94736A0}" name="Column2" headerRowDxfId="451" dataDxfId="450"/>
    <tableColumn id="3" xr3:uid="{6768A3CB-E1D3-4E44-813C-C9DD5830BF7E}" name="Column3" headerRowDxfId="449" dataDxfId="448"/>
  </tableColumns>
  <tableStyleInfo name="TableStyleMedium2" showFirstColumn="0" showLastColumn="0" showRowStripes="1" showColumnStripes="0"/>
</table>
</file>

<file path=xl/tables/table8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6F328532-E51C-4F2A-A707-3BBBF60DCB18}" name="Table68" displayName="Table68" ref="BB1:BD16" headerRowCount="0" totalsRowShown="0" headerRowDxfId="447" dataDxfId="446">
  <tableColumns count="3">
    <tableColumn id="1" xr3:uid="{0345329B-F987-4249-ADD7-3F446D853746}" name="Column1" headerRowDxfId="445" dataDxfId="444"/>
    <tableColumn id="2" xr3:uid="{7928835C-4E91-4E0C-BCB1-476043004F0E}" name="Column2" headerRowDxfId="443" dataDxfId="442"/>
    <tableColumn id="3" xr3:uid="{85FA95FA-EFF8-42D4-BA95-CEAEAA8007FB}" name="Column3" headerRowDxfId="441" dataDxfId="440"/>
  </tableColumns>
  <tableStyleInfo name="TableStyleMedium2" showFirstColumn="0" showLastColumn="0" showRowStripes="1" showColumnStripes="0"/>
</table>
</file>

<file path=xl/tables/table8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5" xr:uid="{062A9FA5-934B-401F-A927-EF582352A1AD}" name="Table235" displayName="Table235" ref="BB18:BD37" headerRowCount="0" totalsRowShown="0" headerRowDxfId="439" dataDxfId="438">
  <sortState xmlns:xlrd2="http://schemas.microsoft.com/office/spreadsheetml/2017/richdata2" ref="BB18:BD44">
    <sortCondition ref="BD17:BD44"/>
  </sortState>
  <tableColumns count="3">
    <tableColumn id="1" xr3:uid="{6F2514DA-AEB3-4A5C-921F-0B778614A9A6}" name="Column1" headerRowDxfId="437" dataDxfId="436"/>
    <tableColumn id="2" xr3:uid="{3848C702-5C64-4819-88E2-D6B8F6A6ECC5}" name="Column2" headerRowDxfId="435" dataDxfId="434"/>
    <tableColumn id="3" xr3:uid="{A2DA2976-174D-4B27-BCFD-19299B76A1DB}" name="Column3" headerRowDxfId="433" dataDxfId="432"/>
  </tableColumns>
  <tableStyleInfo name="TableStyleMedium2" showFirstColumn="0" showLastColumn="0" showRowStripes="1" showColumnStripes="0"/>
</table>
</file>

<file path=xl/tables/table8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6" xr:uid="{AD615CFC-6264-4F64-B0B1-15DBD9C32164}" name="Table236" displayName="Table236" ref="BB39:BD46" headerRowCount="0" totalsRowShown="0" headerRowDxfId="431" dataDxfId="430">
  <tableColumns count="3">
    <tableColumn id="1" xr3:uid="{9709493F-2AC7-4F29-8297-204221EC00D1}" name="Column1" headerRowDxfId="429" dataDxfId="428"/>
    <tableColumn id="2" xr3:uid="{A911F8F0-EDAD-4439-A469-7D349B7C9550}" name="Column2" headerRowDxfId="427" dataDxfId="426"/>
    <tableColumn id="3" xr3:uid="{95E518D4-C2E8-4CF2-B7A9-F310AA496C70}" name="Column3" headerRowDxfId="425" dataDxfId="424"/>
  </tableColumns>
  <tableStyleInfo name="TableStyleMedium2" showFirstColumn="0" showLastColumn="0" showRowStripes="1" showColumnStripes="0"/>
</table>
</file>

<file path=xl/tables/table8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5" xr:uid="{5A5BC550-AD96-4FF0-9D44-2B37DD6C7FCE}" name="Table158206" displayName="Table158206" ref="R209:T222" headerRowCount="0" totalsRowShown="0" headerRowDxfId="423" dataDxfId="422">
  <tableColumns count="3">
    <tableColumn id="1" xr3:uid="{03BDC81B-0101-4B37-ADCF-4185A2F64878}" name="Column1" headerRowDxfId="421" dataDxfId="420"/>
    <tableColumn id="2" xr3:uid="{96C6CE22-9FC7-49C6-B507-EBA6B7F5A4E3}" name="Column2" headerRowDxfId="419" dataDxfId="418"/>
    <tableColumn id="3" xr3:uid="{EE132FFE-AFC3-4D51-A6A2-108298BB4AF4}" name="Column3" headerRowDxfId="417" dataDxfId="416"/>
  </tableColumns>
  <tableStyleInfo name="TableStyleMedium2" showFirstColumn="0" showLastColumn="0" showRowStripes="1" showColumnStripes="0"/>
</table>
</file>

<file path=xl/tables/table8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6" xr:uid="{46B6DD5D-53D1-4A3E-8BB6-4C807426C3AE}" name="Table159207" displayName="Table159207" ref="V209:X223" headerRowCount="0" totalsRowShown="0" headerRowDxfId="415" dataDxfId="414">
  <tableColumns count="3">
    <tableColumn id="1" xr3:uid="{7A8A7B57-5458-4F64-B6EE-3566DFF54356}" name="Column1" headerRowDxfId="413" dataDxfId="412"/>
    <tableColumn id="2" xr3:uid="{112DF991-F937-4086-9A26-C5A0437E9D8E}" name="Column2" headerRowDxfId="411" dataDxfId="410"/>
    <tableColumn id="3" xr3:uid="{2E102F4B-4EC3-428C-81BC-C651964F969A}" name="Column3" headerRowDxfId="409" dataDxfId="408"/>
  </tableColumns>
  <tableStyleInfo name="TableStyleMedium2" showFirstColumn="0" showLastColumn="0" showRowStripes="1" showColumnStripes="0"/>
</table>
</file>

<file path=xl/tables/table8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7" xr:uid="{64C2BAC6-1B6E-4F3F-A144-B6295483E358}" name="Table160208" displayName="Table160208" ref="Z209:AB222" headerRowCount="0" totalsRowShown="0" headerRowDxfId="407" dataDxfId="406">
  <tableColumns count="3">
    <tableColumn id="1" xr3:uid="{DCED4D7D-B512-40A7-BB02-01E459961AD4}" name="Column1" headerRowDxfId="405" dataDxfId="404"/>
    <tableColumn id="2" xr3:uid="{9E2456A8-3561-4300-8644-5C2309EF1309}" name="Column2" headerRowDxfId="403" dataDxfId="402"/>
    <tableColumn id="3" xr3:uid="{D1A906DB-02AE-4B5E-B0C4-F1F549BD5B3C}" name="Column3" headerRowDxfId="401" dataDxfId="400"/>
  </tableColumns>
  <tableStyleInfo name="TableStyleMedium2" showFirstColumn="0" showLastColumn="0" showRowStripes="1" showColumnStripes="0"/>
</table>
</file>

<file path=xl/tables/table8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8" xr:uid="{8B254992-436D-4101-9625-A5FB87A89FCD}" name="Table161209" displayName="Table161209" ref="AD209:AF215" headerRowCount="0" totalsRowShown="0" headerRowDxfId="399" dataDxfId="398">
  <tableColumns count="3">
    <tableColumn id="1" xr3:uid="{05AD5F51-F78D-428E-BE5E-5B012976A320}" name="Column1" headerRowDxfId="397" dataDxfId="396"/>
    <tableColumn id="2" xr3:uid="{0D767B66-5D45-48E2-A2C6-9C7AF1CA7E1E}" name="Column2" headerRowDxfId="395" dataDxfId="394"/>
    <tableColumn id="3" xr3:uid="{B9BC5AD9-BE0A-48F5-AAAB-A63FB78FD8AA}" name="Column3" headerRowDxfId="393" dataDxfId="392"/>
  </tableColumns>
  <tableStyleInfo name="TableStyleMedium2" showFirstColumn="0" showLastColumn="0" showRowStripes="1" showColumnStripes="0"/>
</table>
</file>

<file path=xl/tables/table8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9" xr:uid="{FF59F86E-7528-44AB-A4E7-D1198273C9FB}" name="Table162220" displayName="Table162220" ref="AH209:AJ215" headerRowCount="0" totalsRowShown="0" headerRowDxfId="391" dataDxfId="390">
  <tableColumns count="3">
    <tableColumn id="1" xr3:uid="{67FCA23C-7EBF-40A6-890B-8DB01C0CC92E}" name="Column1" headerRowDxfId="389" dataDxfId="388"/>
    <tableColumn id="2" xr3:uid="{A51D6881-C9D2-4CBC-9719-334818230D6E}" name="Column2" headerRowDxfId="387" dataDxfId="386"/>
    <tableColumn id="3" xr3:uid="{73453B5E-D2DE-434F-8D90-3E0DA9EA8209}" name="Column3" headerRowDxfId="385" dataDxfId="384"/>
  </tableColumns>
  <tableStyleInfo name="TableStyleMedium2" showFirstColumn="0" showLastColumn="0" showRowStripes="1" showColumnStripes="0"/>
</table>
</file>

<file path=xl/tables/table8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0" xr:uid="{B941AAA5-A857-43E2-9287-AD86BCE3BDE9}" name="Table158221" displayName="Table158221" ref="R225:T238" headerRowCount="0" totalsRowShown="0" headerRowDxfId="383" dataDxfId="382">
  <tableColumns count="3">
    <tableColumn id="1" xr3:uid="{DD3FAE4A-6545-4902-A56B-C13A6D147B64}" name="Column1" headerRowDxfId="381" dataDxfId="380"/>
    <tableColumn id="2" xr3:uid="{F8D07DDB-4424-40C7-86DB-6485CE8DABB6}" name="Column2" headerRowDxfId="379" dataDxfId="378"/>
    <tableColumn id="3" xr3:uid="{3F241177-92DC-4ABF-BE94-A62F13218608}" name="Column3" headerRowDxfId="377" dataDxfId="376"/>
  </tableColumns>
  <tableStyleInfo name="TableStyleMedium2" showFirstColumn="0" showLastColumn="0" showRowStripes="1" showColumnStripes="0"/>
</table>
</file>

<file path=xl/tables/table8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2" xr:uid="{E5CC487F-4EE2-4D3B-8863-82B4727D07A1}" name="Table159223" displayName="Table159223" ref="V225:X239" headerRowCount="0" totalsRowShown="0" headerRowDxfId="375" dataDxfId="374">
  <tableColumns count="3">
    <tableColumn id="1" xr3:uid="{06093B15-A1D3-4EAE-92DB-175DAF4A403A}" name="Column1" headerRowDxfId="373" dataDxfId="372"/>
    <tableColumn id="2" xr3:uid="{B27A8E6E-22F8-45C8-8708-686A2CBEFA33}" name="Column2" headerRowDxfId="371" dataDxfId="370"/>
    <tableColumn id="3" xr3:uid="{4F39264A-48FB-4BE4-9331-A86A8F42539B}" name="Column3" headerRowDxfId="369" dataDxfId="368"/>
  </tableColumns>
  <tableStyleInfo name="TableStyleMedium2" showFirstColumn="0" showLastColumn="0" showRowStripes="1" showColumnStripes="0"/>
</table>
</file>

<file path=xl/tables/table8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5" xr:uid="{90582786-7FF2-4EF2-91BA-92C581E22264}" name="Table160226" displayName="Table160226" ref="Z225:AB238" headerRowCount="0" totalsRowShown="0" headerRowDxfId="367" dataDxfId="366">
  <tableColumns count="3">
    <tableColumn id="1" xr3:uid="{D7022661-9E80-4E2F-A7E8-B7445A2D7020}" name="Column1" headerRowDxfId="365" dataDxfId="364"/>
    <tableColumn id="2" xr3:uid="{84F5AC5A-F996-4E15-BC86-88862189E3E1}" name="Column2" headerRowDxfId="363" dataDxfId="362"/>
    <tableColumn id="3" xr3:uid="{17933E32-77E0-4541-9983-215CFC204B0C}" name="Column3" headerRowDxfId="361" dataDxfId="360"/>
  </tableColumns>
  <tableStyleInfo name="TableStyleMedium2" showFirstColumn="0" showLastColumn="0" showRowStripes="1" showColumnStripes="0"/>
</table>
</file>

<file path=xl/tables/table8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2" xr:uid="{0D169963-B2D3-46C1-A04B-B96779C0D761}" name="Table161233" displayName="Table161233" ref="AD225:AF231" headerRowCount="0" totalsRowShown="0" headerRowDxfId="359" dataDxfId="358">
  <tableColumns count="3">
    <tableColumn id="1" xr3:uid="{9A8786B1-DED5-43FA-90A5-B8770CB8BA07}" name="Column1" headerRowDxfId="357" dataDxfId="356"/>
    <tableColumn id="2" xr3:uid="{5D1AE312-84F1-46F1-A267-FEF4BEA92991}" name="Column2" headerRowDxfId="355" dataDxfId="354"/>
    <tableColumn id="3" xr3:uid="{DE7F1995-06FA-4833-8AA6-C3449A441DA0}" name="Column3" headerRowDxfId="353" dataDxfId="352"/>
  </tableColumns>
  <tableStyleInfo name="TableStyleMedium2" showFirstColumn="0" showLastColumn="0" showRowStripes="1" showColumnStripes="0"/>
</table>
</file>

<file path=xl/tables/table8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7" xr:uid="{474BEFA8-0F3C-481B-99CC-2340ACEA8C58}" name="Table162238" displayName="Table162238" ref="AH225:AJ231" headerRowCount="0" totalsRowShown="0" headerRowDxfId="351" dataDxfId="350">
  <tableColumns count="3">
    <tableColumn id="1" xr3:uid="{349EB274-D7C8-4A84-9EDC-7038A0DCE9A8}" name="Column1" headerRowDxfId="349" dataDxfId="348"/>
    <tableColumn id="2" xr3:uid="{A765AF92-EABB-4378-A526-B740BB8BF79C}" name="Column2" headerRowDxfId="347" dataDxfId="346"/>
    <tableColumn id="3" xr3:uid="{6191F346-F725-40C3-A805-E4EC9BCF6D95}" name="Column3" headerRowDxfId="345" dataDxfId="344"/>
  </tableColumns>
  <tableStyleInfo name="TableStyleMedium2" showFirstColumn="0" showLastColumn="0" showRowStripes="1" showColumnStripes="0"/>
</table>
</file>

<file path=xl/tables/table8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4" xr:uid="{43421A89-3BCB-400E-BED0-11201A42A709}" name="Table284" displayName="Table284" ref="A1:C4" headerRowCount="0" totalsRowShown="0" headerRowDxfId="343" dataDxfId="342">
  <tableColumns count="3">
    <tableColumn id="1" xr3:uid="{9C4A6585-2319-4D87-AE95-B20DDE3D3240}" name="Column1" headerRowDxfId="341" dataDxfId="340"/>
    <tableColumn id="2" xr3:uid="{062D9E7B-6226-4CD7-999A-6E2760E0C36C}" name="Column2" headerRowDxfId="339" dataDxfId="338"/>
    <tableColumn id="3" xr3:uid="{0798335E-68DD-4CD9-9D53-504625BC1333}" name="Column3" headerRowDxfId="337" dataDxfId="336"/>
  </tableColumns>
  <tableStyleInfo name="TableStyleMedium2" showFirstColumn="0" showLastColumn="0" showRowStripes="1" showColumnStripes="0"/>
</table>
</file>

<file path=xl/tables/table8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5" xr:uid="{7709E8DF-5123-458F-B05F-13D7189C4192}" name="Table285" displayName="Table285" ref="A6:C11" headerRowCount="0" totalsRowShown="0" headerRowDxfId="335" dataDxfId="334">
  <tableColumns count="3">
    <tableColumn id="1" xr3:uid="{8A7D7413-0AC0-4629-96E9-E79102EC76DE}" name="Column1" headerRowDxfId="333" dataDxfId="332"/>
    <tableColumn id="2" xr3:uid="{8BAE149E-B453-467C-BBBD-7515C9CC9861}" name="Column2" headerRowDxfId="331" dataDxfId="330"/>
    <tableColumn id="3" xr3:uid="{614BBA49-FAFE-41B6-822D-85F9A764D4D3}" name="Column3" headerRowDxfId="329" dataDxfId="328"/>
  </tableColumns>
  <tableStyleInfo name="TableStyleMedium2" showFirstColumn="0" showLastColumn="0" showRowStripes="1" showColumnStripes="0"/>
</table>
</file>

<file path=xl/tables/table8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6" xr:uid="{D9AE6089-1505-4253-9750-3B34D8637957}" name="Table286" displayName="Table286" ref="A13:C17" headerRowCount="0" totalsRowShown="0" headerRowDxfId="327" dataDxfId="326">
  <tableColumns count="3">
    <tableColumn id="1" xr3:uid="{0C862A76-BB0E-4D61-8D3F-A8220480885C}" name="Column1" headerRowDxfId="325" dataDxfId="324"/>
    <tableColumn id="2" xr3:uid="{BCAB0D6E-F734-43B7-8B62-B4F0B77943D8}" name="Column2" headerRowDxfId="323" dataDxfId="322"/>
    <tableColumn id="3" xr3:uid="{ABBB602F-8D7C-4D4C-ABA4-2878D9740A6D}" name="Column3" headerRowDxfId="321" dataDxfId="320"/>
  </tableColumns>
  <tableStyleInfo name="TableStyleMedium2" showFirstColumn="0" showLastColumn="0" showRowStripes="1" showColumnStripes="0"/>
</table>
</file>

<file path=xl/tables/table8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7" xr:uid="{ABF77E97-F82A-41D1-89E5-3B19BD6E01F7}" name="Table287" displayName="Table287" ref="E1:J11" headerRowCount="0" totalsRowShown="0" headerRowDxfId="319" dataDxfId="318">
  <tableColumns count="6">
    <tableColumn id="1" xr3:uid="{E2B68BBA-304F-457D-864B-3E18A3274652}" name="Column1" headerRowDxfId="317" dataDxfId="316"/>
    <tableColumn id="2" xr3:uid="{421BBEA1-58AE-4BF8-AFD7-1DAACAA3739F}" name="Column2" headerRowDxfId="315" dataDxfId="314"/>
    <tableColumn id="3" xr3:uid="{818C2DED-6FD3-4932-8FF2-98FA520140AE}" name="Column3" headerRowDxfId="313" dataDxfId="312"/>
    <tableColumn id="4" xr3:uid="{487DDB40-8380-4A31-8BB3-41C3C1A9B0DD}" name="Column4" headerRowDxfId="311" dataDxfId="310"/>
    <tableColumn id="7" xr3:uid="{BE7E8686-242E-4F50-A002-04BB5E5D8BA1}" name="Column5" headerRowDxfId="309" dataDxfId="308"/>
    <tableColumn id="8" xr3:uid="{C56DC648-9854-44CB-8CF4-0C7B5E1C618A}" name="Column6" headerRowDxfId="307" dataDxfId="306"/>
  </tableColumns>
  <tableStyleInfo name="TableStyleMedium2" showFirstColumn="0" showLastColumn="0" showRowStripes="1" showColumnStripes="0"/>
</table>
</file>

<file path=xl/tables/table8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8" xr:uid="{5E649E5D-D733-4239-B063-50732B1DD9C8}" name="Table288" displayName="Table288" ref="E13:J17" headerRowCount="0" totalsRowShown="0" headerRowDxfId="305" dataDxfId="304">
  <tableColumns count="6">
    <tableColumn id="1" xr3:uid="{F076BECD-A284-4815-A57F-9996947B3321}" name="Column1" headerRowDxfId="303" dataDxfId="302"/>
    <tableColumn id="2" xr3:uid="{CCB8FB73-EDB7-43A9-8AF6-2B4B093517B8}" name="Column2" headerRowDxfId="301" dataDxfId="300"/>
    <tableColumn id="3" xr3:uid="{9256AA28-78CC-4E37-8C6F-21CC575B3D57}" name="Column3" headerRowDxfId="299" dataDxfId="298"/>
    <tableColumn id="4" xr3:uid="{52E2AA81-2EA0-42FE-9944-CA4E776F1FE3}" name="Column4" headerRowDxfId="297" dataDxfId="296"/>
    <tableColumn id="8" xr3:uid="{CDCB3AA5-CC6F-43FF-BDFE-62A867C64231}" name="Column5" headerRowDxfId="295" dataDxfId="294"/>
    <tableColumn id="9" xr3:uid="{C910F2F8-CF36-4D0A-BDD5-00E4F59288C5}" name="Column6" headerRowDxfId="293" dataDxfId="292"/>
  </tableColumns>
  <tableStyleInfo name="TableStyleMedium2" showFirstColumn="0" showLastColumn="0" showRowStripes="1" showColumnStripes="0"/>
</table>
</file>

<file path=xl/tables/table8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9" xr:uid="{CA07319B-D832-48FA-B2FB-91D39F1B15BF}" name="Table289" displayName="Table289" ref="E19:J37" headerRowCount="0" totalsRowShown="0" headerRowDxfId="291" dataDxfId="290">
  <tableColumns count="6">
    <tableColumn id="1" xr3:uid="{BC3E2E85-ED21-48E2-A333-CDC44958E749}" name="Column1" headerRowDxfId="289" dataDxfId="288"/>
    <tableColumn id="2" xr3:uid="{3B3546E8-D8B3-4164-A0E1-47C4082B0D5E}" name="Column2" headerRowDxfId="287" dataDxfId="286"/>
    <tableColumn id="3" xr3:uid="{A98E2814-425F-4CA4-A10E-81878B147946}" name="Column3" headerRowDxfId="285" dataDxfId="284"/>
    <tableColumn id="4" xr3:uid="{3502881A-1C8B-487F-B68B-CDC5417B58BB}" name="Column4" headerRowDxfId="283" dataDxfId="282"/>
    <tableColumn id="7" xr3:uid="{10B5B7C1-0CDF-4D88-A04E-BD76F6B9080A}" name="Column5" headerRowDxfId="281" dataDxfId="280"/>
    <tableColumn id="8" xr3:uid="{5139667C-D748-4881-B332-5886CB3AA2EA}" name="Column6" headerRowDxfId="279" dataDxfId="278"/>
  </tableColumns>
  <tableStyleInfo name="TableStyleMedium2" showFirstColumn="0" showLastColumn="0" showRowStripes="1" showColumnStripes="0"/>
</table>
</file>

<file path=xl/tables/table8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0" xr:uid="{6E292FEA-A2A6-4560-A45E-A9BBD66ECAD3}" name="Table290" displayName="Table290" ref="E39:J44" headerRowCount="0" totalsRowShown="0" headerRowDxfId="277" dataDxfId="276">
  <tableColumns count="6">
    <tableColumn id="1" xr3:uid="{599F729C-EB70-486F-8A9F-3417CAD528A6}" name="Column1" headerRowDxfId="275" dataDxfId="274"/>
    <tableColumn id="2" xr3:uid="{BBDC42A4-3787-463E-B749-09A0189D4AA8}" name="Column2" headerRowDxfId="273" dataDxfId="272"/>
    <tableColumn id="3" xr3:uid="{97B146B9-98EC-454D-842B-6DE264A436AB}" name="Column3" headerRowDxfId="271" dataDxfId="270"/>
    <tableColumn id="4" xr3:uid="{8EC880D7-1229-4274-9B31-01CFD0D053E4}" name="Column4" headerRowDxfId="269" dataDxfId="268"/>
    <tableColumn id="8" xr3:uid="{0934E579-8544-4A1D-A03D-AABCD681B7E2}" name="Column5" headerRowDxfId="267" dataDxfId="266"/>
    <tableColumn id="9" xr3:uid="{25CAAAEC-EAC7-4D16-B50E-9E45A3AB9FB9}" name="Column6" headerRowDxfId="265" dataDxfId="264"/>
  </tableColumns>
  <tableStyleInfo name="TableStyleMedium2" showFirstColumn="0" showLastColumn="0" showRowStripes="1" showColumnStripes="0"/>
</table>
</file>

<file path=xl/tables/table8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1" xr:uid="{2DDA215D-9F3D-46EA-96BB-754DCF5A299C}" name="Table291" displayName="Table291" ref="A19:C22" headerRowCount="0" totalsRowShown="0" headerRowDxfId="263" dataDxfId="262">
  <tableColumns count="3">
    <tableColumn id="1" xr3:uid="{9B523BD0-DD42-4A6C-B88F-66555A9284C7}" name="Column1" headerRowDxfId="261" dataDxfId="260"/>
    <tableColumn id="2" xr3:uid="{33FDC76D-BB7B-4D13-8703-ED9055DD82F8}" name="Column2" headerRowDxfId="259" dataDxfId="258"/>
    <tableColumn id="3" xr3:uid="{BB09A3AD-7D2B-4773-8FB0-A726056A70D7}" name="Column3" headerRowDxfId="257" dataDxfId="256"/>
  </tableColumns>
  <tableStyleInfo name="TableStyleMedium2" showFirstColumn="0" showLastColumn="0" showRowStripes="1" showColumnStripes="0"/>
</table>
</file>

<file path=xl/tables/table8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6" xr:uid="{0F0C0D7F-89CF-4F95-B085-380912B26262}" name="Table296" displayName="Table296" ref="L1:M59" headerRowCount="0" totalsRowShown="0" headerRowDxfId="255" dataDxfId="254">
  <tableColumns count="2">
    <tableColumn id="1" xr3:uid="{E8AEC9BE-2389-4639-9AF1-CCA51FFB8101}" name="Column1" headerRowDxfId="253" dataDxfId="252"/>
    <tableColumn id="2" xr3:uid="{CEFB90E9-10B5-4DB3-BA11-E18D556AA7E6}" name="Column2" headerRowDxfId="251" dataDxfId="250"/>
  </tableColumns>
  <tableStyleInfo name="TableStyleMedium2" showFirstColumn="0" showLastColumn="0" showRowStripes="1" showColumnStripes="0"/>
</table>
</file>

<file path=xl/tables/table8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8" xr:uid="{9D1C9F80-EF5E-4ACB-8D2A-CF0E4309C2EC}" name="Table298" displayName="Table298" ref="O1:P201" headerRowCount="0" totalsRowShown="0" headerRowDxfId="249" dataDxfId="248">
  <tableColumns count="2">
    <tableColumn id="1" xr3:uid="{130616F6-D143-4217-BCE3-1A5E11857CC6}" name="Column1" headerRowDxfId="247" dataDxfId="246"/>
    <tableColumn id="2" xr3:uid="{88D9793C-13FF-4DF2-8964-85E6C089E35A}" name="Column2" headerRowDxfId="245" dataDxfId="244"/>
  </tableColumns>
  <tableStyleInfo name="TableStyleMedium2" showFirstColumn="0" showLastColumn="0" showRowStripes="1" showColumnStripes="0"/>
</table>
</file>

<file path=xl/tables/table8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9" xr:uid="{7A9BBDB8-3E6C-4C06-8F6D-2E63A2BAB598}" name="Table299" displayName="Table299" ref="A46:G66" headerRowCount="0" totalsRowShown="0" headerRowDxfId="243" dataDxfId="242">
  <tableColumns count="7">
    <tableColumn id="1" xr3:uid="{AF977415-DB35-4F78-82AC-E59D2D8594F6}" name="Column1" headerRowDxfId="241" dataDxfId="240"/>
    <tableColumn id="2" xr3:uid="{3E3C27B2-0B37-4E58-A7F1-80F85E3EF15F}" name="Column2" headerRowDxfId="239" dataDxfId="238"/>
    <tableColumn id="3" xr3:uid="{28D40B98-0F8E-4623-8E31-BC4E1459DB73}" name="Column3" headerRowDxfId="237" dataDxfId="236"/>
    <tableColumn id="4" xr3:uid="{86F9BA6D-70A0-4D60-B859-7E66DF3D47E9}" name="Column4" headerRowDxfId="235" dataDxfId="234"/>
    <tableColumn id="5" xr3:uid="{3067B09C-8134-417C-A0A2-76AD9F67C25F}" name="Column5" headerRowDxfId="233" dataDxfId="232"/>
    <tableColumn id="6" xr3:uid="{73CE4C48-9F71-48D1-9768-85CAB895E25C}" name="Column6" headerRowDxfId="231" dataDxfId="230"/>
    <tableColumn id="7" xr3:uid="{BEFEBE7B-AA16-4B19-9945-484063A3CAC7}" name="Column7" headerRowDxfId="229" dataDxfId="228"/>
  </tableColumns>
  <tableStyleInfo name="TableStyleMedium2" showFirstColumn="0" showLastColumn="0" showRowStripes="1" showColumnStripes="0"/>
</table>
</file>

<file path=xl/tables/table8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5" xr:uid="{3F8F0FA5-3F22-4404-AA1E-4A385CB7FA3C}" name="Table171316" displayName="Table171316" ref="A68:B88" totalsRowShown="0" headerRowDxfId="227" dataDxfId="226">
  <tableColumns count="2">
    <tableColumn id="1" xr3:uid="{0450D797-9349-4677-AE02-3D5DABB7D503}" name="Created By" dataDxfId="225"/>
    <tableColumn id="2" xr3:uid="{81E9392E-4440-46FB-82F0-1431DD1BB667}" name="Race" dataDxfId="224"/>
  </tableColumns>
  <tableStyleInfo name="TableStyleMedium2" showFirstColumn="0" showLastColumn="0" showRowStripes="1" showColumnStripes="0"/>
</table>
</file>

<file path=xl/tables/table8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6" xr:uid="{E02A2309-AE51-466D-B0DE-7B817118D9E0}" name="Table172317" displayName="Table172317" ref="A90:B98" totalsRowShown="0" headerRowDxfId="223" dataDxfId="222">
  <tableColumns count="2">
    <tableColumn id="1" xr3:uid="{9FCD0580-E1DF-4100-8C56-1C6A07B37631}" name="History Detail" dataDxfId="221"/>
    <tableColumn id="2" xr3:uid="{163327D7-97A2-4B3D-A80D-20CBE1D4BB1B}" name=" " dataDxfId="220"/>
  </tableColumns>
  <tableStyleInfo name="TableStyleMedium2" showFirstColumn="0" showLastColumn="0" showRowStripes="1" showColumnStripes="0"/>
</table>
</file>

<file path=xl/tables/table8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7" xr:uid="{D9A0F38F-CFAC-4626-9CCA-1CCDF280B525}" name="Table173318" displayName="Table173318" ref="A100:B120" totalsRowShown="0" headerRowDxfId="219" dataDxfId="218">
  <tableColumns count="2">
    <tableColumn id="1" xr3:uid="{1D7A0BC4-9ADC-4C59-90B9-3C4E8DE6DCD3}" name="Minor Property" dataDxfId="217"/>
    <tableColumn id="2" xr3:uid="{35C7D844-5CC6-4DC7-A9C0-424D708345D7}" name=" " dataDxfId="216"/>
  </tableColumns>
  <tableStyleInfo name="TableStyleMedium2" showFirstColumn="0" showLastColumn="0" showRowStripes="1" showColumnStripes="0"/>
</table>
</file>

<file path=xl/tables/table8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8" xr:uid="{DAE9FF7C-34B4-419F-AAA8-C67CD43FE781}" name="Table174319" displayName="Table174319" ref="A122:B134" totalsRowShown="0" headerRowDxfId="215" dataDxfId="214">
  <autoFilter ref="A122:B134" xr:uid="{B37EDE21-C885-45FA-8979-041236260257}"/>
  <tableColumns count="2">
    <tableColumn id="1" xr3:uid="{89D0CB28-4BEC-432F-86E7-433515EF25A6}" name="Quirk" dataDxfId="213"/>
    <tableColumn id="2" xr3:uid="{E757D92F-1795-458B-84A7-706B90CD9690}" name=" " dataDxfId="212"/>
  </tableColumns>
  <tableStyleInfo name="TableStyleMedium2" showFirstColumn="0" showLastColumn="0" showRowStripes="1" showColumnStripes="0"/>
</table>
</file>

<file path=xl/tables/table8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2" xr:uid="{94A9D560-2621-465C-87AB-913CEC05257B}" name="Table5764" displayName="Table5764" ref="R1:S101" totalsRowShown="0" headerRowDxfId="211" dataDxfId="210">
  <tableColumns count="2">
    <tableColumn id="1" xr3:uid="{4BC7D648-BE94-4F31-91C7-A023B287F4A1}" name="Table F " dataDxfId="209"/>
    <tableColumn id="2" xr3:uid="{20CAA79D-A348-4844-9B43-7FA4C4CE4258}" name="Magic Item" dataDxfId="208"/>
  </tableColumns>
  <tableStyleInfo name="TableStyleMedium2" showFirstColumn="0" showLastColumn="0" showRowStripes="1" showColumnStripes="0"/>
</table>
</file>

<file path=xl/tables/table8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3" xr:uid="{05407B3B-E2DA-4232-AA80-0F69A2E1D3A7}" name="Table576465" displayName="Table576465" ref="U1:V101" totalsRowShown="0" headerRowDxfId="207" dataDxfId="206">
  <tableColumns count="2">
    <tableColumn id="1" xr3:uid="{DF74EE64-7B38-48B8-BC8B-1484DF8B3DEF}" name="Table G" dataDxfId="205"/>
    <tableColumn id="2" xr3:uid="{A179AD6B-84BF-4957-A82E-0802A8F34BCF}" name="Magic Item" dataDxfId="204"/>
  </tableColumns>
  <tableStyleInfo name="TableStyleMedium2" showFirstColumn="0" showLastColumn="0" showRowStripes="1" showColumnStripes="0"/>
</table>
</file>

<file path=xl/tables/table8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4" xr:uid="{1F48A247-E14B-4C8B-B671-3ABA558922CC}" name="Table576466" displayName="Table576466" ref="X1:Y101" totalsRowShown="0" headerRowDxfId="203" dataDxfId="202">
  <tableColumns count="2">
    <tableColumn id="1" xr3:uid="{FCD17ABD-1A72-463A-97D6-E5271620C8AF}" name="Table H" dataDxfId="201"/>
    <tableColumn id="2" xr3:uid="{EFDE56C5-05BF-422D-BC0E-EBDF4DC6056D}" name="Magic Item" dataDxfId="200"/>
  </tableColumns>
  <tableStyleInfo name="TableStyleMedium2" showFirstColumn="0" showLastColumn="0" showRowStripes="1" showColumnStripes="0"/>
</table>
</file>

<file path=xl/tables/table8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09" xr:uid="{84DD0DB9-3FD9-46CD-A8CE-E3D927BF20FF}" name="Table1409" displayName="Table1409" ref="AE1:AF21" headerRowCount="0" totalsRowShown="0" headerRowDxfId="199" dataDxfId="198">
  <tableColumns count="2">
    <tableColumn id="1" xr3:uid="{ED8EDE3D-7CBF-472F-8808-3F54F634E102}" name="Column1" headerRowDxfId="197" dataDxfId="196"/>
    <tableColumn id="2" xr3:uid="{F3DD1757-A87F-4176-BEA5-C46565BB4B12}" name="Column2" headerRowDxfId="195" dataDxfId="194"/>
  </tableColumns>
  <tableStyleInfo name="TableStyleMedium2" showFirstColumn="0" showLastColumn="0" showRowStripes="1" showColumnStripes="0"/>
</table>
</file>

<file path=xl/tables/table8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10" xr:uid="{58DA494C-5200-4BB9-BC2A-447376983364}" name="Table1410" displayName="Table1410" ref="AH1:AI21" headerRowCount="0" totalsRowShown="0" headerRowDxfId="193" dataDxfId="192">
  <tableColumns count="2">
    <tableColumn id="1" xr3:uid="{8963E0E9-98CC-4740-B13E-B20C49FA1289}" name="Column1" headerRowDxfId="191" dataDxfId="190"/>
    <tableColumn id="2" xr3:uid="{CF6CB0AF-F1DB-4347-9959-E63F8FAA8AE9}" name="Column2" headerRowDxfId="189" dataDxfId="188"/>
  </tableColumns>
  <tableStyleInfo name="TableStyleMedium2" showFirstColumn="0" showLastColumn="0" showRowStripes="1" showColumnStripes="0"/>
</table>
</file>

<file path=xl/tables/table8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12" xr:uid="{4BD5A1BC-CE2C-4264-932D-E5F55672ECE3}" name="Table1412" displayName="Table1412" ref="AQ1:AR23" headerRowCount="0" totalsRowShown="0" headerRowDxfId="187" dataDxfId="186">
  <tableColumns count="2">
    <tableColumn id="1" xr3:uid="{166457F3-2F4A-4E4A-A18E-4E821A7CB40B}" name="Column1" headerRowDxfId="185" dataDxfId="184"/>
    <tableColumn id="2" xr3:uid="{CDBD1D9F-C65F-4F3A-B753-840B49F0E878}" name="Column2" headerRowDxfId="183" dataDxfId="182"/>
  </tableColumns>
  <tableStyleInfo name="TableStyleMedium2" showFirstColumn="0" showLastColumn="0" showRowStripes="1" showColumnStripes="0"/>
</table>
</file>

<file path=xl/tables/table8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15" xr:uid="{CD245183-E390-4C4C-AD84-DEC5C99A6027}" name="Table1415" displayName="Table1415" ref="AT1:AU21" headerRowCount="0" totalsRowShown="0" headerRowDxfId="181" dataDxfId="180">
  <tableColumns count="2">
    <tableColumn id="1" xr3:uid="{4CD83079-85D4-467A-8E5D-55F09A8A4F30}" name="Column1" headerRowDxfId="179" dataDxfId="178"/>
    <tableColumn id="2" xr3:uid="{0529D05C-5A5E-402D-8F58-259F3466D4ED}" name="Column2" headerRowDxfId="177" dataDxfId="176"/>
  </tableColumns>
  <tableStyleInfo name="TableStyleMedium2" showFirstColumn="0" showLastColumn="0" showRowStripes="1" showColumnStripes="0"/>
</table>
</file>

<file path=xl/tables/table8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17" xr:uid="{906DCF4F-E26D-4496-9029-F63086D4D829}" name="Table1417" displayName="Table1417" ref="AW1:AX51" headerRowCount="0" totalsRowShown="0" headerRowDxfId="175" dataDxfId="174">
  <tableColumns count="2">
    <tableColumn id="1" xr3:uid="{154C66E7-F3C8-44D2-9C3C-9D933747CD4A}" name="Column1" headerRowDxfId="173" dataDxfId="172"/>
    <tableColumn id="2" xr3:uid="{24007469-0A2F-4DEF-A9E9-0994D2A56BD8}" name="Column2" headerRowDxfId="171" dataDxfId="170"/>
  </tableColumns>
  <tableStyleInfo name="TableStyleMedium2" showFirstColumn="0" showLastColumn="0" showRowStripes="1" showColumnStripes="0"/>
</table>
</file>

<file path=xl/tables/table8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18" xr:uid="{BB4ACD60-329F-4655-ABE3-9EACBD4427D7}" name="Table1418" displayName="Table1418" ref="AZ1:BA21" headerRowCount="0" totalsRowShown="0" headerRowDxfId="169" dataDxfId="168">
  <tableColumns count="2">
    <tableColumn id="1" xr3:uid="{A8A6ADEA-CCCE-45FF-BAD6-27B9266F2590}" name="Column1" headerRowDxfId="167" dataDxfId="166"/>
    <tableColumn id="2" xr3:uid="{DA516ADC-97A6-4741-853A-362408322E5C}" name="Column2" headerRowDxfId="165" dataDxfId="164"/>
  </tableColumns>
  <tableStyleInfo name="TableStyleMedium2" showFirstColumn="0" showLastColumn="0" showRowStripes="1" showColumnStripes="0"/>
</table>
</file>

<file path=xl/tables/table8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19" xr:uid="{3E22F452-9E38-418F-AD28-F453C73C6253}" name="Table1419" displayName="Table1419" ref="BC1:BD21" headerRowCount="0" totalsRowShown="0" headerRowDxfId="163" dataDxfId="162">
  <tableColumns count="2">
    <tableColumn id="1" xr3:uid="{A722F770-91C8-4880-ADF0-803C057E05F0}" name="Column1" headerRowDxfId="161" dataDxfId="160"/>
    <tableColumn id="2" xr3:uid="{AB28796D-DAA0-4D2E-85E1-7EB3C8C3D114}" name="Column2" headerRowDxfId="159" dataDxfId="158"/>
  </tableColumns>
  <tableStyleInfo name="TableStyleMedium2" showFirstColumn="0" showLastColumn="0" showRowStripes="1" showColumnStripes="0"/>
</table>
</file>

<file path=xl/tables/table8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20" xr:uid="{F35522E6-EE4D-4B56-9F66-CFFC7AA33E77}" name="Table1420" displayName="Table1420" ref="BF1:BG51" headerRowCount="0" totalsRowShown="0" headerRowDxfId="157" dataDxfId="156">
  <tableColumns count="2">
    <tableColumn id="1" xr3:uid="{87F187C1-1C66-4305-BB46-733CBCD44B7C}" name="Column1" headerRowDxfId="155" dataDxfId="154"/>
    <tableColumn id="2" xr3:uid="{75D27B61-CD7F-4334-92A5-0FACBD30AD62}" name="Column2" headerRowDxfId="153" dataDxfId="152"/>
  </tableColumns>
  <tableStyleInfo name="TableStyleMedium2" showFirstColumn="0" showLastColumn="0" showRowStripes="1" showColumnStripes="0"/>
</table>
</file>

<file path=xl/tables/table8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26" xr:uid="{C967B8E7-2A14-4E73-B71C-201870C098A3}" name="Table1426" displayName="Table1426" ref="B1:E10" headerRowCount="0" totalsRowShown="0" headerRowDxfId="151" dataDxfId="150">
  <tableColumns count="4">
    <tableColumn id="1" xr3:uid="{16352DC7-E4F3-440B-A535-322E0D2FE4B1}" name="Column1" headerRowDxfId="149" dataDxfId="148"/>
    <tableColumn id="2" xr3:uid="{D12E92A4-63CC-4381-90E3-3DA221FCB1B1}" name="Column2" headerRowDxfId="147" dataDxfId="146"/>
    <tableColumn id="3" xr3:uid="{9EFABB8F-6B9B-424D-855E-D684400D3866}" name="Column3" headerRowDxfId="145" dataDxfId="144"/>
    <tableColumn id="4" xr3:uid="{F04E34BA-4D12-417F-A5F8-21A3E052E25E}" name="Column4" headerRowDxfId="143" dataDxfId="142"/>
  </tableColumns>
  <tableStyleInfo name="TableStyleMedium2" showFirstColumn="0" showLastColumn="0" showRowStripes="1" showColumnStripes="0"/>
</table>
</file>

<file path=xl/tables/table8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29" xr:uid="{51449EF9-8E53-417F-B374-37CF5FEA6333}" name="Table1429" displayName="Table1429" ref="B12:E21" headerRowCount="0" totalsRowShown="0" headerRowDxfId="141" dataDxfId="140">
  <tableColumns count="4">
    <tableColumn id="1" xr3:uid="{EDDE57C4-C6E1-4F2D-AF7C-D707E0E18CD6}" name="Column1" headerRowDxfId="139" dataDxfId="138"/>
    <tableColumn id="2" xr3:uid="{9F9B5B05-9D89-43EE-8815-808C39B467CE}" name="Column2" headerRowDxfId="137" dataDxfId="136"/>
    <tableColumn id="3" xr3:uid="{5C384CE4-B0E5-4CCF-BE49-364F5CD10F25}" name="Column3" headerRowDxfId="135" dataDxfId="134"/>
    <tableColumn id="4" xr3:uid="{25009B57-5692-4B7C-A087-380ED162A341}" name="Column4" headerRowDxfId="133" dataDxfId="132"/>
  </tableColumns>
  <tableStyleInfo name="TableStyleMedium2" showFirstColumn="0" showLastColumn="0" showRowStripes="1" showColumnStripes="0"/>
</table>
</file>

<file path=xl/tables/table8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32" xr:uid="{FCAE62E4-1019-40A7-A5CF-B4933A53D96B}" name="Table14291433" displayName="Table14291433" ref="H1:K10" headerRowCount="0" totalsRowShown="0" headerRowDxfId="131" dataDxfId="130">
  <tableColumns count="4">
    <tableColumn id="1" xr3:uid="{EBEFCE16-84FE-4B7A-AF8B-4BCF9CC31970}" name="Column1" headerRowDxfId="129" dataDxfId="128"/>
    <tableColumn id="2" xr3:uid="{89352B98-EC09-4DBA-9F13-89459BFFBB06}" name="Column2" headerRowDxfId="127" dataDxfId="126"/>
    <tableColumn id="3" xr3:uid="{7F1E86D4-E568-4009-AD31-2A6E640F6E2D}" name="Column3" headerRowDxfId="125" dataDxfId="124"/>
    <tableColumn id="4" xr3:uid="{F2649606-DBCE-4EFE-86EF-88FAD351B2BC}" name="Column4" headerRowDxfId="123" dataDxfId="122"/>
  </tableColumns>
  <tableStyleInfo name="TableStyleMedium2" showFirstColumn="0" showLastColumn="0" showRowStripes="1" showColumnStripes="0"/>
</table>
</file>

<file path=xl/tables/table8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97739572-6448-4E12-9897-DAFB0DC28A46}" name="Table141446" displayName="Table141446" ref="AN1:AO55" headerRowCount="0" totalsRowShown="0" headerRowDxfId="121" dataDxfId="120">
  <tableColumns count="2">
    <tableColumn id="1" xr3:uid="{4AE0DF2C-11D2-42B0-ADA4-B5C13F46ECD0}" name="Column1" headerRowDxfId="119" dataDxfId="118"/>
    <tableColumn id="2" xr3:uid="{EEE77FFD-7CDB-46EA-9925-2AAFEEDDD6A9}" name="Column2" headerRowDxfId="117" dataDxfId="116"/>
  </tableColumns>
  <tableStyleInfo name="TableStyleMedium2" showFirstColumn="0" showLastColumn="0" showRowStripes="1" showColumnStripes="0"/>
</table>
</file>

<file path=xl/tables/table8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95470A28-C98E-4D8B-9D14-8C12F41D9B9D}" name="Table63" displayName="Table63" ref="H12:K21" headerRowCount="0" totalsRowShown="0" headerRowDxfId="115" dataDxfId="114">
  <tableColumns count="4">
    <tableColumn id="1" xr3:uid="{DDEE18E2-400A-4432-916A-F9D931BE26A9}" name="Column1" headerRowDxfId="113" dataDxfId="112"/>
    <tableColumn id="2" xr3:uid="{80B1D424-E728-42DB-8CC1-BB6365B23AEB}" name="Column2" headerRowDxfId="111" dataDxfId="110"/>
    <tableColumn id="3" xr3:uid="{8BF3FBF4-45D0-4689-B6A0-8D783F4F3A6C}" name="Column3" headerRowDxfId="109" dataDxfId="108"/>
    <tableColumn id="4" xr3:uid="{E25EE5E4-7BAC-4F1D-A03C-B1F89827C036}" name="Column4" headerRowDxfId="107" dataDxfId="106"/>
  </tableColumns>
  <tableStyleInfo name="TableStyleMedium2" showFirstColumn="0" showLastColumn="0" showRowStripes="1" showColumnStripes="0"/>
</table>
</file>

<file path=xl/tables/table8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778DD5B2-FC6F-4871-A7F7-5EF5A4B8D176}" name="Table67" displayName="Table67" ref="N1:Q10" headerRowCount="0" totalsRowShown="0" headerRowDxfId="105" dataDxfId="104">
  <tableColumns count="4">
    <tableColumn id="1" xr3:uid="{59BE3B6C-B314-4BF1-BD94-0F5FCB388C97}" name="Column1" headerRowDxfId="103" dataDxfId="102"/>
    <tableColumn id="2" xr3:uid="{3CC42123-5CB6-4B6B-B198-683EE221491E}" name="Column2" headerRowDxfId="101" dataDxfId="100"/>
    <tableColumn id="3" xr3:uid="{673565ED-A41D-4529-8A12-CED856F83668}" name="Column3" headerRowDxfId="99" dataDxfId="98"/>
    <tableColumn id="4" xr3:uid="{1B22525C-2FEB-47B4-97B3-75693B0D2401}" name="Column4" headerRowDxfId="97" dataDxfId="96"/>
  </tableColumns>
  <tableStyleInfo name="TableStyleMedium2" showFirstColumn="0" showLastColumn="0" showRowStripes="1" showColumnStripes="0"/>
</table>
</file>

<file path=xl/tables/table8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CB377018-5C13-4E1E-ACBE-7BA86CB9BA22}" name="Table71" displayName="Table71" ref="N12:Q21" headerRowCount="0" totalsRowShown="0" headerRowDxfId="95" dataDxfId="94">
  <tableColumns count="4">
    <tableColumn id="1" xr3:uid="{16CA3843-0888-4C43-B119-21294CA6C5B3}" name="Column1" headerRowDxfId="93" dataDxfId="92"/>
    <tableColumn id="2" xr3:uid="{1F5BE53D-673E-48B0-AA6A-F08F40572AB5}" name="Column2" headerRowDxfId="91" dataDxfId="90"/>
    <tableColumn id="3" xr3:uid="{81C4E3F0-5A73-4C6B-A224-697202DBB8B9}" name="Column3" headerRowDxfId="89" dataDxfId="88"/>
    <tableColumn id="4" xr3:uid="{E6409CC0-AFE8-4EBB-B33C-AA6D9FE61A3C}" name="Column4" headerRowDxfId="87" dataDxfId="86"/>
  </tableColumns>
  <tableStyleInfo name="TableStyleMedium2" showFirstColumn="0" showLastColumn="0" showRowStripes="1" showColumnStripes="0"/>
</table>
</file>

<file path=xl/tables/table8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0" xr:uid="{D3F91FB5-1D43-4CA4-9161-B3AEFE6ABF8E}" name="Table225" displayName="Table225" ref="T1:W10" headerRowCount="0" totalsRowShown="0" headerRowDxfId="85" dataDxfId="84">
  <tableColumns count="4">
    <tableColumn id="1" xr3:uid="{D9A58E03-8156-4A40-AB6C-1A6C14BD7C1E}" name="Column1" headerRowDxfId="83" dataDxfId="82"/>
    <tableColumn id="2" xr3:uid="{CE21C830-25D8-4935-A308-A80AA95DC61A}" name="Column2" headerRowDxfId="81" dataDxfId="80"/>
    <tableColumn id="3" xr3:uid="{81597217-CAD2-4D69-8EB5-85D65395297B}" name="Column3" headerRowDxfId="79" dataDxfId="78"/>
    <tableColumn id="4" xr3:uid="{727E107A-893E-4DEB-A0B2-64BCA589D4D4}" name="Column4" headerRowDxfId="77" dataDxfId="76"/>
  </tableColumns>
  <tableStyleInfo name="TableStyleMedium2" showFirstColumn="0" showLastColumn="0" showRowStripes="1" showColumnStripes="0"/>
</table>
</file>

<file path=xl/tables/table8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1" xr:uid="{43A27379-1996-4B96-BCEF-197CF531F2D3}" name="Table232" displayName="Table232" ref="T12:W21" headerRowCount="0" totalsRowShown="0" headerRowDxfId="75" dataDxfId="74">
  <tableColumns count="4">
    <tableColumn id="1" xr3:uid="{E637E4A0-36CF-4A18-8FDB-93271BEAFF32}" name="Column1" headerRowDxfId="73" dataDxfId="72"/>
    <tableColumn id="2" xr3:uid="{6C36454A-F37A-42E2-92CF-7BBAA8BE9A0A}" name="Column2" headerRowDxfId="71" dataDxfId="70"/>
    <tableColumn id="3" xr3:uid="{52A7C694-ACAB-4658-AF67-E867BDD0BDA3}" name="Column3" headerRowDxfId="69" dataDxfId="68"/>
    <tableColumn id="4" xr3:uid="{C654D73F-001A-41F8-AA46-0334E5915090}" name="Column4" headerRowDxfId="67" dataDxfId="66"/>
  </tableColumns>
  <tableStyleInfo name="TableStyleMedium2" showFirstColumn="0" showLastColumn="0" showRowStripes="1" showColumnStripes="0"/>
</table>
</file>

<file path=xl/tables/table8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2" xr:uid="{B2222062-CD0D-4CC6-8AE6-F3B85A63718D}" name="Table237" displayName="Table237" ref="Z1:AC10" headerRowCount="0" totalsRowShown="0" headerRowDxfId="65" dataDxfId="64">
  <tableColumns count="4">
    <tableColumn id="1" xr3:uid="{E3A82DEA-D516-44CA-A8EF-B65D04B0D62F}" name="Column1" headerRowDxfId="63" dataDxfId="62"/>
    <tableColumn id="2" xr3:uid="{2A1BF21E-D744-473C-91E5-48F1C2457AB4}" name="Column2" headerRowDxfId="61" dataDxfId="60"/>
    <tableColumn id="3" xr3:uid="{5E37A016-800A-43F5-A032-BE4955EDD735}" name="Column3" headerRowDxfId="59" dataDxfId="58"/>
    <tableColumn id="4" xr3:uid="{5E105BE2-561A-409C-B123-84BAF08D104D}" name="Column4" headerRowDxfId="57" dataDxfId="56"/>
  </tableColumns>
  <tableStyleInfo name="TableStyleMedium2" showFirstColumn="0" showLastColumn="0" showRowStripes="1" showColumnStripes="0"/>
</table>
</file>

<file path=xl/tables/table8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3" xr:uid="{14F6A7F8-8417-4496-B7EA-6C55B2ABC52E}" name="Table238" displayName="Table238" ref="Z12:AC21" headerRowCount="0" totalsRowShown="0" headerRowDxfId="55" dataDxfId="54">
  <tableColumns count="4">
    <tableColumn id="1" xr3:uid="{96B12CED-F502-4989-9C6B-BDEC2F736081}" name="Column1" headerRowDxfId="53" dataDxfId="52"/>
    <tableColumn id="2" xr3:uid="{5A09052F-8F1C-477A-BB9F-F8C38AA89060}" name="Column2" headerRowDxfId="51" dataDxfId="50"/>
    <tableColumn id="3" xr3:uid="{D6A4E472-CF9F-404D-926A-308F1D5EE6F5}" name="Column3" headerRowDxfId="49" dataDxfId="48"/>
    <tableColumn id="4" xr3:uid="{87AC4155-7C4C-4D36-BDCA-47E2696CD235}" name="Column4" headerRowDxfId="47" dataDxfId="46"/>
  </tableColumns>
  <tableStyleInfo name="TableStyleMedium2" showFirstColumn="0" showLastColumn="0" showRowStripes="1" showColumnStripes="0"/>
</table>
</file>

<file path=xl/theme/theme1.xml><?xml version="1.0" encoding="utf-8"?>
<a:theme xmlns:a="http://schemas.openxmlformats.org/drawingml/2006/main" name="Тема Office">
  <a:themeElements>
    <a:clrScheme name="Офіс">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Офіс">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Офіс">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table" Target="../tables/table7.xml"/><Relationship Id="rId3" Type="http://schemas.openxmlformats.org/officeDocument/2006/relationships/table" Target="../tables/table2.xml"/><Relationship Id="rId7" Type="http://schemas.openxmlformats.org/officeDocument/2006/relationships/table" Target="../tables/table6.xml"/><Relationship Id="rId2" Type="http://schemas.openxmlformats.org/officeDocument/2006/relationships/table" Target="../tables/table1.xml"/><Relationship Id="rId1" Type="http://schemas.openxmlformats.org/officeDocument/2006/relationships/printerSettings" Target="../printerSettings/printerSettings1.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_rels/sheet2.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5" Type="http://schemas.openxmlformats.org/officeDocument/2006/relationships/comments" Target="../comments1.xml"/><Relationship Id="rId4" Type="http://schemas.openxmlformats.org/officeDocument/2006/relationships/table" Target="../tables/table9.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table" Target="../tables/table16.xml"/><Relationship Id="rId3" Type="http://schemas.openxmlformats.org/officeDocument/2006/relationships/table" Target="../tables/table11.xml"/><Relationship Id="rId7" Type="http://schemas.openxmlformats.org/officeDocument/2006/relationships/table" Target="../tables/table15.xml"/><Relationship Id="rId12" Type="http://schemas.openxmlformats.org/officeDocument/2006/relationships/table" Target="../tables/table20.xml"/><Relationship Id="rId2" Type="http://schemas.openxmlformats.org/officeDocument/2006/relationships/table" Target="../tables/table10.xml"/><Relationship Id="rId1" Type="http://schemas.openxmlformats.org/officeDocument/2006/relationships/printerSettings" Target="../printerSettings/printerSettings5.bin"/><Relationship Id="rId6" Type="http://schemas.openxmlformats.org/officeDocument/2006/relationships/table" Target="../tables/table14.xml"/><Relationship Id="rId11" Type="http://schemas.openxmlformats.org/officeDocument/2006/relationships/table" Target="../tables/table19.xml"/><Relationship Id="rId5" Type="http://schemas.openxmlformats.org/officeDocument/2006/relationships/table" Target="../tables/table13.xml"/><Relationship Id="rId10" Type="http://schemas.openxmlformats.org/officeDocument/2006/relationships/table" Target="../tables/table18.xml"/><Relationship Id="rId4" Type="http://schemas.openxmlformats.org/officeDocument/2006/relationships/table" Target="../tables/table12.xml"/><Relationship Id="rId9" Type="http://schemas.openxmlformats.org/officeDocument/2006/relationships/table" Target="../tables/table17.xml"/></Relationships>
</file>

<file path=xl/worksheets/_rels/sheet6.xml.rels><?xml version="1.0" encoding="UTF-8" standalone="yes"?>
<Relationships xmlns="http://schemas.openxmlformats.org/package/2006/relationships"><Relationship Id="rId13" Type="http://schemas.openxmlformats.org/officeDocument/2006/relationships/table" Target="../tables/table31.xml"/><Relationship Id="rId18" Type="http://schemas.openxmlformats.org/officeDocument/2006/relationships/table" Target="../tables/table36.xml"/><Relationship Id="rId26" Type="http://schemas.openxmlformats.org/officeDocument/2006/relationships/table" Target="../tables/table44.xml"/><Relationship Id="rId39" Type="http://schemas.openxmlformats.org/officeDocument/2006/relationships/table" Target="../tables/table57.xml"/><Relationship Id="rId21" Type="http://schemas.openxmlformats.org/officeDocument/2006/relationships/table" Target="../tables/table39.xml"/><Relationship Id="rId34" Type="http://schemas.openxmlformats.org/officeDocument/2006/relationships/table" Target="../tables/table52.xml"/><Relationship Id="rId42" Type="http://schemas.openxmlformats.org/officeDocument/2006/relationships/table" Target="../tables/table60.xml"/><Relationship Id="rId47" Type="http://schemas.openxmlformats.org/officeDocument/2006/relationships/table" Target="../tables/table65.xml"/><Relationship Id="rId50" Type="http://schemas.openxmlformats.org/officeDocument/2006/relationships/table" Target="../tables/table68.xml"/><Relationship Id="rId55" Type="http://schemas.openxmlformats.org/officeDocument/2006/relationships/table" Target="../tables/table73.xml"/><Relationship Id="rId7" Type="http://schemas.openxmlformats.org/officeDocument/2006/relationships/table" Target="../tables/table25.xml"/><Relationship Id="rId12" Type="http://schemas.openxmlformats.org/officeDocument/2006/relationships/table" Target="../tables/table30.xml"/><Relationship Id="rId17" Type="http://schemas.openxmlformats.org/officeDocument/2006/relationships/table" Target="../tables/table35.xml"/><Relationship Id="rId25" Type="http://schemas.openxmlformats.org/officeDocument/2006/relationships/table" Target="../tables/table43.xml"/><Relationship Id="rId33" Type="http://schemas.openxmlformats.org/officeDocument/2006/relationships/table" Target="../tables/table51.xml"/><Relationship Id="rId38" Type="http://schemas.openxmlformats.org/officeDocument/2006/relationships/table" Target="../tables/table56.xml"/><Relationship Id="rId46" Type="http://schemas.openxmlformats.org/officeDocument/2006/relationships/table" Target="../tables/table64.xml"/><Relationship Id="rId2" Type="http://schemas.openxmlformats.org/officeDocument/2006/relationships/drawing" Target="../drawings/drawing3.xml"/><Relationship Id="rId16" Type="http://schemas.openxmlformats.org/officeDocument/2006/relationships/table" Target="../tables/table34.xml"/><Relationship Id="rId20" Type="http://schemas.openxmlformats.org/officeDocument/2006/relationships/table" Target="../tables/table38.xml"/><Relationship Id="rId29" Type="http://schemas.openxmlformats.org/officeDocument/2006/relationships/table" Target="../tables/table47.xml"/><Relationship Id="rId41" Type="http://schemas.openxmlformats.org/officeDocument/2006/relationships/table" Target="../tables/table59.xml"/><Relationship Id="rId54" Type="http://schemas.openxmlformats.org/officeDocument/2006/relationships/table" Target="../tables/table72.xml"/><Relationship Id="rId1" Type="http://schemas.openxmlformats.org/officeDocument/2006/relationships/printerSettings" Target="../printerSettings/printerSettings6.bin"/><Relationship Id="rId6" Type="http://schemas.openxmlformats.org/officeDocument/2006/relationships/table" Target="../tables/table24.xml"/><Relationship Id="rId11" Type="http://schemas.openxmlformats.org/officeDocument/2006/relationships/table" Target="../tables/table29.xml"/><Relationship Id="rId24" Type="http://schemas.openxmlformats.org/officeDocument/2006/relationships/table" Target="../tables/table42.xml"/><Relationship Id="rId32" Type="http://schemas.openxmlformats.org/officeDocument/2006/relationships/table" Target="../tables/table50.xml"/><Relationship Id="rId37" Type="http://schemas.openxmlformats.org/officeDocument/2006/relationships/table" Target="../tables/table55.xml"/><Relationship Id="rId40" Type="http://schemas.openxmlformats.org/officeDocument/2006/relationships/table" Target="../tables/table58.xml"/><Relationship Id="rId45" Type="http://schemas.openxmlformats.org/officeDocument/2006/relationships/table" Target="../tables/table63.xml"/><Relationship Id="rId53" Type="http://schemas.openxmlformats.org/officeDocument/2006/relationships/table" Target="../tables/table71.xml"/><Relationship Id="rId58" Type="http://schemas.openxmlformats.org/officeDocument/2006/relationships/table" Target="../tables/table76.xml"/><Relationship Id="rId5" Type="http://schemas.openxmlformats.org/officeDocument/2006/relationships/table" Target="../tables/table23.xml"/><Relationship Id="rId15" Type="http://schemas.openxmlformats.org/officeDocument/2006/relationships/table" Target="../tables/table33.xml"/><Relationship Id="rId23" Type="http://schemas.openxmlformats.org/officeDocument/2006/relationships/table" Target="../tables/table41.xml"/><Relationship Id="rId28" Type="http://schemas.openxmlformats.org/officeDocument/2006/relationships/table" Target="../tables/table46.xml"/><Relationship Id="rId36" Type="http://schemas.openxmlformats.org/officeDocument/2006/relationships/table" Target="../tables/table54.xml"/><Relationship Id="rId49" Type="http://schemas.openxmlformats.org/officeDocument/2006/relationships/table" Target="../tables/table67.xml"/><Relationship Id="rId57" Type="http://schemas.openxmlformats.org/officeDocument/2006/relationships/table" Target="../tables/table75.xml"/><Relationship Id="rId10" Type="http://schemas.openxmlformats.org/officeDocument/2006/relationships/table" Target="../tables/table28.xml"/><Relationship Id="rId19" Type="http://schemas.openxmlformats.org/officeDocument/2006/relationships/table" Target="../tables/table37.xml"/><Relationship Id="rId31" Type="http://schemas.openxmlformats.org/officeDocument/2006/relationships/table" Target="../tables/table49.xml"/><Relationship Id="rId44" Type="http://schemas.openxmlformats.org/officeDocument/2006/relationships/table" Target="../tables/table62.xml"/><Relationship Id="rId52" Type="http://schemas.openxmlformats.org/officeDocument/2006/relationships/table" Target="../tables/table70.xml"/><Relationship Id="rId4" Type="http://schemas.openxmlformats.org/officeDocument/2006/relationships/table" Target="../tables/table22.xml"/><Relationship Id="rId9" Type="http://schemas.openxmlformats.org/officeDocument/2006/relationships/table" Target="../tables/table27.xml"/><Relationship Id="rId14" Type="http://schemas.openxmlformats.org/officeDocument/2006/relationships/table" Target="../tables/table32.xml"/><Relationship Id="rId22" Type="http://schemas.openxmlformats.org/officeDocument/2006/relationships/table" Target="../tables/table40.xml"/><Relationship Id="rId27" Type="http://schemas.openxmlformats.org/officeDocument/2006/relationships/table" Target="../tables/table45.xml"/><Relationship Id="rId30" Type="http://schemas.openxmlformats.org/officeDocument/2006/relationships/table" Target="../tables/table48.xml"/><Relationship Id="rId35" Type="http://schemas.openxmlformats.org/officeDocument/2006/relationships/table" Target="../tables/table53.xml"/><Relationship Id="rId43" Type="http://schemas.openxmlformats.org/officeDocument/2006/relationships/table" Target="../tables/table61.xml"/><Relationship Id="rId48" Type="http://schemas.openxmlformats.org/officeDocument/2006/relationships/table" Target="../tables/table66.xml"/><Relationship Id="rId56" Type="http://schemas.openxmlformats.org/officeDocument/2006/relationships/table" Target="../tables/table74.xml"/><Relationship Id="rId8" Type="http://schemas.openxmlformats.org/officeDocument/2006/relationships/table" Target="../tables/table26.xml"/><Relationship Id="rId51" Type="http://schemas.openxmlformats.org/officeDocument/2006/relationships/table" Target="../tables/table69.xml"/><Relationship Id="rId3" Type="http://schemas.openxmlformats.org/officeDocument/2006/relationships/table" Target="../tables/table21.xml"/></Relationships>
</file>

<file path=xl/worksheets/_rels/sheet7.xml.rels><?xml version="1.0" encoding="UTF-8" standalone="yes"?>
<Relationships xmlns="http://schemas.openxmlformats.org/package/2006/relationships"><Relationship Id="rId13" Type="http://schemas.openxmlformats.org/officeDocument/2006/relationships/table" Target="../tables/table87.xml"/><Relationship Id="rId18" Type="http://schemas.openxmlformats.org/officeDocument/2006/relationships/table" Target="../tables/table92.xml"/><Relationship Id="rId26" Type="http://schemas.openxmlformats.org/officeDocument/2006/relationships/table" Target="../tables/table100.xml"/><Relationship Id="rId39" Type="http://schemas.openxmlformats.org/officeDocument/2006/relationships/table" Target="../tables/table113.xml"/><Relationship Id="rId21" Type="http://schemas.openxmlformats.org/officeDocument/2006/relationships/table" Target="../tables/table95.xml"/><Relationship Id="rId34" Type="http://schemas.openxmlformats.org/officeDocument/2006/relationships/table" Target="../tables/table108.xml"/><Relationship Id="rId42" Type="http://schemas.openxmlformats.org/officeDocument/2006/relationships/table" Target="../tables/table116.xml"/><Relationship Id="rId47" Type="http://schemas.openxmlformats.org/officeDocument/2006/relationships/table" Target="../tables/table121.xml"/><Relationship Id="rId50" Type="http://schemas.openxmlformats.org/officeDocument/2006/relationships/table" Target="../tables/table124.xml"/><Relationship Id="rId55" Type="http://schemas.openxmlformats.org/officeDocument/2006/relationships/table" Target="../tables/table129.xml"/><Relationship Id="rId7" Type="http://schemas.openxmlformats.org/officeDocument/2006/relationships/table" Target="../tables/table81.xml"/><Relationship Id="rId12" Type="http://schemas.openxmlformats.org/officeDocument/2006/relationships/table" Target="../tables/table86.xml"/><Relationship Id="rId17" Type="http://schemas.openxmlformats.org/officeDocument/2006/relationships/table" Target="../tables/table91.xml"/><Relationship Id="rId25" Type="http://schemas.openxmlformats.org/officeDocument/2006/relationships/table" Target="../tables/table99.xml"/><Relationship Id="rId33" Type="http://schemas.openxmlformats.org/officeDocument/2006/relationships/table" Target="../tables/table107.xml"/><Relationship Id="rId38" Type="http://schemas.openxmlformats.org/officeDocument/2006/relationships/table" Target="../tables/table112.xml"/><Relationship Id="rId46" Type="http://schemas.openxmlformats.org/officeDocument/2006/relationships/table" Target="../tables/table120.xml"/><Relationship Id="rId2" Type="http://schemas.openxmlformats.org/officeDocument/2006/relationships/drawing" Target="../drawings/drawing4.xml"/><Relationship Id="rId16" Type="http://schemas.openxmlformats.org/officeDocument/2006/relationships/table" Target="../tables/table90.xml"/><Relationship Id="rId20" Type="http://schemas.openxmlformats.org/officeDocument/2006/relationships/table" Target="../tables/table94.xml"/><Relationship Id="rId29" Type="http://schemas.openxmlformats.org/officeDocument/2006/relationships/table" Target="../tables/table103.xml"/><Relationship Id="rId41" Type="http://schemas.openxmlformats.org/officeDocument/2006/relationships/table" Target="../tables/table115.xml"/><Relationship Id="rId54" Type="http://schemas.openxmlformats.org/officeDocument/2006/relationships/table" Target="../tables/table128.xml"/><Relationship Id="rId1" Type="http://schemas.openxmlformats.org/officeDocument/2006/relationships/printerSettings" Target="../printerSettings/printerSettings7.bin"/><Relationship Id="rId6" Type="http://schemas.openxmlformats.org/officeDocument/2006/relationships/table" Target="../tables/table80.xml"/><Relationship Id="rId11" Type="http://schemas.openxmlformats.org/officeDocument/2006/relationships/table" Target="../tables/table85.xml"/><Relationship Id="rId24" Type="http://schemas.openxmlformats.org/officeDocument/2006/relationships/table" Target="../tables/table98.xml"/><Relationship Id="rId32" Type="http://schemas.openxmlformats.org/officeDocument/2006/relationships/table" Target="../tables/table106.xml"/><Relationship Id="rId37" Type="http://schemas.openxmlformats.org/officeDocument/2006/relationships/table" Target="../tables/table111.xml"/><Relationship Id="rId40" Type="http://schemas.openxmlformats.org/officeDocument/2006/relationships/table" Target="../tables/table114.xml"/><Relationship Id="rId45" Type="http://schemas.openxmlformats.org/officeDocument/2006/relationships/table" Target="../tables/table119.xml"/><Relationship Id="rId53" Type="http://schemas.openxmlformats.org/officeDocument/2006/relationships/table" Target="../tables/table127.xml"/><Relationship Id="rId58" Type="http://schemas.openxmlformats.org/officeDocument/2006/relationships/table" Target="../tables/table132.xml"/><Relationship Id="rId5" Type="http://schemas.openxmlformats.org/officeDocument/2006/relationships/table" Target="../tables/table79.xml"/><Relationship Id="rId15" Type="http://schemas.openxmlformats.org/officeDocument/2006/relationships/table" Target="../tables/table89.xml"/><Relationship Id="rId23" Type="http://schemas.openxmlformats.org/officeDocument/2006/relationships/table" Target="../tables/table97.xml"/><Relationship Id="rId28" Type="http://schemas.openxmlformats.org/officeDocument/2006/relationships/table" Target="../tables/table102.xml"/><Relationship Id="rId36" Type="http://schemas.openxmlformats.org/officeDocument/2006/relationships/table" Target="../tables/table110.xml"/><Relationship Id="rId49" Type="http://schemas.openxmlformats.org/officeDocument/2006/relationships/table" Target="../tables/table123.xml"/><Relationship Id="rId57" Type="http://schemas.openxmlformats.org/officeDocument/2006/relationships/table" Target="../tables/table131.xml"/><Relationship Id="rId10" Type="http://schemas.openxmlformats.org/officeDocument/2006/relationships/table" Target="../tables/table84.xml"/><Relationship Id="rId19" Type="http://schemas.openxmlformats.org/officeDocument/2006/relationships/table" Target="../tables/table93.xml"/><Relationship Id="rId31" Type="http://schemas.openxmlformats.org/officeDocument/2006/relationships/table" Target="../tables/table105.xml"/><Relationship Id="rId44" Type="http://schemas.openxmlformats.org/officeDocument/2006/relationships/table" Target="../tables/table118.xml"/><Relationship Id="rId52" Type="http://schemas.openxmlformats.org/officeDocument/2006/relationships/table" Target="../tables/table126.xml"/><Relationship Id="rId4" Type="http://schemas.openxmlformats.org/officeDocument/2006/relationships/table" Target="../tables/table78.xml"/><Relationship Id="rId9" Type="http://schemas.openxmlformats.org/officeDocument/2006/relationships/table" Target="../tables/table83.xml"/><Relationship Id="rId14" Type="http://schemas.openxmlformats.org/officeDocument/2006/relationships/table" Target="../tables/table88.xml"/><Relationship Id="rId22" Type="http://schemas.openxmlformats.org/officeDocument/2006/relationships/table" Target="../tables/table96.xml"/><Relationship Id="rId27" Type="http://schemas.openxmlformats.org/officeDocument/2006/relationships/table" Target="../tables/table101.xml"/><Relationship Id="rId30" Type="http://schemas.openxmlformats.org/officeDocument/2006/relationships/table" Target="../tables/table104.xml"/><Relationship Id="rId35" Type="http://schemas.openxmlformats.org/officeDocument/2006/relationships/table" Target="../tables/table109.xml"/><Relationship Id="rId43" Type="http://schemas.openxmlformats.org/officeDocument/2006/relationships/table" Target="../tables/table117.xml"/><Relationship Id="rId48" Type="http://schemas.openxmlformats.org/officeDocument/2006/relationships/table" Target="../tables/table122.xml"/><Relationship Id="rId56" Type="http://schemas.openxmlformats.org/officeDocument/2006/relationships/table" Target="../tables/table130.xml"/><Relationship Id="rId8" Type="http://schemas.openxmlformats.org/officeDocument/2006/relationships/table" Target="../tables/table82.xml"/><Relationship Id="rId51" Type="http://schemas.openxmlformats.org/officeDocument/2006/relationships/table" Target="../tables/table125.xml"/><Relationship Id="rId3" Type="http://schemas.openxmlformats.org/officeDocument/2006/relationships/table" Target="../tables/table77.xml"/></Relationships>
</file>

<file path=xl/worksheets/_rels/sheet8.xml.rels><?xml version="1.0" encoding="UTF-8" standalone="yes"?>
<Relationships xmlns="http://schemas.openxmlformats.org/package/2006/relationships"><Relationship Id="rId13" Type="http://schemas.openxmlformats.org/officeDocument/2006/relationships/table" Target="../tables/table143.xml"/><Relationship Id="rId18" Type="http://schemas.openxmlformats.org/officeDocument/2006/relationships/table" Target="../tables/table148.xml"/><Relationship Id="rId26" Type="http://schemas.openxmlformats.org/officeDocument/2006/relationships/table" Target="../tables/table156.xml"/><Relationship Id="rId39" Type="http://schemas.openxmlformats.org/officeDocument/2006/relationships/table" Target="../tables/table169.xml"/><Relationship Id="rId21" Type="http://schemas.openxmlformats.org/officeDocument/2006/relationships/table" Target="../tables/table151.xml"/><Relationship Id="rId34" Type="http://schemas.openxmlformats.org/officeDocument/2006/relationships/table" Target="../tables/table164.xml"/><Relationship Id="rId42" Type="http://schemas.openxmlformats.org/officeDocument/2006/relationships/table" Target="../tables/table172.xml"/><Relationship Id="rId47" Type="http://schemas.openxmlformats.org/officeDocument/2006/relationships/table" Target="../tables/table177.xml"/><Relationship Id="rId50" Type="http://schemas.openxmlformats.org/officeDocument/2006/relationships/table" Target="../tables/table180.xml"/><Relationship Id="rId55" Type="http://schemas.openxmlformats.org/officeDocument/2006/relationships/table" Target="../tables/table185.xml"/><Relationship Id="rId7" Type="http://schemas.openxmlformats.org/officeDocument/2006/relationships/table" Target="../tables/table137.xml"/><Relationship Id="rId12" Type="http://schemas.openxmlformats.org/officeDocument/2006/relationships/table" Target="../tables/table142.xml"/><Relationship Id="rId17" Type="http://schemas.openxmlformats.org/officeDocument/2006/relationships/table" Target="../tables/table147.xml"/><Relationship Id="rId25" Type="http://schemas.openxmlformats.org/officeDocument/2006/relationships/table" Target="../tables/table155.xml"/><Relationship Id="rId33" Type="http://schemas.openxmlformats.org/officeDocument/2006/relationships/table" Target="../tables/table163.xml"/><Relationship Id="rId38" Type="http://schemas.openxmlformats.org/officeDocument/2006/relationships/table" Target="../tables/table168.xml"/><Relationship Id="rId46" Type="http://schemas.openxmlformats.org/officeDocument/2006/relationships/table" Target="../tables/table176.xml"/><Relationship Id="rId2" Type="http://schemas.openxmlformats.org/officeDocument/2006/relationships/drawing" Target="../drawings/drawing5.xml"/><Relationship Id="rId16" Type="http://schemas.openxmlformats.org/officeDocument/2006/relationships/table" Target="../tables/table146.xml"/><Relationship Id="rId20" Type="http://schemas.openxmlformats.org/officeDocument/2006/relationships/table" Target="../tables/table150.xml"/><Relationship Id="rId29" Type="http://schemas.openxmlformats.org/officeDocument/2006/relationships/table" Target="../tables/table159.xml"/><Relationship Id="rId41" Type="http://schemas.openxmlformats.org/officeDocument/2006/relationships/table" Target="../tables/table171.xml"/><Relationship Id="rId54" Type="http://schemas.openxmlformats.org/officeDocument/2006/relationships/table" Target="../tables/table184.xml"/><Relationship Id="rId1" Type="http://schemas.openxmlformats.org/officeDocument/2006/relationships/printerSettings" Target="../printerSettings/printerSettings8.bin"/><Relationship Id="rId6" Type="http://schemas.openxmlformats.org/officeDocument/2006/relationships/table" Target="../tables/table136.xml"/><Relationship Id="rId11" Type="http://schemas.openxmlformats.org/officeDocument/2006/relationships/table" Target="../tables/table141.xml"/><Relationship Id="rId24" Type="http://schemas.openxmlformats.org/officeDocument/2006/relationships/table" Target="../tables/table154.xml"/><Relationship Id="rId32" Type="http://schemas.openxmlformats.org/officeDocument/2006/relationships/table" Target="../tables/table162.xml"/><Relationship Id="rId37" Type="http://schemas.openxmlformats.org/officeDocument/2006/relationships/table" Target="../tables/table167.xml"/><Relationship Id="rId40" Type="http://schemas.openxmlformats.org/officeDocument/2006/relationships/table" Target="../tables/table170.xml"/><Relationship Id="rId45" Type="http://schemas.openxmlformats.org/officeDocument/2006/relationships/table" Target="../tables/table175.xml"/><Relationship Id="rId53" Type="http://schemas.openxmlformats.org/officeDocument/2006/relationships/table" Target="../tables/table183.xml"/><Relationship Id="rId58" Type="http://schemas.openxmlformats.org/officeDocument/2006/relationships/table" Target="../tables/table188.xml"/><Relationship Id="rId5" Type="http://schemas.openxmlformats.org/officeDocument/2006/relationships/table" Target="../tables/table135.xml"/><Relationship Id="rId15" Type="http://schemas.openxmlformats.org/officeDocument/2006/relationships/table" Target="../tables/table145.xml"/><Relationship Id="rId23" Type="http://schemas.openxmlformats.org/officeDocument/2006/relationships/table" Target="../tables/table153.xml"/><Relationship Id="rId28" Type="http://schemas.openxmlformats.org/officeDocument/2006/relationships/table" Target="../tables/table158.xml"/><Relationship Id="rId36" Type="http://schemas.openxmlformats.org/officeDocument/2006/relationships/table" Target="../tables/table166.xml"/><Relationship Id="rId49" Type="http://schemas.openxmlformats.org/officeDocument/2006/relationships/table" Target="../tables/table179.xml"/><Relationship Id="rId57" Type="http://schemas.openxmlformats.org/officeDocument/2006/relationships/table" Target="../tables/table187.xml"/><Relationship Id="rId10" Type="http://schemas.openxmlformats.org/officeDocument/2006/relationships/table" Target="../tables/table140.xml"/><Relationship Id="rId19" Type="http://schemas.openxmlformats.org/officeDocument/2006/relationships/table" Target="../tables/table149.xml"/><Relationship Id="rId31" Type="http://schemas.openxmlformats.org/officeDocument/2006/relationships/table" Target="../tables/table161.xml"/><Relationship Id="rId44" Type="http://schemas.openxmlformats.org/officeDocument/2006/relationships/table" Target="../tables/table174.xml"/><Relationship Id="rId52" Type="http://schemas.openxmlformats.org/officeDocument/2006/relationships/table" Target="../tables/table182.xml"/><Relationship Id="rId4" Type="http://schemas.openxmlformats.org/officeDocument/2006/relationships/table" Target="../tables/table134.xml"/><Relationship Id="rId9" Type="http://schemas.openxmlformats.org/officeDocument/2006/relationships/table" Target="../tables/table139.xml"/><Relationship Id="rId14" Type="http://schemas.openxmlformats.org/officeDocument/2006/relationships/table" Target="../tables/table144.xml"/><Relationship Id="rId22" Type="http://schemas.openxmlformats.org/officeDocument/2006/relationships/table" Target="../tables/table152.xml"/><Relationship Id="rId27" Type="http://schemas.openxmlformats.org/officeDocument/2006/relationships/table" Target="../tables/table157.xml"/><Relationship Id="rId30" Type="http://schemas.openxmlformats.org/officeDocument/2006/relationships/table" Target="../tables/table160.xml"/><Relationship Id="rId35" Type="http://schemas.openxmlformats.org/officeDocument/2006/relationships/table" Target="../tables/table165.xml"/><Relationship Id="rId43" Type="http://schemas.openxmlformats.org/officeDocument/2006/relationships/table" Target="../tables/table173.xml"/><Relationship Id="rId48" Type="http://schemas.openxmlformats.org/officeDocument/2006/relationships/table" Target="../tables/table178.xml"/><Relationship Id="rId56" Type="http://schemas.openxmlformats.org/officeDocument/2006/relationships/table" Target="../tables/table186.xml"/><Relationship Id="rId8" Type="http://schemas.openxmlformats.org/officeDocument/2006/relationships/table" Target="../tables/table138.xml"/><Relationship Id="rId51" Type="http://schemas.openxmlformats.org/officeDocument/2006/relationships/table" Target="../tables/table181.xml"/><Relationship Id="rId3" Type="http://schemas.openxmlformats.org/officeDocument/2006/relationships/table" Target="../tables/table133.xml"/></Relationships>
</file>

<file path=xl/worksheets/_rels/sheet9.xml.rels><?xml version="1.0" encoding="UTF-8" standalone="yes"?>
<Relationships xmlns="http://schemas.openxmlformats.org/package/2006/relationships"><Relationship Id="rId13" Type="http://schemas.openxmlformats.org/officeDocument/2006/relationships/table" Target="../tables/table199.xml"/><Relationship Id="rId18" Type="http://schemas.openxmlformats.org/officeDocument/2006/relationships/table" Target="../tables/table204.xml"/><Relationship Id="rId26" Type="http://schemas.openxmlformats.org/officeDocument/2006/relationships/table" Target="../tables/table212.xml"/><Relationship Id="rId39" Type="http://schemas.openxmlformats.org/officeDocument/2006/relationships/table" Target="../tables/table225.xml"/><Relationship Id="rId21" Type="http://schemas.openxmlformats.org/officeDocument/2006/relationships/table" Target="../tables/table207.xml"/><Relationship Id="rId34" Type="http://schemas.openxmlformats.org/officeDocument/2006/relationships/table" Target="../tables/table220.xml"/><Relationship Id="rId42" Type="http://schemas.openxmlformats.org/officeDocument/2006/relationships/table" Target="../tables/table228.xml"/><Relationship Id="rId47" Type="http://schemas.openxmlformats.org/officeDocument/2006/relationships/table" Target="../tables/table233.xml"/><Relationship Id="rId50" Type="http://schemas.openxmlformats.org/officeDocument/2006/relationships/table" Target="../tables/table236.xml"/><Relationship Id="rId55" Type="http://schemas.openxmlformats.org/officeDocument/2006/relationships/table" Target="../tables/table241.xml"/><Relationship Id="rId7" Type="http://schemas.openxmlformats.org/officeDocument/2006/relationships/table" Target="../tables/table193.xml"/><Relationship Id="rId12" Type="http://schemas.openxmlformats.org/officeDocument/2006/relationships/table" Target="../tables/table198.xml"/><Relationship Id="rId17" Type="http://schemas.openxmlformats.org/officeDocument/2006/relationships/table" Target="../tables/table203.xml"/><Relationship Id="rId25" Type="http://schemas.openxmlformats.org/officeDocument/2006/relationships/table" Target="../tables/table211.xml"/><Relationship Id="rId33" Type="http://schemas.openxmlformats.org/officeDocument/2006/relationships/table" Target="../tables/table219.xml"/><Relationship Id="rId38" Type="http://schemas.openxmlformats.org/officeDocument/2006/relationships/table" Target="../tables/table224.xml"/><Relationship Id="rId46" Type="http://schemas.openxmlformats.org/officeDocument/2006/relationships/table" Target="../tables/table232.xml"/><Relationship Id="rId2" Type="http://schemas.openxmlformats.org/officeDocument/2006/relationships/drawing" Target="../drawings/drawing6.xml"/><Relationship Id="rId16" Type="http://schemas.openxmlformats.org/officeDocument/2006/relationships/table" Target="../tables/table202.xml"/><Relationship Id="rId20" Type="http://schemas.openxmlformats.org/officeDocument/2006/relationships/table" Target="../tables/table206.xml"/><Relationship Id="rId29" Type="http://schemas.openxmlformats.org/officeDocument/2006/relationships/table" Target="../tables/table215.xml"/><Relationship Id="rId41" Type="http://schemas.openxmlformats.org/officeDocument/2006/relationships/table" Target="../tables/table227.xml"/><Relationship Id="rId54" Type="http://schemas.openxmlformats.org/officeDocument/2006/relationships/table" Target="../tables/table240.xml"/><Relationship Id="rId1" Type="http://schemas.openxmlformats.org/officeDocument/2006/relationships/printerSettings" Target="../printerSettings/printerSettings9.bin"/><Relationship Id="rId6" Type="http://schemas.openxmlformats.org/officeDocument/2006/relationships/table" Target="../tables/table192.xml"/><Relationship Id="rId11" Type="http://schemas.openxmlformats.org/officeDocument/2006/relationships/table" Target="../tables/table197.xml"/><Relationship Id="rId24" Type="http://schemas.openxmlformats.org/officeDocument/2006/relationships/table" Target="../tables/table210.xml"/><Relationship Id="rId32" Type="http://schemas.openxmlformats.org/officeDocument/2006/relationships/table" Target="../tables/table218.xml"/><Relationship Id="rId37" Type="http://schemas.openxmlformats.org/officeDocument/2006/relationships/table" Target="../tables/table223.xml"/><Relationship Id="rId40" Type="http://schemas.openxmlformats.org/officeDocument/2006/relationships/table" Target="../tables/table226.xml"/><Relationship Id="rId45" Type="http://schemas.openxmlformats.org/officeDocument/2006/relationships/table" Target="../tables/table231.xml"/><Relationship Id="rId53" Type="http://schemas.openxmlformats.org/officeDocument/2006/relationships/table" Target="../tables/table239.xml"/><Relationship Id="rId58" Type="http://schemas.openxmlformats.org/officeDocument/2006/relationships/table" Target="../tables/table244.xml"/><Relationship Id="rId5" Type="http://schemas.openxmlformats.org/officeDocument/2006/relationships/table" Target="../tables/table191.xml"/><Relationship Id="rId15" Type="http://schemas.openxmlformats.org/officeDocument/2006/relationships/table" Target="../tables/table201.xml"/><Relationship Id="rId23" Type="http://schemas.openxmlformats.org/officeDocument/2006/relationships/table" Target="../tables/table209.xml"/><Relationship Id="rId28" Type="http://schemas.openxmlformats.org/officeDocument/2006/relationships/table" Target="../tables/table214.xml"/><Relationship Id="rId36" Type="http://schemas.openxmlformats.org/officeDocument/2006/relationships/table" Target="../tables/table222.xml"/><Relationship Id="rId49" Type="http://schemas.openxmlformats.org/officeDocument/2006/relationships/table" Target="../tables/table235.xml"/><Relationship Id="rId57" Type="http://schemas.openxmlformats.org/officeDocument/2006/relationships/table" Target="../tables/table243.xml"/><Relationship Id="rId10" Type="http://schemas.openxmlformats.org/officeDocument/2006/relationships/table" Target="../tables/table196.xml"/><Relationship Id="rId19" Type="http://schemas.openxmlformats.org/officeDocument/2006/relationships/table" Target="../tables/table205.xml"/><Relationship Id="rId31" Type="http://schemas.openxmlformats.org/officeDocument/2006/relationships/table" Target="../tables/table217.xml"/><Relationship Id="rId44" Type="http://schemas.openxmlformats.org/officeDocument/2006/relationships/table" Target="../tables/table230.xml"/><Relationship Id="rId52" Type="http://schemas.openxmlformats.org/officeDocument/2006/relationships/table" Target="../tables/table238.xml"/><Relationship Id="rId4" Type="http://schemas.openxmlformats.org/officeDocument/2006/relationships/table" Target="../tables/table190.xml"/><Relationship Id="rId9" Type="http://schemas.openxmlformats.org/officeDocument/2006/relationships/table" Target="../tables/table195.xml"/><Relationship Id="rId14" Type="http://schemas.openxmlformats.org/officeDocument/2006/relationships/table" Target="../tables/table200.xml"/><Relationship Id="rId22" Type="http://schemas.openxmlformats.org/officeDocument/2006/relationships/table" Target="../tables/table208.xml"/><Relationship Id="rId27" Type="http://schemas.openxmlformats.org/officeDocument/2006/relationships/table" Target="../tables/table213.xml"/><Relationship Id="rId30" Type="http://schemas.openxmlformats.org/officeDocument/2006/relationships/table" Target="../tables/table216.xml"/><Relationship Id="rId35" Type="http://schemas.openxmlformats.org/officeDocument/2006/relationships/table" Target="../tables/table221.xml"/><Relationship Id="rId43" Type="http://schemas.openxmlformats.org/officeDocument/2006/relationships/table" Target="../tables/table229.xml"/><Relationship Id="rId48" Type="http://schemas.openxmlformats.org/officeDocument/2006/relationships/table" Target="../tables/table234.xml"/><Relationship Id="rId56" Type="http://schemas.openxmlformats.org/officeDocument/2006/relationships/table" Target="../tables/table242.xml"/><Relationship Id="rId8" Type="http://schemas.openxmlformats.org/officeDocument/2006/relationships/table" Target="../tables/table194.xml"/><Relationship Id="rId51" Type="http://schemas.openxmlformats.org/officeDocument/2006/relationships/table" Target="../tables/table237.xml"/><Relationship Id="rId3" Type="http://schemas.openxmlformats.org/officeDocument/2006/relationships/table" Target="../tables/table189.xml"/></Relationships>
</file>

<file path=xl/worksheets/_rels/sheet10.xml.rels><?xml version="1.0" encoding="UTF-8" standalone="yes"?>
<Relationships xmlns="http://schemas.openxmlformats.org/package/2006/relationships"><Relationship Id="rId13" Type="http://schemas.openxmlformats.org/officeDocument/2006/relationships/table" Target="../tables/table255.xml"/><Relationship Id="rId18" Type="http://schemas.openxmlformats.org/officeDocument/2006/relationships/table" Target="../tables/table260.xml"/><Relationship Id="rId26" Type="http://schemas.openxmlformats.org/officeDocument/2006/relationships/table" Target="../tables/table268.xml"/><Relationship Id="rId39" Type="http://schemas.openxmlformats.org/officeDocument/2006/relationships/table" Target="../tables/table281.xml"/><Relationship Id="rId21" Type="http://schemas.openxmlformats.org/officeDocument/2006/relationships/table" Target="../tables/table263.xml"/><Relationship Id="rId34" Type="http://schemas.openxmlformats.org/officeDocument/2006/relationships/table" Target="../tables/table276.xml"/><Relationship Id="rId42" Type="http://schemas.openxmlformats.org/officeDocument/2006/relationships/table" Target="../tables/table284.xml"/><Relationship Id="rId47" Type="http://schemas.openxmlformats.org/officeDocument/2006/relationships/table" Target="../tables/table289.xml"/><Relationship Id="rId50" Type="http://schemas.openxmlformats.org/officeDocument/2006/relationships/table" Target="../tables/table292.xml"/><Relationship Id="rId55" Type="http://schemas.openxmlformats.org/officeDocument/2006/relationships/table" Target="../tables/table297.xml"/><Relationship Id="rId7" Type="http://schemas.openxmlformats.org/officeDocument/2006/relationships/table" Target="../tables/table249.xml"/><Relationship Id="rId12" Type="http://schemas.openxmlformats.org/officeDocument/2006/relationships/table" Target="../tables/table254.xml"/><Relationship Id="rId17" Type="http://schemas.openxmlformats.org/officeDocument/2006/relationships/table" Target="../tables/table259.xml"/><Relationship Id="rId25" Type="http://schemas.openxmlformats.org/officeDocument/2006/relationships/table" Target="../tables/table267.xml"/><Relationship Id="rId33" Type="http://schemas.openxmlformats.org/officeDocument/2006/relationships/table" Target="../tables/table275.xml"/><Relationship Id="rId38" Type="http://schemas.openxmlformats.org/officeDocument/2006/relationships/table" Target="../tables/table280.xml"/><Relationship Id="rId46" Type="http://schemas.openxmlformats.org/officeDocument/2006/relationships/table" Target="../tables/table288.xml"/><Relationship Id="rId2" Type="http://schemas.openxmlformats.org/officeDocument/2006/relationships/drawing" Target="../drawings/drawing7.xml"/><Relationship Id="rId16" Type="http://schemas.openxmlformats.org/officeDocument/2006/relationships/table" Target="../tables/table258.xml"/><Relationship Id="rId20" Type="http://schemas.openxmlformats.org/officeDocument/2006/relationships/table" Target="../tables/table262.xml"/><Relationship Id="rId29" Type="http://schemas.openxmlformats.org/officeDocument/2006/relationships/table" Target="../tables/table271.xml"/><Relationship Id="rId41" Type="http://schemas.openxmlformats.org/officeDocument/2006/relationships/table" Target="../tables/table283.xml"/><Relationship Id="rId54" Type="http://schemas.openxmlformats.org/officeDocument/2006/relationships/table" Target="../tables/table296.xml"/><Relationship Id="rId1" Type="http://schemas.openxmlformats.org/officeDocument/2006/relationships/printerSettings" Target="../printerSettings/printerSettings10.bin"/><Relationship Id="rId6" Type="http://schemas.openxmlformats.org/officeDocument/2006/relationships/table" Target="../tables/table248.xml"/><Relationship Id="rId11" Type="http://schemas.openxmlformats.org/officeDocument/2006/relationships/table" Target="../tables/table253.xml"/><Relationship Id="rId24" Type="http://schemas.openxmlformats.org/officeDocument/2006/relationships/table" Target="../tables/table266.xml"/><Relationship Id="rId32" Type="http://schemas.openxmlformats.org/officeDocument/2006/relationships/table" Target="../tables/table274.xml"/><Relationship Id="rId37" Type="http://schemas.openxmlformats.org/officeDocument/2006/relationships/table" Target="../tables/table279.xml"/><Relationship Id="rId40" Type="http://schemas.openxmlformats.org/officeDocument/2006/relationships/table" Target="../tables/table282.xml"/><Relationship Id="rId45" Type="http://schemas.openxmlformats.org/officeDocument/2006/relationships/table" Target="../tables/table287.xml"/><Relationship Id="rId53" Type="http://schemas.openxmlformats.org/officeDocument/2006/relationships/table" Target="../tables/table295.xml"/><Relationship Id="rId58" Type="http://schemas.openxmlformats.org/officeDocument/2006/relationships/table" Target="../tables/table300.xml"/><Relationship Id="rId5" Type="http://schemas.openxmlformats.org/officeDocument/2006/relationships/table" Target="../tables/table247.xml"/><Relationship Id="rId15" Type="http://schemas.openxmlformats.org/officeDocument/2006/relationships/table" Target="../tables/table257.xml"/><Relationship Id="rId23" Type="http://schemas.openxmlformats.org/officeDocument/2006/relationships/table" Target="../tables/table265.xml"/><Relationship Id="rId28" Type="http://schemas.openxmlformats.org/officeDocument/2006/relationships/table" Target="../tables/table270.xml"/><Relationship Id="rId36" Type="http://schemas.openxmlformats.org/officeDocument/2006/relationships/table" Target="../tables/table278.xml"/><Relationship Id="rId49" Type="http://schemas.openxmlformats.org/officeDocument/2006/relationships/table" Target="../tables/table291.xml"/><Relationship Id="rId57" Type="http://schemas.openxmlformats.org/officeDocument/2006/relationships/table" Target="../tables/table299.xml"/><Relationship Id="rId10" Type="http://schemas.openxmlformats.org/officeDocument/2006/relationships/table" Target="../tables/table252.xml"/><Relationship Id="rId19" Type="http://schemas.openxmlformats.org/officeDocument/2006/relationships/table" Target="../tables/table261.xml"/><Relationship Id="rId31" Type="http://schemas.openxmlformats.org/officeDocument/2006/relationships/table" Target="../tables/table273.xml"/><Relationship Id="rId44" Type="http://schemas.openxmlformats.org/officeDocument/2006/relationships/table" Target="../tables/table286.xml"/><Relationship Id="rId52" Type="http://schemas.openxmlformats.org/officeDocument/2006/relationships/table" Target="../tables/table294.xml"/><Relationship Id="rId4" Type="http://schemas.openxmlformats.org/officeDocument/2006/relationships/table" Target="../tables/table246.xml"/><Relationship Id="rId9" Type="http://schemas.openxmlformats.org/officeDocument/2006/relationships/table" Target="../tables/table251.xml"/><Relationship Id="rId14" Type="http://schemas.openxmlformats.org/officeDocument/2006/relationships/table" Target="../tables/table256.xml"/><Relationship Id="rId22" Type="http://schemas.openxmlformats.org/officeDocument/2006/relationships/table" Target="../tables/table264.xml"/><Relationship Id="rId27" Type="http://schemas.openxmlformats.org/officeDocument/2006/relationships/table" Target="../tables/table269.xml"/><Relationship Id="rId30" Type="http://schemas.openxmlformats.org/officeDocument/2006/relationships/table" Target="../tables/table272.xml"/><Relationship Id="rId35" Type="http://schemas.openxmlformats.org/officeDocument/2006/relationships/table" Target="../tables/table277.xml"/><Relationship Id="rId43" Type="http://schemas.openxmlformats.org/officeDocument/2006/relationships/table" Target="../tables/table285.xml"/><Relationship Id="rId48" Type="http://schemas.openxmlformats.org/officeDocument/2006/relationships/table" Target="../tables/table290.xml"/><Relationship Id="rId56" Type="http://schemas.openxmlformats.org/officeDocument/2006/relationships/table" Target="../tables/table298.xml"/><Relationship Id="rId8" Type="http://schemas.openxmlformats.org/officeDocument/2006/relationships/table" Target="../tables/table250.xml"/><Relationship Id="rId51" Type="http://schemas.openxmlformats.org/officeDocument/2006/relationships/table" Target="../tables/table293.xml"/><Relationship Id="rId3" Type="http://schemas.openxmlformats.org/officeDocument/2006/relationships/table" Target="../tables/table245.xml"/></Relationships>
</file>

<file path=xl/worksheets/_rels/sheet11.xml.rels><?xml version="1.0" encoding="UTF-8" standalone="yes"?>
<Relationships xmlns="http://schemas.openxmlformats.org/package/2006/relationships"><Relationship Id="rId13" Type="http://schemas.openxmlformats.org/officeDocument/2006/relationships/table" Target="../tables/table311.xml"/><Relationship Id="rId18" Type="http://schemas.openxmlformats.org/officeDocument/2006/relationships/table" Target="../tables/table316.xml"/><Relationship Id="rId26" Type="http://schemas.openxmlformats.org/officeDocument/2006/relationships/table" Target="../tables/table324.xml"/><Relationship Id="rId39" Type="http://schemas.openxmlformats.org/officeDocument/2006/relationships/table" Target="../tables/table337.xml"/><Relationship Id="rId21" Type="http://schemas.openxmlformats.org/officeDocument/2006/relationships/table" Target="../tables/table319.xml"/><Relationship Id="rId34" Type="http://schemas.openxmlformats.org/officeDocument/2006/relationships/table" Target="../tables/table332.xml"/><Relationship Id="rId42" Type="http://schemas.openxmlformats.org/officeDocument/2006/relationships/table" Target="../tables/table340.xml"/><Relationship Id="rId47" Type="http://schemas.openxmlformats.org/officeDocument/2006/relationships/table" Target="../tables/table345.xml"/><Relationship Id="rId50" Type="http://schemas.openxmlformats.org/officeDocument/2006/relationships/table" Target="../tables/table348.xml"/><Relationship Id="rId55" Type="http://schemas.openxmlformats.org/officeDocument/2006/relationships/table" Target="../tables/table353.xml"/><Relationship Id="rId7" Type="http://schemas.openxmlformats.org/officeDocument/2006/relationships/table" Target="../tables/table305.xml"/><Relationship Id="rId12" Type="http://schemas.openxmlformats.org/officeDocument/2006/relationships/table" Target="../tables/table310.xml"/><Relationship Id="rId17" Type="http://schemas.openxmlformats.org/officeDocument/2006/relationships/table" Target="../tables/table315.xml"/><Relationship Id="rId25" Type="http://schemas.openxmlformats.org/officeDocument/2006/relationships/table" Target="../tables/table323.xml"/><Relationship Id="rId33" Type="http://schemas.openxmlformats.org/officeDocument/2006/relationships/table" Target="../tables/table331.xml"/><Relationship Id="rId38" Type="http://schemas.openxmlformats.org/officeDocument/2006/relationships/table" Target="../tables/table336.xml"/><Relationship Id="rId46" Type="http://schemas.openxmlformats.org/officeDocument/2006/relationships/table" Target="../tables/table344.xml"/><Relationship Id="rId2" Type="http://schemas.openxmlformats.org/officeDocument/2006/relationships/drawing" Target="../drawings/drawing8.xml"/><Relationship Id="rId16" Type="http://schemas.openxmlformats.org/officeDocument/2006/relationships/table" Target="../tables/table314.xml"/><Relationship Id="rId20" Type="http://schemas.openxmlformats.org/officeDocument/2006/relationships/table" Target="../tables/table318.xml"/><Relationship Id="rId29" Type="http://schemas.openxmlformats.org/officeDocument/2006/relationships/table" Target="../tables/table327.xml"/><Relationship Id="rId41" Type="http://schemas.openxmlformats.org/officeDocument/2006/relationships/table" Target="../tables/table339.xml"/><Relationship Id="rId54" Type="http://schemas.openxmlformats.org/officeDocument/2006/relationships/table" Target="../tables/table352.xml"/><Relationship Id="rId1" Type="http://schemas.openxmlformats.org/officeDocument/2006/relationships/printerSettings" Target="../printerSettings/printerSettings11.bin"/><Relationship Id="rId6" Type="http://schemas.openxmlformats.org/officeDocument/2006/relationships/table" Target="../tables/table304.xml"/><Relationship Id="rId11" Type="http://schemas.openxmlformats.org/officeDocument/2006/relationships/table" Target="../tables/table309.xml"/><Relationship Id="rId24" Type="http://schemas.openxmlformats.org/officeDocument/2006/relationships/table" Target="../tables/table322.xml"/><Relationship Id="rId32" Type="http://schemas.openxmlformats.org/officeDocument/2006/relationships/table" Target="../tables/table330.xml"/><Relationship Id="rId37" Type="http://schemas.openxmlformats.org/officeDocument/2006/relationships/table" Target="../tables/table335.xml"/><Relationship Id="rId40" Type="http://schemas.openxmlformats.org/officeDocument/2006/relationships/table" Target="../tables/table338.xml"/><Relationship Id="rId45" Type="http://schemas.openxmlformats.org/officeDocument/2006/relationships/table" Target="../tables/table343.xml"/><Relationship Id="rId53" Type="http://schemas.openxmlformats.org/officeDocument/2006/relationships/table" Target="../tables/table351.xml"/><Relationship Id="rId58" Type="http://schemas.openxmlformats.org/officeDocument/2006/relationships/table" Target="../tables/table356.xml"/><Relationship Id="rId5" Type="http://schemas.openxmlformats.org/officeDocument/2006/relationships/table" Target="../tables/table303.xml"/><Relationship Id="rId15" Type="http://schemas.openxmlformats.org/officeDocument/2006/relationships/table" Target="../tables/table313.xml"/><Relationship Id="rId23" Type="http://schemas.openxmlformats.org/officeDocument/2006/relationships/table" Target="../tables/table321.xml"/><Relationship Id="rId28" Type="http://schemas.openxmlformats.org/officeDocument/2006/relationships/table" Target="../tables/table326.xml"/><Relationship Id="rId36" Type="http://schemas.openxmlformats.org/officeDocument/2006/relationships/table" Target="../tables/table334.xml"/><Relationship Id="rId49" Type="http://schemas.openxmlformats.org/officeDocument/2006/relationships/table" Target="../tables/table347.xml"/><Relationship Id="rId57" Type="http://schemas.openxmlformats.org/officeDocument/2006/relationships/table" Target="../tables/table355.xml"/><Relationship Id="rId10" Type="http://schemas.openxmlformats.org/officeDocument/2006/relationships/table" Target="../tables/table308.xml"/><Relationship Id="rId19" Type="http://schemas.openxmlformats.org/officeDocument/2006/relationships/table" Target="../tables/table317.xml"/><Relationship Id="rId31" Type="http://schemas.openxmlformats.org/officeDocument/2006/relationships/table" Target="../tables/table329.xml"/><Relationship Id="rId44" Type="http://schemas.openxmlformats.org/officeDocument/2006/relationships/table" Target="../tables/table342.xml"/><Relationship Id="rId52" Type="http://schemas.openxmlformats.org/officeDocument/2006/relationships/table" Target="../tables/table350.xml"/><Relationship Id="rId4" Type="http://schemas.openxmlformats.org/officeDocument/2006/relationships/table" Target="../tables/table302.xml"/><Relationship Id="rId9" Type="http://schemas.openxmlformats.org/officeDocument/2006/relationships/table" Target="../tables/table307.xml"/><Relationship Id="rId14" Type="http://schemas.openxmlformats.org/officeDocument/2006/relationships/table" Target="../tables/table312.xml"/><Relationship Id="rId22" Type="http://schemas.openxmlformats.org/officeDocument/2006/relationships/table" Target="../tables/table320.xml"/><Relationship Id="rId27" Type="http://schemas.openxmlformats.org/officeDocument/2006/relationships/table" Target="../tables/table325.xml"/><Relationship Id="rId30" Type="http://schemas.openxmlformats.org/officeDocument/2006/relationships/table" Target="../tables/table328.xml"/><Relationship Id="rId35" Type="http://schemas.openxmlformats.org/officeDocument/2006/relationships/table" Target="../tables/table333.xml"/><Relationship Id="rId43" Type="http://schemas.openxmlformats.org/officeDocument/2006/relationships/table" Target="../tables/table341.xml"/><Relationship Id="rId48" Type="http://schemas.openxmlformats.org/officeDocument/2006/relationships/table" Target="../tables/table346.xml"/><Relationship Id="rId56" Type="http://schemas.openxmlformats.org/officeDocument/2006/relationships/table" Target="../tables/table354.xml"/><Relationship Id="rId8" Type="http://schemas.openxmlformats.org/officeDocument/2006/relationships/table" Target="../tables/table306.xml"/><Relationship Id="rId51" Type="http://schemas.openxmlformats.org/officeDocument/2006/relationships/table" Target="../tables/table349.xml"/><Relationship Id="rId3" Type="http://schemas.openxmlformats.org/officeDocument/2006/relationships/table" Target="../tables/table301.xml"/></Relationships>
</file>

<file path=xl/worksheets/_rels/sheet12.xml.rels><?xml version="1.0" encoding="UTF-8" standalone="yes"?>
<Relationships xmlns="http://schemas.openxmlformats.org/package/2006/relationships"><Relationship Id="rId13" Type="http://schemas.openxmlformats.org/officeDocument/2006/relationships/table" Target="../tables/table367.xml"/><Relationship Id="rId18" Type="http://schemas.openxmlformats.org/officeDocument/2006/relationships/table" Target="../tables/table372.xml"/><Relationship Id="rId26" Type="http://schemas.openxmlformats.org/officeDocument/2006/relationships/table" Target="../tables/table380.xml"/><Relationship Id="rId39" Type="http://schemas.openxmlformats.org/officeDocument/2006/relationships/table" Target="../tables/table393.xml"/><Relationship Id="rId21" Type="http://schemas.openxmlformats.org/officeDocument/2006/relationships/table" Target="../tables/table375.xml"/><Relationship Id="rId34" Type="http://schemas.openxmlformats.org/officeDocument/2006/relationships/table" Target="../tables/table388.xml"/><Relationship Id="rId42" Type="http://schemas.openxmlformats.org/officeDocument/2006/relationships/table" Target="../tables/table396.xml"/><Relationship Id="rId47" Type="http://schemas.openxmlformats.org/officeDocument/2006/relationships/table" Target="../tables/table401.xml"/><Relationship Id="rId50" Type="http://schemas.openxmlformats.org/officeDocument/2006/relationships/table" Target="../tables/table404.xml"/><Relationship Id="rId55" Type="http://schemas.openxmlformats.org/officeDocument/2006/relationships/table" Target="../tables/table409.xml"/><Relationship Id="rId7" Type="http://schemas.openxmlformats.org/officeDocument/2006/relationships/table" Target="../tables/table361.xml"/><Relationship Id="rId12" Type="http://schemas.openxmlformats.org/officeDocument/2006/relationships/table" Target="../tables/table366.xml"/><Relationship Id="rId17" Type="http://schemas.openxmlformats.org/officeDocument/2006/relationships/table" Target="../tables/table371.xml"/><Relationship Id="rId25" Type="http://schemas.openxmlformats.org/officeDocument/2006/relationships/table" Target="../tables/table379.xml"/><Relationship Id="rId33" Type="http://schemas.openxmlformats.org/officeDocument/2006/relationships/table" Target="../tables/table387.xml"/><Relationship Id="rId38" Type="http://schemas.openxmlformats.org/officeDocument/2006/relationships/table" Target="../tables/table392.xml"/><Relationship Id="rId46" Type="http://schemas.openxmlformats.org/officeDocument/2006/relationships/table" Target="../tables/table400.xml"/><Relationship Id="rId2" Type="http://schemas.openxmlformats.org/officeDocument/2006/relationships/drawing" Target="../drawings/drawing9.xml"/><Relationship Id="rId16" Type="http://schemas.openxmlformats.org/officeDocument/2006/relationships/table" Target="../tables/table370.xml"/><Relationship Id="rId20" Type="http://schemas.openxmlformats.org/officeDocument/2006/relationships/table" Target="../tables/table374.xml"/><Relationship Id="rId29" Type="http://schemas.openxmlformats.org/officeDocument/2006/relationships/table" Target="../tables/table383.xml"/><Relationship Id="rId41" Type="http://schemas.openxmlformats.org/officeDocument/2006/relationships/table" Target="../tables/table395.xml"/><Relationship Id="rId54" Type="http://schemas.openxmlformats.org/officeDocument/2006/relationships/table" Target="../tables/table408.xml"/><Relationship Id="rId1" Type="http://schemas.openxmlformats.org/officeDocument/2006/relationships/printerSettings" Target="../printerSettings/printerSettings12.bin"/><Relationship Id="rId6" Type="http://schemas.openxmlformats.org/officeDocument/2006/relationships/table" Target="../tables/table360.xml"/><Relationship Id="rId11" Type="http://schemas.openxmlformats.org/officeDocument/2006/relationships/table" Target="../tables/table365.xml"/><Relationship Id="rId24" Type="http://schemas.openxmlformats.org/officeDocument/2006/relationships/table" Target="../tables/table378.xml"/><Relationship Id="rId32" Type="http://schemas.openxmlformats.org/officeDocument/2006/relationships/table" Target="../tables/table386.xml"/><Relationship Id="rId37" Type="http://schemas.openxmlformats.org/officeDocument/2006/relationships/table" Target="../tables/table391.xml"/><Relationship Id="rId40" Type="http://schemas.openxmlformats.org/officeDocument/2006/relationships/table" Target="../tables/table394.xml"/><Relationship Id="rId45" Type="http://schemas.openxmlformats.org/officeDocument/2006/relationships/table" Target="../tables/table399.xml"/><Relationship Id="rId53" Type="http://schemas.openxmlformats.org/officeDocument/2006/relationships/table" Target="../tables/table407.xml"/><Relationship Id="rId58" Type="http://schemas.openxmlformats.org/officeDocument/2006/relationships/table" Target="../tables/table412.xml"/><Relationship Id="rId5" Type="http://schemas.openxmlformats.org/officeDocument/2006/relationships/table" Target="../tables/table359.xml"/><Relationship Id="rId15" Type="http://schemas.openxmlformats.org/officeDocument/2006/relationships/table" Target="../tables/table369.xml"/><Relationship Id="rId23" Type="http://schemas.openxmlformats.org/officeDocument/2006/relationships/table" Target="../tables/table377.xml"/><Relationship Id="rId28" Type="http://schemas.openxmlformats.org/officeDocument/2006/relationships/table" Target="../tables/table382.xml"/><Relationship Id="rId36" Type="http://schemas.openxmlformats.org/officeDocument/2006/relationships/table" Target="../tables/table390.xml"/><Relationship Id="rId49" Type="http://schemas.openxmlformats.org/officeDocument/2006/relationships/table" Target="../tables/table403.xml"/><Relationship Id="rId57" Type="http://schemas.openxmlformats.org/officeDocument/2006/relationships/table" Target="../tables/table411.xml"/><Relationship Id="rId10" Type="http://schemas.openxmlformats.org/officeDocument/2006/relationships/table" Target="../tables/table364.xml"/><Relationship Id="rId19" Type="http://schemas.openxmlformats.org/officeDocument/2006/relationships/table" Target="../tables/table373.xml"/><Relationship Id="rId31" Type="http://schemas.openxmlformats.org/officeDocument/2006/relationships/table" Target="../tables/table385.xml"/><Relationship Id="rId44" Type="http://schemas.openxmlformats.org/officeDocument/2006/relationships/table" Target="../tables/table398.xml"/><Relationship Id="rId52" Type="http://schemas.openxmlformats.org/officeDocument/2006/relationships/table" Target="../tables/table406.xml"/><Relationship Id="rId4" Type="http://schemas.openxmlformats.org/officeDocument/2006/relationships/table" Target="../tables/table358.xml"/><Relationship Id="rId9" Type="http://schemas.openxmlformats.org/officeDocument/2006/relationships/table" Target="../tables/table363.xml"/><Relationship Id="rId14" Type="http://schemas.openxmlformats.org/officeDocument/2006/relationships/table" Target="../tables/table368.xml"/><Relationship Id="rId22" Type="http://schemas.openxmlformats.org/officeDocument/2006/relationships/table" Target="../tables/table376.xml"/><Relationship Id="rId27" Type="http://schemas.openxmlformats.org/officeDocument/2006/relationships/table" Target="../tables/table381.xml"/><Relationship Id="rId30" Type="http://schemas.openxmlformats.org/officeDocument/2006/relationships/table" Target="../tables/table384.xml"/><Relationship Id="rId35" Type="http://schemas.openxmlformats.org/officeDocument/2006/relationships/table" Target="../tables/table389.xml"/><Relationship Id="rId43" Type="http://schemas.openxmlformats.org/officeDocument/2006/relationships/table" Target="../tables/table397.xml"/><Relationship Id="rId48" Type="http://schemas.openxmlformats.org/officeDocument/2006/relationships/table" Target="../tables/table402.xml"/><Relationship Id="rId56" Type="http://schemas.openxmlformats.org/officeDocument/2006/relationships/table" Target="../tables/table410.xml"/><Relationship Id="rId8" Type="http://schemas.openxmlformats.org/officeDocument/2006/relationships/table" Target="../tables/table362.xml"/><Relationship Id="rId51" Type="http://schemas.openxmlformats.org/officeDocument/2006/relationships/table" Target="../tables/table405.xml"/><Relationship Id="rId3" Type="http://schemas.openxmlformats.org/officeDocument/2006/relationships/table" Target="../tables/table357.xml"/></Relationships>
</file>

<file path=xl/worksheets/_rels/sheet13.xml.rels><?xml version="1.0" encoding="UTF-8" standalone="yes"?>
<Relationships xmlns="http://schemas.openxmlformats.org/package/2006/relationships"><Relationship Id="rId13" Type="http://schemas.openxmlformats.org/officeDocument/2006/relationships/table" Target="../tables/table423.xml"/><Relationship Id="rId18" Type="http://schemas.openxmlformats.org/officeDocument/2006/relationships/table" Target="../tables/table428.xml"/><Relationship Id="rId26" Type="http://schemas.openxmlformats.org/officeDocument/2006/relationships/table" Target="../tables/table436.xml"/><Relationship Id="rId39" Type="http://schemas.openxmlformats.org/officeDocument/2006/relationships/table" Target="../tables/table449.xml"/><Relationship Id="rId21" Type="http://schemas.openxmlformats.org/officeDocument/2006/relationships/table" Target="../tables/table431.xml"/><Relationship Id="rId34" Type="http://schemas.openxmlformats.org/officeDocument/2006/relationships/table" Target="../tables/table444.xml"/><Relationship Id="rId42" Type="http://schemas.openxmlformats.org/officeDocument/2006/relationships/table" Target="../tables/table452.xml"/><Relationship Id="rId47" Type="http://schemas.openxmlformats.org/officeDocument/2006/relationships/table" Target="../tables/table457.xml"/><Relationship Id="rId50" Type="http://schemas.openxmlformats.org/officeDocument/2006/relationships/table" Target="../tables/table460.xml"/><Relationship Id="rId55" Type="http://schemas.openxmlformats.org/officeDocument/2006/relationships/table" Target="../tables/table465.xml"/><Relationship Id="rId7" Type="http://schemas.openxmlformats.org/officeDocument/2006/relationships/table" Target="../tables/table417.xml"/><Relationship Id="rId12" Type="http://schemas.openxmlformats.org/officeDocument/2006/relationships/table" Target="../tables/table422.xml"/><Relationship Id="rId17" Type="http://schemas.openxmlformats.org/officeDocument/2006/relationships/table" Target="../tables/table427.xml"/><Relationship Id="rId25" Type="http://schemas.openxmlformats.org/officeDocument/2006/relationships/table" Target="../tables/table435.xml"/><Relationship Id="rId33" Type="http://schemas.openxmlformats.org/officeDocument/2006/relationships/table" Target="../tables/table443.xml"/><Relationship Id="rId38" Type="http://schemas.openxmlformats.org/officeDocument/2006/relationships/table" Target="../tables/table448.xml"/><Relationship Id="rId46" Type="http://schemas.openxmlformats.org/officeDocument/2006/relationships/table" Target="../tables/table456.xml"/><Relationship Id="rId2" Type="http://schemas.openxmlformats.org/officeDocument/2006/relationships/drawing" Target="../drawings/drawing10.xml"/><Relationship Id="rId16" Type="http://schemas.openxmlformats.org/officeDocument/2006/relationships/table" Target="../tables/table426.xml"/><Relationship Id="rId20" Type="http://schemas.openxmlformats.org/officeDocument/2006/relationships/table" Target="../tables/table430.xml"/><Relationship Id="rId29" Type="http://schemas.openxmlformats.org/officeDocument/2006/relationships/table" Target="../tables/table439.xml"/><Relationship Id="rId41" Type="http://schemas.openxmlformats.org/officeDocument/2006/relationships/table" Target="../tables/table451.xml"/><Relationship Id="rId54" Type="http://schemas.openxmlformats.org/officeDocument/2006/relationships/table" Target="../tables/table464.xml"/><Relationship Id="rId1" Type="http://schemas.openxmlformats.org/officeDocument/2006/relationships/printerSettings" Target="../printerSettings/printerSettings13.bin"/><Relationship Id="rId6" Type="http://schemas.openxmlformats.org/officeDocument/2006/relationships/table" Target="../tables/table416.xml"/><Relationship Id="rId11" Type="http://schemas.openxmlformats.org/officeDocument/2006/relationships/table" Target="../tables/table421.xml"/><Relationship Id="rId24" Type="http://schemas.openxmlformats.org/officeDocument/2006/relationships/table" Target="../tables/table434.xml"/><Relationship Id="rId32" Type="http://schemas.openxmlformats.org/officeDocument/2006/relationships/table" Target="../tables/table442.xml"/><Relationship Id="rId37" Type="http://schemas.openxmlformats.org/officeDocument/2006/relationships/table" Target="../tables/table447.xml"/><Relationship Id="rId40" Type="http://schemas.openxmlformats.org/officeDocument/2006/relationships/table" Target="../tables/table450.xml"/><Relationship Id="rId45" Type="http://schemas.openxmlformats.org/officeDocument/2006/relationships/table" Target="../tables/table455.xml"/><Relationship Id="rId53" Type="http://schemas.openxmlformats.org/officeDocument/2006/relationships/table" Target="../tables/table463.xml"/><Relationship Id="rId58" Type="http://schemas.openxmlformats.org/officeDocument/2006/relationships/table" Target="../tables/table468.xml"/><Relationship Id="rId5" Type="http://schemas.openxmlformats.org/officeDocument/2006/relationships/table" Target="../tables/table415.xml"/><Relationship Id="rId15" Type="http://schemas.openxmlformats.org/officeDocument/2006/relationships/table" Target="../tables/table425.xml"/><Relationship Id="rId23" Type="http://schemas.openxmlformats.org/officeDocument/2006/relationships/table" Target="../tables/table433.xml"/><Relationship Id="rId28" Type="http://schemas.openxmlformats.org/officeDocument/2006/relationships/table" Target="../tables/table438.xml"/><Relationship Id="rId36" Type="http://schemas.openxmlformats.org/officeDocument/2006/relationships/table" Target="../tables/table446.xml"/><Relationship Id="rId49" Type="http://schemas.openxmlformats.org/officeDocument/2006/relationships/table" Target="../tables/table459.xml"/><Relationship Id="rId57" Type="http://schemas.openxmlformats.org/officeDocument/2006/relationships/table" Target="../tables/table467.xml"/><Relationship Id="rId10" Type="http://schemas.openxmlformats.org/officeDocument/2006/relationships/table" Target="../tables/table420.xml"/><Relationship Id="rId19" Type="http://schemas.openxmlformats.org/officeDocument/2006/relationships/table" Target="../tables/table429.xml"/><Relationship Id="rId31" Type="http://schemas.openxmlformats.org/officeDocument/2006/relationships/table" Target="../tables/table441.xml"/><Relationship Id="rId44" Type="http://schemas.openxmlformats.org/officeDocument/2006/relationships/table" Target="../tables/table454.xml"/><Relationship Id="rId52" Type="http://schemas.openxmlformats.org/officeDocument/2006/relationships/table" Target="../tables/table462.xml"/><Relationship Id="rId4" Type="http://schemas.openxmlformats.org/officeDocument/2006/relationships/table" Target="../tables/table414.xml"/><Relationship Id="rId9" Type="http://schemas.openxmlformats.org/officeDocument/2006/relationships/table" Target="../tables/table419.xml"/><Relationship Id="rId14" Type="http://schemas.openxmlformats.org/officeDocument/2006/relationships/table" Target="../tables/table424.xml"/><Relationship Id="rId22" Type="http://schemas.openxmlformats.org/officeDocument/2006/relationships/table" Target="../tables/table432.xml"/><Relationship Id="rId27" Type="http://schemas.openxmlformats.org/officeDocument/2006/relationships/table" Target="../tables/table437.xml"/><Relationship Id="rId30" Type="http://schemas.openxmlformats.org/officeDocument/2006/relationships/table" Target="../tables/table440.xml"/><Relationship Id="rId35" Type="http://schemas.openxmlformats.org/officeDocument/2006/relationships/table" Target="../tables/table445.xml"/><Relationship Id="rId43" Type="http://schemas.openxmlformats.org/officeDocument/2006/relationships/table" Target="../tables/table453.xml"/><Relationship Id="rId48" Type="http://schemas.openxmlformats.org/officeDocument/2006/relationships/table" Target="../tables/table458.xml"/><Relationship Id="rId56" Type="http://schemas.openxmlformats.org/officeDocument/2006/relationships/table" Target="../tables/table466.xml"/><Relationship Id="rId8" Type="http://schemas.openxmlformats.org/officeDocument/2006/relationships/table" Target="../tables/table418.xml"/><Relationship Id="rId51" Type="http://schemas.openxmlformats.org/officeDocument/2006/relationships/table" Target="../tables/table461.xml"/><Relationship Id="rId3" Type="http://schemas.openxmlformats.org/officeDocument/2006/relationships/table" Target="../tables/table413.xml"/></Relationships>
</file>

<file path=xl/worksheets/_rels/sheet14.xml.rels><?xml version="1.0" encoding="UTF-8" standalone="yes"?>
<Relationships xmlns="http://schemas.openxmlformats.org/package/2006/relationships"><Relationship Id="rId13" Type="http://schemas.openxmlformats.org/officeDocument/2006/relationships/table" Target="../tables/table479.xml"/><Relationship Id="rId18" Type="http://schemas.openxmlformats.org/officeDocument/2006/relationships/table" Target="../tables/table484.xml"/><Relationship Id="rId26" Type="http://schemas.openxmlformats.org/officeDocument/2006/relationships/table" Target="../tables/table492.xml"/><Relationship Id="rId39" Type="http://schemas.openxmlformats.org/officeDocument/2006/relationships/table" Target="../tables/table505.xml"/><Relationship Id="rId21" Type="http://schemas.openxmlformats.org/officeDocument/2006/relationships/table" Target="../tables/table487.xml"/><Relationship Id="rId34" Type="http://schemas.openxmlformats.org/officeDocument/2006/relationships/table" Target="../tables/table500.xml"/><Relationship Id="rId42" Type="http://schemas.openxmlformats.org/officeDocument/2006/relationships/table" Target="../tables/table508.xml"/><Relationship Id="rId47" Type="http://schemas.openxmlformats.org/officeDocument/2006/relationships/table" Target="../tables/table513.xml"/><Relationship Id="rId50" Type="http://schemas.openxmlformats.org/officeDocument/2006/relationships/table" Target="../tables/table516.xml"/><Relationship Id="rId55" Type="http://schemas.openxmlformats.org/officeDocument/2006/relationships/table" Target="../tables/table521.xml"/><Relationship Id="rId7" Type="http://schemas.openxmlformats.org/officeDocument/2006/relationships/table" Target="../tables/table473.xml"/><Relationship Id="rId12" Type="http://schemas.openxmlformats.org/officeDocument/2006/relationships/table" Target="../tables/table478.xml"/><Relationship Id="rId17" Type="http://schemas.openxmlformats.org/officeDocument/2006/relationships/table" Target="../tables/table483.xml"/><Relationship Id="rId25" Type="http://schemas.openxmlformats.org/officeDocument/2006/relationships/table" Target="../tables/table491.xml"/><Relationship Id="rId33" Type="http://schemas.openxmlformats.org/officeDocument/2006/relationships/table" Target="../tables/table499.xml"/><Relationship Id="rId38" Type="http://schemas.openxmlformats.org/officeDocument/2006/relationships/table" Target="../tables/table504.xml"/><Relationship Id="rId46" Type="http://schemas.openxmlformats.org/officeDocument/2006/relationships/table" Target="../tables/table512.xml"/><Relationship Id="rId2" Type="http://schemas.openxmlformats.org/officeDocument/2006/relationships/drawing" Target="../drawings/drawing11.xml"/><Relationship Id="rId16" Type="http://schemas.openxmlformats.org/officeDocument/2006/relationships/table" Target="../tables/table482.xml"/><Relationship Id="rId20" Type="http://schemas.openxmlformats.org/officeDocument/2006/relationships/table" Target="../tables/table486.xml"/><Relationship Id="rId29" Type="http://schemas.openxmlformats.org/officeDocument/2006/relationships/table" Target="../tables/table495.xml"/><Relationship Id="rId41" Type="http://schemas.openxmlformats.org/officeDocument/2006/relationships/table" Target="../tables/table507.xml"/><Relationship Id="rId54" Type="http://schemas.openxmlformats.org/officeDocument/2006/relationships/table" Target="../tables/table520.xml"/><Relationship Id="rId1" Type="http://schemas.openxmlformats.org/officeDocument/2006/relationships/printerSettings" Target="../printerSettings/printerSettings14.bin"/><Relationship Id="rId6" Type="http://schemas.openxmlformats.org/officeDocument/2006/relationships/table" Target="../tables/table472.xml"/><Relationship Id="rId11" Type="http://schemas.openxmlformats.org/officeDocument/2006/relationships/table" Target="../tables/table477.xml"/><Relationship Id="rId24" Type="http://schemas.openxmlformats.org/officeDocument/2006/relationships/table" Target="../tables/table490.xml"/><Relationship Id="rId32" Type="http://schemas.openxmlformats.org/officeDocument/2006/relationships/table" Target="../tables/table498.xml"/><Relationship Id="rId37" Type="http://schemas.openxmlformats.org/officeDocument/2006/relationships/table" Target="../tables/table503.xml"/><Relationship Id="rId40" Type="http://schemas.openxmlformats.org/officeDocument/2006/relationships/table" Target="../tables/table506.xml"/><Relationship Id="rId45" Type="http://schemas.openxmlformats.org/officeDocument/2006/relationships/table" Target="../tables/table511.xml"/><Relationship Id="rId53" Type="http://schemas.openxmlformats.org/officeDocument/2006/relationships/table" Target="../tables/table519.xml"/><Relationship Id="rId58" Type="http://schemas.openxmlformats.org/officeDocument/2006/relationships/table" Target="../tables/table524.xml"/><Relationship Id="rId5" Type="http://schemas.openxmlformats.org/officeDocument/2006/relationships/table" Target="../tables/table471.xml"/><Relationship Id="rId15" Type="http://schemas.openxmlformats.org/officeDocument/2006/relationships/table" Target="../tables/table481.xml"/><Relationship Id="rId23" Type="http://schemas.openxmlformats.org/officeDocument/2006/relationships/table" Target="../tables/table489.xml"/><Relationship Id="rId28" Type="http://schemas.openxmlformats.org/officeDocument/2006/relationships/table" Target="../tables/table494.xml"/><Relationship Id="rId36" Type="http://schemas.openxmlformats.org/officeDocument/2006/relationships/table" Target="../tables/table502.xml"/><Relationship Id="rId49" Type="http://schemas.openxmlformats.org/officeDocument/2006/relationships/table" Target="../tables/table515.xml"/><Relationship Id="rId57" Type="http://schemas.openxmlformats.org/officeDocument/2006/relationships/table" Target="../tables/table523.xml"/><Relationship Id="rId10" Type="http://schemas.openxmlformats.org/officeDocument/2006/relationships/table" Target="../tables/table476.xml"/><Relationship Id="rId19" Type="http://schemas.openxmlformats.org/officeDocument/2006/relationships/table" Target="../tables/table485.xml"/><Relationship Id="rId31" Type="http://schemas.openxmlformats.org/officeDocument/2006/relationships/table" Target="../tables/table497.xml"/><Relationship Id="rId44" Type="http://schemas.openxmlformats.org/officeDocument/2006/relationships/table" Target="../tables/table510.xml"/><Relationship Id="rId52" Type="http://schemas.openxmlformats.org/officeDocument/2006/relationships/table" Target="../tables/table518.xml"/><Relationship Id="rId4" Type="http://schemas.openxmlformats.org/officeDocument/2006/relationships/table" Target="../tables/table470.xml"/><Relationship Id="rId9" Type="http://schemas.openxmlformats.org/officeDocument/2006/relationships/table" Target="../tables/table475.xml"/><Relationship Id="rId14" Type="http://schemas.openxmlformats.org/officeDocument/2006/relationships/table" Target="../tables/table480.xml"/><Relationship Id="rId22" Type="http://schemas.openxmlformats.org/officeDocument/2006/relationships/table" Target="../tables/table488.xml"/><Relationship Id="rId27" Type="http://schemas.openxmlformats.org/officeDocument/2006/relationships/table" Target="../tables/table493.xml"/><Relationship Id="rId30" Type="http://schemas.openxmlformats.org/officeDocument/2006/relationships/table" Target="../tables/table496.xml"/><Relationship Id="rId35" Type="http://schemas.openxmlformats.org/officeDocument/2006/relationships/table" Target="../tables/table501.xml"/><Relationship Id="rId43" Type="http://schemas.openxmlformats.org/officeDocument/2006/relationships/table" Target="../tables/table509.xml"/><Relationship Id="rId48" Type="http://schemas.openxmlformats.org/officeDocument/2006/relationships/table" Target="../tables/table514.xml"/><Relationship Id="rId56" Type="http://schemas.openxmlformats.org/officeDocument/2006/relationships/table" Target="../tables/table522.xml"/><Relationship Id="rId8" Type="http://schemas.openxmlformats.org/officeDocument/2006/relationships/table" Target="../tables/table474.xml"/><Relationship Id="rId51" Type="http://schemas.openxmlformats.org/officeDocument/2006/relationships/table" Target="../tables/table517.xml"/><Relationship Id="rId3" Type="http://schemas.openxmlformats.org/officeDocument/2006/relationships/table" Target="../tables/table469.xml"/></Relationships>
</file>

<file path=xl/worksheets/_rels/sheet15.xml.rels><?xml version="1.0" encoding="UTF-8" standalone="yes"?>
<Relationships xmlns="http://schemas.openxmlformats.org/package/2006/relationships"><Relationship Id="rId13" Type="http://schemas.openxmlformats.org/officeDocument/2006/relationships/table" Target="../tables/table535.xml"/><Relationship Id="rId18" Type="http://schemas.openxmlformats.org/officeDocument/2006/relationships/table" Target="../tables/table540.xml"/><Relationship Id="rId26" Type="http://schemas.openxmlformats.org/officeDocument/2006/relationships/table" Target="../tables/table548.xml"/><Relationship Id="rId39" Type="http://schemas.openxmlformats.org/officeDocument/2006/relationships/table" Target="../tables/table561.xml"/><Relationship Id="rId21" Type="http://schemas.openxmlformats.org/officeDocument/2006/relationships/table" Target="../tables/table543.xml"/><Relationship Id="rId34" Type="http://schemas.openxmlformats.org/officeDocument/2006/relationships/table" Target="../tables/table556.xml"/><Relationship Id="rId42" Type="http://schemas.openxmlformats.org/officeDocument/2006/relationships/table" Target="../tables/table564.xml"/><Relationship Id="rId47" Type="http://schemas.openxmlformats.org/officeDocument/2006/relationships/table" Target="../tables/table569.xml"/><Relationship Id="rId50" Type="http://schemas.openxmlformats.org/officeDocument/2006/relationships/table" Target="../tables/table572.xml"/><Relationship Id="rId55" Type="http://schemas.openxmlformats.org/officeDocument/2006/relationships/table" Target="../tables/table577.xml"/><Relationship Id="rId7" Type="http://schemas.openxmlformats.org/officeDocument/2006/relationships/table" Target="../tables/table529.xml"/><Relationship Id="rId12" Type="http://schemas.openxmlformats.org/officeDocument/2006/relationships/table" Target="../tables/table534.xml"/><Relationship Id="rId17" Type="http://schemas.openxmlformats.org/officeDocument/2006/relationships/table" Target="../tables/table539.xml"/><Relationship Id="rId25" Type="http://schemas.openxmlformats.org/officeDocument/2006/relationships/table" Target="../tables/table547.xml"/><Relationship Id="rId33" Type="http://schemas.openxmlformats.org/officeDocument/2006/relationships/table" Target="../tables/table555.xml"/><Relationship Id="rId38" Type="http://schemas.openxmlformats.org/officeDocument/2006/relationships/table" Target="../tables/table560.xml"/><Relationship Id="rId46" Type="http://schemas.openxmlformats.org/officeDocument/2006/relationships/table" Target="../tables/table568.xml"/><Relationship Id="rId2" Type="http://schemas.openxmlformats.org/officeDocument/2006/relationships/drawing" Target="../drawings/drawing12.xml"/><Relationship Id="rId16" Type="http://schemas.openxmlformats.org/officeDocument/2006/relationships/table" Target="../tables/table538.xml"/><Relationship Id="rId20" Type="http://schemas.openxmlformats.org/officeDocument/2006/relationships/table" Target="../tables/table542.xml"/><Relationship Id="rId29" Type="http://schemas.openxmlformats.org/officeDocument/2006/relationships/table" Target="../tables/table551.xml"/><Relationship Id="rId41" Type="http://schemas.openxmlformats.org/officeDocument/2006/relationships/table" Target="../tables/table563.xml"/><Relationship Id="rId54" Type="http://schemas.openxmlformats.org/officeDocument/2006/relationships/table" Target="../tables/table576.xml"/><Relationship Id="rId1" Type="http://schemas.openxmlformats.org/officeDocument/2006/relationships/printerSettings" Target="../printerSettings/printerSettings15.bin"/><Relationship Id="rId6" Type="http://schemas.openxmlformats.org/officeDocument/2006/relationships/table" Target="../tables/table528.xml"/><Relationship Id="rId11" Type="http://schemas.openxmlformats.org/officeDocument/2006/relationships/table" Target="../tables/table533.xml"/><Relationship Id="rId24" Type="http://schemas.openxmlformats.org/officeDocument/2006/relationships/table" Target="../tables/table546.xml"/><Relationship Id="rId32" Type="http://schemas.openxmlformats.org/officeDocument/2006/relationships/table" Target="../tables/table554.xml"/><Relationship Id="rId37" Type="http://schemas.openxmlformats.org/officeDocument/2006/relationships/table" Target="../tables/table559.xml"/><Relationship Id="rId40" Type="http://schemas.openxmlformats.org/officeDocument/2006/relationships/table" Target="../tables/table562.xml"/><Relationship Id="rId45" Type="http://schemas.openxmlformats.org/officeDocument/2006/relationships/table" Target="../tables/table567.xml"/><Relationship Id="rId53" Type="http://schemas.openxmlformats.org/officeDocument/2006/relationships/table" Target="../tables/table575.xml"/><Relationship Id="rId58" Type="http://schemas.openxmlformats.org/officeDocument/2006/relationships/table" Target="../tables/table580.xml"/><Relationship Id="rId5" Type="http://schemas.openxmlformats.org/officeDocument/2006/relationships/table" Target="../tables/table527.xml"/><Relationship Id="rId15" Type="http://schemas.openxmlformats.org/officeDocument/2006/relationships/table" Target="../tables/table537.xml"/><Relationship Id="rId23" Type="http://schemas.openxmlformats.org/officeDocument/2006/relationships/table" Target="../tables/table545.xml"/><Relationship Id="rId28" Type="http://schemas.openxmlformats.org/officeDocument/2006/relationships/table" Target="../tables/table550.xml"/><Relationship Id="rId36" Type="http://schemas.openxmlformats.org/officeDocument/2006/relationships/table" Target="../tables/table558.xml"/><Relationship Id="rId49" Type="http://schemas.openxmlformats.org/officeDocument/2006/relationships/table" Target="../tables/table571.xml"/><Relationship Id="rId57" Type="http://schemas.openxmlformats.org/officeDocument/2006/relationships/table" Target="../tables/table579.xml"/><Relationship Id="rId10" Type="http://schemas.openxmlformats.org/officeDocument/2006/relationships/table" Target="../tables/table532.xml"/><Relationship Id="rId19" Type="http://schemas.openxmlformats.org/officeDocument/2006/relationships/table" Target="../tables/table541.xml"/><Relationship Id="rId31" Type="http://schemas.openxmlformats.org/officeDocument/2006/relationships/table" Target="../tables/table553.xml"/><Relationship Id="rId44" Type="http://schemas.openxmlformats.org/officeDocument/2006/relationships/table" Target="../tables/table566.xml"/><Relationship Id="rId52" Type="http://schemas.openxmlformats.org/officeDocument/2006/relationships/table" Target="../tables/table574.xml"/><Relationship Id="rId4" Type="http://schemas.openxmlformats.org/officeDocument/2006/relationships/table" Target="../tables/table526.xml"/><Relationship Id="rId9" Type="http://schemas.openxmlformats.org/officeDocument/2006/relationships/table" Target="../tables/table531.xml"/><Relationship Id="rId14" Type="http://schemas.openxmlformats.org/officeDocument/2006/relationships/table" Target="../tables/table536.xml"/><Relationship Id="rId22" Type="http://schemas.openxmlformats.org/officeDocument/2006/relationships/table" Target="../tables/table544.xml"/><Relationship Id="rId27" Type="http://schemas.openxmlformats.org/officeDocument/2006/relationships/table" Target="../tables/table549.xml"/><Relationship Id="rId30" Type="http://schemas.openxmlformats.org/officeDocument/2006/relationships/table" Target="../tables/table552.xml"/><Relationship Id="rId35" Type="http://schemas.openxmlformats.org/officeDocument/2006/relationships/table" Target="../tables/table557.xml"/><Relationship Id="rId43" Type="http://schemas.openxmlformats.org/officeDocument/2006/relationships/table" Target="../tables/table565.xml"/><Relationship Id="rId48" Type="http://schemas.openxmlformats.org/officeDocument/2006/relationships/table" Target="../tables/table570.xml"/><Relationship Id="rId56" Type="http://schemas.openxmlformats.org/officeDocument/2006/relationships/table" Target="../tables/table578.xml"/><Relationship Id="rId8" Type="http://schemas.openxmlformats.org/officeDocument/2006/relationships/table" Target="../tables/table530.xml"/><Relationship Id="rId51" Type="http://schemas.openxmlformats.org/officeDocument/2006/relationships/table" Target="../tables/table573.xml"/><Relationship Id="rId3" Type="http://schemas.openxmlformats.org/officeDocument/2006/relationships/table" Target="../tables/table525.xml"/></Relationships>
</file>

<file path=xl/worksheets/_rels/sheet16.xml.rels><?xml version="1.0" encoding="UTF-8" standalone="yes"?>
<Relationships xmlns="http://schemas.openxmlformats.org/package/2006/relationships"><Relationship Id="rId13" Type="http://schemas.openxmlformats.org/officeDocument/2006/relationships/table" Target="../tables/table591.xml"/><Relationship Id="rId18" Type="http://schemas.openxmlformats.org/officeDocument/2006/relationships/table" Target="../tables/table596.xml"/><Relationship Id="rId26" Type="http://schemas.openxmlformats.org/officeDocument/2006/relationships/table" Target="../tables/table604.xml"/><Relationship Id="rId39" Type="http://schemas.openxmlformats.org/officeDocument/2006/relationships/table" Target="../tables/table617.xml"/><Relationship Id="rId21" Type="http://schemas.openxmlformats.org/officeDocument/2006/relationships/table" Target="../tables/table599.xml"/><Relationship Id="rId34" Type="http://schemas.openxmlformats.org/officeDocument/2006/relationships/table" Target="../tables/table612.xml"/><Relationship Id="rId42" Type="http://schemas.openxmlformats.org/officeDocument/2006/relationships/table" Target="../tables/table620.xml"/><Relationship Id="rId47" Type="http://schemas.openxmlformats.org/officeDocument/2006/relationships/table" Target="../tables/table625.xml"/><Relationship Id="rId50" Type="http://schemas.openxmlformats.org/officeDocument/2006/relationships/table" Target="../tables/table628.xml"/><Relationship Id="rId55" Type="http://schemas.openxmlformats.org/officeDocument/2006/relationships/table" Target="../tables/table633.xml"/><Relationship Id="rId7" Type="http://schemas.openxmlformats.org/officeDocument/2006/relationships/table" Target="../tables/table585.xml"/><Relationship Id="rId12" Type="http://schemas.openxmlformats.org/officeDocument/2006/relationships/table" Target="../tables/table590.xml"/><Relationship Id="rId17" Type="http://schemas.openxmlformats.org/officeDocument/2006/relationships/table" Target="../tables/table595.xml"/><Relationship Id="rId25" Type="http://schemas.openxmlformats.org/officeDocument/2006/relationships/table" Target="../tables/table603.xml"/><Relationship Id="rId33" Type="http://schemas.openxmlformats.org/officeDocument/2006/relationships/table" Target="../tables/table611.xml"/><Relationship Id="rId38" Type="http://schemas.openxmlformats.org/officeDocument/2006/relationships/table" Target="../tables/table616.xml"/><Relationship Id="rId46" Type="http://schemas.openxmlformats.org/officeDocument/2006/relationships/table" Target="../tables/table624.xml"/><Relationship Id="rId2" Type="http://schemas.openxmlformats.org/officeDocument/2006/relationships/drawing" Target="../drawings/drawing13.xml"/><Relationship Id="rId16" Type="http://schemas.openxmlformats.org/officeDocument/2006/relationships/table" Target="../tables/table594.xml"/><Relationship Id="rId20" Type="http://schemas.openxmlformats.org/officeDocument/2006/relationships/table" Target="../tables/table598.xml"/><Relationship Id="rId29" Type="http://schemas.openxmlformats.org/officeDocument/2006/relationships/table" Target="../tables/table607.xml"/><Relationship Id="rId41" Type="http://schemas.openxmlformats.org/officeDocument/2006/relationships/table" Target="../tables/table619.xml"/><Relationship Id="rId54" Type="http://schemas.openxmlformats.org/officeDocument/2006/relationships/table" Target="../tables/table632.xml"/><Relationship Id="rId1" Type="http://schemas.openxmlformats.org/officeDocument/2006/relationships/printerSettings" Target="../printerSettings/printerSettings16.bin"/><Relationship Id="rId6" Type="http://schemas.openxmlformats.org/officeDocument/2006/relationships/table" Target="../tables/table584.xml"/><Relationship Id="rId11" Type="http://schemas.openxmlformats.org/officeDocument/2006/relationships/table" Target="../tables/table589.xml"/><Relationship Id="rId24" Type="http://schemas.openxmlformats.org/officeDocument/2006/relationships/table" Target="../tables/table602.xml"/><Relationship Id="rId32" Type="http://schemas.openxmlformats.org/officeDocument/2006/relationships/table" Target="../tables/table610.xml"/><Relationship Id="rId37" Type="http://schemas.openxmlformats.org/officeDocument/2006/relationships/table" Target="../tables/table615.xml"/><Relationship Id="rId40" Type="http://schemas.openxmlformats.org/officeDocument/2006/relationships/table" Target="../tables/table618.xml"/><Relationship Id="rId45" Type="http://schemas.openxmlformats.org/officeDocument/2006/relationships/table" Target="../tables/table623.xml"/><Relationship Id="rId53" Type="http://schemas.openxmlformats.org/officeDocument/2006/relationships/table" Target="../tables/table631.xml"/><Relationship Id="rId58" Type="http://schemas.openxmlformats.org/officeDocument/2006/relationships/table" Target="../tables/table636.xml"/><Relationship Id="rId5" Type="http://schemas.openxmlformats.org/officeDocument/2006/relationships/table" Target="../tables/table583.xml"/><Relationship Id="rId15" Type="http://schemas.openxmlformats.org/officeDocument/2006/relationships/table" Target="../tables/table593.xml"/><Relationship Id="rId23" Type="http://schemas.openxmlformats.org/officeDocument/2006/relationships/table" Target="../tables/table601.xml"/><Relationship Id="rId28" Type="http://schemas.openxmlformats.org/officeDocument/2006/relationships/table" Target="../tables/table606.xml"/><Relationship Id="rId36" Type="http://schemas.openxmlformats.org/officeDocument/2006/relationships/table" Target="../tables/table614.xml"/><Relationship Id="rId49" Type="http://schemas.openxmlformats.org/officeDocument/2006/relationships/table" Target="../tables/table627.xml"/><Relationship Id="rId57" Type="http://schemas.openxmlformats.org/officeDocument/2006/relationships/table" Target="../tables/table635.xml"/><Relationship Id="rId10" Type="http://schemas.openxmlformats.org/officeDocument/2006/relationships/table" Target="../tables/table588.xml"/><Relationship Id="rId19" Type="http://schemas.openxmlformats.org/officeDocument/2006/relationships/table" Target="../tables/table597.xml"/><Relationship Id="rId31" Type="http://schemas.openxmlformats.org/officeDocument/2006/relationships/table" Target="../tables/table609.xml"/><Relationship Id="rId44" Type="http://schemas.openxmlformats.org/officeDocument/2006/relationships/table" Target="../tables/table622.xml"/><Relationship Id="rId52" Type="http://schemas.openxmlformats.org/officeDocument/2006/relationships/table" Target="../tables/table630.xml"/><Relationship Id="rId4" Type="http://schemas.openxmlformats.org/officeDocument/2006/relationships/table" Target="../tables/table582.xml"/><Relationship Id="rId9" Type="http://schemas.openxmlformats.org/officeDocument/2006/relationships/table" Target="../tables/table587.xml"/><Relationship Id="rId14" Type="http://schemas.openxmlformats.org/officeDocument/2006/relationships/table" Target="../tables/table592.xml"/><Relationship Id="rId22" Type="http://schemas.openxmlformats.org/officeDocument/2006/relationships/table" Target="../tables/table600.xml"/><Relationship Id="rId27" Type="http://schemas.openxmlformats.org/officeDocument/2006/relationships/table" Target="../tables/table605.xml"/><Relationship Id="rId30" Type="http://schemas.openxmlformats.org/officeDocument/2006/relationships/table" Target="../tables/table608.xml"/><Relationship Id="rId35" Type="http://schemas.openxmlformats.org/officeDocument/2006/relationships/table" Target="../tables/table613.xml"/><Relationship Id="rId43" Type="http://schemas.openxmlformats.org/officeDocument/2006/relationships/table" Target="../tables/table621.xml"/><Relationship Id="rId48" Type="http://schemas.openxmlformats.org/officeDocument/2006/relationships/table" Target="../tables/table626.xml"/><Relationship Id="rId56" Type="http://schemas.openxmlformats.org/officeDocument/2006/relationships/table" Target="../tables/table634.xml"/><Relationship Id="rId8" Type="http://schemas.openxmlformats.org/officeDocument/2006/relationships/table" Target="../tables/table586.xml"/><Relationship Id="rId51" Type="http://schemas.openxmlformats.org/officeDocument/2006/relationships/table" Target="../tables/table629.xml"/><Relationship Id="rId3" Type="http://schemas.openxmlformats.org/officeDocument/2006/relationships/table" Target="../tables/table581.xml"/></Relationships>
</file>

<file path=xl/worksheets/_rels/sheet17.xml.rels><?xml version="1.0" encoding="UTF-8" standalone="yes"?>
<Relationships xmlns="http://schemas.openxmlformats.org/package/2006/relationships"><Relationship Id="rId8" Type="http://schemas.openxmlformats.org/officeDocument/2006/relationships/table" Target="../tables/table643.xml"/><Relationship Id="rId13" Type="http://schemas.openxmlformats.org/officeDocument/2006/relationships/table" Target="../tables/table648.xml"/><Relationship Id="rId18" Type="http://schemas.openxmlformats.org/officeDocument/2006/relationships/table" Target="../tables/table653.xml"/><Relationship Id="rId26" Type="http://schemas.openxmlformats.org/officeDocument/2006/relationships/table" Target="../tables/table661.xml"/><Relationship Id="rId39" Type="http://schemas.openxmlformats.org/officeDocument/2006/relationships/table" Target="../tables/table674.xml"/><Relationship Id="rId3" Type="http://schemas.openxmlformats.org/officeDocument/2006/relationships/table" Target="../tables/table638.xml"/><Relationship Id="rId21" Type="http://schemas.openxmlformats.org/officeDocument/2006/relationships/table" Target="../tables/table656.xml"/><Relationship Id="rId34" Type="http://schemas.openxmlformats.org/officeDocument/2006/relationships/table" Target="../tables/table669.xml"/><Relationship Id="rId7" Type="http://schemas.openxmlformats.org/officeDocument/2006/relationships/table" Target="../tables/table642.xml"/><Relationship Id="rId12" Type="http://schemas.openxmlformats.org/officeDocument/2006/relationships/table" Target="../tables/table647.xml"/><Relationship Id="rId17" Type="http://schemas.openxmlformats.org/officeDocument/2006/relationships/table" Target="../tables/table652.xml"/><Relationship Id="rId25" Type="http://schemas.openxmlformats.org/officeDocument/2006/relationships/table" Target="../tables/table660.xml"/><Relationship Id="rId33" Type="http://schemas.openxmlformats.org/officeDocument/2006/relationships/table" Target="../tables/table668.xml"/><Relationship Id="rId38" Type="http://schemas.openxmlformats.org/officeDocument/2006/relationships/table" Target="../tables/table673.xml"/><Relationship Id="rId2" Type="http://schemas.openxmlformats.org/officeDocument/2006/relationships/table" Target="../tables/table637.xml"/><Relationship Id="rId16" Type="http://schemas.openxmlformats.org/officeDocument/2006/relationships/table" Target="../tables/table651.xml"/><Relationship Id="rId20" Type="http://schemas.openxmlformats.org/officeDocument/2006/relationships/table" Target="../tables/table655.xml"/><Relationship Id="rId29" Type="http://schemas.openxmlformats.org/officeDocument/2006/relationships/table" Target="../tables/table664.xml"/><Relationship Id="rId41" Type="http://schemas.openxmlformats.org/officeDocument/2006/relationships/table" Target="../tables/table676.xml"/><Relationship Id="rId1" Type="http://schemas.openxmlformats.org/officeDocument/2006/relationships/printerSettings" Target="../printerSettings/printerSettings17.bin"/><Relationship Id="rId6" Type="http://schemas.openxmlformats.org/officeDocument/2006/relationships/table" Target="../tables/table641.xml"/><Relationship Id="rId11" Type="http://schemas.openxmlformats.org/officeDocument/2006/relationships/table" Target="../tables/table646.xml"/><Relationship Id="rId24" Type="http://schemas.openxmlformats.org/officeDocument/2006/relationships/table" Target="../tables/table659.xml"/><Relationship Id="rId32" Type="http://schemas.openxmlformats.org/officeDocument/2006/relationships/table" Target="../tables/table667.xml"/><Relationship Id="rId37" Type="http://schemas.openxmlformats.org/officeDocument/2006/relationships/table" Target="../tables/table672.xml"/><Relationship Id="rId40" Type="http://schemas.openxmlformats.org/officeDocument/2006/relationships/table" Target="../tables/table675.xml"/><Relationship Id="rId5" Type="http://schemas.openxmlformats.org/officeDocument/2006/relationships/table" Target="../tables/table640.xml"/><Relationship Id="rId15" Type="http://schemas.openxmlformats.org/officeDocument/2006/relationships/table" Target="../tables/table650.xml"/><Relationship Id="rId23" Type="http://schemas.openxmlformats.org/officeDocument/2006/relationships/table" Target="../tables/table658.xml"/><Relationship Id="rId28" Type="http://schemas.openxmlformats.org/officeDocument/2006/relationships/table" Target="../tables/table663.xml"/><Relationship Id="rId36" Type="http://schemas.openxmlformats.org/officeDocument/2006/relationships/table" Target="../tables/table671.xml"/><Relationship Id="rId10" Type="http://schemas.openxmlformats.org/officeDocument/2006/relationships/table" Target="../tables/table645.xml"/><Relationship Id="rId19" Type="http://schemas.openxmlformats.org/officeDocument/2006/relationships/table" Target="../tables/table654.xml"/><Relationship Id="rId31" Type="http://schemas.openxmlformats.org/officeDocument/2006/relationships/table" Target="../tables/table666.xml"/><Relationship Id="rId4" Type="http://schemas.openxmlformats.org/officeDocument/2006/relationships/table" Target="../tables/table639.xml"/><Relationship Id="rId9" Type="http://schemas.openxmlformats.org/officeDocument/2006/relationships/table" Target="../tables/table644.xml"/><Relationship Id="rId14" Type="http://schemas.openxmlformats.org/officeDocument/2006/relationships/table" Target="../tables/table649.xml"/><Relationship Id="rId22" Type="http://schemas.openxmlformats.org/officeDocument/2006/relationships/table" Target="../tables/table657.xml"/><Relationship Id="rId27" Type="http://schemas.openxmlformats.org/officeDocument/2006/relationships/table" Target="../tables/table662.xml"/><Relationship Id="rId30" Type="http://schemas.openxmlformats.org/officeDocument/2006/relationships/table" Target="../tables/table665.xml"/><Relationship Id="rId35" Type="http://schemas.openxmlformats.org/officeDocument/2006/relationships/table" Target="../tables/table670.xml"/></Relationships>
</file>

<file path=xl/worksheets/_rels/sheet18.xml.rels><?xml version="1.0" encoding="UTF-8" standalone="yes"?>
<Relationships xmlns="http://schemas.openxmlformats.org/package/2006/relationships"><Relationship Id="rId13" Type="http://schemas.openxmlformats.org/officeDocument/2006/relationships/table" Target="../tables/table688.xml"/><Relationship Id="rId18" Type="http://schemas.openxmlformats.org/officeDocument/2006/relationships/table" Target="../tables/table693.xml"/><Relationship Id="rId26" Type="http://schemas.openxmlformats.org/officeDocument/2006/relationships/table" Target="../tables/table701.xml"/><Relationship Id="rId39" Type="http://schemas.openxmlformats.org/officeDocument/2006/relationships/table" Target="../tables/table714.xml"/><Relationship Id="rId21" Type="http://schemas.openxmlformats.org/officeDocument/2006/relationships/table" Target="../tables/table696.xml"/><Relationship Id="rId34" Type="http://schemas.openxmlformats.org/officeDocument/2006/relationships/table" Target="../tables/table709.xml"/><Relationship Id="rId42" Type="http://schemas.openxmlformats.org/officeDocument/2006/relationships/table" Target="../tables/table717.xml"/><Relationship Id="rId47" Type="http://schemas.openxmlformats.org/officeDocument/2006/relationships/table" Target="../tables/table722.xml"/><Relationship Id="rId50" Type="http://schemas.openxmlformats.org/officeDocument/2006/relationships/table" Target="../tables/table725.xml"/><Relationship Id="rId55" Type="http://schemas.openxmlformats.org/officeDocument/2006/relationships/table" Target="../tables/table730.xml"/><Relationship Id="rId7" Type="http://schemas.openxmlformats.org/officeDocument/2006/relationships/table" Target="../tables/table682.xml"/><Relationship Id="rId12" Type="http://schemas.openxmlformats.org/officeDocument/2006/relationships/table" Target="../tables/table687.xml"/><Relationship Id="rId17" Type="http://schemas.openxmlformats.org/officeDocument/2006/relationships/table" Target="../tables/table692.xml"/><Relationship Id="rId25" Type="http://schemas.openxmlformats.org/officeDocument/2006/relationships/table" Target="../tables/table700.xml"/><Relationship Id="rId33" Type="http://schemas.openxmlformats.org/officeDocument/2006/relationships/table" Target="../tables/table708.xml"/><Relationship Id="rId38" Type="http://schemas.openxmlformats.org/officeDocument/2006/relationships/table" Target="../tables/table713.xml"/><Relationship Id="rId46" Type="http://schemas.openxmlformats.org/officeDocument/2006/relationships/table" Target="../tables/table721.xml"/><Relationship Id="rId59" Type="http://schemas.openxmlformats.org/officeDocument/2006/relationships/table" Target="../tables/table734.xml"/><Relationship Id="rId2" Type="http://schemas.openxmlformats.org/officeDocument/2006/relationships/table" Target="../tables/table677.xml"/><Relationship Id="rId16" Type="http://schemas.openxmlformats.org/officeDocument/2006/relationships/table" Target="../tables/table691.xml"/><Relationship Id="rId20" Type="http://schemas.openxmlformats.org/officeDocument/2006/relationships/table" Target="../tables/table695.xml"/><Relationship Id="rId29" Type="http://schemas.openxmlformats.org/officeDocument/2006/relationships/table" Target="../tables/table704.xml"/><Relationship Id="rId41" Type="http://schemas.openxmlformats.org/officeDocument/2006/relationships/table" Target="../tables/table716.xml"/><Relationship Id="rId54" Type="http://schemas.openxmlformats.org/officeDocument/2006/relationships/table" Target="../tables/table729.xml"/><Relationship Id="rId1" Type="http://schemas.openxmlformats.org/officeDocument/2006/relationships/printerSettings" Target="../printerSettings/printerSettings18.bin"/><Relationship Id="rId6" Type="http://schemas.openxmlformats.org/officeDocument/2006/relationships/table" Target="../tables/table681.xml"/><Relationship Id="rId11" Type="http://schemas.openxmlformats.org/officeDocument/2006/relationships/table" Target="../tables/table686.xml"/><Relationship Id="rId24" Type="http://schemas.openxmlformats.org/officeDocument/2006/relationships/table" Target="../tables/table699.xml"/><Relationship Id="rId32" Type="http://schemas.openxmlformats.org/officeDocument/2006/relationships/table" Target="../tables/table707.xml"/><Relationship Id="rId37" Type="http://schemas.openxmlformats.org/officeDocument/2006/relationships/table" Target="../tables/table712.xml"/><Relationship Id="rId40" Type="http://schemas.openxmlformats.org/officeDocument/2006/relationships/table" Target="../tables/table715.xml"/><Relationship Id="rId45" Type="http://schemas.openxmlformats.org/officeDocument/2006/relationships/table" Target="../tables/table720.xml"/><Relationship Id="rId53" Type="http://schemas.openxmlformats.org/officeDocument/2006/relationships/table" Target="../tables/table728.xml"/><Relationship Id="rId58" Type="http://schemas.openxmlformats.org/officeDocument/2006/relationships/table" Target="../tables/table733.xml"/><Relationship Id="rId5" Type="http://schemas.openxmlformats.org/officeDocument/2006/relationships/table" Target="../tables/table680.xml"/><Relationship Id="rId15" Type="http://schemas.openxmlformats.org/officeDocument/2006/relationships/table" Target="../tables/table690.xml"/><Relationship Id="rId23" Type="http://schemas.openxmlformats.org/officeDocument/2006/relationships/table" Target="../tables/table698.xml"/><Relationship Id="rId28" Type="http://schemas.openxmlformats.org/officeDocument/2006/relationships/table" Target="../tables/table703.xml"/><Relationship Id="rId36" Type="http://schemas.openxmlformats.org/officeDocument/2006/relationships/table" Target="../tables/table711.xml"/><Relationship Id="rId49" Type="http://schemas.openxmlformats.org/officeDocument/2006/relationships/table" Target="../tables/table724.xml"/><Relationship Id="rId57" Type="http://schemas.openxmlformats.org/officeDocument/2006/relationships/table" Target="../tables/table732.xml"/><Relationship Id="rId10" Type="http://schemas.openxmlformats.org/officeDocument/2006/relationships/table" Target="../tables/table685.xml"/><Relationship Id="rId19" Type="http://schemas.openxmlformats.org/officeDocument/2006/relationships/table" Target="../tables/table694.xml"/><Relationship Id="rId31" Type="http://schemas.openxmlformats.org/officeDocument/2006/relationships/table" Target="../tables/table706.xml"/><Relationship Id="rId44" Type="http://schemas.openxmlformats.org/officeDocument/2006/relationships/table" Target="../tables/table719.xml"/><Relationship Id="rId52" Type="http://schemas.openxmlformats.org/officeDocument/2006/relationships/table" Target="../tables/table727.xml"/><Relationship Id="rId4" Type="http://schemas.openxmlformats.org/officeDocument/2006/relationships/table" Target="../tables/table679.xml"/><Relationship Id="rId9" Type="http://schemas.openxmlformats.org/officeDocument/2006/relationships/table" Target="../tables/table684.xml"/><Relationship Id="rId14" Type="http://schemas.openxmlformats.org/officeDocument/2006/relationships/table" Target="../tables/table689.xml"/><Relationship Id="rId22" Type="http://schemas.openxmlformats.org/officeDocument/2006/relationships/table" Target="../tables/table697.xml"/><Relationship Id="rId27" Type="http://schemas.openxmlformats.org/officeDocument/2006/relationships/table" Target="../tables/table702.xml"/><Relationship Id="rId30" Type="http://schemas.openxmlformats.org/officeDocument/2006/relationships/table" Target="../tables/table705.xml"/><Relationship Id="rId35" Type="http://schemas.openxmlformats.org/officeDocument/2006/relationships/table" Target="../tables/table710.xml"/><Relationship Id="rId43" Type="http://schemas.openxmlformats.org/officeDocument/2006/relationships/table" Target="../tables/table718.xml"/><Relationship Id="rId48" Type="http://schemas.openxmlformats.org/officeDocument/2006/relationships/table" Target="../tables/table723.xml"/><Relationship Id="rId56" Type="http://schemas.openxmlformats.org/officeDocument/2006/relationships/table" Target="../tables/table731.xml"/><Relationship Id="rId8" Type="http://schemas.openxmlformats.org/officeDocument/2006/relationships/table" Target="../tables/table683.xml"/><Relationship Id="rId51" Type="http://schemas.openxmlformats.org/officeDocument/2006/relationships/table" Target="../tables/table726.xml"/><Relationship Id="rId3" Type="http://schemas.openxmlformats.org/officeDocument/2006/relationships/table" Target="../tables/table678.xml"/></Relationships>
</file>

<file path=xl/worksheets/_rels/sheet19.xml.rels><?xml version="1.0" encoding="UTF-8" standalone="yes"?>
<Relationships xmlns="http://schemas.openxmlformats.org/package/2006/relationships"><Relationship Id="rId26" Type="http://schemas.openxmlformats.org/officeDocument/2006/relationships/table" Target="../tables/table760.xml"/><Relationship Id="rId117" Type="http://schemas.openxmlformats.org/officeDocument/2006/relationships/table" Target="../tables/table851.xml"/><Relationship Id="rId21" Type="http://schemas.openxmlformats.org/officeDocument/2006/relationships/table" Target="../tables/table755.xml"/><Relationship Id="rId42" Type="http://schemas.openxmlformats.org/officeDocument/2006/relationships/table" Target="../tables/table776.xml"/><Relationship Id="rId47" Type="http://schemas.openxmlformats.org/officeDocument/2006/relationships/table" Target="../tables/table781.xml"/><Relationship Id="rId63" Type="http://schemas.openxmlformats.org/officeDocument/2006/relationships/table" Target="../tables/table797.xml"/><Relationship Id="rId68" Type="http://schemas.openxmlformats.org/officeDocument/2006/relationships/table" Target="../tables/table802.xml"/><Relationship Id="rId84" Type="http://schemas.openxmlformats.org/officeDocument/2006/relationships/table" Target="../tables/table818.xml"/><Relationship Id="rId89" Type="http://schemas.openxmlformats.org/officeDocument/2006/relationships/table" Target="../tables/table823.xml"/><Relationship Id="rId112" Type="http://schemas.openxmlformats.org/officeDocument/2006/relationships/table" Target="../tables/table846.xml"/><Relationship Id="rId16" Type="http://schemas.openxmlformats.org/officeDocument/2006/relationships/table" Target="../tables/table750.xml"/><Relationship Id="rId107" Type="http://schemas.openxmlformats.org/officeDocument/2006/relationships/table" Target="../tables/table841.xml"/><Relationship Id="rId11" Type="http://schemas.openxmlformats.org/officeDocument/2006/relationships/table" Target="../tables/table745.xml"/><Relationship Id="rId24" Type="http://schemas.openxmlformats.org/officeDocument/2006/relationships/table" Target="../tables/table758.xml"/><Relationship Id="rId32" Type="http://schemas.openxmlformats.org/officeDocument/2006/relationships/table" Target="../tables/table766.xml"/><Relationship Id="rId37" Type="http://schemas.openxmlformats.org/officeDocument/2006/relationships/table" Target="../tables/table771.xml"/><Relationship Id="rId40" Type="http://schemas.openxmlformats.org/officeDocument/2006/relationships/table" Target="../tables/table774.xml"/><Relationship Id="rId45" Type="http://schemas.openxmlformats.org/officeDocument/2006/relationships/table" Target="../tables/table779.xml"/><Relationship Id="rId53" Type="http://schemas.openxmlformats.org/officeDocument/2006/relationships/table" Target="../tables/table787.xml"/><Relationship Id="rId58" Type="http://schemas.openxmlformats.org/officeDocument/2006/relationships/table" Target="../tables/table792.xml"/><Relationship Id="rId66" Type="http://schemas.openxmlformats.org/officeDocument/2006/relationships/table" Target="../tables/table800.xml"/><Relationship Id="rId74" Type="http://schemas.openxmlformats.org/officeDocument/2006/relationships/table" Target="../tables/table808.xml"/><Relationship Id="rId79" Type="http://schemas.openxmlformats.org/officeDocument/2006/relationships/table" Target="../tables/table813.xml"/><Relationship Id="rId87" Type="http://schemas.openxmlformats.org/officeDocument/2006/relationships/table" Target="../tables/table821.xml"/><Relationship Id="rId102" Type="http://schemas.openxmlformats.org/officeDocument/2006/relationships/table" Target="../tables/table836.xml"/><Relationship Id="rId110" Type="http://schemas.openxmlformats.org/officeDocument/2006/relationships/table" Target="../tables/table844.xml"/><Relationship Id="rId115" Type="http://schemas.openxmlformats.org/officeDocument/2006/relationships/table" Target="../tables/table849.xml"/><Relationship Id="rId5" Type="http://schemas.openxmlformats.org/officeDocument/2006/relationships/table" Target="../tables/table739.xml"/><Relationship Id="rId61" Type="http://schemas.openxmlformats.org/officeDocument/2006/relationships/table" Target="../tables/table795.xml"/><Relationship Id="rId82" Type="http://schemas.openxmlformats.org/officeDocument/2006/relationships/table" Target="../tables/table816.xml"/><Relationship Id="rId90" Type="http://schemas.openxmlformats.org/officeDocument/2006/relationships/table" Target="../tables/table824.xml"/><Relationship Id="rId95" Type="http://schemas.openxmlformats.org/officeDocument/2006/relationships/table" Target="../tables/table829.xml"/><Relationship Id="rId19" Type="http://schemas.openxmlformats.org/officeDocument/2006/relationships/table" Target="../tables/table753.xml"/><Relationship Id="rId14" Type="http://schemas.openxmlformats.org/officeDocument/2006/relationships/table" Target="../tables/table748.xml"/><Relationship Id="rId22" Type="http://schemas.openxmlformats.org/officeDocument/2006/relationships/table" Target="../tables/table756.xml"/><Relationship Id="rId27" Type="http://schemas.openxmlformats.org/officeDocument/2006/relationships/table" Target="../tables/table761.xml"/><Relationship Id="rId30" Type="http://schemas.openxmlformats.org/officeDocument/2006/relationships/table" Target="../tables/table764.xml"/><Relationship Id="rId35" Type="http://schemas.openxmlformats.org/officeDocument/2006/relationships/table" Target="../tables/table769.xml"/><Relationship Id="rId43" Type="http://schemas.openxmlformats.org/officeDocument/2006/relationships/table" Target="../tables/table777.xml"/><Relationship Id="rId48" Type="http://schemas.openxmlformats.org/officeDocument/2006/relationships/table" Target="../tables/table782.xml"/><Relationship Id="rId56" Type="http://schemas.openxmlformats.org/officeDocument/2006/relationships/table" Target="../tables/table790.xml"/><Relationship Id="rId64" Type="http://schemas.openxmlformats.org/officeDocument/2006/relationships/table" Target="../tables/table798.xml"/><Relationship Id="rId69" Type="http://schemas.openxmlformats.org/officeDocument/2006/relationships/table" Target="../tables/table803.xml"/><Relationship Id="rId77" Type="http://schemas.openxmlformats.org/officeDocument/2006/relationships/table" Target="../tables/table811.xml"/><Relationship Id="rId100" Type="http://schemas.openxmlformats.org/officeDocument/2006/relationships/table" Target="../tables/table834.xml"/><Relationship Id="rId105" Type="http://schemas.openxmlformats.org/officeDocument/2006/relationships/table" Target="../tables/table839.xml"/><Relationship Id="rId113" Type="http://schemas.openxmlformats.org/officeDocument/2006/relationships/table" Target="../tables/table847.xml"/><Relationship Id="rId118" Type="http://schemas.openxmlformats.org/officeDocument/2006/relationships/table" Target="../tables/table852.xml"/><Relationship Id="rId8" Type="http://schemas.openxmlformats.org/officeDocument/2006/relationships/table" Target="../tables/table742.xml"/><Relationship Id="rId51" Type="http://schemas.openxmlformats.org/officeDocument/2006/relationships/table" Target="../tables/table785.xml"/><Relationship Id="rId72" Type="http://schemas.openxmlformats.org/officeDocument/2006/relationships/table" Target="../tables/table806.xml"/><Relationship Id="rId80" Type="http://schemas.openxmlformats.org/officeDocument/2006/relationships/table" Target="../tables/table814.xml"/><Relationship Id="rId85" Type="http://schemas.openxmlformats.org/officeDocument/2006/relationships/table" Target="../tables/table819.xml"/><Relationship Id="rId93" Type="http://schemas.openxmlformats.org/officeDocument/2006/relationships/table" Target="../tables/table827.xml"/><Relationship Id="rId98" Type="http://schemas.openxmlformats.org/officeDocument/2006/relationships/table" Target="../tables/table832.xml"/><Relationship Id="rId3" Type="http://schemas.openxmlformats.org/officeDocument/2006/relationships/table" Target="../tables/table737.xml"/><Relationship Id="rId12" Type="http://schemas.openxmlformats.org/officeDocument/2006/relationships/table" Target="../tables/table746.xml"/><Relationship Id="rId17" Type="http://schemas.openxmlformats.org/officeDocument/2006/relationships/table" Target="../tables/table751.xml"/><Relationship Id="rId25" Type="http://schemas.openxmlformats.org/officeDocument/2006/relationships/table" Target="../tables/table759.xml"/><Relationship Id="rId33" Type="http://schemas.openxmlformats.org/officeDocument/2006/relationships/table" Target="../tables/table767.xml"/><Relationship Id="rId38" Type="http://schemas.openxmlformats.org/officeDocument/2006/relationships/table" Target="../tables/table772.xml"/><Relationship Id="rId46" Type="http://schemas.openxmlformats.org/officeDocument/2006/relationships/table" Target="../tables/table780.xml"/><Relationship Id="rId59" Type="http://schemas.openxmlformats.org/officeDocument/2006/relationships/table" Target="../tables/table793.xml"/><Relationship Id="rId67" Type="http://schemas.openxmlformats.org/officeDocument/2006/relationships/table" Target="../tables/table801.xml"/><Relationship Id="rId103" Type="http://schemas.openxmlformats.org/officeDocument/2006/relationships/table" Target="../tables/table837.xml"/><Relationship Id="rId108" Type="http://schemas.openxmlformats.org/officeDocument/2006/relationships/table" Target="../tables/table842.xml"/><Relationship Id="rId116" Type="http://schemas.openxmlformats.org/officeDocument/2006/relationships/table" Target="../tables/table850.xml"/><Relationship Id="rId20" Type="http://schemas.openxmlformats.org/officeDocument/2006/relationships/table" Target="../tables/table754.xml"/><Relationship Id="rId41" Type="http://schemas.openxmlformats.org/officeDocument/2006/relationships/table" Target="../tables/table775.xml"/><Relationship Id="rId54" Type="http://schemas.openxmlformats.org/officeDocument/2006/relationships/table" Target="../tables/table788.xml"/><Relationship Id="rId62" Type="http://schemas.openxmlformats.org/officeDocument/2006/relationships/table" Target="../tables/table796.xml"/><Relationship Id="rId70" Type="http://schemas.openxmlformats.org/officeDocument/2006/relationships/table" Target="../tables/table804.xml"/><Relationship Id="rId75" Type="http://schemas.openxmlformats.org/officeDocument/2006/relationships/table" Target="../tables/table809.xml"/><Relationship Id="rId83" Type="http://schemas.openxmlformats.org/officeDocument/2006/relationships/table" Target="../tables/table817.xml"/><Relationship Id="rId88" Type="http://schemas.openxmlformats.org/officeDocument/2006/relationships/table" Target="../tables/table822.xml"/><Relationship Id="rId91" Type="http://schemas.openxmlformats.org/officeDocument/2006/relationships/table" Target="../tables/table825.xml"/><Relationship Id="rId96" Type="http://schemas.openxmlformats.org/officeDocument/2006/relationships/table" Target="../tables/table830.xml"/><Relationship Id="rId111" Type="http://schemas.openxmlformats.org/officeDocument/2006/relationships/table" Target="../tables/table845.xml"/><Relationship Id="rId1" Type="http://schemas.openxmlformats.org/officeDocument/2006/relationships/table" Target="../tables/table735.xml"/><Relationship Id="rId6" Type="http://schemas.openxmlformats.org/officeDocument/2006/relationships/table" Target="../tables/table740.xml"/><Relationship Id="rId15" Type="http://schemas.openxmlformats.org/officeDocument/2006/relationships/table" Target="../tables/table749.xml"/><Relationship Id="rId23" Type="http://schemas.openxmlformats.org/officeDocument/2006/relationships/table" Target="../tables/table757.xml"/><Relationship Id="rId28" Type="http://schemas.openxmlformats.org/officeDocument/2006/relationships/table" Target="../tables/table762.xml"/><Relationship Id="rId36" Type="http://schemas.openxmlformats.org/officeDocument/2006/relationships/table" Target="../tables/table770.xml"/><Relationship Id="rId49" Type="http://schemas.openxmlformats.org/officeDocument/2006/relationships/table" Target="../tables/table783.xml"/><Relationship Id="rId57" Type="http://schemas.openxmlformats.org/officeDocument/2006/relationships/table" Target="../tables/table791.xml"/><Relationship Id="rId106" Type="http://schemas.openxmlformats.org/officeDocument/2006/relationships/table" Target="../tables/table840.xml"/><Relationship Id="rId114" Type="http://schemas.openxmlformats.org/officeDocument/2006/relationships/table" Target="../tables/table848.xml"/><Relationship Id="rId119" Type="http://schemas.openxmlformats.org/officeDocument/2006/relationships/table" Target="../tables/table853.xml"/><Relationship Id="rId10" Type="http://schemas.openxmlformats.org/officeDocument/2006/relationships/table" Target="../tables/table744.xml"/><Relationship Id="rId31" Type="http://schemas.openxmlformats.org/officeDocument/2006/relationships/table" Target="../tables/table765.xml"/><Relationship Id="rId44" Type="http://schemas.openxmlformats.org/officeDocument/2006/relationships/table" Target="../tables/table778.xml"/><Relationship Id="rId52" Type="http://schemas.openxmlformats.org/officeDocument/2006/relationships/table" Target="../tables/table786.xml"/><Relationship Id="rId60" Type="http://schemas.openxmlformats.org/officeDocument/2006/relationships/table" Target="../tables/table794.xml"/><Relationship Id="rId65" Type="http://schemas.openxmlformats.org/officeDocument/2006/relationships/table" Target="../tables/table799.xml"/><Relationship Id="rId73" Type="http://schemas.openxmlformats.org/officeDocument/2006/relationships/table" Target="../tables/table807.xml"/><Relationship Id="rId78" Type="http://schemas.openxmlformats.org/officeDocument/2006/relationships/table" Target="../tables/table812.xml"/><Relationship Id="rId81" Type="http://schemas.openxmlformats.org/officeDocument/2006/relationships/table" Target="../tables/table815.xml"/><Relationship Id="rId86" Type="http://schemas.openxmlformats.org/officeDocument/2006/relationships/table" Target="../tables/table820.xml"/><Relationship Id="rId94" Type="http://schemas.openxmlformats.org/officeDocument/2006/relationships/table" Target="../tables/table828.xml"/><Relationship Id="rId99" Type="http://schemas.openxmlformats.org/officeDocument/2006/relationships/table" Target="../tables/table833.xml"/><Relationship Id="rId101" Type="http://schemas.openxmlformats.org/officeDocument/2006/relationships/table" Target="../tables/table835.xml"/><Relationship Id="rId4" Type="http://schemas.openxmlformats.org/officeDocument/2006/relationships/table" Target="../tables/table738.xml"/><Relationship Id="rId9" Type="http://schemas.openxmlformats.org/officeDocument/2006/relationships/table" Target="../tables/table743.xml"/><Relationship Id="rId13" Type="http://schemas.openxmlformats.org/officeDocument/2006/relationships/table" Target="../tables/table747.xml"/><Relationship Id="rId18" Type="http://schemas.openxmlformats.org/officeDocument/2006/relationships/table" Target="../tables/table752.xml"/><Relationship Id="rId39" Type="http://schemas.openxmlformats.org/officeDocument/2006/relationships/table" Target="../tables/table773.xml"/><Relationship Id="rId109" Type="http://schemas.openxmlformats.org/officeDocument/2006/relationships/table" Target="../tables/table843.xml"/><Relationship Id="rId34" Type="http://schemas.openxmlformats.org/officeDocument/2006/relationships/table" Target="../tables/table768.xml"/><Relationship Id="rId50" Type="http://schemas.openxmlformats.org/officeDocument/2006/relationships/table" Target="../tables/table784.xml"/><Relationship Id="rId55" Type="http://schemas.openxmlformats.org/officeDocument/2006/relationships/table" Target="../tables/table789.xml"/><Relationship Id="rId76" Type="http://schemas.openxmlformats.org/officeDocument/2006/relationships/table" Target="../tables/table810.xml"/><Relationship Id="rId97" Type="http://schemas.openxmlformats.org/officeDocument/2006/relationships/table" Target="../tables/table831.xml"/><Relationship Id="rId104" Type="http://schemas.openxmlformats.org/officeDocument/2006/relationships/table" Target="../tables/table838.xml"/><Relationship Id="rId120" Type="http://schemas.openxmlformats.org/officeDocument/2006/relationships/table" Target="../tables/table854.xml"/><Relationship Id="rId7" Type="http://schemas.openxmlformats.org/officeDocument/2006/relationships/table" Target="../tables/table741.xml"/><Relationship Id="rId71" Type="http://schemas.openxmlformats.org/officeDocument/2006/relationships/table" Target="../tables/table805.xml"/><Relationship Id="rId92" Type="http://schemas.openxmlformats.org/officeDocument/2006/relationships/table" Target="../tables/table826.xml"/><Relationship Id="rId2" Type="http://schemas.openxmlformats.org/officeDocument/2006/relationships/table" Target="../tables/table736.xml"/><Relationship Id="rId29" Type="http://schemas.openxmlformats.org/officeDocument/2006/relationships/table" Target="../tables/table763.xml"/></Relationships>
</file>

<file path=xl/worksheets/_rels/sheet20.xml.rels><?xml version="1.0" encoding="UTF-8" standalone="yes"?>
<Relationships xmlns="http://schemas.openxmlformats.org/package/2006/relationships"><Relationship Id="rId8" Type="http://schemas.openxmlformats.org/officeDocument/2006/relationships/table" Target="../tables/table861.xml"/><Relationship Id="rId13" Type="http://schemas.openxmlformats.org/officeDocument/2006/relationships/table" Target="../tables/table866.xml"/><Relationship Id="rId18" Type="http://schemas.openxmlformats.org/officeDocument/2006/relationships/table" Target="../tables/table871.xml"/><Relationship Id="rId3" Type="http://schemas.openxmlformats.org/officeDocument/2006/relationships/table" Target="../tables/table856.xml"/><Relationship Id="rId7" Type="http://schemas.openxmlformats.org/officeDocument/2006/relationships/table" Target="../tables/table860.xml"/><Relationship Id="rId12" Type="http://schemas.openxmlformats.org/officeDocument/2006/relationships/table" Target="../tables/table865.xml"/><Relationship Id="rId17" Type="http://schemas.openxmlformats.org/officeDocument/2006/relationships/table" Target="../tables/table870.xml"/><Relationship Id="rId2" Type="http://schemas.openxmlformats.org/officeDocument/2006/relationships/table" Target="../tables/table855.xml"/><Relationship Id="rId16" Type="http://schemas.openxmlformats.org/officeDocument/2006/relationships/table" Target="../tables/table869.xml"/><Relationship Id="rId1" Type="http://schemas.openxmlformats.org/officeDocument/2006/relationships/printerSettings" Target="../printerSettings/printerSettings19.bin"/><Relationship Id="rId6" Type="http://schemas.openxmlformats.org/officeDocument/2006/relationships/table" Target="../tables/table859.xml"/><Relationship Id="rId11" Type="http://schemas.openxmlformats.org/officeDocument/2006/relationships/table" Target="../tables/table864.xml"/><Relationship Id="rId5" Type="http://schemas.openxmlformats.org/officeDocument/2006/relationships/table" Target="../tables/table858.xml"/><Relationship Id="rId15" Type="http://schemas.openxmlformats.org/officeDocument/2006/relationships/table" Target="../tables/table868.xml"/><Relationship Id="rId10" Type="http://schemas.openxmlformats.org/officeDocument/2006/relationships/table" Target="../tables/table863.xml"/><Relationship Id="rId19" Type="http://schemas.openxmlformats.org/officeDocument/2006/relationships/table" Target="../tables/table872.xml"/><Relationship Id="rId4" Type="http://schemas.openxmlformats.org/officeDocument/2006/relationships/table" Target="../tables/table857.xml"/><Relationship Id="rId9" Type="http://schemas.openxmlformats.org/officeDocument/2006/relationships/table" Target="../tables/table862.xml"/><Relationship Id="rId14" Type="http://schemas.openxmlformats.org/officeDocument/2006/relationships/table" Target="../tables/table867.xml"/></Relationships>
</file>

<file path=xl/worksheets/_rels/sheet21.xml.rels><?xml version="1.0" encoding="UTF-8" standalone="yes"?>
<Relationships xmlns="http://schemas.openxmlformats.org/package/2006/relationships"><Relationship Id="rId8" Type="http://schemas.openxmlformats.org/officeDocument/2006/relationships/table" Target="../tables/table879.xml"/><Relationship Id="rId13" Type="http://schemas.openxmlformats.org/officeDocument/2006/relationships/table" Target="../tables/table884.xml"/><Relationship Id="rId18" Type="http://schemas.openxmlformats.org/officeDocument/2006/relationships/table" Target="../tables/table889.xml"/><Relationship Id="rId3" Type="http://schemas.openxmlformats.org/officeDocument/2006/relationships/table" Target="../tables/table874.xml"/><Relationship Id="rId7" Type="http://schemas.openxmlformats.org/officeDocument/2006/relationships/table" Target="../tables/table878.xml"/><Relationship Id="rId12" Type="http://schemas.openxmlformats.org/officeDocument/2006/relationships/table" Target="../tables/table883.xml"/><Relationship Id="rId17" Type="http://schemas.openxmlformats.org/officeDocument/2006/relationships/table" Target="../tables/table888.xml"/><Relationship Id="rId2" Type="http://schemas.openxmlformats.org/officeDocument/2006/relationships/table" Target="../tables/table873.xml"/><Relationship Id="rId16" Type="http://schemas.openxmlformats.org/officeDocument/2006/relationships/table" Target="../tables/table887.xml"/><Relationship Id="rId20" Type="http://schemas.openxmlformats.org/officeDocument/2006/relationships/table" Target="../tables/table891.xml"/><Relationship Id="rId1" Type="http://schemas.openxmlformats.org/officeDocument/2006/relationships/printerSettings" Target="../printerSettings/printerSettings20.bin"/><Relationship Id="rId6" Type="http://schemas.openxmlformats.org/officeDocument/2006/relationships/table" Target="../tables/table877.xml"/><Relationship Id="rId11" Type="http://schemas.openxmlformats.org/officeDocument/2006/relationships/table" Target="../tables/table882.xml"/><Relationship Id="rId5" Type="http://schemas.openxmlformats.org/officeDocument/2006/relationships/table" Target="../tables/table876.xml"/><Relationship Id="rId15" Type="http://schemas.openxmlformats.org/officeDocument/2006/relationships/table" Target="../tables/table886.xml"/><Relationship Id="rId10" Type="http://schemas.openxmlformats.org/officeDocument/2006/relationships/table" Target="../tables/table881.xml"/><Relationship Id="rId19" Type="http://schemas.openxmlformats.org/officeDocument/2006/relationships/table" Target="../tables/table890.xml"/><Relationship Id="rId4" Type="http://schemas.openxmlformats.org/officeDocument/2006/relationships/table" Target="../tables/table875.xml"/><Relationship Id="rId9" Type="http://schemas.openxmlformats.org/officeDocument/2006/relationships/table" Target="../tables/table880.xml"/><Relationship Id="rId14" Type="http://schemas.openxmlformats.org/officeDocument/2006/relationships/table" Target="../tables/table88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F7015-788A-46FB-97CB-64722B261260}">
  <sheetPr codeName="Sheet10"/>
  <dimension ref="A1:R7"/>
  <sheetViews>
    <sheetView workbookViewId="0">
      <selection activeCell="C22" sqref="C22"/>
    </sheetView>
  </sheetViews>
  <sheetFormatPr defaultRowHeight="15" x14ac:dyDescent="0.25"/>
  <cols>
    <col min="1" max="1" width="21.85546875" style="160" bestFit="1" customWidth="1"/>
    <col min="2" max="2" width="7.42578125" style="160" customWidth="1"/>
    <col min="3" max="3" width="60.7109375" style="160" bestFit="1" customWidth="1"/>
    <col min="4" max="4" width="6.85546875" style="160" customWidth="1"/>
    <col min="5" max="5" width="25.85546875" style="160" customWidth="1"/>
    <col min="6" max="6" width="9.140625" style="160"/>
    <col min="7" max="7" width="31.5703125" style="160" bestFit="1" customWidth="1"/>
    <col min="8" max="8" width="9.140625" style="160"/>
    <col min="9" max="9" width="37" style="160" bestFit="1" customWidth="1"/>
    <col min="10" max="10" width="9.140625" style="160"/>
    <col min="11" max="11" width="38.7109375" style="160" bestFit="1" customWidth="1"/>
    <col min="12" max="12" width="9.140625" style="160"/>
    <col min="13" max="13" width="28.28515625" style="160" bestFit="1" customWidth="1"/>
    <col min="14" max="14" width="28.28515625" style="160" customWidth="1"/>
    <col min="15" max="15" width="18.85546875" style="160" bestFit="1" customWidth="1"/>
    <col min="16" max="17" width="31.28515625" style="160" bestFit="1" customWidth="1"/>
    <col min="18" max="18" width="10.7109375" style="160" bestFit="1" customWidth="1"/>
    <col min="19" max="19" width="35.42578125" style="160" bestFit="1" customWidth="1"/>
    <col min="20" max="16384" width="9.140625" style="160"/>
  </cols>
  <sheetData>
    <row r="1" spans="1:18" x14ac:dyDescent="0.25">
      <c r="A1" s="160" t="s">
        <v>2963</v>
      </c>
      <c r="C1" s="160" t="s">
        <v>2964</v>
      </c>
      <c r="E1" s="160" t="s">
        <v>2965</v>
      </c>
      <c r="G1" s="160" t="s">
        <v>2966</v>
      </c>
      <c r="I1" s="160" t="s">
        <v>2967</v>
      </c>
      <c r="K1" s="160" t="s">
        <v>2968</v>
      </c>
      <c r="M1" s="160" t="s">
        <v>2969</v>
      </c>
      <c r="N1" s="160" t="s">
        <v>2970</v>
      </c>
      <c r="O1" s="160" t="s">
        <v>2971</v>
      </c>
      <c r="P1" s="160" t="s">
        <v>2763</v>
      </c>
      <c r="Q1" s="160" t="s">
        <v>2972</v>
      </c>
      <c r="R1" s="160" t="s">
        <v>2973</v>
      </c>
    </row>
    <row r="2" spans="1:18" x14ac:dyDescent="0.25">
      <c r="A2" s="160" t="s">
        <v>2974</v>
      </c>
      <c r="C2" s="160" t="s">
        <v>2975</v>
      </c>
      <c r="E2" s="160" t="s">
        <v>2976</v>
      </c>
      <c r="G2" s="160" t="s">
        <v>2977</v>
      </c>
      <c r="I2" s="160" t="s">
        <v>2978</v>
      </c>
      <c r="K2" s="160" t="s">
        <v>2979</v>
      </c>
      <c r="M2" s="160" t="s">
        <v>2980</v>
      </c>
      <c r="N2" s="160" t="s">
        <v>2981</v>
      </c>
      <c r="O2" s="160" t="s">
        <v>2982</v>
      </c>
      <c r="P2" s="160" t="s">
        <v>2983</v>
      </c>
      <c r="Q2" s="160" t="s">
        <v>2984</v>
      </c>
      <c r="R2" s="160" t="s">
        <v>2985</v>
      </c>
    </row>
    <row r="3" spans="1:18" x14ac:dyDescent="0.25">
      <c r="A3" s="160" t="s">
        <v>2986</v>
      </c>
      <c r="C3" s="160" t="s">
        <v>2987</v>
      </c>
      <c r="E3" s="160" t="s">
        <v>2988</v>
      </c>
      <c r="G3" s="160" t="s">
        <v>2989</v>
      </c>
      <c r="I3" s="160" t="s">
        <v>2990</v>
      </c>
      <c r="K3" s="160" t="s">
        <v>2991</v>
      </c>
      <c r="M3" s="160" t="s">
        <v>2992</v>
      </c>
      <c r="N3" s="160" t="s">
        <v>2993</v>
      </c>
      <c r="O3" s="160" t="s">
        <v>2994</v>
      </c>
      <c r="P3" s="160" t="s">
        <v>2995</v>
      </c>
      <c r="Q3" s="160" t="s">
        <v>2996</v>
      </c>
      <c r="R3" s="160" t="s">
        <v>2997</v>
      </c>
    </row>
    <row r="4" spans="1:18" x14ac:dyDescent="0.25">
      <c r="A4" s="160" t="s">
        <v>2998</v>
      </c>
      <c r="E4" s="160" t="s">
        <v>2999</v>
      </c>
      <c r="G4" s="160" t="s">
        <v>3000</v>
      </c>
      <c r="I4" s="160" t="s">
        <v>3001</v>
      </c>
      <c r="K4" s="160" t="s">
        <v>3002</v>
      </c>
      <c r="M4" s="160" t="s">
        <v>3003</v>
      </c>
      <c r="N4" s="160" t="s">
        <v>3004</v>
      </c>
      <c r="O4" s="160" t="s">
        <v>3005</v>
      </c>
      <c r="P4" s="160" t="s">
        <v>3006</v>
      </c>
      <c r="R4" s="160" t="s">
        <v>3007</v>
      </c>
    </row>
    <row r="5" spans="1:18" x14ac:dyDescent="0.25">
      <c r="A5" s="160" t="s">
        <v>3008</v>
      </c>
      <c r="E5" s="160" t="s">
        <v>3009</v>
      </c>
      <c r="G5" s="160" t="s">
        <v>3010</v>
      </c>
      <c r="I5" s="160" t="s">
        <v>3011</v>
      </c>
      <c r="K5" s="160" t="s">
        <v>3012</v>
      </c>
      <c r="N5" s="160" t="s">
        <v>3013</v>
      </c>
      <c r="O5" s="160" t="s">
        <v>3014</v>
      </c>
      <c r="R5" s="160" t="s">
        <v>3015</v>
      </c>
    </row>
    <row r="6" spans="1:18" x14ac:dyDescent="0.25">
      <c r="E6" s="160" t="s">
        <v>3016</v>
      </c>
      <c r="I6" s="160" t="s">
        <v>3017</v>
      </c>
      <c r="K6" s="160" t="s">
        <v>3018</v>
      </c>
    </row>
    <row r="7" spans="1:18" x14ac:dyDescent="0.25">
      <c r="E7" s="160" t="s">
        <v>3019</v>
      </c>
      <c r="I7" s="160" t="s">
        <v>3020</v>
      </c>
      <c r="K7" s="160" t="s">
        <v>3021</v>
      </c>
    </row>
  </sheetData>
  <pageMargins left="0.7" right="0.7" top="0.75" bottom="0.75" header="0.3" footer="0.3"/>
  <pageSetup orientation="portrait" r:id="rId1"/>
  <tableParts count="7">
    <tablePart r:id="rId2"/>
    <tablePart r:id="rId3"/>
    <tablePart r:id="rId4"/>
    <tablePart r:id="rId5"/>
    <tablePart r:id="rId6"/>
    <tablePart r:id="rId7"/>
    <tablePart r:id="rId8"/>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149FA-D1BF-40DB-975E-730A8CA8F4C2}">
  <sheetPr codeName="Sheet11"/>
  <dimension ref="A1:O83"/>
  <sheetViews>
    <sheetView workbookViewId="0">
      <selection activeCell="C22" sqref="C22"/>
    </sheetView>
  </sheetViews>
  <sheetFormatPr defaultRowHeight="15" x14ac:dyDescent="0.25"/>
  <cols>
    <col min="1" max="1" width="13.42578125" style="161" customWidth="1"/>
    <col min="2" max="2" width="18.85546875" style="161" customWidth="1"/>
    <col min="3" max="3" width="13" style="161" customWidth="1"/>
    <col min="4" max="4" width="19.140625" style="161" customWidth="1"/>
    <col min="5" max="5" width="31.85546875" style="161" bestFit="1" customWidth="1"/>
    <col min="6" max="6" width="44" style="161" bestFit="1" customWidth="1"/>
    <col min="7" max="7" width="15.140625" style="161" bestFit="1" customWidth="1"/>
    <col min="8" max="8" width="18.85546875" style="161" bestFit="1" customWidth="1"/>
    <col min="9" max="9" width="39.140625" style="161" bestFit="1" customWidth="1"/>
    <col min="10" max="10" width="33.42578125" style="161" bestFit="1" customWidth="1"/>
    <col min="11" max="11" width="23.42578125" style="161" bestFit="1" customWidth="1"/>
    <col min="12" max="12" width="22.5703125" style="161" customWidth="1"/>
    <col min="13" max="13" width="23.42578125" style="161" bestFit="1" customWidth="1"/>
    <col min="14" max="14" width="21.28515625" style="161" customWidth="1"/>
    <col min="15" max="15" width="16.42578125" style="161" customWidth="1"/>
    <col min="16" max="16384" width="9.140625" style="161"/>
  </cols>
  <sheetData>
    <row r="1" spans="1:15" x14ac:dyDescent="0.25">
      <c r="A1" s="160" t="s">
        <v>2758</v>
      </c>
      <c r="B1" s="160" t="s">
        <v>2759</v>
      </c>
      <c r="C1" s="160" t="s">
        <v>2760</v>
      </c>
      <c r="D1" s="160" t="s">
        <v>2761</v>
      </c>
      <c r="E1" s="160" t="s">
        <v>2762</v>
      </c>
      <c r="F1" s="160" t="s">
        <v>2763</v>
      </c>
      <c r="G1" s="160" t="s">
        <v>2764</v>
      </c>
      <c r="H1" s="160" t="s">
        <v>2765</v>
      </c>
      <c r="I1" s="160" t="s">
        <v>2766</v>
      </c>
      <c r="J1" s="160" t="s">
        <v>2767</v>
      </c>
      <c r="K1" s="160" t="s">
        <v>2768</v>
      </c>
      <c r="M1" s="160" t="s">
        <v>2769</v>
      </c>
      <c r="N1" s="160" t="s">
        <v>2770</v>
      </c>
      <c r="O1" s="160" t="s">
        <v>2771</v>
      </c>
    </row>
    <row r="2" spans="1:15" x14ac:dyDescent="0.25">
      <c r="A2" s="160" t="s">
        <v>1</v>
      </c>
      <c r="B2" s="160" t="s">
        <v>2772</v>
      </c>
      <c r="C2" s="160" t="s">
        <v>1</v>
      </c>
      <c r="D2" s="160" t="s">
        <v>2773</v>
      </c>
      <c r="E2" s="160" t="s">
        <v>2774</v>
      </c>
      <c r="F2" s="160" t="s">
        <v>2775</v>
      </c>
      <c r="G2" s="160" t="s">
        <v>2776</v>
      </c>
      <c r="H2" s="160" t="s">
        <v>2777</v>
      </c>
      <c r="I2" s="160" t="s">
        <v>2778</v>
      </c>
      <c r="J2" s="160" t="s">
        <v>2779</v>
      </c>
      <c r="K2" s="160" t="s">
        <v>2780</v>
      </c>
      <c r="M2" s="160" t="s">
        <v>2781</v>
      </c>
      <c r="N2" s="162">
        <v>1</v>
      </c>
      <c r="O2" s="163">
        <f t="shared" ref="O2:O65" si="0">N2/SUM($N$2:$N$83)</f>
        <v>4.4004400440044002E-3</v>
      </c>
    </row>
    <row r="3" spans="1:15" x14ac:dyDescent="0.25">
      <c r="A3" s="160" t="s">
        <v>1</v>
      </c>
      <c r="B3" s="160" t="s">
        <v>2782</v>
      </c>
      <c r="C3" s="160" t="s">
        <v>1</v>
      </c>
      <c r="D3" s="160" t="s">
        <v>2783</v>
      </c>
      <c r="E3" s="160" t="s">
        <v>2784</v>
      </c>
      <c r="F3" s="160" t="s">
        <v>2785</v>
      </c>
      <c r="G3" s="160" t="s">
        <v>2786</v>
      </c>
      <c r="H3" s="160" t="s">
        <v>2787</v>
      </c>
      <c r="I3" s="160" t="s">
        <v>2788</v>
      </c>
      <c r="J3" s="160" t="s">
        <v>2789</v>
      </c>
      <c r="K3" s="160" t="s">
        <v>2790</v>
      </c>
      <c r="M3" s="160" t="s">
        <v>2791</v>
      </c>
      <c r="N3" s="162">
        <v>5</v>
      </c>
      <c r="O3" s="163">
        <f t="shared" si="0"/>
        <v>2.2002200220022004E-2</v>
      </c>
    </row>
    <row r="4" spans="1:15" x14ac:dyDescent="0.25">
      <c r="A4" s="160" t="s">
        <v>1</v>
      </c>
      <c r="B4" s="160" t="s">
        <v>2792</v>
      </c>
      <c r="C4" s="160" t="s">
        <v>2</v>
      </c>
      <c r="D4" s="160" t="s">
        <v>2793</v>
      </c>
      <c r="E4" s="160" t="s">
        <v>2794</v>
      </c>
      <c r="F4" s="160" t="s">
        <v>2795</v>
      </c>
      <c r="G4" s="160" t="s">
        <v>2796</v>
      </c>
      <c r="H4" s="160" t="s">
        <v>2797</v>
      </c>
      <c r="I4" s="160" t="s">
        <v>2798</v>
      </c>
      <c r="J4" s="160" t="s">
        <v>2799</v>
      </c>
      <c r="K4" s="160" t="s">
        <v>2800</v>
      </c>
      <c r="M4" s="160" t="s">
        <v>2801</v>
      </c>
      <c r="N4" s="162">
        <v>1.5</v>
      </c>
      <c r="O4" s="163">
        <f t="shared" si="0"/>
        <v>6.6006600660066007E-3</v>
      </c>
    </row>
    <row r="5" spans="1:15" x14ac:dyDescent="0.25">
      <c r="A5" s="160" t="s">
        <v>2</v>
      </c>
      <c r="B5" s="160" t="s">
        <v>2802</v>
      </c>
      <c r="C5" s="160" t="s">
        <v>2</v>
      </c>
      <c r="D5" s="160" t="s">
        <v>2803</v>
      </c>
      <c r="E5" s="160" t="s">
        <v>2804</v>
      </c>
      <c r="F5" s="160" t="s">
        <v>2805</v>
      </c>
      <c r="G5" s="160" t="s">
        <v>1330</v>
      </c>
      <c r="H5" s="160" t="s">
        <v>2806</v>
      </c>
      <c r="I5" s="160" t="s">
        <v>2807</v>
      </c>
      <c r="J5" s="160" t="s">
        <v>2808</v>
      </c>
      <c r="K5" s="160" t="s">
        <v>2809</v>
      </c>
      <c r="M5" s="160" t="s">
        <v>2810</v>
      </c>
      <c r="N5" s="162">
        <v>1</v>
      </c>
      <c r="O5" s="163">
        <f t="shared" si="0"/>
        <v>4.4004400440044002E-3</v>
      </c>
    </row>
    <row r="6" spans="1:15" x14ac:dyDescent="0.25">
      <c r="A6" s="160" t="s">
        <v>2</v>
      </c>
      <c r="B6" s="160" t="s">
        <v>2811</v>
      </c>
      <c r="C6" s="160" t="s">
        <v>3</v>
      </c>
      <c r="D6" s="160" t="s">
        <v>2812</v>
      </c>
      <c r="E6" s="160" t="s">
        <v>2813</v>
      </c>
      <c r="F6" s="160" t="s">
        <v>2814</v>
      </c>
      <c r="G6" s="160" t="s">
        <v>2815</v>
      </c>
      <c r="H6" s="160" t="s">
        <v>2816</v>
      </c>
      <c r="I6" s="160" t="s">
        <v>2817</v>
      </c>
      <c r="J6" s="160" t="s">
        <v>2818</v>
      </c>
      <c r="K6" s="160"/>
      <c r="M6" s="160" t="s">
        <v>2819</v>
      </c>
      <c r="N6" s="162">
        <v>1.5</v>
      </c>
      <c r="O6" s="163">
        <f t="shared" si="0"/>
        <v>6.6006600660066007E-3</v>
      </c>
    </row>
    <row r="7" spans="1:15" x14ac:dyDescent="0.25">
      <c r="A7" s="160" t="s">
        <v>2</v>
      </c>
      <c r="B7" s="160" t="s">
        <v>2820</v>
      </c>
      <c r="C7" s="160" t="s">
        <v>3</v>
      </c>
      <c r="D7" s="160" t="s">
        <v>2821</v>
      </c>
      <c r="E7" s="160" t="s">
        <v>2822</v>
      </c>
      <c r="F7" s="160" t="s">
        <v>2823</v>
      </c>
      <c r="G7" s="160" t="s">
        <v>2824</v>
      </c>
      <c r="H7" s="160" t="s">
        <v>2825</v>
      </c>
      <c r="I7" s="160" t="s">
        <v>2826</v>
      </c>
      <c r="J7" s="160" t="s">
        <v>2827</v>
      </c>
      <c r="K7" s="160"/>
      <c r="M7" s="160" t="s">
        <v>1798</v>
      </c>
      <c r="N7" s="162">
        <v>1</v>
      </c>
      <c r="O7" s="163">
        <f t="shared" si="0"/>
        <v>4.4004400440044002E-3</v>
      </c>
    </row>
    <row r="8" spans="1:15" x14ac:dyDescent="0.25">
      <c r="A8" s="160" t="s">
        <v>3</v>
      </c>
      <c r="B8" s="160" t="s">
        <v>2828</v>
      </c>
      <c r="C8" s="160" t="s">
        <v>4</v>
      </c>
      <c r="D8" s="160" t="s">
        <v>2829</v>
      </c>
      <c r="E8" s="160" t="s">
        <v>2830</v>
      </c>
      <c r="F8" s="160" t="s">
        <v>2831</v>
      </c>
      <c r="G8" s="160" t="s">
        <v>2832</v>
      </c>
      <c r="H8" s="160" t="s">
        <v>2833</v>
      </c>
      <c r="I8" s="160" t="s">
        <v>2834</v>
      </c>
      <c r="J8" s="160" t="s">
        <v>2835</v>
      </c>
      <c r="K8" s="160"/>
      <c r="M8" s="160" t="s">
        <v>1685</v>
      </c>
      <c r="N8" s="162">
        <v>4</v>
      </c>
      <c r="O8" s="163">
        <f t="shared" si="0"/>
        <v>1.7601760176017601E-2</v>
      </c>
    </row>
    <row r="9" spans="1:15" x14ac:dyDescent="0.25">
      <c r="A9" s="160" t="s">
        <v>3</v>
      </c>
      <c r="B9" s="160" t="s">
        <v>2836</v>
      </c>
      <c r="C9" s="160" t="s">
        <v>4</v>
      </c>
      <c r="D9" s="160" t="s">
        <v>2837</v>
      </c>
      <c r="E9" s="160" t="s">
        <v>2838</v>
      </c>
      <c r="F9" s="160" t="s">
        <v>2839</v>
      </c>
      <c r="G9" s="160" t="s">
        <v>2840</v>
      </c>
      <c r="H9" s="160" t="s">
        <v>2841</v>
      </c>
      <c r="I9" s="160" t="s">
        <v>2842</v>
      </c>
      <c r="J9" s="160" t="s">
        <v>2843</v>
      </c>
      <c r="K9" s="160"/>
      <c r="M9" s="160" t="s">
        <v>1795</v>
      </c>
      <c r="N9" s="162">
        <v>6</v>
      </c>
      <c r="O9" s="163">
        <f t="shared" si="0"/>
        <v>2.6402640264026403E-2</v>
      </c>
    </row>
    <row r="10" spans="1:15" x14ac:dyDescent="0.25">
      <c r="A10" s="160" t="s">
        <v>3</v>
      </c>
      <c r="B10" s="160" t="s">
        <v>2844</v>
      </c>
      <c r="C10" s="160" t="s">
        <v>39</v>
      </c>
      <c r="D10" s="160" t="s">
        <v>2845</v>
      </c>
      <c r="E10" s="160" t="s">
        <v>2846</v>
      </c>
      <c r="F10" s="160" t="s">
        <v>2847</v>
      </c>
      <c r="G10" s="160" t="s">
        <v>2848</v>
      </c>
      <c r="H10" s="160" t="s">
        <v>2849</v>
      </c>
      <c r="I10" s="160" t="s">
        <v>2850</v>
      </c>
      <c r="J10" s="160" t="s">
        <v>2851</v>
      </c>
      <c r="K10" s="160"/>
      <c r="M10" s="160" t="s">
        <v>2852</v>
      </c>
      <c r="N10" s="162">
        <v>8</v>
      </c>
      <c r="O10" s="163">
        <f t="shared" si="0"/>
        <v>3.5203520352035202E-2</v>
      </c>
    </row>
    <row r="11" spans="1:15" x14ac:dyDescent="0.25">
      <c r="A11" s="160" t="s">
        <v>4</v>
      </c>
      <c r="B11" s="160" t="s">
        <v>2853</v>
      </c>
      <c r="C11" s="160" t="s">
        <v>39</v>
      </c>
      <c r="D11" s="160" t="s">
        <v>2854</v>
      </c>
      <c r="E11" s="160" t="s">
        <v>2855</v>
      </c>
      <c r="F11" s="160" t="s">
        <v>2856</v>
      </c>
      <c r="G11" s="160" t="s">
        <v>2857</v>
      </c>
      <c r="H11" s="160" t="s">
        <v>2858</v>
      </c>
      <c r="I11" s="160"/>
      <c r="J11" s="160" t="s">
        <v>2859</v>
      </c>
      <c r="K11" s="160"/>
      <c r="M11" s="160" t="s">
        <v>2860</v>
      </c>
      <c r="N11" s="162">
        <v>2</v>
      </c>
      <c r="O11" s="163">
        <f t="shared" si="0"/>
        <v>8.8008800880088004E-3</v>
      </c>
    </row>
    <row r="12" spans="1:15" x14ac:dyDescent="0.25">
      <c r="A12" s="160" t="s">
        <v>4</v>
      </c>
      <c r="B12" s="160" t="s">
        <v>2861</v>
      </c>
      <c r="C12" s="160" t="s">
        <v>6</v>
      </c>
      <c r="D12" s="160" t="s">
        <v>2862</v>
      </c>
      <c r="E12" s="160" t="s">
        <v>2863</v>
      </c>
      <c r="F12" s="160" t="s">
        <v>2864</v>
      </c>
      <c r="G12" s="160" t="s">
        <v>2865</v>
      </c>
      <c r="H12" s="160" t="s">
        <v>2866</v>
      </c>
      <c r="I12" s="160"/>
      <c r="J12" s="160" t="s">
        <v>2867</v>
      </c>
      <c r="K12" s="160"/>
      <c r="M12" s="160" t="s">
        <v>2868</v>
      </c>
      <c r="N12" s="162">
        <v>3</v>
      </c>
      <c r="O12" s="163">
        <f t="shared" si="0"/>
        <v>1.3201320132013201E-2</v>
      </c>
    </row>
    <row r="13" spans="1:15" x14ac:dyDescent="0.25">
      <c r="A13" s="160" t="s">
        <v>4</v>
      </c>
      <c r="B13" s="160" t="s">
        <v>2869</v>
      </c>
      <c r="C13" s="160" t="s">
        <v>6</v>
      </c>
      <c r="D13" s="160" t="s">
        <v>2870</v>
      </c>
      <c r="E13" s="160" t="s">
        <v>2871</v>
      </c>
      <c r="F13" s="160" t="s">
        <v>2872</v>
      </c>
      <c r="G13" s="160" t="s">
        <v>2873</v>
      </c>
      <c r="H13" s="160" t="s">
        <v>2874</v>
      </c>
      <c r="I13" s="160"/>
      <c r="J13" s="160"/>
      <c r="K13" s="160"/>
      <c r="M13" s="160" t="s">
        <v>1687</v>
      </c>
      <c r="N13" s="162">
        <v>0.5</v>
      </c>
      <c r="O13" s="163">
        <f t="shared" si="0"/>
        <v>2.2002200220022001E-3</v>
      </c>
    </row>
    <row r="14" spans="1:15" x14ac:dyDescent="0.25">
      <c r="A14" s="160" t="s">
        <v>39</v>
      </c>
      <c r="B14" s="160" t="s">
        <v>2875</v>
      </c>
      <c r="C14" s="160"/>
      <c r="D14" s="160"/>
      <c r="E14" s="160" t="s">
        <v>2876</v>
      </c>
      <c r="F14" s="160" t="s">
        <v>2877</v>
      </c>
      <c r="G14" s="160" t="s">
        <v>2878</v>
      </c>
      <c r="H14" s="160"/>
      <c r="I14" s="160"/>
      <c r="J14" s="160"/>
      <c r="K14" s="160"/>
      <c r="M14" s="160" t="s">
        <v>1688</v>
      </c>
      <c r="N14" s="162">
        <v>8</v>
      </c>
      <c r="O14" s="163">
        <f t="shared" si="0"/>
        <v>3.5203520352035202E-2</v>
      </c>
    </row>
    <row r="15" spans="1:15" x14ac:dyDescent="0.25">
      <c r="A15" s="160" t="s">
        <v>39</v>
      </c>
      <c r="B15" s="160" t="s">
        <v>2879</v>
      </c>
      <c r="C15" s="160"/>
      <c r="D15" s="160"/>
      <c r="E15" s="160" t="s">
        <v>2880</v>
      </c>
      <c r="F15" s="160" t="s">
        <v>2881</v>
      </c>
      <c r="G15" s="160" t="s">
        <v>2882</v>
      </c>
      <c r="H15" s="160"/>
      <c r="I15" s="160"/>
      <c r="J15" s="160"/>
      <c r="K15" s="160"/>
      <c r="M15" s="160" t="s">
        <v>2883</v>
      </c>
      <c r="N15" s="162">
        <v>5</v>
      </c>
      <c r="O15" s="163">
        <f t="shared" si="0"/>
        <v>2.2002200220022004E-2</v>
      </c>
    </row>
    <row r="16" spans="1:15" x14ac:dyDescent="0.25">
      <c r="A16" s="160" t="s">
        <v>39</v>
      </c>
      <c r="B16" s="160" t="s">
        <v>2884</v>
      </c>
      <c r="C16" s="160"/>
      <c r="D16" s="160"/>
      <c r="E16" s="160" t="s">
        <v>2885</v>
      </c>
      <c r="F16" s="160" t="s">
        <v>2886</v>
      </c>
      <c r="G16" s="160" t="s">
        <v>2887</v>
      </c>
      <c r="H16" s="160"/>
      <c r="I16" s="160"/>
      <c r="J16" s="160"/>
      <c r="K16" s="160"/>
      <c r="M16" s="160" t="s">
        <v>1789</v>
      </c>
      <c r="N16" s="162">
        <v>8</v>
      </c>
      <c r="O16" s="163">
        <f t="shared" si="0"/>
        <v>3.5203520352035202E-2</v>
      </c>
    </row>
    <row r="17" spans="1:15" x14ac:dyDescent="0.25">
      <c r="A17" s="160" t="s">
        <v>6</v>
      </c>
      <c r="B17" s="160" t="s">
        <v>2888</v>
      </c>
      <c r="C17" s="160"/>
      <c r="D17" s="160"/>
      <c r="E17" s="160" t="s">
        <v>2889</v>
      </c>
      <c r="F17" s="160" t="s">
        <v>2890</v>
      </c>
      <c r="G17" s="160" t="s">
        <v>2891</v>
      </c>
      <c r="H17" s="160"/>
      <c r="I17" s="160"/>
      <c r="J17" s="160"/>
      <c r="K17" s="160"/>
      <c r="M17" s="160" t="s">
        <v>1828</v>
      </c>
      <c r="N17" s="162">
        <v>3</v>
      </c>
      <c r="O17" s="163">
        <f t="shared" si="0"/>
        <v>1.3201320132013201E-2</v>
      </c>
    </row>
    <row r="18" spans="1:15" x14ac:dyDescent="0.25">
      <c r="A18" s="160" t="s">
        <v>6</v>
      </c>
      <c r="B18" s="160" t="s">
        <v>2892</v>
      </c>
      <c r="C18" s="160"/>
      <c r="D18" s="160"/>
      <c r="E18" s="160" t="s">
        <v>2893</v>
      </c>
      <c r="F18" s="160" t="s">
        <v>2894</v>
      </c>
      <c r="G18" s="160" t="s">
        <v>2895</v>
      </c>
      <c r="H18" s="160"/>
      <c r="I18" s="160"/>
      <c r="J18" s="160"/>
      <c r="K18" s="160"/>
      <c r="M18" s="160" t="s">
        <v>1787</v>
      </c>
      <c r="N18" s="162">
        <v>8</v>
      </c>
      <c r="O18" s="163">
        <f t="shared" si="0"/>
        <v>3.5203520352035202E-2</v>
      </c>
    </row>
    <row r="19" spans="1:15" x14ac:dyDescent="0.25">
      <c r="A19" s="160" t="s">
        <v>6</v>
      </c>
      <c r="B19" s="160" t="s">
        <v>2896</v>
      </c>
      <c r="C19" s="160"/>
      <c r="D19" s="160"/>
      <c r="E19" s="160" t="s">
        <v>2897</v>
      </c>
      <c r="F19" s="160" t="s">
        <v>2898</v>
      </c>
      <c r="G19" s="160" t="s">
        <v>2899</v>
      </c>
      <c r="H19" s="160"/>
      <c r="I19" s="160"/>
      <c r="J19" s="160"/>
      <c r="K19" s="160"/>
      <c r="M19" s="160" t="s">
        <v>1785</v>
      </c>
      <c r="N19" s="162">
        <v>6</v>
      </c>
      <c r="O19" s="163">
        <f t="shared" si="0"/>
        <v>2.6402640264026403E-2</v>
      </c>
    </row>
    <row r="20" spans="1:15" x14ac:dyDescent="0.25">
      <c r="A20" s="160"/>
      <c r="B20" s="160"/>
      <c r="C20" s="160"/>
      <c r="D20" s="160"/>
      <c r="E20" s="160" t="s">
        <v>2900</v>
      </c>
      <c r="F20" s="160" t="s">
        <v>2901</v>
      </c>
      <c r="G20" s="160" t="s">
        <v>2902</v>
      </c>
      <c r="H20" s="160"/>
      <c r="I20" s="160"/>
      <c r="J20" s="160"/>
      <c r="K20" s="160"/>
      <c r="M20" s="160" t="s">
        <v>2903</v>
      </c>
      <c r="N20" s="162">
        <v>3</v>
      </c>
      <c r="O20" s="163">
        <f t="shared" si="0"/>
        <v>1.3201320132013201E-2</v>
      </c>
    </row>
    <row r="21" spans="1:15" x14ac:dyDescent="0.25">
      <c r="A21" s="160"/>
      <c r="B21" s="160"/>
      <c r="C21" s="160"/>
      <c r="D21" s="160"/>
      <c r="E21" s="160" t="s">
        <v>2904</v>
      </c>
      <c r="F21" s="160" t="s">
        <v>2905</v>
      </c>
      <c r="G21" s="160" t="s">
        <v>2906</v>
      </c>
      <c r="H21" s="160"/>
      <c r="I21" s="160"/>
      <c r="J21" s="160"/>
      <c r="K21" s="160"/>
      <c r="M21" s="160" t="s">
        <v>2907</v>
      </c>
      <c r="N21" s="162">
        <v>2</v>
      </c>
      <c r="O21" s="163">
        <f t="shared" si="0"/>
        <v>8.8008800880088004E-3</v>
      </c>
    </row>
    <row r="22" spans="1:15" x14ac:dyDescent="0.25">
      <c r="A22" s="160"/>
      <c r="B22" s="160"/>
      <c r="C22" s="160"/>
      <c r="D22" s="160"/>
      <c r="E22" s="160" t="s">
        <v>2908</v>
      </c>
      <c r="F22" s="160" t="s">
        <v>2909</v>
      </c>
      <c r="G22" s="160" t="s">
        <v>2910</v>
      </c>
      <c r="H22" s="160"/>
      <c r="I22" s="160"/>
      <c r="J22" s="160"/>
      <c r="K22" s="160"/>
      <c r="M22" s="160" t="s">
        <v>2911</v>
      </c>
      <c r="N22" s="162">
        <v>1</v>
      </c>
      <c r="O22" s="163">
        <f t="shared" si="0"/>
        <v>4.4004400440044002E-3</v>
      </c>
    </row>
    <row r="23" spans="1:15" x14ac:dyDescent="0.25">
      <c r="A23" s="160"/>
      <c r="B23" s="160"/>
      <c r="C23" s="160"/>
      <c r="D23" s="160"/>
      <c r="E23" s="160" t="s">
        <v>2912</v>
      </c>
      <c r="F23" s="160" t="s">
        <v>2913</v>
      </c>
      <c r="G23" s="160" t="s">
        <v>2914</v>
      </c>
      <c r="H23" s="160"/>
      <c r="I23" s="160"/>
      <c r="J23" s="160"/>
      <c r="K23" s="160"/>
      <c r="M23" s="160" t="s">
        <v>2915</v>
      </c>
      <c r="N23" s="162">
        <v>6</v>
      </c>
      <c r="O23" s="163">
        <f t="shared" si="0"/>
        <v>2.6402640264026403E-2</v>
      </c>
    </row>
    <row r="24" spans="1:15" x14ac:dyDescent="0.25">
      <c r="A24" s="160"/>
      <c r="B24" s="160"/>
      <c r="C24" s="160"/>
      <c r="D24" s="160"/>
      <c r="E24" s="160" t="s">
        <v>2916</v>
      </c>
      <c r="F24" s="160"/>
      <c r="G24" s="160" t="s">
        <v>2917</v>
      </c>
      <c r="H24" s="160"/>
      <c r="I24" s="160"/>
      <c r="J24" s="160"/>
      <c r="K24" s="160"/>
      <c r="M24" s="160" t="s">
        <v>2918</v>
      </c>
      <c r="N24" s="162">
        <v>6</v>
      </c>
      <c r="O24" s="163">
        <f t="shared" si="0"/>
        <v>2.6402640264026403E-2</v>
      </c>
    </row>
    <row r="25" spans="1:15" x14ac:dyDescent="0.25">
      <c r="A25" s="160"/>
      <c r="B25" s="160"/>
      <c r="C25" s="160"/>
      <c r="D25" s="160"/>
      <c r="E25" s="160" t="s">
        <v>2919</v>
      </c>
      <c r="F25" s="160"/>
      <c r="G25" s="160" t="s">
        <v>2920</v>
      </c>
      <c r="H25" s="160"/>
      <c r="I25" s="160"/>
      <c r="J25" s="160"/>
      <c r="K25" s="160"/>
      <c r="M25" s="160" t="s">
        <v>2921</v>
      </c>
      <c r="N25" s="162">
        <v>1</v>
      </c>
      <c r="O25" s="163">
        <f t="shared" si="0"/>
        <v>4.4004400440044002E-3</v>
      </c>
    </row>
    <row r="26" spans="1:15" x14ac:dyDescent="0.25">
      <c r="A26" s="160"/>
      <c r="B26" s="160"/>
      <c r="C26" s="160"/>
      <c r="D26" s="160"/>
      <c r="E26" s="160" t="s">
        <v>2922</v>
      </c>
      <c r="F26" s="160"/>
      <c r="G26" s="160" t="s">
        <v>2923</v>
      </c>
      <c r="H26" s="160"/>
      <c r="I26" s="160"/>
      <c r="J26" s="160"/>
      <c r="K26" s="160"/>
      <c r="M26" s="160" t="s">
        <v>2924</v>
      </c>
      <c r="N26" s="162">
        <v>10</v>
      </c>
      <c r="O26" s="163">
        <f t="shared" si="0"/>
        <v>4.4004400440044007E-2</v>
      </c>
    </row>
    <row r="27" spans="1:15" x14ac:dyDescent="0.25">
      <c r="A27" s="160"/>
      <c r="B27" s="160"/>
      <c r="C27" s="160"/>
      <c r="D27" s="160"/>
      <c r="E27" s="160" t="s">
        <v>2925</v>
      </c>
      <c r="F27" s="160"/>
      <c r="G27" s="160" t="s">
        <v>1329</v>
      </c>
      <c r="H27" s="160"/>
      <c r="I27" s="160"/>
      <c r="J27" s="160"/>
      <c r="K27" s="160"/>
      <c r="M27" s="160" t="s">
        <v>2926</v>
      </c>
      <c r="N27" s="162">
        <v>8</v>
      </c>
      <c r="O27" s="163">
        <f t="shared" si="0"/>
        <v>3.5203520352035202E-2</v>
      </c>
    </row>
    <row r="28" spans="1:15" x14ac:dyDescent="0.25">
      <c r="A28" s="160"/>
      <c r="B28" s="160"/>
      <c r="C28" s="160"/>
      <c r="D28" s="160"/>
      <c r="E28" s="160" t="s">
        <v>2927</v>
      </c>
      <c r="F28" s="160"/>
      <c r="G28" s="160" t="s">
        <v>2928</v>
      </c>
      <c r="H28" s="160"/>
      <c r="I28" s="160"/>
      <c r="J28" s="160"/>
      <c r="K28" s="160"/>
      <c r="M28" s="160" t="s">
        <v>1830</v>
      </c>
      <c r="N28" s="162">
        <v>1</v>
      </c>
      <c r="O28" s="163">
        <f t="shared" si="0"/>
        <v>4.4004400440044002E-3</v>
      </c>
    </row>
    <row r="29" spans="1:15" x14ac:dyDescent="0.25">
      <c r="A29" s="160"/>
      <c r="B29" s="160"/>
      <c r="C29" s="160"/>
      <c r="D29" s="160"/>
      <c r="E29" s="160" t="s">
        <v>2929</v>
      </c>
      <c r="F29" s="160"/>
      <c r="G29" s="160" t="s">
        <v>2930</v>
      </c>
      <c r="H29" s="160"/>
      <c r="I29" s="160"/>
      <c r="J29" s="160"/>
      <c r="K29" s="160"/>
      <c r="M29" s="160" t="s">
        <v>1773</v>
      </c>
      <c r="N29" s="162">
        <v>4</v>
      </c>
      <c r="O29" s="163">
        <f t="shared" si="0"/>
        <v>1.7601760176017601E-2</v>
      </c>
    </row>
    <row r="30" spans="1:15" x14ac:dyDescent="0.25">
      <c r="A30" s="160"/>
      <c r="B30" s="160"/>
      <c r="C30" s="160"/>
      <c r="D30" s="160"/>
      <c r="E30" s="160"/>
      <c r="F30" s="160"/>
      <c r="G30" s="160" t="s">
        <v>2931</v>
      </c>
      <c r="H30" s="160"/>
      <c r="I30" s="160"/>
      <c r="J30" s="160"/>
      <c r="K30" s="160"/>
      <c r="M30" s="160" t="s">
        <v>2932</v>
      </c>
      <c r="N30" s="162">
        <v>1</v>
      </c>
      <c r="O30" s="163">
        <f t="shared" si="0"/>
        <v>4.4004400440044002E-3</v>
      </c>
    </row>
    <row r="31" spans="1:15" x14ac:dyDescent="0.25">
      <c r="A31" s="160"/>
      <c r="B31" s="160"/>
      <c r="C31" s="160"/>
      <c r="D31" s="160"/>
      <c r="E31" s="160"/>
      <c r="F31" s="160"/>
      <c r="G31" s="160" t="s">
        <v>2933</v>
      </c>
      <c r="H31" s="160"/>
      <c r="I31" s="160"/>
      <c r="J31" s="160"/>
      <c r="K31" s="160"/>
      <c r="M31" s="160" t="s">
        <v>1770</v>
      </c>
      <c r="N31" s="162">
        <v>4</v>
      </c>
      <c r="O31" s="163">
        <f t="shared" si="0"/>
        <v>1.7601760176017601E-2</v>
      </c>
    </row>
    <row r="32" spans="1:15" x14ac:dyDescent="0.25">
      <c r="A32" s="160"/>
      <c r="B32" s="160"/>
      <c r="C32" s="160"/>
      <c r="D32" s="160"/>
      <c r="E32" s="160"/>
      <c r="F32" s="160"/>
      <c r="G32" s="160" t="s">
        <v>2934</v>
      </c>
      <c r="H32" s="160"/>
      <c r="I32" s="160"/>
      <c r="J32" s="160"/>
      <c r="K32" s="160"/>
      <c r="M32" s="160" t="s">
        <v>2935</v>
      </c>
      <c r="N32" s="162">
        <v>2</v>
      </c>
      <c r="O32" s="163">
        <f t="shared" si="0"/>
        <v>8.8008800880088004E-3</v>
      </c>
    </row>
    <row r="33" spans="1:15" x14ac:dyDescent="0.25">
      <c r="A33" s="160"/>
      <c r="B33" s="160"/>
      <c r="C33" s="160"/>
      <c r="D33" s="160"/>
      <c r="E33" s="160"/>
      <c r="F33" s="160"/>
      <c r="G33" s="160" t="s">
        <v>2936</v>
      </c>
      <c r="H33" s="160"/>
      <c r="I33" s="160"/>
      <c r="J33" s="160"/>
      <c r="K33" s="160"/>
      <c r="M33" s="160" t="s">
        <v>1766</v>
      </c>
      <c r="N33" s="162">
        <v>1</v>
      </c>
      <c r="O33" s="163">
        <f t="shared" si="0"/>
        <v>4.4004400440044002E-3</v>
      </c>
    </row>
    <row r="34" spans="1:15" x14ac:dyDescent="0.25">
      <c r="A34" s="160"/>
      <c r="B34" s="160"/>
      <c r="C34" s="160"/>
      <c r="D34" s="160"/>
      <c r="E34" s="160"/>
      <c r="F34" s="160"/>
      <c r="G34" s="160" t="s">
        <v>641</v>
      </c>
      <c r="H34" s="160"/>
      <c r="I34" s="160"/>
      <c r="J34" s="160"/>
      <c r="K34" s="160"/>
      <c r="M34" s="160" t="s">
        <v>2937</v>
      </c>
      <c r="N34" s="162">
        <v>2</v>
      </c>
      <c r="O34" s="163">
        <f t="shared" si="0"/>
        <v>8.8008800880088004E-3</v>
      </c>
    </row>
    <row r="35" spans="1:15" x14ac:dyDescent="0.25">
      <c r="A35" s="160"/>
      <c r="B35" s="160"/>
      <c r="C35" s="160"/>
      <c r="D35" s="160"/>
      <c r="E35" s="160"/>
      <c r="F35" s="160"/>
      <c r="G35" s="160" t="s">
        <v>2938</v>
      </c>
      <c r="H35" s="160"/>
      <c r="I35" s="160"/>
      <c r="J35" s="160"/>
      <c r="K35" s="160"/>
      <c r="M35" s="160" t="s">
        <v>1764</v>
      </c>
      <c r="N35" s="162">
        <v>5</v>
      </c>
      <c r="O35" s="163">
        <f t="shared" si="0"/>
        <v>2.2002200220022004E-2</v>
      </c>
    </row>
    <row r="36" spans="1:15" x14ac:dyDescent="0.25">
      <c r="A36" s="160"/>
      <c r="B36" s="160"/>
      <c r="C36" s="160"/>
      <c r="D36" s="160"/>
      <c r="E36" s="160"/>
      <c r="F36" s="160"/>
      <c r="G36" s="160" t="s">
        <v>2939</v>
      </c>
      <c r="H36" s="160"/>
      <c r="I36" s="160"/>
      <c r="J36" s="160"/>
      <c r="K36" s="160"/>
      <c r="M36" s="160" t="s">
        <v>2940</v>
      </c>
      <c r="N36" s="162">
        <v>1</v>
      </c>
      <c r="O36" s="163">
        <f t="shared" si="0"/>
        <v>4.4004400440044002E-3</v>
      </c>
    </row>
    <row r="37" spans="1:15" x14ac:dyDescent="0.25">
      <c r="A37" s="160"/>
      <c r="B37" s="160"/>
      <c r="C37" s="160"/>
      <c r="D37" s="160"/>
      <c r="E37" s="160"/>
      <c r="F37" s="160"/>
      <c r="G37" s="160" t="s">
        <v>2941</v>
      </c>
      <c r="H37" s="160"/>
      <c r="I37" s="160"/>
      <c r="J37" s="160"/>
      <c r="K37" s="160"/>
      <c r="M37" s="160" t="s">
        <v>1512</v>
      </c>
      <c r="N37" s="162">
        <v>2</v>
      </c>
      <c r="O37" s="163">
        <f t="shared" si="0"/>
        <v>8.8008800880088004E-3</v>
      </c>
    </row>
    <row r="38" spans="1:15" x14ac:dyDescent="0.25">
      <c r="M38" s="160" t="s">
        <v>2942</v>
      </c>
      <c r="N38" s="162">
        <v>3</v>
      </c>
      <c r="O38" s="163">
        <f t="shared" si="0"/>
        <v>1.3201320132013201E-2</v>
      </c>
    </row>
    <row r="39" spans="1:15" x14ac:dyDescent="0.25">
      <c r="M39" s="160" t="s">
        <v>2943</v>
      </c>
      <c r="N39" s="162">
        <v>1</v>
      </c>
      <c r="O39" s="163">
        <f t="shared" si="0"/>
        <v>4.4004400440044002E-3</v>
      </c>
    </row>
    <row r="40" spans="1:15" x14ac:dyDescent="0.25">
      <c r="M40" s="160" t="s">
        <v>1752</v>
      </c>
      <c r="N40" s="162">
        <v>0.5</v>
      </c>
      <c r="O40" s="163">
        <f t="shared" si="0"/>
        <v>2.2002200220022001E-3</v>
      </c>
    </row>
    <row r="41" spans="1:15" x14ac:dyDescent="0.25">
      <c r="M41" s="160" t="s">
        <v>1751</v>
      </c>
      <c r="N41" s="162">
        <v>2</v>
      </c>
      <c r="O41" s="163">
        <f t="shared" si="0"/>
        <v>8.8008800880088004E-3</v>
      </c>
    </row>
    <row r="42" spans="1:15" x14ac:dyDescent="0.25">
      <c r="M42" s="160" t="s">
        <v>1749</v>
      </c>
      <c r="N42" s="162">
        <v>0.5</v>
      </c>
      <c r="O42" s="163">
        <f t="shared" si="0"/>
        <v>2.2002200220022001E-3</v>
      </c>
    </row>
    <row r="43" spans="1:15" x14ac:dyDescent="0.25">
      <c r="M43" s="160" t="s">
        <v>1843</v>
      </c>
      <c r="N43" s="162">
        <v>0.5</v>
      </c>
      <c r="O43" s="163">
        <f t="shared" si="0"/>
        <v>2.2002200220022001E-3</v>
      </c>
    </row>
    <row r="44" spans="1:15" x14ac:dyDescent="0.25">
      <c r="M44" s="160" t="s">
        <v>1823</v>
      </c>
      <c r="N44" s="162">
        <v>2</v>
      </c>
      <c r="O44" s="163">
        <f t="shared" si="0"/>
        <v>8.8008800880088004E-3</v>
      </c>
    </row>
    <row r="45" spans="1:15" x14ac:dyDescent="0.25">
      <c r="M45" s="160" t="s">
        <v>2944</v>
      </c>
      <c r="N45" s="162">
        <v>0.5</v>
      </c>
      <c r="O45" s="163">
        <f t="shared" si="0"/>
        <v>2.2002200220022001E-3</v>
      </c>
    </row>
    <row r="46" spans="1:15" x14ac:dyDescent="0.25">
      <c r="M46" s="160" t="s">
        <v>1745</v>
      </c>
      <c r="N46" s="162">
        <v>0.5</v>
      </c>
      <c r="O46" s="163">
        <f t="shared" si="0"/>
        <v>2.2002200220022001E-3</v>
      </c>
    </row>
    <row r="47" spans="1:15" x14ac:dyDescent="0.25">
      <c r="M47" s="160" t="s">
        <v>2945</v>
      </c>
      <c r="N47" s="162">
        <v>0.5</v>
      </c>
      <c r="O47" s="163">
        <f t="shared" si="0"/>
        <v>2.2002200220022001E-3</v>
      </c>
    </row>
    <row r="48" spans="1:15" x14ac:dyDescent="0.25">
      <c r="M48" s="160" t="s">
        <v>1743</v>
      </c>
      <c r="N48" s="162">
        <v>3</v>
      </c>
      <c r="O48" s="163">
        <f t="shared" si="0"/>
        <v>1.3201320132013201E-2</v>
      </c>
    </row>
    <row r="49" spans="13:15" x14ac:dyDescent="0.25">
      <c r="M49" s="160" t="s">
        <v>2946</v>
      </c>
      <c r="N49" s="162">
        <v>5</v>
      </c>
      <c r="O49" s="163">
        <f t="shared" si="0"/>
        <v>2.2002200220022004E-2</v>
      </c>
    </row>
    <row r="50" spans="13:15" x14ac:dyDescent="0.25">
      <c r="M50" s="160" t="s">
        <v>1742</v>
      </c>
      <c r="N50" s="162">
        <v>4</v>
      </c>
      <c r="O50" s="163">
        <f t="shared" si="0"/>
        <v>1.7601760176017601E-2</v>
      </c>
    </row>
    <row r="51" spans="13:15" x14ac:dyDescent="0.25">
      <c r="M51" s="160" t="s">
        <v>2947</v>
      </c>
      <c r="N51" s="162">
        <v>1</v>
      </c>
      <c r="O51" s="163">
        <f t="shared" si="0"/>
        <v>4.4004400440044002E-3</v>
      </c>
    </row>
    <row r="52" spans="13:15" x14ac:dyDescent="0.25">
      <c r="M52" s="160" t="s">
        <v>1741</v>
      </c>
      <c r="N52" s="162">
        <v>3</v>
      </c>
      <c r="O52" s="163">
        <f t="shared" si="0"/>
        <v>1.3201320132013201E-2</v>
      </c>
    </row>
    <row r="53" spans="13:15" x14ac:dyDescent="0.25">
      <c r="M53" s="160" t="s">
        <v>2948</v>
      </c>
      <c r="N53" s="162">
        <v>4</v>
      </c>
      <c r="O53" s="163">
        <f t="shared" si="0"/>
        <v>1.7601760176017601E-2</v>
      </c>
    </row>
    <row r="54" spans="13:15" x14ac:dyDescent="0.25">
      <c r="M54" s="160" t="s">
        <v>2949</v>
      </c>
      <c r="N54" s="162">
        <v>6</v>
      </c>
      <c r="O54" s="163">
        <f t="shared" si="0"/>
        <v>2.6402640264026403E-2</v>
      </c>
    </row>
    <row r="55" spans="13:15" x14ac:dyDescent="0.25">
      <c r="M55" s="160" t="s">
        <v>1738</v>
      </c>
      <c r="N55" s="162">
        <v>1</v>
      </c>
      <c r="O55" s="163">
        <f t="shared" si="0"/>
        <v>4.4004400440044002E-3</v>
      </c>
    </row>
    <row r="56" spans="13:15" x14ac:dyDescent="0.25">
      <c r="M56" s="160" t="s">
        <v>694</v>
      </c>
      <c r="N56" s="162">
        <v>1</v>
      </c>
      <c r="O56" s="163">
        <f t="shared" si="0"/>
        <v>4.4004400440044002E-3</v>
      </c>
    </row>
    <row r="57" spans="13:15" x14ac:dyDescent="0.25">
      <c r="M57" s="160" t="s">
        <v>2950</v>
      </c>
      <c r="N57" s="162">
        <v>2</v>
      </c>
      <c r="O57" s="163">
        <f t="shared" si="0"/>
        <v>8.8008800880088004E-3</v>
      </c>
    </row>
    <row r="58" spans="13:15" x14ac:dyDescent="0.25">
      <c r="M58" s="160" t="s">
        <v>1732</v>
      </c>
      <c r="N58" s="162">
        <v>4</v>
      </c>
      <c r="O58" s="163">
        <f t="shared" si="0"/>
        <v>1.7601760176017601E-2</v>
      </c>
    </row>
    <row r="59" spans="13:15" x14ac:dyDescent="0.25">
      <c r="M59" s="160" t="s">
        <v>2951</v>
      </c>
      <c r="N59" s="162">
        <v>1</v>
      </c>
      <c r="O59" s="163">
        <f t="shared" si="0"/>
        <v>4.4004400440044002E-3</v>
      </c>
    </row>
    <row r="60" spans="13:15" x14ac:dyDescent="0.25">
      <c r="M60" s="160" t="s">
        <v>1832</v>
      </c>
      <c r="N60" s="162">
        <v>2</v>
      </c>
      <c r="O60" s="163">
        <f t="shared" si="0"/>
        <v>8.8008800880088004E-3</v>
      </c>
    </row>
    <row r="61" spans="13:15" x14ac:dyDescent="0.25">
      <c r="M61" s="160" t="s">
        <v>1861</v>
      </c>
      <c r="N61" s="162">
        <v>3</v>
      </c>
      <c r="O61" s="163">
        <f t="shared" si="0"/>
        <v>1.3201320132013201E-2</v>
      </c>
    </row>
    <row r="62" spans="13:15" x14ac:dyDescent="0.25">
      <c r="M62" s="160" t="s">
        <v>1845</v>
      </c>
      <c r="N62" s="162">
        <v>1</v>
      </c>
      <c r="O62" s="163">
        <f t="shared" si="0"/>
        <v>4.4004400440044002E-3</v>
      </c>
    </row>
    <row r="63" spans="13:15" x14ac:dyDescent="0.25">
      <c r="M63" s="160" t="s">
        <v>2952</v>
      </c>
      <c r="N63" s="162">
        <v>0.5</v>
      </c>
      <c r="O63" s="163">
        <f t="shared" si="0"/>
        <v>2.2002200220022001E-3</v>
      </c>
    </row>
    <row r="64" spans="13:15" x14ac:dyDescent="0.25">
      <c r="M64" s="160" t="s">
        <v>2953</v>
      </c>
      <c r="N64" s="162">
        <v>2</v>
      </c>
      <c r="O64" s="163">
        <f t="shared" si="0"/>
        <v>8.8008800880088004E-3</v>
      </c>
    </row>
    <row r="65" spans="13:15" x14ac:dyDescent="0.25">
      <c r="M65" s="160" t="s">
        <v>1720</v>
      </c>
      <c r="N65" s="162">
        <v>3</v>
      </c>
      <c r="O65" s="163">
        <f t="shared" si="0"/>
        <v>1.3201320132013201E-2</v>
      </c>
    </row>
    <row r="66" spans="13:15" x14ac:dyDescent="0.25">
      <c r="M66" s="160" t="s">
        <v>1719</v>
      </c>
      <c r="N66" s="162">
        <v>1</v>
      </c>
      <c r="O66" s="163">
        <f t="shared" ref="O66:O83" si="1">N66/SUM($N$2:$N$83)</f>
        <v>4.4004400440044002E-3</v>
      </c>
    </row>
    <row r="67" spans="13:15" x14ac:dyDescent="0.25">
      <c r="M67" s="160" t="s">
        <v>2954</v>
      </c>
      <c r="N67" s="162">
        <v>2</v>
      </c>
      <c r="O67" s="163">
        <f t="shared" si="1"/>
        <v>8.8008800880088004E-3</v>
      </c>
    </row>
    <row r="68" spans="13:15" x14ac:dyDescent="0.25">
      <c r="M68" s="160" t="s">
        <v>1716</v>
      </c>
      <c r="N68" s="162">
        <v>1</v>
      </c>
      <c r="O68" s="163">
        <f t="shared" si="1"/>
        <v>4.4004400440044002E-3</v>
      </c>
    </row>
    <row r="69" spans="13:15" x14ac:dyDescent="0.25">
      <c r="M69" s="160" t="s">
        <v>1713</v>
      </c>
      <c r="N69" s="162">
        <v>1</v>
      </c>
      <c r="O69" s="163">
        <f t="shared" si="1"/>
        <v>4.4004400440044002E-3</v>
      </c>
    </row>
    <row r="70" spans="13:15" x14ac:dyDescent="0.25">
      <c r="M70" s="160" t="s">
        <v>1833</v>
      </c>
      <c r="N70" s="162">
        <v>2</v>
      </c>
      <c r="O70" s="163">
        <f t="shared" si="1"/>
        <v>8.8008800880088004E-3</v>
      </c>
    </row>
    <row r="71" spans="13:15" x14ac:dyDescent="0.25">
      <c r="M71" s="160" t="s">
        <v>1711</v>
      </c>
      <c r="N71" s="162">
        <v>1</v>
      </c>
      <c r="O71" s="163">
        <f t="shared" si="1"/>
        <v>4.4004400440044002E-3</v>
      </c>
    </row>
    <row r="72" spans="13:15" x14ac:dyDescent="0.25">
      <c r="M72" s="160" t="s">
        <v>1710</v>
      </c>
      <c r="N72" s="162">
        <v>3</v>
      </c>
      <c r="O72" s="163">
        <f t="shared" si="1"/>
        <v>1.3201320132013201E-2</v>
      </c>
    </row>
    <row r="73" spans="13:15" x14ac:dyDescent="0.25">
      <c r="M73" s="160" t="s">
        <v>2955</v>
      </c>
      <c r="N73" s="162">
        <v>4</v>
      </c>
      <c r="O73" s="163">
        <f t="shared" si="1"/>
        <v>1.7601760176017601E-2</v>
      </c>
    </row>
    <row r="74" spans="13:15" x14ac:dyDescent="0.25">
      <c r="M74" s="160" t="s">
        <v>2956</v>
      </c>
      <c r="N74" s="162">
        <v>1</v>
      </c>
      <c r="O74" s="163">
        <f t="shared" si="1"/>
        <v>4.4004400440044002E-3</v>
      </c>
    </row>
    <row r="75" spans="13:15" x14ac:dyDescent="0.25">
      <c r="M75" s="160" t="s">
        <v>2957</v>
      </c>
      <c r="N75" s="162">
        <v>1</v>
      </c>
      <c r="O75" s="163">
        <f t="shared" si="1"/>
        <v>4.4004400440044002E-3</v>
      </c>
    </row>
    <row r="76" spans="13:15" x14ac:dyDescent="0.25">
      <c r="M76" s="160" t="s">
        <v>1857</v>
      </c>
      <c r="N76" s="162">
        <v>3</v>
      </c>
      <c r="O76" s="163">
        <f t="shared" si="1"/>
        <v>1.3201320132013201E-2</v>
      </c>
    </row>
    <row r="77" spans="13:15" x14ac:dyDescent="0.25">
      <c r="M77" s="160" t="s">
        <v>2958</v>
      </c>
      <c r="N77" s="162">
        <v>0.25</v>
      </c>
      <c r="O77" s="163">
        <f t="shared" si="1"/>
        <v>1.1001100110011001E-3</v>
      </c>
    </row>
    <row r="78" spans="13:15" x14ac:dyDescent="0.25">
      <c r="M78" s="160" t="s">
        <v>2959</v>
      </c>
      <c r="N78" s="162">
        <v>2</v>
      </c>
      <c r="O78" s="163">
        <f t="shared" si="1"/>
        <v>8.8008800880088004E-3</v>
      </c>
    </row>
    <row r="79" spans="13:15" x14ac:dyDescent="0.25">
      <c r="M79" s="160" t="s">
        <v>2960</v>
      </c>
      <c r="N79" s="162">
        <v>3</v>
      </c>
      <c r="O79" s="163">
        <f t="shared" si="1"/>
        <v>1.3201320132013201E-2</v>
      </c>
    </row>
    <row r="80" spans="13:15" x14ac:dyDescent="0.25">
      <c r="M80" s="160" t="s">
        <v>2961</v>
      </c>
      <c r="N80" s="162">
        <v>4</v>
      </c>
      <c r="O80" s="163">
        <f t="shared" si="1"/>
        <v>1.7601760176017601E-2</v>
      </c>
    </row>
    <row r="81" spans="13:15" x14ac:dyDescent="0.25">
      <c r="M81" s="160" t="s">
        <v>2962</v>
      </c>
      <c r="N81" s="162">
        <v>4</v>
      </c>
      <c r="O81" s="163">
        <f t="shared" si="1"/>
        <v>1.7601760176017601E-2</v>
      </c>
    </row>
    <row r="82" spans="13:15" x14ac:dyDescent="0.25">
      <c r="M82" s="160" t="s">
        <v>1698</v>
      </c>
      <c r="N82" s="162">
        <v>3</v>
      </c>
      <c r="O82" s="163">
        <f t="shared" si="1"/>
        <v>1.3201320132013201E-2</v>
      </c>
    </row>
    <row r="83" spans="13:15" x14ac:dyDescent="0.25">
      <c r="M83" s="160" t="s">
        <v>1690</v>
      </c>
      <c r="N83" s="162">
        <v>1</v>
      </c>
      <c r="O83" s="163">
        <f t="shared" si="1"/>
        <v>4.4004400440044002E-3</v>
      </c>
    </row>
  </sheetData>
  <dataValidations count="1">
    <dataValidation type="custom" showInputMessage="1" showErrorMessage="1" errorTitle="Invalid Weight" error="Please enter a weight greater than or equal to 0." promptTitle="Weight" prompt="Please input a weight greater than or equal to 0. a weight of 0 will result in a 0% chance, and higher weights in relation to other weights will result in higher percent chance of selection." sqref="N2:N83" xr:uid="{6A15E5BF-7DAE-4C99-A9CB-8C6D275E7FEE}">
      <formula1>N2&gt;=0</formula1>
    </dataValidation>
  </dataValidations>
  <pageMargins left="0.7" right="0.7" top="0.75" bottom="0.75" header="0.3" footer="0.3"/>
  <pageSetup orientation="portrait" r:id="rId1"/>
  <legacyDrawing r:id="rId2"/>
  <tableParts count="2">
    <tablePart r:id="rId3"/>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22123-7BD4-46D3-A177-3B9DBDA3A93D}">
  <sheetPr codeName="Аркуш1">
    <pageSetUpPr fitToPage="1"/>
  </sheetPr>
  <dimension ref="K22:L29"/>
  <sheetViews>
    <sheetView showGridLines="0" showRowColHeaders="0" zoomScaleNormal="100" workbookViewId="0">
      <selection activeCell="R50" sqref="R50"/>
    </sheetView>
  </sheetViews>
  <sheetFormatPr defaultColWidth="8.85546875" defaultRowHeight="15" x14ac:dyDescent="0.25"/>
  <cols>
    <col min="1" max="10" width="8.85546875" style="159"/>
    <col min="11" max="11" width="8.85546875" style="159" customWidth="1"/>
    <col min="12" max="16384" width="8.85546875" style="159"/>
  </cols>
  <sheetData>
    <row r="22" spans="11:12" ht="15.75" x14ac:dyDescent="0.25">
      <c r="K22" s="157"/>
      <c r="L22" s="158"/>
    </row>
    <row r="23" spans="11:12" ht="15.75" x14ac:dyDescent="0.25">
      <c r="K23" s="157"/>
      <c r="L23" s="158"/>
    </row>
    <row r="24" spans="11:12" ht="15.75" x14ac:dyDescent="0.25">
      <c r="K24" s="157"/>
      <c r="L24" s="158"/>
    </row>
    <row r="25" spans="11:12" ht="15.75" x14ac:dyDescent="0.25">
      <c r="K25" s="157"/>
      <c r="L25" s="158"/>
    </row>
    <row r="26" spans="11:12" ht="15.75" x14ac:dyDescent="0.25">
      <c r="K26" s="157"/>
      <c r="L26" s="158"/>
    </row>
    <row r="27" spans="11:12" ht="15.75" x14ac:dyDescent="0.25">
      <c r="K27" s="157"/>
      <c r="L27" s="158"/>
    </row>
    <row r="28" spans="11:12" ht="15.75" x14ac:dyDescent="0.25">
      <c r="K28" s="157"/>
      <c r="L28" s="158"/>
    </row>
    <row r="29" spans="11:12" ht="15.75" x14ac:dyDescent="0.25">
      <c r="K29" s="157"/>
      <c r="L29" s="158"/>
    </row>
  </sheetData>
  <pageMargins left="0.7" right="0.7" top="0.75" bottom="0.75" header="0.3" footer="0.3"/>
  <pageSetup scale="59" fitToHeight="0" orientation="landscape" horizontalDpi="4294967293"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B5307-FA3D-4123-AD74-45FC54A7417D}">
  <sheetPr codeName="Аркуш2">
    <pageSetUpPr fitToPage="1"/>
  </sheetPr>
  <dimension ref="N24"/>
  <sheetViews>
    <sheetView showGridLines="0" showRowColHeaders="0" zoomScaleNormal="100" workbookViewId="0">
      <selection activeCell="D2" sqref="D2"/>
    </sheetView>
  </sheetViews>
  <sheetFormatPr defaultRowHeight="15" x14ac:dyDescent="0.25"/>
  <sheetData>
    <row r="24" spans="14:14" x14ac:dyDescent="0.25">
      <c r="N24" s="9"/>
    </row>
  </sheetData>
  <sheetProtection sheet="1" objects="1" scenarios="1"/>
  <pageMargins left="0.7" right="0.7" top="0.75" bottom="0.75" header="0.3" footer="0.3"/>
  <pageSetup scale="57"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A7525-9BFD-4F7B-AC8A-7BF14F297A89}">
  <sheetPr codeName="Аркуш3">
    <pageSetUpPr fitToPage="1"/>
  </sheetPr>
  <dimension ref="A1:Z62"/>
  <sheetViews>
    <sheetView showGridLines="0" showRowColHeaders="0" zoomScale="60" zoomScaleNormal="60" workbookViewId="0"/>
  </sheetViews>
  <sheetFormatPr defaultColWidth="6.140625" defaultRowHeight="15.75" x14ac:dyDescent="0.25"/>
  <cols>
    <col min="1" max="1" width="12.7109375" style="142" customWidth="1"/>
    <col min="2" max="2" width="40.42578125" style="142" customWidth="1"/>
    <col min="3" max="3" width="13.140625" style="142" customWidth="1"/>
    <col min="4" max="4" width="24.42578125" style="142" customWidth="1"/>
    <col min="5" max="5" width="51.7109375" style="142" customWidth="1"/>
    <col min="6" max="6" width="16.7109375" style="142" customWidth="1"/>
    <col min="7" max="7" width="59.28515625" style="142" customWidth="1"/>
    <col min="8" max="8" width="59.5703125" style="142" customWidth="1"/>
    <col min="9" max="9" width="18.5703125" style="142" customWidth="1"/>
    <col min="10" max="10" width="22.85546875" style="142" customWidth="1"/>
    <col min="11" max="15" width="6.140625" style="142"/>
    <col min="16" max="16" width="11.5703125" style="142" bestFit="1" customWidth="1"/>
    <col min="17" max="17" width="10.5703125" style="142" hidden="1" customWidth="1"/>
    <col min="18" max="18" width="14.140625" style="142" hidden="1" customWidth="1"/>
    <col min="19" max="19" width="33.28515625" style="142" hidden="1" customWidth="1"/>
    <col min="20" max="21" width="14.140625" style="142" hidden="1" customWidth="1"/>
    <col min="22" max="16384" width="6.140625" style="142"/>
  </cols>
  <sheetData>
    <row r="1" spans="1:26" x14ac:dyDescent="0.25">
      <c r="B1" s="142" t="s">
        <v>2756</v>
      </c>
    </row>
    <row r="2" spans="1:26" x14ac:dyDescent="0.25">
      <c r="Z2" s="142">
        <f ca="1">RANDBETWEEN(1,10)</f>
        <v>7</v>
      </c>
    </row>
    <row r="4" spans="1:26" x14ac:dyDescent="0.25">
      <c r="A4" s="140" t="str">
        <f ca="1">Q53</f>
        <v>Group 2</v>
      </c>
      <c r="B4" s="152" t="str">
        <f ca="1">S53</f>
        <v>Nyx Aleslosh (Character 1)</v>
      </c>
      <c r="C4" s="141" t="str">
        <f ca="1">IF(D4="young adult","is a","is an" )</f>
        <v>is an</v>
      </c>
      <c r="D4" s="141" t="str">
        <f ca="1">'Character 1'!O3</f>
        <v>Adult</v>
      </c>
      <c r="E4" s="141" t="str">
        <f ca="1">'Character 1'!O2</f>
        <v>Female</v>
      </c>
      <c r="F4" s="141" t="str">
        <f ca="1">IF('Character 1'!$Q$2="dragonborn"," ",'Character 1'!$P$2)</f>
        <v>Forest</v>
      </c>
      <c r="G4" s="141" t="str">
        <f ca="1">'Character 1'!$Q$2</f>
        <v>Gnome</v>
      </c>
      <c r="H4" s="141" t="s">
        <v>2494</v>
      </c>
      <c r="I4" s="141" t="str">
        <f ca="1">VLOOKUP(RANDBETWEEN(1,20),Table1409[],2)</f>
        <v>battered</v>
      </c>
      <c r="J4" s="141" t="str">
        <f ca="1">IF('Character 1'!$B89="unarmored defense",VLOOKUP(RANDBETWEEN(1,3),Table291[],2),'Character 1'!$B89)&amp;"."</f>
        <v>Fine Clothes.</v>
      </c>
    </row>
    <row r="5" spans="1:26" x14ac:dyDescent="0.25">
      <c r="A5" s="141"/>
      <c r="B5" s="141"/>
      <c r="C5" s="141" t="str">
        <f ca="1">IF(E4="male","He"&amp;" has",IF(E4="female","She"&amp;" has"," "))</f>
        <v>She has</v>
      </c>
      <c r="D5" s="141" t="str">
        <f ca="1">VLOOKUP(RANDBETWEEN(1,20),Table1410[],2)</f>
        <v>white</v>
      </c>
      <c r="E5" s="143" t="str">
        <f ca="1">VLOOKUP(RANDBETWEEN(1,54),Table141446[],2)</f>
        <v>hair in multiple braids,</v>
      </c>
      <c r="F5" s="141" t="str">
        <f ca="1">VLOOKUP(RANDBETWEEN(1,20),Table1412[],2)</f>
        <v>emerald green</v>
      </c>
      <c r="G5" s="143" t="str">
        <f ca="1">VLOOKUP(RANDBETWEEN(1,20),Table1415[],2)</f>
        <v>red-rimmed eyes that look sleepless and weary,</v>
      </c>
      <c r="H5" s="141" t="str">
        <f ca="1">VLOOKUP(RANDBETWEEN(1,50),Table1417[],2)</f>
        <v>and earrings running the length of both ears.</v>
      </c>
      <c r="I5" s="141"/>
      <c r="J5" s="141"/>
    </row>
    <row r="6" spans="1:26" x14ac:dyDescent="0.25">
      <c r="A6" s="141"/>
      <c r="B6" s="141"/>
      <c r="C6" s="141" t="s">
        <v>2666</v>
      </c>
      <c r="D6" s="141" t="str">
        <f ca="1">IF(R53="p",VLOOKUP(RANDBETWEEN(1,20),Table1418[],2),IF(OR(R53="s",R53="a"),VLOOKUP(RANDBETWEEN(1,20),Table1419[],2)," "))</f>
        <v>closely watching</v>
      </c>
      <c r="E6" s="141" t="str">
        <f ca="1">IF(OR(R53="a",R53="s"),VLOOKUP(RANDBETWEEN(1,50),Table1420[],2), IF(R53="p",A4," "))</f>
        <v xml:space="preserve">a bloody rag on the table. </v>
      </c>
      <c r="F6" s="141"/>
      <c r="G6" s="141"/>
      <c r="H6" s="141"/>
      <c r="I6" s="141"/>
      <c r="J6" s="141"/>
    </row>
    <row r="8" spans="1:26" x14ac:dyDescent="0.25">
      <c r="A8" s="140" t="str">
        <f ca="1">Q54</f>
        <v>Group 1</v>
      </c>
      <c r="B8" s="151" t="str">
        <f ca="1">S54</f>
        <v>Rolen Xiloscient (Character 2).</v>
      </c>
      <c r="C8" s="144" t="str">
        <f ca="1">IF(D8="young adult","is a","is an" )</f>
        <v>is an</v>
      </c>
      <c r="D8" s="141" t="str">
        <f ca="1">'Character 2'!$O$3</f>
        <v>Elderly</v>
      </c>
      <c r="E8" s="141" t="str">
        <f ca="1">'Character 2'!O2</f>
        <v>Male</v>
      </c>
      <c r="F8" s="141" t="str">
        <f ca="1">IF('Character 2'!$Q$2="dragonborn"," ",'Character 2'!$P$2)</f>
        <v>Wood</v>
      </c>
      <c r="G8" s="141" t="str">
        <f ca="1">'Character 2'!$Q$2</f>
        <v>Elf</v>
      </c>
      <c r="H8" s="141" t="s">
        <v>2494</v>
      </c>
      <c r="I8" s="141" t="str">
        <f ca="1">VLOOKUP(RANDBETWEEN(1,20),Table1409[],2)</f>
        <v>dirty</v>
      </c>
      <c r="J8" s="141" t="str">
        <f ca="1">IF('Character 2'!$B89="unarmored defense",VLOOKUP(RANDBETWEEN(1,3),Table291[],2),'Character 2'!$B89)&amp;"."</f>
        <v>Fine Clothes.</v>
      </c>
    </row>
    <row r="9" spans="1:26" x14ac:dyDescent="0.25">
      <c r="A9" s="141"/>
      <c r="B9" s="143"/>
      <c r="C9" s="145" t="str">
        <f ca="1">IF(E8="male","He"&amp;" has",IF(E8="female","She"&amp;" has"," "))</f>
        <v>He has</v>
      </c>
      <c r="D9" s="145" t="str">
        <f ca="1">VLOOKUP(RANDBETWEEN(1,20),Table1410[],2)</f>
        <v>white</v>
      </c>
      <c r="E9" s="143" t="str">
        <f ca="1">VLOOKUP(RANDBETWEEN(1,54),Table141446[],2)</f>
        <v xml:space="preserve">hair in a bowl cut, </v>
      </c>
      <c r="F9" s="141" t="str">
        <f ca="1">VLOOKUP(RANDBETWEEN(1,20),Table1412[],2)</f>
        <v>hazel</v>
      </c>
      <c r="G9" s="143" t="str">
        <f ca="1">VLOOKUP(RANDBETWEEN(1,20),Table1415[],2)</f>
        <v>eyes that lock with yours for just a beat before looking away,</v>
      </c>
      <c r="H9" s="141" t="str">
        <f ca="1">VLOOKUP(RANDBETWEEN(1,50),Table1417[],2)</f>
        <v xml:space="preserve">and a hook for a hand. </v>
      </c>
      <c r="I9" s="141"/>
      <c r="J9" s="141"/>
    </row>
    <row r="10" spans="1:26" x14ac:dyDescent="0.25">
      <c r="A10" s="141"/>
      <c r="B10" s="143"/>
      <c r="C10" s="141" t="s">
        <v>2666</v>
      </c>
      <c r="D10" s="141" t="str">
        <f ca="1">IF(R54="p",VLOOKUP(RANDBETWEEN(1,20),Table1418[],2),IF(OR(R54="s",R54="a"),VLOOKUP(RANDBETWEEN(1,20),Table1419[],2)," "))</f>
        <v>pointing at</v>
      </c>
      <c r="E10" s="141" t="str">
        <f ca="1">IF(OR(R54="a",R54="s"),VLOOKUP(RANDBETWEEN(1,50),Table1420[],2), IF(R54="p",A8," "))</f>
        <v>Group 1</v>
      </c>
      <c r="F10" s="141"/>
      <c r="G10" s="141"/>
      <c r="H10" s="141"/>
      <c r="I10" s="141"/>
      <c r="J10" s="141"/>
    </row>
    <row r="12" spans="1:26" x14ac:dyDescent="0.25">
      <c r="A12" s="140" t="str">
        <f ca="1">Q55</f>
        <v>Group 1</v>
      </c>
      <c r="B12" s="151" t="str">
        <f ca="1">S55</f>
        <v>Dimble Filchbatter (Character 3).</v>
      </c>
      <c r="C12" s="141" t="str">
        <f ca="1">IF(D12="young adult","is a","is an" )</f>
        <v>is a</v>
      </c>
      <c r="D12" s="141" t="str">
        <f ca="1">'Character 3'!$O$3</f>
        <v>Young Adult</v>
      </c>
      <c r="E12" s="141" t="str">
        <f ca="1">'Character 3'!$O$2</f>
        <v>Male</v>
      </c>
      <c r="F12" s="141" t="str">
        <f ca="1">IF('Character 3'!$Q$2="dragonborn"," ",'Character 3'!$P$2)</f>
        <v>Forest</v>
      </c>
      <c r="G12" s="141" t="str">
        <f ca="1">'Character 3'!$Q$2</f>
        <v>Gnome</v>
      </c>
      <c r="H12" s="141" t="s">
        <v>2494</v>
      </c>
      <c r="I12" s="141" t="str">
        <f ca="1">VLOOKUP(RANDBETWEEN(1,20),Table1409[],2)</f>
        <v>blood stained</v>
      </c>
      <c r="J12" s="141" t="str">
        <f ca="1">IF('Character 3'!$B89="unarmored defense",VLOOKUP(RANDBETWEEN(1,3),Table291[],2),'Character 3'!$B89)&amp;"."</f>
        <v>Ring Mail.</v>
      </c>
    </row>
    <row r="13" spans="1:26" x14ac:dyDescent="0.25">
      <c r="A13" s="141"/>
      <c r="B13" s="143"/>
      <c r="C13" s="145" t="str">
        <f ca="1">IF(E12="male","He"&amp;" has",IF(E12="female","She"&amp;" has"," "))</f>
        <v>He has</v>
      </c>
      <c r="D13" s="145" t="str">
        <f ca="1">VLOOKUP(RANDBETWEEN(1,20),Table1410[],2)</f>
        <v>blonde</v>
      </c>
      <c r="E13" s="143" t="str">
        <f ca="1">VLOOKUP(RANDBETWEEN(1,54),Table141446[],2)</f>
        <v>hair in a single braid,</v>
      </c>
      <c r="F13" s="141" t="str">
        <f ca="1">VLOOKUP(RANDBETWEEN(1,20),Table1412[],2)</f>
        <v>red</v>
      </c>
      <c r="G13" s="143" t="str">
        <f ca="1">VLOOKUP(RANDBETWEEN(1,20),Table1415[],2)</f>
        <v>savage eyes that jump from person to person,</v>
      </c>
      <c r="H13" s="141" t="str">
        <f ca="1">VLOOKUP(RANDBETWEEN(1,50),Table1417[],2)</f>
        <v xml:space="preserve">and no other distinguishing features.  </v>
      </c>
      <c r="I13" s="141"/>
      <c r="J13" s="141"/>
    </row>
    <row r="14" spans="1:26" x14ac:dyDescent="0.25">
      <c r="A14" s="141"/>
      <c r="B14" s="143"/>
      <c r="C14" s="141" t="s">
        <v>2666</v>
      </c>
      <c r="D14" s="141" t="str">
        <f ca="1">IF(R55="p",VLOOKUP(RANDBETWEEN(1,20),Table1418[],2),IF(OR(R55="s",R55="a"),VLOOKUP(RANDBETWEEN(1,20),Table1419[],2)," "))</f>
        <v>looking excitedly at</v>
      </c>
      <c r="E14" s="141" t="str">
        <f ca="1">IF(OR(R55="a",R55="s"),VLOOKUP(RANDBETWEEN(1,50),Table1420[],2), IF(R55="p",A12," "))</f>
        <v xml:space="preserve">a small pile of coins on the table. </v>
      </c>
      <c r="F14" s="141"/>
      <c r="G14" s="141"/>
      <c r="H14" s="141"/>
      <c r="I14" s="141"/>
      <c r="J14" s="141"/>
    </row>
    <row r="16" spans="1:26" x14ac:dyDescent="0.25">
      <c r="A16" s="140" t="str">
        <f ca="1">Q56</f>
        <v xml:space="preserve">Alone </v>
      </c>
      <c r="B16" s="151" t="str">
        <f ca="1">S56</f>
        <v>Chant   (Character 4).</v>
      </c>
      <c r="C16" s="141" t="str">
        <f ca="1">IF(D16="young adult","is a","is an" )</f>
        <v>is an</v>
      </c>
      <c r="D16" s="141" t="str">
        <f ca="1">'Character 4'!$O$3</f>
        <v>Adult</v>
      </c>
      <c r="E16" s="141" t="str">
        <f ca="1">'Character 4'!$O$2</f>
        <v>Female</v>
      </c>
      <c r="F16" s="141" t="str">
        <f ca="1">IF('Character 4'!$Q$2="dragonborn"," ",'Character 4'!$P$2)</f>
        <v xml:space="preserve"> </v>
      </c>
      <c r="G16" s="141" t="str">
        <f ca="1">'Character 4'!$Q$2</f>
        <v>Tiefling</v>
      </c>
      <c r="H16" s="141" t="s">
        <v>2494</v>
      </c>
      <c r="I16" s="141" t="str">
        <f ca="1">VLOOKUP(RANDBETWEEN(1,20),Table1409[],2)</f>
        <v>plain</v>
      </c>
      <c r="J16" s="141" t="str">
        <f ca="1">IF('Character 4'!$B89="unarmored defense",VLOOKUP(RANDBETWEEN(1,3),Table291[],2),'Character 4'!$B89)&amp;"."</f>
        <v>Half Plate Armor.</v>
      </c>
    </row>
    <row r="17" spans="1:18" x14ac:dyDescent="0.25">
      <c r="A17" s="141"/>
      <c r="B17" s="143"/>
      <c r="C17" s="145" t="str">
        <f ca="1">IF(E16="male","He"&amp;" has",IF(E16="female","She"&amp;" has"," "))</f>
        <v>She has</v>
      </c>
      <c r="D17" s="145" t="str">
        <f ca="1">VLOOKUP(RANDBETWEEN(1,20),Table1410[],2)</f>
        <v>strawberry blonde</v>
      </c>
      <c r="E17" s="143" t="str">
        <f ca="1">VLOOKUP(RANDBETWEEN(1,54),Table141446[],2)</f>
        <v>hair with clots of dirt and blood,</v>
      </c>
      <c r="F17" s="141" t="str">
        <f ca="1">VLOOKUP(RANDBETWEEN(1,20),Table1412[],2)</f>
        <v>dark blue</v>
      </c>
      <c r="G17" s="143" t="str">
        <f ca="1">VLOOKUP(RANDBETWEEN(1,20),Table1415[],2)</f>
        <v>savage eyes that jump from person to person,</v>
      </c>
      <c r="H17" s="141" t="str">
        <f ca="1">VLOOKUP(RANDBETWEEN(1,50),Table1417[],2)</f>
        <v>and a large scar running from temple to jaw.</v>
      </c>
      <c r="I17" s="141"/>
      <c r="J17" s="141"/>
    </row>
    <row r="18" spans="1:18" x14ac:dyDescent="0.25">
      <c r="A18" s="141"/>
      <c r="B18" s="143"/>
      <c r="C18" s="141" t="s">
        <v>2666</v>
      </c>
      <c r="D18" s="141" t="str">
        <f ca="1">IF(R56="p",VLOOKUP(RANDBETWEEN(1,20),Table1418[],2),IF(OR(R56="s",R56="a"),VLOOKUP(RANDBETWEEN(1,20),Table1419[],2)," "))</f>
        <v>shrinking away from</v>
      </c>
      <c r="E18" s="141" t="str">
        <f ca="1">IF(OR(R56="a",R56="s"),VLOOKUP(RANDBETWEEN(1,50),Table1420[],2), IF(R56="p",A16," "))</f>
        <v xml:space="preserve">a small pile of coins on the table. </v>
      </c>
      <c r="F18" s="141"/>
      <c r="G18" s="141"/>
      <c r="H18" s="141"/>
      <c r="I18" s="141"/>
      <c r="J18" s="141"/>
    </row>
    <row r="19" spans="1:18" x14ac:dyDescent="0.25">
      <c r="B19" s="146"/>
    </row>
    <row r="20" spans="1:18" x14ac:dyDescent="0.25">
      <c r="A20" s="140" t="str">
        <f ca="1">Q57</f>
        <v xml:space="preserve">Alone </v>
      </c>
      <c r="B20" s="151" t="str">
        <f ca="1">S57</f>
        <v>Pelaios   (Character 5).</v>
      </c>
      <c r="C20" s="141" t="str">
        <f ca="1">IF(D20="young adult","is a","is an" )</f>
        <v>is an</v>
      </c>
      <c r="D20" s="141" t="str">
        <f ca="1">'Character 5'!$O$3</f>
        <v>Adult</v>
      </c>
      <c r="E20" s="141" t="str">
        <f ca="1">'Character 5'!$O$2</f>
        <v>Male</v>
      </c>
      <c r="F20" s="141" t="str">
        <f ca="1">IF('Character 5'!$Q$2="dragonborn"," ",'Character 5'!$P$2)</f>
        <v xml:space="preserve"> </v>
      </c>
      <c r="G20" s="141" t="str">
        <f ca="1">'Character 5'!$Q$2</f>
        <v>Tiefling</v>
      </c>
      <c r="H20" s="141" t="s">
        <v>2494</v>
      </c>
      <c r="I20" s="141" t="str">
        <f ca="1">VLOOKUP(RANDBETWEEN(1,20),Table1409[],2)</f>
        <v>brand new</v>
      </c>
      <c r="J20" s="141" t="str">
        <f ca="1">IF('Character 5'!$B89="unarmored defense",VLOOKUP(RANDBETWEEN(1,3),Table291[],2),'Character 5'!$B89)&amp;"."</f>
        <v>Common Clothes.</v>
      </c>
    </row>
    <row r="21" spans="1:18" x14ac:dyDescent="0.25">
      <c r="A21" s="141"/>
      <c r="B21" s="143"/>
      <c r="C21" s="145" t="str">
        <f ca="1">IF(E20="male","He"&amp;" has",IF(E20="female","She"&amp;" has"," "))</f>
        <v>He has</v>
      </c>
      <c r="D21" s="145" t="str">
        <f ca="1">VLOOKUP(RANDBETWEEN(1,20),Table1410[],2)</f>
        <v>deep red</v>
      </c>
      <c r="E21" s="143" t="str">
        <f ca="1">VLOOKUP(RANDBETWEEN(1,54),Table141446[],2)</f>
        <v>hair cut long with straight bangs,</v>
      </c>
      <c r="F21" s="141" t="str">
        <f ca="1">VLOOKUP(RANDBETWEEN(1,20),Table1412[],2)</f>
        <v>hazel</v>
      </c>
      <c r="G21" s="143" t="str">
        <f ca="1">VLOOKUP(RANDBETWEEN(1,20),Table1415[],2)</f>
        <v>red-rimmed eyes that look sleepless and weary,</v>
      </c>
      <c r="H21" s="141" t="str">
        <f ca="1">VLOOKUP(RANDBETWEEN(1,50),Table1417[],2)</f>
        <v xml:space="preserve">and no other distinguishing features.  </v>
      </c>
      <c r="I21" s="141"/>
      <c r="J21" s="141"/>
    </row>
    <row r="22" spans="1:18" x14ac:dyDescent="0.25">
      <c r="A22" s="141"/>
      <c r="B22" s="143"/>
      <c r="C22" s="141" t="s">
        <v>2666</v>
      </c>
      <c r="D22" s="141" t="str">
        <f ca="1">IF(R57="p",VLOOKUP(RANDBETWEEN(1,20),Table1418[],2),IF(OR(R57="s",R57="a"),VLOOKUP(RANDBETWEEN(1,20),Table1419[],2)," "))</f>
        <v>shrinking away from</v>
      </c>
      <c r="E22" s="141" t="str">
        <f ca="1">IF(OR(R57="a",R57="s"),VLOOKUP(RANDBETWEEN(1,50),Table1420[],2), IF(R57="p",A20," "))</f>
        <v xml:space="preserve">a book open before them. </v>
      </c>
      <c r="F22" s="141"/>
      <c r="G22" s="141"/>
      <c r="H22" s="141"/>
      <c r="I22" s="141"/>
      <c r="J22" s="141"/>
    </row>
    <row r="24" spans="1:18" x14ac:dyDescent="0.25">
      <c r="A24" s="140" t="str">
        <f ca="1">Q58</f>
        <v xml:space="preserve">Alone </v>
      </c>
      <c r="B24" s="151" t="str">
        <f ca="1">S58</f>
        <v>Heskan Norixius (Character 6).</v>
      </c>
      <c r="C24" s="141" t="str">
        <f ca="1">IF(D24="young adult","is a","is an" )</f>
        <v>is an</v>
      </c>
      <c r="D24" s="141" t="str">
        <f ca="1">'Character 6'!$O$3</f>
        <v>Adult</v>
      </c>
      <c r="E24" s="141" t="str">
        <f ca="1">'Character 6'!$O$2</f>
        <v>Male</v>
      </c>
      <c r="F24" s="141" t="str">
        <f ca="1">IF('Character 6'!$Q$2="dragonborn"," ",'Character 6'!$P$2)</f>
        <v xml:space="preserve"> </v>
      </c>
      <c r="G24" s="141" t="str">
        <f ca="1">'Character 6'!$Q$2</f>
        <v>Dragonborn</v>
      </c>
      <c r="H24" s="141" t="s">
        <v>2494</v>
      </c>
      <c r="I24" s="141" t="str">
        <f ca="1">VLOOKUP(RANDBETWEEN(1,20),Table1409[],2)</f>
        <v>ripped</v>
      </c>
      <c r="J24" s="141" t="str">
        <f ca="1">IF('Character 6'!$B89="unarmored defense",VLOOKUP(RANDBETWEEN(1,3),Table291[],2),'Character 6'!$B89&amp;".")</f>
        <v>Plate Mail.</v>
      </c>
    </row>
    <row r="25" spans="1:18" x14ac:dyDescent="0.25">
      <c r="A25" s="141"/>
      <c r="B25" s="143"/>
      <c r="C25" s="145" t="str">
        <f ca="1">IF(E24="male","He"&amp;" has",IF(E24="female","She"&amp;" has"," "))</f>
        <v>He has</v>
      </c>
      <c r="D25" s="145" t="str">
        <f ca="1">VLOOKUP(RANDBETWEEN(1,20),Table1410[],2)</f>
        <v>dark brown</v>
      </c>
      <c r="E25" s="143" t="str">
        <f ca="1">VLOOKUP(RANDBETWEEN(1,54),Table141446[],2)</f>
        <v>hair in liberty spikes,</v>
      </c>
      <c r="F25" s="141" t="str">
        <f ca="1">VLOOKUP(RANDBETWEEN(1,20),Table1412[],2)</f>
        <v>hazel</v>
      </c>
      <c r="G25" s="143" t="str">
        <f ca="1">VLOOKUP(RANDBETWEEN(1,20),Table1415[],2)</f>
        <v>savage eyes that jump from person to person,</v>
      </c>
      <c r="H25" s="141" t="str">
        <f ca="1">VLOOKUP(RANDBETWEEN(1,50),Table1417[],2)</f>
        <v xml:space="preserve">and no other distinguishing features.  </v>
      </c>
      <c r="I25" s="141"/>
      <c r="J25" s="141"/>
      <c r="R25" s="146"/>
    </row>
    <row r="26" spans="1:18" x14ac:dyDescent="0.25">
      <c r="A26" s="141"/>
      <c r="B26" s="143"/>
      <c r="C26" s="141" t="s">
        <v>2666</v>
      </c>
      <c r="D26" s="141" t="str">
        <f ca="1">IF(R58="p",VLOOKUP(RANDBETWEEN(1,20),Table1418[],2),IF(OR(R58="s",R58="a"),VLOOKUP(RANDBETWEEN(1,20),Table1419[],2)," "))</f>
        <v xml:space="preserve">staring at </v>
      </c>
      <c r="E26" s="141" t="str">
        <f ca="1">IF(OR(R58="a",R58="s"),VLOOKUP(RANDBETWEEN(1,50),Table1420[],2), IF(R58="p",A24," "))</f>
        <v>Zasheir Mei (Character 7).</v>
      </c>
      <c r="F26" s="141"/>
      <c r="G26" s="141"/>
      <c r="H26" s="141"/>
      <c r="I26" s="141"/>
      <c r="J26" s="141"/>
    </row>
    <row r="28" spans="1:18" x14ac:dyDescent="0.25">
      <c r="A28" s="140" t="str">
        <f ca="1">Q59</f>
        <v xml:space="preserve">Alone </v>
      </c>
      <c r="B28" s="151" t="str">
        <f ca="1">S59</f>
        <v>Zasheir Mei (Character 7).</v>
      </c>
      <c r="C28" s="141" t="str">
        <f ca="1">IF(D28="young adult","is a","is an" )</f>
        <v>is an</v>
      </c>
      <c r="D28" s="141" t="str">
        <f ca="1">'Character 7'!$O$3</f>
        <v>Adult</v>
      </c>
      <c r="E28" s="141" t="str">
        <f ca="1">'Character 7'!$O$2</f>
        <v>Male</v>
      </c>
      <c r="F28" s="141" t="str">
        <f ca="1">IF('Character 7'!$Q$2="dragonborn"," ",'Character 7'!$P$2)</f>
        <v xml:space="preserve"> </v>
      </c>
      <c r="G28" s="141" t="str">
        <f ca="1">'Character 7'!$Q$2</f>
        <v>Human</v>
      </c>
      <c r="H28" s="141" t="s">
        <v>2494</v>
      </c>
      <c r="I28" s="141" t="str">
        <f ca="1">VLOOKUP(RANDBETWEEN(1,20),Table1409[],2)</f>
        <v>mud stained</v>
      </c>
      <c r="J28" s="141" t="str">
        <f ca="1">IF('Character 7'!$B89="unarmored defense",VLOOKUP(RANDBETWEEN(1,3),Table291[],2),'Character 7'!$B89)&amp;"."</f>
        <v>Fine Clothes.</v>
      </c>
    </row>
    <row r="29" spans="1:18" x14ac:dyDescent="0.25">
      <c r="A29" s="141"/>
      <c r="B29" s="143"/>
      <c r="C29" s="145" t="str">
        <f ca="1">IF(E28="male","He"&amp;" has",IF(E28="female","She"&amp;" has"," "))</f>
        <v>He has</v>
      </c>
      <c r="D29" s="145" t="str">
        <f ca="1">VLOOKUP(RANDBETWEEN(1,20),Table1410[],2)</f>
        <v>platinum blonde</v>
      </c>
      <c r="E29" s="143" t="str">
        <f ca="1">VLOOKUP(RANDBETWEEN(1,54),Table141446[],2)</f>
        <v>slicked back hair,</v>
      </c>
      <c r="F29" s="141" t="str">
        <f ca="1">VLOOKUP(RANDBETWEEN(1,20),Table1412[],2)</f>
        <v>light green</v>
      </c>
      <c r="G29" s="143" t="str">
        <f ca="1">VLOOKUP(RANDBETWEEN(1,20),Table1415[],2)</f>
        <v xml:space="preserve">eyes that brim with innocent naitivity, </v>
      </c>
      <c r="H29" s="141" t="str">
        <f ca="1">VLOOKUP(RANDBETWEEN(1,50),Table1417[],2)</f>
        <v>and a face covered in small scars.</v>
      </c>
      <c r="I29" s="141"/>
      <c r="J29" s="141"/>
      <c r="Q29" s="147"/>
      <c r="R29" s="146"/>
    </row>
    <row r="30" spans="1:18" x14ac:dyDescent="0.25">
      <c r="A30" s="141"/>
      <c r="B30" s="143"/>
      <c r="C30" s="141" t="s">
        <v>2666</v>
      </c>
      <c r="D30" s="141" t="str">
        <f ca="1">IF(R59="p",VLOOKUP(RANDBETWEEN(1,20),Table1418[],2),IF(OR(R59="s",R59="a"),VLOOKUP(RANDBETWEEN(1,20),Table1419[],2)," "))</f>
        <v>confused by</v>
      </c>
      <c r="E30" s="141" t="str">
        <f ca="1">IF(OR(R59="a",R59="s"),VLOOKUP(RANDBETWEEN(1,50),Table1420[],2), IF(R59="p",A28," "))</f>
        <v>Heskan Norixius (Character 6).</v>
      </c>
      <c r="F30" s="141"/>
      <c r="G30" s="141"/>
      <c r="H30" s="141"/>
      <c r="I30" s="141"/>
      <c r="J30" s="141"/>
      <c r="Q30" s="147"/>
    </row>
    <row r="31" spans="1:18" x14ac:dyDescent="0.25">
      <c r="Q31" s="147"/>
    </row>
    <row r="32" spans="1:18" x14ac:dyDescent="0.25">
      <c r="A32" s="140" t="str">
        <f ca="1">Q60</f>
        <v>Group 2</v>
      </c>
      <c r="B32" s="151" t="str">
        <f ca="1">S60</f>
        <v>Bryn Xiloscient (Character 8).</v>
      </c>
      <c r="C32" s="141" t="str">
        <f ca="1">IF(D32="young adult","is a","is an" )</f>
        <v>is an</v>
      </c>
      <c r="D32" s="141" t="str">
        <f ca="1">'Character 8'!$O$3</f>
        <v>Elderly</v>
      </c>
      <c r="E32" s="141" t="str">
        <f ca="1">'Character 8'!$O$2</f>
        <v>Female</v>
      </c>
      <c r="F32" s="141" t="str">
        <f ca="1">IF('Character 8'!$Q$2="dragonborn"," ",'Character 8'!$P$2)</f>
        <v>Dark</v>
      </c>
      <c r="G32" s="141" t="str">
        <f ca="1">'Character 8'!$Q$2</f>
        <v>Elf</v>
      </c>
      <c r="H32" s="141" t="s">
        <v>2494</v>
      </c>
      <c r="I32" s="141" t="str">
        <f ca="1">VLOOKUP(RANDBETWEEN(1,20),Table1409[],2)</f>
        <v>grass stained</v>
      </c>
      <c r="J32" s="141" t="str">
        <f ca="1">IF('Character 8'!$B89="unarmored defense",VLOOKUP(RANDBETWEEN(1,3),Table291[],2),'Character 8'!$B89)&amp;"."</f>
        <v>Fine Clothes.</v>
      </c>
      <c r="Q32" s="147"/>
    </row>
    <row r="33" spans="1:18" x14ac:dyDescent="0.25">
      <c r="A33" s="141"/>
      <c r="B33" s="143"/>
      <c r="C33" s="145" t="str">
        <f ca="1">IF(E32="male","He"&amp;" has",IF(E32="female","She"&amp;" has"," "))</f>
        <v>She has</v>
      </c>
      <c r="D33" s="145" t="str">
        <f ca="1">VLOOKUP(RANDBETWEEN(1,20),Table1410[],2)</f>
        <v>blonde</v>
      </c>
      <c r="E33" s="143" t="str">
        <f ca="1">VLOOKUP(RANDBETWEEN(1,54),Table141446[],2)</f>
        <v>hair cut into a crude mullet,</v>
      </c>
      <c r="F33" s="141" t="str">
        <f ca="1">VLOOKUP(RANDBETWEEN(1,20),Table1412[],2)</f>
        <v>light green</v>
      </c>
      <c r="G33" s="143" t="str">
        <f ca="1">VLOOKUP(RANDBETWEEN(1,20),Table1415[],2)</f>
        <v>eyes that blaze with intensity,</v>
      </c>
      <c r="H33" s="141" t="str">
        <f ca="1">VLOOKUP(RANDBETWEEN(1,50),Table1417[],2)</f>
        <v>and is missing the majority of one ear.</v>
      </c>
      <c r="I33" s="141"/>
      <c r="J33" s="141"/>
      <c r="Q33" s="147"/>
      <c r="R33" s="146"/>
    </row>
    <row r="34" spans="1:18" x14ac:dyDescent="0.25">
      <c r="A34" s="141"/>
      <c r="B34" s="143"/>
      <c r="C34" s="141" t="s">
        <v>2666</v>
      </c>
      <c r="D34" s="141" t="str">
        <f ca="1">IF(R60="p",VLOOKUP(RANDBETWEEN(1,20),Table1418[],2),IF(OR(R60="s",R60="a"),VLOOKUP(RANDBETWEEN(1,20),Table1419[],2)," "))</f>
        <v xml:space="preserve">giving a speech to </v>
      </c>
      <c r="E34" s="141" t="str">
        <f ca="1">IF(OR(R60="a",R60="s"),VLOOKUP(RANDBETWEEN(1,50),Table1420[],2), IF(R60="p",A32," "))</f>
        <v>Group 2</v>
      </c>
      <c r="F34" s="141"/>
      <c r="G34" s="141"/>
      <c r="H34" s="141"/>
      <c r="I34" s="141"/>
      <c r="J34" s="141"/>
      <c r="Q34" s="147"/>
    </row>
    <row r="35" spans="1:18" x14ac:dyDescent="0.25">
      <c r="Q35" s="147"/>
    </row>
    <row r="36" spans="1:18" x14ac:dyDescent="0.25">
      <c r="A36" s="140" t="str">
        <f ca="1">Q61</f>
        <v xml:space="preserve">Alone </v>
      </c>
      <c r="B36" s="151" t="str">
        <f ca="1">S61</f>
        <v>Thorin Ungart (Character 9).</v>
      </c>
      <c r="C36" s="141" t="str">
        <f ca="1">IF(D36="young adult","is a","is an" )</f>
        <v>is a</v>
      </c>
      <c r="D36" s="141" t="str">
        <f ca="1">'Character 9'!$O$3</f>
        <v>Young Adult</v>
      </c>
      <c r="E36" s="141" t="str">
        <f ca="1">'Character 9'!$O$2</f>
        <v>Male</v>
      </c>
      <c r="F36" s="141" t="str">
        <f ca="1">IF('Character 9'!$Q$2="dragonborn"," ",'Character 9'!$P$2)</f>
        <v>Mountain</v>
      </c>
      <c r="G36" s="141" t="str">
        <f ca="1">'Character 9'!$Q$2</f>
        <v>Dwarf</v>
      </c>
      <c r="H36" s="141" t="s">
        <v>2494</v>
      </c>
      <c r="I36" s="141" t="str">
        <f ca="1">VLOOKUP(RANDBETWEEN(1,20),Table1409[],2)</f>
        <v>battered</v>
      </c>
      <c r="J36" s="141" t="str">
        <f ca="1">IF('Character 9'!$B89="unarmored defense",VLOOKUP(RANDBETWEEN(1,3),Table291[],2),'Character 9'!$B89)&amp;"."</f>
        <v>Half Plate Armor.</v>
      </c>
      <c r="Q36" s="147"/>
    </row>
    <row r="37" spans="1:18" x14ac:dyDescent="0.25">
      <c r="A37" s="141"/>
      <c r="B37" s="143"/>
      <c r="C37" s="145" t="str">
        <f ca="1">IF(E36="male","He"&amp;" has",IF(E36="female","She"&amp;" has"," "))</f>
        <v>He has</v>
      </c>
      <c r="D37" s="145" t="str">
        <f ca="1">VLOOKUP(RANDBETWEEN(1,20),Table1410[],2)</f>
        <v>light brown</v>
      </c>
      <c r="E37" s="143" t="str">
        <f ca="1">VLOOKUP(RANDBETWEEN(1,54),Table141446[],2)</f>
        <v>hair fashioned into a feathercut,</v>
      </c>
      <c r="F37" s="141" t="str">
        <f ca="1">VLOOKUP(RANDBETWEEN(1,20),Table1412[],2)</f>
        <v>light green</v>
      </c>
      <c r="G37" s="143" t="str">
        <f ca="1">VLOOKUP(RANDBETWEEN(1,20),Table1415[],2)</f>
        <v>glazed-over eyes that seem dull and lacking,</v>
      </c>
      <c r="H37" s="141" t="str">
        <f ca="1">VLOOKUP(RANDBETWEEN(1,50),Table1417[],2)</f>
        <v xml:space="preserve">and is bandaged in several places. </v>
      </c>
      <c r="I37" s="141"/>
      <c r="J37" s="141"/>
      <c r="Q37" s="147"/>
      <c r="R37" s="146"/>
    </row>
    <row r="38" spans="1:18" x14ac:dyDescent="0.25">
      <c r="A38" s="141"/>
      <c r="B38" s="143"/>
      <c r="C38" s="141" t="s">
        <v>2666</v>
      </c>
      <c r="D38" s="141" t="str">
        <f ca="1">IF(R61="p",VLOOKUP(RANDBETWEEN(1,20),Table1418[],2),IF(OR(R61="s",R61="a"),VLOOKUP(RANDBETWEEN(1,20),Table1419[],2)," "))</f>
        <v>shaking their head at</v>
      </c>
      <c r="E38" s="141" t="str">
        <f ca="1">IF(OR(R61="a",R61="s"),VLOOKUP(RANDBETWEEN(1,50),Table1420[],2), IF(R61="p",A36," "))</f>
        <v>Zasheir Mei (Character 7).</v>
      </c>
      <c r="F38" s="141"/>
      <c r="G38" s="141"/>
      <c r="H38" s="141"/>
      <c r="I38" s="141"/>
      <c r="J38" s="141"/>
      <c r="Q38" s="147"/>
    </row>
    <row r="39" spans="1:18" x14ac:dyDescent="0.25">
      <c r="Q39" s="147"/>
    </row>
    <row r="40" spans="1:18" x14ac:dyDescent="0.25">
      <c r="A40" s="140" t="str">
        <f ca="1">Q62</f>
        <v xml:space="preserve">Alone </v>
      </c>
      <c r="B40" s="151" t="str">
        <f ca="1">S62</f>
        <v>Balama Pisacar (Character 10).</v>
      </c>
      <c r="C40" s="141" t="str">
        <f ca="1">IF(D40="young adult","is a","is an" )</f>
        <v>is a</v>
      </c>
      <c r="D40" s="141" t="str">
        <f ca="1">'Character 10'!$O$3</f>
        <v>Young Adult</v>
      </c>
      <c r="E40" s="141" t="str">
        <f ca="1">'Character 10'!$O$2</f>
        <v>Female</v>
      </c>
      <c r="F40" s="141" t="str">
        <f ca="1">IF('Character 10'!$Q$2="dragonborn"," ",'Character 10'!$P$2)</f>
        <v xml:space="preserve"> </v>
      </c>
      <c r="G40" s="141" t="str">
        <f ca="1">'Character 10'!$Q$2</f>
        <v>Half-Elf</v>
      </c>
      <c r="H40" s="141" t="s">
        <v>2494</v>
      </c>
      <c r="I40" s="141" t="str">
        <f ca="1">VLOOKUP(RANDBETWEEN(1,20),Table1409[],2)</f>
        <v>plain</v>
      </c>
      <c r="J40" s="141" t="str">
        <f ca="1">IF('Character 10'!$B89="unarmored defense",VLOOKUP(RANDBETWEEN(1,3),Table291[],2),'Character 10'!$B89)&amp;"."</f>
        <v>Fine Clothes.</v>
      </c>
      <c r="Q40" s="147"/>
    </row>
    <row r="41" spans="1:18" x14ac:dyDescent="0.25">
      <c r="A41" s="141"/>
      <c r="B41" s="141"/>
      <c r="C41" s="145" t="str">
        <f ca="1">IF(E40="male","He"&amp;" has",IF(E40="female","She"&amp;" has"," "))</f>
        <v>She has</v>
      </c>
      <c r="D41" s="145" t="str">
        <f ca="1">VLOOKUP(RANDBETWEEN(1,20),Table1410[],2)</f>
        <v>dirty blonde</v>
      </c>
      <c r="E41" s="143" t="str">
        <f ca="1">VLOOKUP(RANDBETWEEN(1,54),Table141446[],2)</f>
        <v>hair cut into a high and tight,</v>
      </c>
      <c r="F41" s="141" t="str">
        <f ca="1">VLOOKUP(RANDBETWEEN(1,20),Table1412[],2)</f>
        <v>light brown</v>
      </c>
      <c r="G41" s="143" t="str">
        <f ca="1">VLOOKUP(RANDBETWEEN(1,20),Table1415[],2)</f>
        <v>eyes that seem to avoid all others,</v>
      </c>
      <c r="H41" s="141" t="str">
        <f ca="1">VLOOKUP(RANDBETWEEN(1,50),Table1417[],2)</f>
        <v xml:space="preserve">and no other distinguishing features.  </v>
      </c>
      <c r="I41" s="141"/>
      <c r="J41" s="141"/>
      <c r="Q41" s="147"/>
    </row>
    <row r="42" spans="1:18" x14ac:dyDescent="0.25">
      <c r="A42" s="141"/>
      <c r="B42" s="141"/>
      <c r="C42" s="141" t="s">
        <v>2666</v>
      </c>
      <c r="D42" s="141" t="str">
        <f ca="1">IF(R62="p",VLOOKUP(RANDBETWEEN(1,20),Table1418[],2),IF(OR(R62="s",R62="a"),VLOOKUP(RANDBETWEEN(1,20),Table1419[],2)," "))</f>
        <v>poking</v>
      </c>
      <c r="E42" s="141" t="str">
        <f ca="1">IF(OR(R62="a",R62="s"),VLOOKUP(RANDBETWEEN(1,50),Table1420[],2), IF(R62="p",A40," "))</f>
        <v>the bartender.</v>
      </c>
      <c r="F42" s="141"/>
      <c r="G42" s="141"/>
      <c r="H42" s="141"/>
      <c r="I42" s="141"/>
      <c r="J42" s="141"/>
      <c r="Q42" s="147"/>
    </row>
    <row r="52" spans="17:21" x14ac:dyDescent="0.25">
      <c r="Q52" s="142" t="s">
        <v>1644</v>
      </c>
      <c r="R52" s="142" t="s">
        <v>1646</v>
      </c>
      <c r="S52" s="146" t="s">
        <v>1645</v>
      </c>
      <c r="T52" s="142" t="s">
        <v>1647</v>
      </c>
      <c r="U52" s="142" t="s">
        <v>1648</v>
      </c>
    </row>
    <row r="53" spans="17:21" x14ac:dyDescent="0.25">
      <c r="Q53" s="142" t="str">
        <f ca="1">IF($Z$2=10,VLOOKUP(T53,Table238[],3),IF($Z$2=9,VLOOKUP(T53,Table237[],3),IF($Z$2=8,VLOOKUP(T53,Table232[],3),IF($Z$2=7,VLOOKUP(T53,Table225[],3),IF($Z$2=6,VLOOKUP(T53,Table71[],3),IF($Z$2=5,VLOOKUP(T53,Table67[],3),IF($Z$2=4,VLOOKUP(T53,Table63[],3),IF($Z$2=3,VLOOKUP(T53,Table14291433[],3),IF($Z$2=2,VLOOKUP(T53,Table1429[],3),IF($Z$2=1,VLOOKUP(T53,Table1426[],3)))))))))))</f>
        <v>Group 2</v>
      </c>
      <c r="R53" s="142" t="str">
        <f ca="1">IF($Z$2=10,VLOOKUP(T53,Table238[],4),IF($Z$2=9,VLOOKUP(T53,Table237[],4),IF($Z$2=8,VLOOKUP(T53,Table232[],4),IF($Z$2=7,VLOOKUP(T53,Table225[],4),IF($Z$2=6,VLOOKUP(T53,Table71[],4),IF($Z$2=5,VLOOKUP(T53,Table67[],4),IF($Z$2=4,VLOOKUP(T53,Table63[],4),IF($Z$2=3,VLOOKUP(T53,Table14291433[],4),IF($Z$2=2,VLOOKUP(T53,Table1429[],4),IF($Z$2=1,VLOOKUP(T53,Table1426[],4)))))))))))</f>
        <v>s</v>
      </c>
      <c r="S53" s="146" t="str">
        <f ca="1">'Character 1'!P1&amp;" "&amp; 'Character 1'!Q1&amp;" (Character 1)"</f>
        <v>Nyx Aleslosh (Character 1)</v>
      </c>
      <c r="T53" s="142">
        <f t="shared" ref="T53:T62" ca="1" si="0">_xlfn.RANK.EQ(U53,U$53:U$62)</f>
        <v>10</v>
      </c>
      <c r="U53" s="142">
        <f t="shared" ref="U53:U62" ca="1" si="1">RAND()</f>
        <v>8.7059019939338178E-2</v>
      </c>
    </row>
    <row r="54" spans="17:21" x14ac:dyDescent="0.25">
      <c r="Q54" s="142" t="str">
        <f ca="1">IF($Z$2=10,VLOOKUP(T54,Table238[],3),IF($Z$2=9,VLOOKUP(T54,Table237[],3),IF($Z$2=8,VLOOKUP(T54,Table232[],3),IF($Z$2=7,VLOOKUP(T54,Table225[],3),IF($Z$2=6,VLOOKUP(T54,Table71[],3),IF($Z$2=5,VLOOKUP(T54,Table67[],3),IF($Z$2=4,VLOOKUP(T54,Table63[],3),IF($Z$2=3,VLOOKUP(T54,Table14291433[],3),IF($Z$2=2,VLOOKUP(T54,Table1429[],3),IF($Z$2=1,VLOOKUP(T54,Table1426[],3)))))))))))</f>
        <v>Group 1</v>
      </c>
      <c r="R54" s="142" t="str">
        <f ca="1">IF($Z$2=10,VLOOKUP(T54,Table238[],4),IF($Z$2=9,VLOOKUP(T54,Table237[],4),IF($Z$2=8,VLOOKUP(T54,Table232[],4),IF($Z$2=7,VLOOKUP(T54,Table225[],4),IF($Z$2=6,VLOOKUP(T54,Table71[],4),IF($Z$2=5,VLOOKUP(T54,Table67[],4),IF($Z$2=4,VLOOKUP(T54,Table63[],4),IF($Z$2=3,VLOOKUP(T54,Table14291433[],4),IF($Z$2=2,VLOOKUP(T54,Table1429[],4),IF($Z$2=1,VLOOKUP(T54,Table1426[],4)))))))))))</f>
        <v>p</v>
      </c>
      <c r="S54" s="148" t="str">
        <f ca="1">'Character 2'!P1&amp;" "&amp; 'Character 2'!Q1&amp;" (Character 2)."</f>
        <v>Rolen Xiloscient (Character 2).</v>
      </c>
      <c r="T54" s="142">
        <f t="shared" ca="1" si="0"/>
        <v>7</v>
      </c>
      <c r="U54" s="142">
        <f t="shared" ca="1" si="1"/>
        <v>0.44756224013534929</v>
      </c>
    </row>
    <row r="55" spans="17:21" x14ac:dyDescent="0.25">
      <c r="Q55" s="142" t="str">
        <f ca="1">IF($Z$2=10,VLOOKUP(T55,Table238[],3),IF($Z$2=9,VLOOKUP(T55,Table237[],3),IF($Z$2=8,VLOOKUP(T55,Table232[],3),IF($Z$2=7,VLOOKUP(T55,Table225[],3),IF($Z$2=6,VLOOKUP(T55,Table71[],3),IF($Z$2=5,VLOOKUP(T55,Table67[],3),IF($Z$2=4,VLOOKUP(T55,Table63[],3),IF($Z$2=3,VLOOKUP(T55,Table14291433[],3),IF($Z$2=2,VLOOKUP(T55,Table1429[],3),IF($Z$2=1,VLOOKUP(T55,Table1426[],3)))))))))))</f>
        <v>Group 1</v>
      </c>
      <c r="R55" s="142" t="str">
        <f ca="1">IF($Z$2=10,VLOOKUP(T55,Table238[],4),IF($Z$2=9,VLOOKUP(T55,Table237[],4),IF($Z$2=8,VLOOKUP(T55,Table232[],4),IF($Z$2=7,VLOOKUP(T55,Table225[],4),IF($Z$2=6,VLOOKUP(T55,Table71[],4),IF($Z$2=5,VLOOKUP(T55,Table67[],4),IF($Z$2=4,VLOOKUP(T55,Table63[],4),IF($Z$2=3,VLOOKUP(T55,Table14291433[],4),IF($Z$2=2,VLOOKUP(T55,Table1429[],4),IF($Z$2=1,VLOOKUP(T55,Table1426[],4)))))))))))</f>
        <v>s</v>
      </c>
      <c r="S55" s="146" t="str">
        <f ca="1">'Character 3'!P1&amp;" "&amp; 'Character 3'!Q1&amp;" (Character 3)."</f>
        <v>Dimble Filchbatter (Character 3).</v>
      </c>
      <c r="T55" s="142">
        <f t="shared" ca="1" si="0"/>
        <v>8</v>
      </c>
      <c r="U55" s="142">
        <f t="shared" ca="1" si="1"/>
        <v>0.4316936739627707</v>
      </c>
    </row>
    <row r="56" spans="17:21" x14ac:dyDescent="0.25">
      <c r="Q56" s="142" t="str">
        <f ca="1">IF($Z$2=10,VLOOKUP(T56,Table238[],3),IF($Z$2=9,VLOOKUP(T56,Table237[],3),IF($Z$2=8,VLOOKUP(T56,Table232[],3),IF($Z$2=7,VLOOKUP(T56,Table225[],3),IF($Z$2=6,VLOOKUP(T56,Table71[],3),IF($Z$2=5,VLOOKUP(T56,Table67[],3),IF($Z$2=4,VLOOKUP(T56,Table63[],3),IF($Z$2=3,VLOOKUP(T56,Table14291433[],3),IF($Z$2=2,VLOOKUP(T56,Table1429[],3),IF($Z$2=1,VLOOKUP(T56,Table1426[],3)))))))))))</f>
        <v xml:space="preserve">Alone </v>
      </c>
      <c r="R56" s="142" t="str">
        <f ca="1">IF($Z$2=10,VLOOKUP(T56,Table238[],4),IF($Z$2=9,VLOOKUP(T56,Table237[],4),IF($Z$2=8,VLOOKUP(T56,Table232[],4),IF($Z$2=7,VLOOKUP(T56,Table225[],4),IF($Z$2=6,VLOOKUP(T56,Table71[],4),IF($Z$2=5,VLOOKUP(T56,Table67[],4),IF($Z$2=4,VLOOKUP(T56,Table63[],4),IF($Z$2=3,VLOOKUP(T56,Table14291433[],4),IF($Z$2=2,VLOOKUP(T56,Table1429[],4),IF($Z$2=1,VLOOKUP(T56,Table1426[],4)))))))))))</f>
        <v>a</v>
      </c>
      <c r="S56" s="146" t="str">
        <f ca="1">'Character 4'!P1&amp;" "&amp; 'Character 4'!Q1&amp;" (Character 4)."</f>
        <v>Chant   (Character 4).</v>
      </c>
      <c r="T56" s="142">
        <f t="shared" ca="1" si="0"/>
        <v>1</v>
      </c>
      <c r="U56" s="142">
        <f t="shared" ca="1" si="1"/>
        <v>0.95594791203831397</v>
      </c>
    </row>
    <row r="57" spans="17:21" x14ac:dyDescent="0.25">
      <c r="Q57" s="142" t="str">
        <f ca="1">IF($Z$2=10,VLOOKUP(T57,Table238[],3),IF($Z$2=9,VLOOKUP(T57,Table237[],3),IF($Z$2=8,VLOOKUP(T57,Table232[],3),IF($Z$2=7,VLOOKUP(T57,Table225[],3),IF($Z$2=6,VLOOKUP(T57,Table71[],3),IF($Z$2=5,VLOOKUP(T57,Table67[],3),IF($Z$2=4,VLOOKUP(T57,Table63[],3),IF($Z$2=3,VLOOKUP(T57,Table14291433[],3),IF($Z$2=2,VLOOKUP(T57,Table1429[],3),IF($Z$2=1,VLOOKUP(T57,Table1426[],3)))))))))))</f>
        <v xml:space="preserve">Alone </v>
      </c>
      <c r="R57" s="142" t="str">
        <f ca="1">IF($Z$2=10,VLOOKUP(T57,Table238[],4),IF($Z$2=9,VLOOKUP(T57,Table237[],4),IF($Z$2=8,VLOOKUP(T57,Table232[],4),IF($Z$2=7,VLOOKUP(T57,Table225[],4),IF($Z$2=6,VLOOKUP(T57,Table71[],4),IF($Z$2=5,VLOOKUP(T57,Table67[],4),IF($Z$2=4,VLOOKUP(T57,Table63[],4),IF($Z$2=3,VLOOKUP(T57,Table14291433[],4),IF($Z$2=2,VLOOKUP(T57,Table1429[],4),IF($Z$2=1,VLOOKUP(T57,Table1426[],4)))))))))))</f>
        <v>a</v>
      </c>
      <c r="S57" s="149" t="str">
        <f ca="1">'Character 5'!P1&amp;" "&amp; 'Character 5'!Q1&amp;" (Character 5)."</f>
        <v>Pelaios   (Character 5).</v>
      </c>
      <c r="T57" s="142">
        <f t="shared" ca="1" si="0"/>
        <v>2</v>
      </c>
      <c r="U57" s="142">
        <f t="shared" ca="1" si="1"/>
        <v>0.94687833206687277</v>
      </c>
    </row>
    <row r="58" spans="17:21" x14ac:dyDescent="0.25">
      <c r="Q58" s="142" t="str">
        <f ca="1">IF($Z$2=10,VLOOKUP(T58,Table238[],3),IF($Z$2=9,VLOOKUP(T58,Table237[],3),IF($Z$2=8,VLOOKUP(T58,Table232[],3),IF($Z$2=7,VLOOKUP(T58,Table225[],3),IF($Z$2=6,VLOOKUP(T58,Table71[],3),IF($Z$2=5,VLOOKUP(T58,Table67[],3),IF($Z$2=4,VLOOKUP(T58,Table63[],3),IF($Z$2=3,VLOOKUP(T58,Table14291433[],3),IF($Z$2=2,VLOOKUP(T58,Table1429[],3),IF($Z$2=1,VLOOKUP(T58,Table1426[],3)))))))))))</f>
        <v xml:space="preserve">Alone </v>
      </c>
      <c r="R58" s="142" t="str">
        <f ca="1">IF($Z$2=10,VLOOKUP(T58,Table238[],4),IF($Z$2=9,VLOOKUP(T58,Table237[],4),IF($Z$2=8,VLOOKUP(T58,Table232[],4),IF($Z$2=7,VLOOKUP(T58,Table225[],4),IF($Z$2=6,VLOOKUP(T58,Table71[],4),IF($Z$2=5,VLOOKUP(T58,Table67[],4),IF($Z$2=4,VLOOKUP(T58,Table63[],4),IF($Z$2=3,VLOOKUP(T58,Table14291433[],4),IF($Z$2=2,VLOOKUP(T58,Table1429[],4),IF($Z$2=1,VLOOKUP(T58,Table1426[],4)))))))))))</f>
        <v>a</v>
      </c>
      <c r="S58" s="148" t="str">
        <f ca="1">'Character 6'!P1&amp;" "&amp; 'Character 6'!Q1&amp;" (Character 6)."</f>
        <v>Heskan Norixius (Character 6).</v>
      </c>
      <c r="T58" s="142">
        <f t="shared" ca="1" si="0"/>
        <v>4</v>
      </c>
      <c r="U58" s="142">
        <f t="shared" ca="1" si="1"/>
        <v>0.57675660971666343</v>
      </c>
    </row>
    <row r="59" spans="17:21" x14ac:dyDescent="0.25">
      <c r="Q59" s="142" t="str">
        <f ca="1">IF($Z$2=10,VLOOKUP(T59,Table238[],3),IF($Z$2=9,VLOOKUP(T59,Table237[],3),IF($Z$2=8,VLOOKUP(T59,Table232[],3),IF($Z$2=7,VLOOKUP(T59,Table225[],3),IF($Z$2=6,VLOOKUP(T59,Table71[],3),IF($Z$2=5,VLOOKUP(T59,Table67[],3),IF($Z$2=4,VLOOKUP(T59,Table63[],3),IF($Z$2=3,VLOOKUP(T59,Table14291433[],3),IF($Z$2=2,VLOOKUP(T59,Table1429[],3),IF($Z$2=1,VLOOKUP(T59,Table1426[],3)))))))))))</f>
        <v xml:space="preserve">Alone </v>
      </c>
      <c r="R59" s="142" t="str">
        <f ca="1">IF($Z$2=10,VLOOKUP(T59,Table238[],4),IF($Z$2=9,VLOOKUP(T59,Table237[],4),IF($Z$2=8,VLOOKUP(T59,Table232[],4),IF($Z$2=7,VLOOKUP(T59,Table225[],4),IF($Z$2=6,VLOOKUP(T59,Table71[],4),IF($Z$2=5,VLOOKUP(T59,Table67[],4),IF($Z$2=4,VLOOKUP(T59,Table63[],4),IF($Z$2=3,VLOOKUP(T59,Table14291433[],4),IF($Z$2=2,VLOOKUP(T59,Table1429[],4),IF($Z$2=1,VLOOKUP(T59,Table1426[],4)))))))))))</f>
        <v>a</v>
      </c>
      <c r="S59" s="150" t="str">
        <f ca="1">'Character 7'!P1&amp;" "&amp; 'Character 7'!Q1&amp;" (Character 7)."</f>
        <v>Zasheir Mei (Character 7).</v>
      </c>
      <c r="T59" s="142">
        <f t="shared" ca="1" si="0"/>
        <v>6</v>
      </c>
      <c r="U59" s="142">
        <f t="shared" ca="1" si="1"/>
        <v>0.4743563135874177</v>
      </c>
    </row>
    <row r="60" spans="17:21" ht="31.5" x14ac:dyDescent="0.25">
      <c r="Q60" s="142" t="str">
        <f ca="1">IF($Z$2=10,VLOOKUP(T60,Table238[],3),IF($Z$2=9,VLOOKUP(T60,Table237[],3),IF($Z$2=8,VLOOKUP(T60,Table232[],3),IF($Z$2=7,VLOOKUP(T60,Table225[],3),IF($Z$2=6,VLOOKUP(T60,Table71[],3),IF($Z$2=5,VLOOKUP(T60,Table67[],3),IF($Z$2=4,VLOOKUP(T60,Table63[],3),IF($Z$2=3,VLOOKUP(T60,Table14291433[],3),IF($Z$2=2,VLOOKUP(T60,Table1429[],3),IF($Z$2=1,VLOOKUP(T60,Table1426[],3)))))))))))</f>
        <v>Group 2</v>
      </c>
      <c r="R60" s="142" t="str">
        <f ca="1">IF($Z$2=10,VLOOKUP(T60,Table238[],4),IF($Z$2=9,VLOOKUP(T60,Table237[],4),IF($Z$2=8,VLOOKUP(T60,Table232[],4),IF($Z$2=7,VLOOKUP(T60,Table225[],4),IF($Z$2=6,VLOOKUP(T60,Table71[],4),IF($Z$2=5,VLOOKUP(T60,Table67[],4),IF($Z$2=4,VLOOKUP(T60,Table63[],4),IF($Z$2=3,VLOOKUP(T60,Table14291433[],4),IF($Z$2=2,VLOOKUP(T60,Table1429[],4),IF($Z$2=1,VLOOKUP(T60,Table1426[],4)))))))))))</f>
        <v>p</v>
      </c>
      <c r="S60" s="146" t="str">
        <f ca="1">'Character 8'!P1&amp;" "&amp; 'Character 8'!Q1&amp;" (Character 8)."</f>
        <v>Bryn Xiloscient (Character 8).</v>
      </c>
      <c r="T60" s="142">
        <f t="shared" ca="1" si="0"/>
        <v>9</v>
      </c>
      <c r="U60" s="142">
        <f t="shared" ca="1" si="1"/>
        <v>0.20007255404871638</v>
      </c>
    </row>
    <row r="61" spans="17:21" x14ac:dyDescent="0.25">
      <c r="Q61" s="142" t="str">
        <f ca="1">IF($Z$2=10,VLOOKUP(T61,Table238[],3),IF($Z$2=9,VLOOKUP(T61,Table237[],3),IF($Z$2=8,VLOOKUP(T61,Table232[],3),IF($Z$2=7,VLOOKUP(T61,Table225[],3),IF($Z$2=6,VLOOKUP(T61,Table71[],3),IF($Z$2=5,VLOOKUP(T61,Table67[],3),IF($Z$2=4,VLOOKUP(T61,Table63[],3),IF($Z$2=3,VLOOKUP(T61,Table14291433[],3),IF($Z$2=2,VLOOKUP(T61,Table1429[],3),IF($Z$2=1,VLOOKUP(T61,Table1426[],3)))))))))))</f>
        <v xml:space="preserve">Alone </v>
      </c>
      <c r="R61" s="142" t="str">
        <f ca="1">IF($Z$2=10,VLOOKUP(T61,Table238[],4),IF($Z$2=9,VLOOKUP(T61,Table237[],4),IF($Z$2=8,VLOOKUP(T61,Table232[],4),IF($Z$2=7,VLOOKUP(T61,Table225[],4),IF($Z$2=6,VLOOKUP(T61,Table71[],4),IF($Z$2=5,VLOOKUP(T61,Table67[],4),IF($Z$2=4,VLOOKUP(T61,Table63[],4),IF($Z$2=3,VLOOKUP(T61,Table14291433[],4),IF($Z$2=2,VLOOKUP(T61,Table1429[],4),IF($Z$2=1,VLOOKUP(T61,Table1426[],4)))))))))))</f>
        <v>a</v>
      </c>
      <c r="S61" s="150" t="str">
        <f ca="1">'Character 9'!P1&amp;" "&amp; 'Character 9'!Q1&amp;" (Character 9)."</f>
        <v>Thorin Ungart (Character 9).</v>
      </c>
      <c r="T61" s="142">
        <f t="shared" ca="1" si="0"/>
        <v>3</v>
      </c>
      <c r="U61" s="142">
        <f t="shared" ca="1" si="1"/>
        <v>0.61068421449442867</v>
      </c>
    </row>
    <row r="62" spans="17:21" x14ac:dyDescent="0.25">
      <c r="Q62" s="142" t="str">
        <f ca="1">IF($Z$2=10,VLOOKUP(T62,Table238[],3),IF($Z$2=9,VLOOKUP(T62,Table237[],3),IF($Z$2=8,VLOOKUP(T62,Table232[],3),IF($Z$2=7,VLOOKUP(T62,Table225[],3),IF($Z$2=6,VLOOKUP(T62,Table71[],3),IF($Z$2=5,VLOOKUP(T62,Table67[],3),IF($Z$2=4,VLOOKUP(T62,Table63[],3),IF($Z$2=3,VLOOKUP(T62,Table14291433[],3),IF($Z$2=2,VLOOKUP(T62,Table1429[],3),IF($Z$2=1,VLOOKUP(T62,Table1426[],3)))))))))))</f>
        <v xml:space="preserve">Alone </v>
      </c>
      <c r="R62" s="142" t="str">
        <f ca="1">IF($Z$2=10,VLOOKUP(T62,Table238[],4),IF($Z$2=9,VLOOKUP(T62,Table237[],4),IF($Z$2=8,VLOOKUP(T62,Table232[],4),IF($Z$2=7,VLOOKUP(T62,Table225[],4),IF($Z$2=6,VLOOKUP(T62,Table71[],4),IF($Z$2=5,VLOOKUP(T62,Table67[],4),IF($Z$2=4,VLOOKUP(T62,Table63[],4),IF($Z$2=3,VLOOKUP(T62,Table14291433[],4),IF($Z$2=2,VLOOKUP(T62,Table1429[],4),IF($Z$2=1,VLOOKUP(T62,Table1426[],4)))))))))))</f>
        <v>a</v>
      </c>
      <c r="S62" s="146" t="str">
        <f ca="1">'Character 10'!P1&amp;" "&amp; 'Character 10'!Q1&amp;" (Character 10)."</f>
        <v>Balama Pisacar (Character 10).</v>
      </c>
      <c r="T62" s="142">
        <f t="shared" ca="1" si="0"/>
        <v>5</v>
      </c>
      <c r="U62" s="142">
        <f t="shared" ca="1" si="1"/>
        <v>0.50869248253505339</v>
      </c>
    </row>
  </sheetData>
  <sheetProtection sheet="1" objects="1" scenarios="1"/>
  <phoneticPr fontId="4" type="noConversion"/>
  <hyperlinks>
    <hyperlink ref="B4" location="'Character 1'!A1" display="'Character 1'!A1" xr:uid="{369F933D-C081-4F91-9AC3-7A877AB8BC4A}"/>
    <hyperlink ref="B8" location="'Character 2'!A1" display="'Character 2'!A1" xr:uid="{DFF72473-7049-42B8-84B3-D5986AD29045}"/>
    <hyperlink ref="B12" location="'Character 3'!A1" display="'Character 3'!A1" xr:uid="{BB70FED5-FEA2-4F94-86B4-3105DA15B9E8}"/>
    <hyperlink ref="B16" location="'Character 4'!A1" display="'Character 4'!A1" xr:uid="{F64D06E1-4829-4C86-B6C7-9A1BB4AA5129}"/>
    <hyperlink ref="B20" location="'Character 5'!A1" display="'Character 5'!A1" xr:uid="{0AD90769-2DBF-4311-927F-E45CB5CBD9CF}"/>
    <hyperlink ref="B24" location="'Character 6'!A1" display="'Character 6'!A1" xr:uid="{57827FED-245F-4794-9253-27BF527F3337}"/>
    <hyperlink ref="B28" location="'Character 7'!A1" display="'Character 7'!A1" xr:uid="{EBD261EA-F53E-4657-BD0F-E56FACCE68AF}"/>
    <hyperlink ref="B32" location="'Character 8'!A1" display="'Character 8'!A1" xr:uid="{8036FD17-3E70-4305-B593-F634290563A7}"/>
    <hyperlink ref="B36" location="'Character 9'!A1" display="'Character 9'!A1" xr:uid="{AF50276E-5B79-462E-A83E-9505FC4F81BC}"/>
    <hyperlink ref="B40" location="'Character 10'!A1" display="'Character 10'!A1" xr:uid="{C3F44EF0-E5E4-4873-A184-C610FB3D5814}"/>
  </hyperlinks>
  <pageMargins left="0.25" right="0.25" top="0.75" bottom="0.75" header="0.3" footer="0.3"/>
  <pageSetup scale="34" fitToHeight="0" orientation="landscape" horizontalDpi="4294967293" r:id="rId1"/>
  <tableParts count="11">
    <tablePart r:id="rId2"/>
    <tablePart r:id="rId3"/>
    <tablePart r:id="rId4"/>
    <tablePart r:id="rId5"/>
    <tablePart r:id="rId6"/>
    <tablePart r:id="rId7"/>
    <tablePart r:id="rId8"/>
    <tablePart r:id="rId9"/>
    <tablePart r:id="rId10"/>
    <tablePart r:id="rId11"/>
    <tablePart r:id="rId1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2CEC4-9816-4CE5-BE6F-B03DD4324BCD}">
  <sheetPr codeName="Аркуш4">
    <pageSetUpPr fitToPage="1"/>
  </sheetPr>
  <dimension ref="A1:CJ343"/>
  <sheetViews>
    <sheetView showGridLines="0" showRowColHeaders="0" tabSelected="1" topLeftCell="A41" zoomScale="54" zoomScaleNormal="54" workbookViewId="0">
      <selection activeCell="B54" sqref="B54"/>
    </sheetView>
  </sheetViews>
  <sheetFormatPr defaultColWidth="8.85546875" defaultRowHeight="18.75" x14ac:dyDescent="0.3"/>
  <cols>
    <col min="1" max="1" width="23.140625" style="29" customWidth="1"/>
    <col min="2" max="2" width="62.7109375" style="29" customWidth="1"/>
    <col min="3" max="3" width="13.7109375" style="29" hidden="1" customWidth="1"/>
    <col min="4" max="5" width="3.85546875" style="29" hidden="1" customWidth="1"/>
    <col min="6" max="8" width="5" style="29" hidden="1" customWidth="1"/>
    <col min="9" max="9" width="11.7109375" style="29" hidden="1" customWidth="1"/>
    <col min="10" max="10" width="2.28515625" style="29" hidden="1" customWidth="1"/>
    <col min="11" max="11" width="14.7109375" style="29" hidden="1" customWidth="1"/>
    <col min="12" max="12" width="13.28515625" style="29" hidden="1" customWidth="1"/>
    <col min="13" max="13" width="7.28515625" style="29" hidden="1" customWidth="1"/>
    <col min="14" max="14" width="2.140625" style="29" hidden="1" customWidth="1"/>
    <col min="15" max="19" width="50.7109375" style="29" customWidth="1"/>
    <col min="20" max="20" width="34" style="29" customWidth="1"/>
    <col min="21" max="21" width="34.28515625" style="29" customWidth="1"/>
    <col min="22" max="22" width="34.140625" style="29" customWidth="1"/>
    <col min="23" max="23" width="29.85546875" style="29" customWidth="1"/>
    <col min="24" max="24" width="18.5703125" style="29" customWidth="1"/>
    <col min="25" max="25" width="34.28515625" style="29" bestFit="1" customWidth="1"/>
    <col min="26" max="26" width="32.7109375" style="29" customWidth="1"/>
    <col min="27" max="27" width="9.7109375" style="29" bestFit="1" customWidth="1"/>
    <col min="28" max="28" width="12.140625" style="29" bestFit="1" customWidth="1"/>
    <col min="29" max="29" width="8.85546875" style="29"/>
    <col min="30" max="30" width="0" style="29" hidden="1" customWidth="1"/>
    <col min="31" max="31" width="10.28515625" style="29" hidden="1" customWidth="1"/>
    <col min="32" max="32" width="23.5703125" style="29" hidden="1" customWidth="1"/>
    <col min="33" max="33" width="8.85546875" style="29" hidden="1" customWidth="1"/>
    <col min="34" max="34" width="17.85546875" style="29" hidden="1" customWidth="1"/>
    <col min="35" max="35" width="3.5703125" style="29" hidden="1" customWidth="1"/>
    <col min="36" max="36" width="21.85546875" style="29" hidden="1" customWidth="1"/>
    <col min="37" max="37" width="14.140625" style="29" hidden="1" customWidth="1"/>
    <col min="38" max="38" width="21.85546875" style="29" hidden="1" customWidth="1"/>
    <col min="39" max="39" width="5.7109375" style="29" hidden="1" customWidth="1"/>
    <col min="40" max="40" width="27.7109375" style="29" hidden="1" customWidth="1"/>
    <col min="41" max="41" width="10.7109375" style="29" hidden="1" customWidth="1"/>
    <col min="42" max="42" width="13.28515625" style="29" hidden="1" customWidth="1"/>
    <col min="43" max="43" width="13" style="29" hidden="1" customWidth="1"/>
    <col min="44" max="44" width="8.85546875" style="29" hidden="1" customWidth="1"/>
    <col min="45" max="45" width="11.7109375" style="29" hidden="1" customWidth="1"/>
    <col min="46" max="47" width="8.85546875" style="29" hidden="1" customWidth="1"/>
    <col min="48" max="49" width="15.28515625" style="29" hidden="1" customWidth="1"/>
    <col min="50" max="50" width="14.140625" style="29" hidden="1" customWidth="1"/>
    <col min="51" max="51" width="9.85546875" style="29" hidden="1" customWidth="1"/>
    <col min="52" max="52" width="12.140625" style="29" hidden="1" customWidth="1"/>
    <col min="53" max="53" width="15.28515625" style="29" hidden="1" customWidth="1"/>
    <col min="54" max="54" width="12.140625" style="29" hidden="1" customWidth="1"/>
    <col min="55" max="55" width="9" style="29" hidden="1" customWidth="1"/>
    <col min="56" max="57" width="10.42578125" style="29" hidden="1" customWidth="1"/>
    <col min="58" max="58" width="9.7109375" style="29" hidden="1" customWidth="1"/>
    <col min="59" max="59" width="10.42578125" style="29" hidden="1" customWidth="1"/>
    <col min="60" max="60" width="7.140625" style="29" hidden="1" customWidth="1"/>
    <col min="61" max="61" width="10.42578125" style="29" hidden="1" customWidth="1"/>
    <col min="62" max="62" width="11.7109375" style="29" hidden="1" customWidth="1"/>
    <col min="63" max="63" width="14.140625" style="29" hidden="1" customWidth="1"/>
    <col min="64" max="64" width="8.85546875" style="29" hidden="1" customWidth="1"/>
    <col min="65" max="65" width="15.7109375" style="29" hidden="1" customWidth="1"/>
    <col min="66" max="66" width="10" style="29" hidden="1" customWidth="1"/>
    <col min="67" max="67" width="13.42578125" style="29" hidden="1" customWidth="1"/>
    <col min="68" max="68" width="15.28515625" style="29" hidden="1" customWidth="1"/>
    <col min="69" max="69" width="15" style="29" hidden="1" customWidth="1"/>
    <col min="70" max="70" width="7.28515625" style="29" hidden="1" customWidth="1"/>
    <col min="71" max="71" width="17.85546875" style="29" hidden="1" customWidth="1"/>
    <col min="72" max="72" width="14.140625" style="29" hidden="1" customWidth="1"/>
    <col min="73" max="73" width="8.28515625" style="29" hidden="1" customWidth="1"/>
    <col min="74" max="74" width="15.28515625" style="29" hidden="1" customWidth="1"/>
    <col min="75" max="79" width="8.85546875" style="29" hidden="1" customWidth="1"/>
    <col min="80" max="80" width="21.140625" style="29" hidden="1" customWidth="1"/>
    <col min="81" max="81" width="12" style="29" hidden="1" customWidth="1"/>
    <col min="82" max="82" width="15.28515625" style="29" hidden="1" customWidth="1"/>
    <col min="83" max="88" width="8.85546875" style="29" hidden="1" customWidth="1"/>
    <col min="89" max="115" width="8.85546875" style="29" customWidth="1"/>
    <col min="116" max="16384" width="8.85546875" style="29"/>
  </cols>
  <sheetData>
    <row r="1" spans="1:83" ht="26.25" thickBot="1" x14ac:dyDescent="0.4">
      <c r="A1" s="153" t="s">
        <v>2755</v>
      </c>
      <c r="B1" s="30"/>
      <c r="C1" s="99"/>
      <c r="D1" s="99"/>
      <c r="E1" s="99"/>
      <c r="F1" s="99"/>
      <c r="G1" s="99"/>
      <c r="H1" s="99"/>
      <c r="I1" s="99"/>
      <c r="J1" s="99"/>
      <c r="K1" s="99"/>
      <c r="L1" s="99"/>
      <c r="M1" s="99"/>
      <c r="N1" s="99"/>
      <c r="O1" s="125" t="s">
        <v>0</v>
      </c>
      <c r="P1" s="126" t="str">
        <f ca="1">IF(AND(Q2="dwarf",O2="male"),VLOOKUP(RANDBETWEEN(1,30),Table4[],2),IF(AND(Q2="dwarf",O2="female"),VLOOKUP(RANDBETWEEN(1,23),Table13[],2),IF(AND(Q2="elf",O2="male"),VLOOKUP(RANDBETWEEN(1,38),Table6[],2),IF(AND(Q2="elf",O2="female"),VLOOKUP(RANDBETWEEN(1,36),Table15[],2),IF(AND(Q2="halfling",O2="male"),VLOOKUP(RANDBETWEEN(1,17),Table10[],2),IF(AND(Q2="halfling",O2="female"),VLOOKUP(RANDBETWEEN(1,18),Table16[],2),IF(AND(Q2="human",O2="male"),VLOOKUP(RANDBETWEEN(1,70),Table17[],2),IF(AND(Q2="human",O2="female"),VLOOKUP(RANDBETWEEN(1,67),Table19[],2),IF(AND(Q2="dragonborn",O2="male"),VLOOKUP(RANDBETWEEN(1,17),Table21[],2),IF(AND(Q2="dragonborn",O2="female"),VLOOKUP(RANDBETWEEN(1,17),Table22[],2),IF(AND(Q2="gnome",O2="male"),VLOOKUP(RANDBETWEEN(1,23),Table28[],2),IF(AND(Q2="gnome",O2="female"),VLOOKUP(RANDBETWEEN(1,22),Table29[],2),IF(AND(Q2="half-elf",O2="male"),VLOOKUP(RANDBETWEEN(1,108),Table31[],2),IF(AND(Q2="half-elf",O2="female"),VLOOKUP(RANDBETWEEN(1,103),Table32[],2),IF(AND(Q2="half-orc",O2="male"),VLOOKUP(RANDBETWEEN(1,10),Table35[],2),IF(AND(Q2="half-orc",O2="female"),VLOOKUP(RANDBETWEEN(1,13),Table36[],2),IF(AND(Q2="tiefling",O2="male"),VLOOKUP(RANDBETWEEN(1,33),Table37[],2),IF(AND(Q2="tiefling",O2="female"),VLOOKUP(RANDBETWEEN(1,34),Table38[],2)," "))))))))))))))))))</f>
        <v>Nyx</v>
      </c>
      <c r="Q1" s="127" t="str">
        <f ca="1">IF(Q2="dwarf",VLOOKUP(RANDBETWEEN(1,53),Table5[],2),IF(Q2="elf",VLOOKUP(RANDBETWEEN(1,73),Table7[],2),IF(Q2="halfling",VLOOKUP(RANDBETWEEN(1,20),Table11[],2),IF(Q2="human",VLOOKUP(RANDBETWEEN(1,52),Table18[],2),IF(Q2="dragonborn",VLOOKUP(RANDBETWEEN(1,18),Table24[],2),IF(Q2="gnome",VLOOKUP(RANDBETWEEN(1,13),Table27[],2),IF(Q2="half-elf",VLOOKUP(RANDBETWEEN(1,62),Table33[],2)," ")))))))</f>
        <v>Aleslosh</v>
      </c>
      <c r="R1" s="30"/>
      <c r="S1" s="30"/>
      <c r="AF1" s="29" t="s">
        <v>674</v>
      </c>
      <c r="AH1" s="29" t="s">
        <v>711</v>
      </c>
      <c r="AI1" s="29">
        <f ca="1">IF(O11="non-classed",RANDBETWEEN(1,10),IF(O11="wizard",SUM(6,4*O12,-4),IF(O11="warlock",SUM(8,5*O12,-5),IF(O11="sorcerer",SUM(6,4*O12,-6),IF(O11="rogue",SUM(8,5*O12,-5),IF(O11="ranger",SUM(10,6*O12,-6),IF(O11="paladin",SUM(10,6*O12,-6),IF(O11="barbarian",SUM(12,7*O12,-7),IF(O11="bard",SUM(8,5*O12,-5),IF(O11="cleric",SUM(8,5*O12,-5),IF(O11="druid",SUM(8,5*O12,-5),IF(O11="fighter",SUM(10,6*O12,-6),IF(O11="monk",SUM(8,5*O12,-5)," ")))))))))))))</f>
        <v>33</v>
      </c>
      <c r="AJ1" s="29" t="s">
        <v>714</v>
      </c>
      <c r="AK1" s="29">
        <f ca="1">(P40*P6)</f>
        <v>6</v>
      </c>
      <c r="CB1" s="31" t="s">
        <v>670</v>
      </c>
      <c r="CE1" s="31"/>
    </row>
    <row r="2" spans="1:83" x14ac:dyDescent="0.3">
      <c r="A2" s="30"/>
      <c r="B2" s="30"/>
      <c r="C2" s="33"/>
      <c r="D2" s="33"/>
      <c r="E2" s="33"/>
      <c r="F2" s="33"/>
      <c r="G2" s="33"/>
      <c r="H2" s="33"/>
      <c r="I2" s="33"/>
      <c r="J2" s="33"/>
      <c r="K2" s="33"/>
      <c r="L2" s="33"/>
      <c r="M2" s="33"/>
      <c r="N2" s="33"/>
      <c r="O2" s="110" t="str">
        <f ca="1">VLOOKUP(RANDBETWEEN(1,2),Table14[],2)</f>
        <v>Female</v>
      </c>
      <c r="P2" s="33" t="str">
        <f ca="1">IF(Q2="dwarf",VLOOKUP(RANDBETWEEN(1,2),Table8[],2),IF(Q2="elf",VLOOKUP(RANDBETWEEN(1,3),Table9[],2),IF(Q2="halfling",VLOOKUP(RANDBETWEEN(1,2),Table12[],2),IF(Q2="Dragonborn",VLOOKUP(RANDBETWEEN(1,10),Table25[],2),IF(Q2="Gnome",VLOOKUP(RANDBETWEEN(1,2),Table30[],2)," ")))))</f>
        <v>Forest</v>
      </c>
      <c r="Q2" s="72" t="str">
        <f ca="1">VLOOKUP(RANDBETWEEN(1,9),Table2[],2)</f>
        <v>Gnome</v>
      </c>
      <c r="R2" s="30"/>
      <c r="S2" s="30"/>
      <c r="AE2" s="29" t="s">
        <v>676</v>
      </c>
      <c r="AF2" s="29" t="str">
        <f ca="1">IF($P$6&gt;=4,VLOOKUP(RANDBETWEEN(1,6),Table41[],2)," ")</f>
        <v>Wisdom</v>
      </c>
      <c r="AH2" s="29" t="s">
        <v>712</v>
      </c>
      <c r="AI2" s="29" t="str">
        <f ca="1">IF(Q11="wizard",4*Q12,IF(Q11="warlock",5*Q12,IF(Q11="sorcerer",4*Q12,IF(Q11="rogue",5*Q12,IF(Q11="ranger",6*Q12,IF(Q11="paladin",6*Q12,IF(Q11="barbarian",7*Q12,IF(Q11="bard",5*Q12,IF(Q11="cleric",5*Q12,IF(Q11="druid",5*Q12,IF(Q11="fighter",6*Q12,IF(Q11="monk",5*Q12," "))))))))))))</f>
        <v xml:space="preserve"> </v>
      </c>
      <c r="CB2" s="35">
        <f t="shared" ref="CB2:CB7" ca="1" si="0">_xlfn.RANK.EQ(CC2,$CC$2:$CC$7)</f>
        <v>5</v>
      </c>
      <c r="CC2" s="36">
        <f ca="1">IF(BM7&gt;0,0,RAND())</f>
        <v>0.45689099035781144</v>
      </c>
      <c r="CD2" s="29" t="s">
        <v>29</v>
      </c>
    </row>
    <row r="3" spans="1:83" ht="19.5" thickBot="1" x14ac:dyDescent="0.35">
      <c r="A3" s="30"/>
      <c r="B3" s="30"/>
      <c r="C3" s="38"/>
      <c r="D3" s="38"/>
      <c r="E3" s="38"/>
      <c r="F3" s="38"/>
      <c r="G3" s="38"/>
      <c r="H3" s="38"/>
      <c r="I3" s="38"/>
      <c r="J3" s="38"/>
      <c r="K3" s="38"/>
      <c r="L3" s="38"/>
      <c r="M3" s="38"/>
      <c r="N3" s="38"/>
      <c r="O3" s="37" t="str">
        <f ca="1">VLOOKUP(RANDBETWEEN(1,20),Table253[],2)</f>
        <v>Adult</v>
      </c>
      <c r="P3" s="38" t="str">
        <f ca="1">IF(AND(Q2="tiefling",O3="young adult"),SUM(17,RANDBETWEEN(1,23))&amp;" years old",IF(AND(Q2="tiefling",O3="adult"),SUM(40,RANDBETWEEN(1,30))&amp;" years old",IF(AND(Q2="tiefling",O3="elderly"),SUM(70,RANDBETWEEN(1,30))&amp;" years old",IF(AND(Q2="half-orc",O3="young adult"),SUM(13,RANDBETWEEN(1,32))&amp;" years old",IF(AND(Q2="half-orc",O3="adult"),SUM(45,RANDBETWEEN(1,15))&amp;" years old",IF(AND(Q2="half-orc",O3="elderly"),SUM(60,RANDBETWEEN(1,15))&amp;" years old",IF(AND(Q2="half-elf",O3="young adult"),SUM(19,RANDBETWEEN(1,30))&amp;" years old",IF(AND(Q2="half-elf",O3="adult"),SUM(50,RANDBETWEEN(1,100))&amp;" years old",IF(AND(Q2="half-elf",O3="elderly"),SUM(150,RANDBETWEEN(1,30))&amp;" years old",IF(AND(Q2="gnome",O3="young adult"),SUM(19,RANDBETWEEN(1,20))&amp;" years old",IF(AND(Q2="gnome",O3="adult"),SUM(40,RANDBETWEEN(1,160))&amp;" years old",IF(AND(Q2="gnome",O3="elderly"),SUM(200,RANDBETWEEN(1,200))&amp;" years old",IF(AND(Q2="dragonborn",O3="young adult"),SUM(14,RANDBETWEEN(1,5))&amp;" years old",IF(AND(Q2="dragonborn",O3="adult"),SUM(20,RANDBETWEEN(1,30))&amp;" years old",IF(AND(Q2="dragonborn",O3="elderly"),SUM(50,RANDBETWEEN(1,30))&amp;" years old",IF(AND(Q2="halfling",O3="young adult"),SUM(19,RANDBETWEEN(1,20))&amp;" years old",IF(AND(Q2="halfling",O3="adult"),SUM(40,RANDBETWEEN(1,110))&amp;" years old",IF(AND(Q2="halfling",O3="elderly"),SUM(150,RANDBETWEEN(1,100))&amp;" years old",IF(AND(Q2="elf",O3="young adult"),SUM(99,RANDBETWEEN(1,350))&amp;" years old",IF(AND(Q2="elf",O3="adult"),SUM(450,RANDBETWEEN(1,200))&amp;" years old",IF(AND(Q2="elf",O3="elderly"),SUM(650,RANDBETWEEN(1,100))&amp;" years old",IF(AND(Q2="dwarf",O3="young adult"),SUM(17,RANDBETWEEN(1,32))&amp;" years old",IF(AND(Q2="dwarf",O3="adult"),SUM(50,RANDBETWEEN(1,150))&amp;" years old",IF(AND(Q2="dwarf",O3="elderly"),SUM(200,RANDBETWEEN(1,150))&amp;" years old",IF(AND(Q2="human",O3="young adult"),SUM(17,RANDBETWEEN(1,12))&amp;" years old",IF(AND(Q2="human",O3="adult"),SUM(30,RANDBETWEEN(1,35))&amp;" years old",IF(AND(Q2="human",O3="elderly"),SUM(65,RANDBETWEEN(1,25))&amp;" years old"," ")))))))))))))))))))))))))))</f>
        <v>144 years old</v>
      </c>
      <c r="Q3" s="113"/>
      <c r="R3" s="30"/>
      <c r="AE3" s="29" t="s">
        <v>676</v>
      </c>
      <c r="AF3" s="29" t="str">
        <f ca="1">IF($P$6&gt;=4,VLOOKUP(RANDBETWEEN(1,6),Table41[],2)," ")</f>
        <v>Dexterity</v>
      </c>
      <c r="AH3" s="29" t="s">
        <v>713</v>
      </c>
      <c r="AI3" s="29" t="str">
        <f ca="1">IF(P2="hill",(P6)," ")</f>
        <v xml:space="preserve"> </v>
      </c>
      <c r="CB3" s="35">
        <f t="shared" ca="1" si="0"/>
        <v>2</v>
      </c>
      <c r="CC3" s="36">
        <f ca="1">IF(BM9&gt;0,0,RAND())</f>
        <v>0.83735038467973455</v>
      </c>
      <c r="CD3" s="29" t="s">
        <v>14</v>
      </c>
    </row>
    <row r="4" spans="1:83" ht="19.5" thickBot="1" x14ac:dyDescent="0.35">
      <c r="A4" s="33"/>
      <c r="B4" s="30"/>
      <c r="C4" s="39"/>
      <c r="D4" s="39"/>
      <c r="E4" s="39"/>
      <c r="F4" s="39"/>
      <c r="G4" s="39"/>
      <c r="H4" s="39"/>
      <c r="I4" s="39"/>
      <c r="J4" s="39"/>
      <c r="K4" s="39"/>
      <c r="L4" s="39"/>
      <c r="M4" s="39"/>
      <c r="N4" s="39"/>
      <c r="O4" s="40"/>
      <c r="Q4" s="41"/>
      <c r="R4" s="41"/>
      <c r="AE4" s="29" t="s">
        <v>677</v>
      </c>
      <c r="AF4" s="29" t="str">
        <f ca="1">IF($P$6&gt;=8,VLOOKUP(RANDBETWEEN(1,6),Table41[],2)," ")</f>
        <v xml:space="preserve"> </v>
      </c>
      <c r="AH4" s="29" t="s">
        <v>1592</v>
      </c>
      <c r="AI4" s="29" t="str">
        <f ca="1">IF(OR(P15="draconic bloodline",R15="draconic bloodline"),O12," ")</f>
        <v xml:space="preserve"> </v>
      </c>
      <c r="CB4" s="35">
        <f t="shared" ca="1" si="0"/>
        <v>3</v>
      </c>
      <c r="CC4" s="36">
        <f ca="1">IF(BM13&gt;0,0,RAND())</f>
        <v>0.81109655705088435</v>
      </c>
      <c r="CD4" s="29" t="s">
        <v>18</v>
      </c>
    </row>
    <row r="5" spans="1:83" ht="19.5" thickBot="1" x14ac:dyDescent="0.35">
      <c r="B5" s="42" t="s">
        <v>35</v>
      </c>
      <c r="O5" s="43" t="s">
        <v>41</v>
      </c>
      <c r="P5" s="43" t="s">
        <v>1881</v>
      </c>
      <c r="Q5" s="44" t="str">
        <f ca="1">"Max. HP: "&amp;SUM(AI1,AI2,AI3,AK1,AI4)</f>
        <v>Max. HP: 39</v>
      </c>
      <c r="R5" s="45" t="s">
        <v>33</v>
      </c>
      <c r="AE5" s="29" t="s">
        <v>677</v>
      </c>
      <c r="AF5" s="29" t="str">
        <f ca="1">IF($P$6&gt;=8,VLOOKUP(RANDBETWEEN(1,6),Table41[],2)," ")</f>
        <v xml:space="preserve"> </v>
      </c>
      <c r="AV5" s="29" t="s">
        <v>744</v>
      </c>
      <c r="BM5" s="29" t="s">
        <v>1825</v>
      </c>
      <c r="BN5" s="29" t="s">
        <v>744</v>
      </c>
      <c r="BO5" s="29" t="s">
        <v>728</v>
      </c>
      <c r="BP5" s="29" t="s">
        <v>745</v>
      </c>
      <c r="BQ5" s="29" t="s">
        <v>1569</v>
      </c>
      <c r="BR5" s="29" t="s">
        <v>211</v>
      </c>
      <c r="BS5" s="29" t="s">
        <v>1343</v>
      </c>
      <c r="BT5" s="29" t="s">
        <v>1344</v>
      </c>
      <c r="BU5" s="29" t="s">
        <v>739</v>
      </c>
      <c r="CB5" s="35">
        <f t="shared" ca="1" si="0"/>
        <v>4</v>
      </c>
      <c r="CC5" s="36">
        <f ca="1">IF(BM16&gt;0,0,RAND())</f>
        <v>0.49246768148131093</v>
      </c>
      <c r="CD5" s="29" t="s">
        <v>21</v>
      </c>
    </row>
    <row r="6" spans="1:83" ht="20.25" thickTop="1" thickBot="1" x14ac:dyDescent="0.35">
      <c r="B6" s="32">
        <f ca="1">P39</f>
        <v>3</v>
      </c>
      <c r="O6" s="46" t="str">
        <f ca="1">IF(OR(Q2="dwarf",Q2="elf",Q2="human",Q2="dragonborn",Q2="half-elf",Q2="half-orc",Q2="tiefling"),"Medium",IF(OR(Q2="gnome",Q2="halfling"),"Small"," "))</f>
        <v>Small</v>
      </c>
      <c r="P6" s="47">
        <f ca="1">IF(AF14=1,O12,IF(AF14=2,SUM(O12,Q12)))</f>
        <v>6</v>
      </c>
      <c r="Q6" s="48" t="s">
        <v>1882</v>
      </c>
      <c r="R6" s="47" t="str">
        <f ca="1">VLOOKUP(RANDBETWEEN(1,100),Table92[],2)</f>
        <v>Neutral Good</v>
      </c>
      <c r="U6" s="49"/>
      <c r="AE6" s="29" t="s">
        <v>678</v>
      </c>
      <c r="AF6" s="29" t="str">
        <f ca="1">IF($P$6&gt;=12,VLOOKUP(RANDBETWEEN(1,6),Table41[],2)," ")</f>
        <v xml:space="preserve"> </v>
      </c>
      <c r="AH6" s="29" t="s">
        <v>12</v>
      </c>
      <c r="AI6" s="29">
        <f ca="1">$P$39</f>
        <v>3</v>
      </c>
      <c r="AJ6" s="29" t="str">
        <f t="shared" ref="AJ6:AU6" ca="1" si="1">IF(COUNTIF(AJ$27:AJ$33,$AH$6),$P$8," ")</f>
        <v xml:space="preserve"> </v>
      </c>
      <c r="AK6" s="29" t="str">
        <f t="shared" ca="1" si="1"/>
        <v xml:space="preserve"> </v>
      </c>
      <c r="AL6" s="29" t="str">
        <f t="shared" ca="1" si="1"/>
        <v xml:space="preserve"> </v>
      </c>
      <c r="AM6" s="29" t="str">
        <f t="shared" ca="1" si="1"/>
        <v xml:space="preserve"> </v>
      </c>
      <c r="AN6" s="29" t="str">
        <f t="shared" ca="1" si="1"/>
        <v xml:space="preserve"> </v>
      </c>
      <c r="AO6" s="29" t="str">
        <f t="shared" ca="1" si="1"/>
        <v xml:space="preserve"> </v>
      </c>
      <c r="AP6" s="29" t="str">
        <f t="shared" ca="1" si="1"/>
        <v xml:space="preserve"> </v>
      </c>
      <c r="AQ6" s="29" t="str">
        <f t="shared" ca="1" si="1"/>
        <v xml:space="preserve"> </v>
      </c>
      <c r="AR6" s="29" t="str">
        <f t="shared" ca="1" si="1"/>
        <v xml:space="preserve"> </v>
      </c>
      <c r="AS6" s="29" t="str">
        <f t="shared" ca="1" si="1"/>
        <v xml:space="preserve"> </v>
      </c>
      <c r="AT6" s="29" t="str">
        <f t="shared" ca="1" si="1"/>
        <v xml:space="preserve"> </v>
      </c>
      <c r="AU6" s="29" t="str">
        <f t="shared" ca="1" si="1"/>
        <v xml:space="preserve"> </v>
      </c>
      <c r="AV6" s="29">
        <f ca="1">SUM(AJ6:AU6)</f>
        <v>0</v>
      </c>
      <c r="AW6" s="29" t="s">
        <v>12</v>
      </c>
      <c r="BA6" s="29" t="str">
        <f ca="1">IF(S11="Entertainer",P8," ")</f>
        <v xml:space="preserve"> </v>
      </c>
      <c r="BM6" s="29">
        <f t="shared" ref="BM6:BM23" ca="1" si="2">SUM(AX6:BL6)</f>
        <v>0</v>
      </c>
      <c r="BN6" s="29">
        <f ca="1">AV6</f>
        <v>0</v>
      </c>
      <c r="BO6" s="29" t="str">
        <f t="shared" ref="BO6:BO23" ca="1" si="3">IF(AND($O$11="bard",$O$12&gt;=3,BN26=1),$P$8,IF(AND($O$11="bard",$O$12&gt;=3,BN26=2),$P$8,IF(AND($O$11="bard",$O$12&gt;=10,BN26=3,$P$15="college of lore"),$P$8,IF(AND($O$11="bard",$O$12&gt;=10,BN26=4,$P$15="college of lore"),$P$8,IF(AND($Q$11="bard",$Q$12&gt;=3,BN26=1),$P$8,IF(AND($Q$11="bard",$Q$12&gt;=3,BN26=2),$P$8,IF(AND($Q$11="bard",$Q$12&gt;=10,BN26=3,$P$15="college of lore"),$P$8,IF(AND($Q$11="bard",$Q$12&gt;=10,BN26=4,$P$15="college of lore"),$P$8," "))))))))</f>
        <v xml:space="preserve"> </v>
      </c>
      <c r="BP6" s="29" t="str">
        <f t="shared" ref="BP6:BP23" ca="1" si="4">IF(AND($O$11="bard",$O$12&gt;=2,AV6&lt;=0),ROUNDDOWN($P$8*0.5,0),IF(AND($Q$11="bard",$Q$12&gt;=2,AV6&lt;=0),ROUNDDOWN($P$8*0.5,0)," "))</f>
        <v xml:space="preserve"> </v>
      </c>
      <c r="BQ6" s="29" t="str">
        <f t="shared" ref="BQ6:BQ23" ca="1" si="5">IF(AND($O$11="rogue",BN26=1),$P$8,IF(AND($O$11="rogue",BN26=2,$AF$25=1),$P$8,IF(AND($O$11="rogue",$O$12&gt;6,BN26=3),$P$8,IF(AND($O$11="rogue",$O$12&gt;6,BN26=4),$P$8," "))))</f>
        <v xml:space="preserve"> </v>
      </c>
      <c r="BR6" s="29">
        <f t="shared" ref="BR6:BR23" ca="1" si="6">IF(AND($Q$2="half-elf",BR26=1),$P$8,IF(AND($Q$2="half-elf",BR26=2),$P$8,0))</f>
        <v>0</v>
      </c>
      <c r="BU6" s="29">
        <f ca="1">SUM(BM6:BT6,AI6)</f>
        <v>3</v>
      </c>
      <c r="BV6" s="29" t="s">
        <v>12</v>
      </c>
      <c r="CB6" s="35">
        <f t="shared" ca="1" si="0"/>
        <v>6</v>
      </c>
      <c r="CC6" s="36">
        <f ca="1">IF(BM17&gt;0,0,RAND())</f>
        <v>0.36103998121714953</v>
      </c>
      <c r="CD6" s="29" t="s">
        <v>22</v>
      </c>
      <c r="CE6" s="31"/>
    </row>
    <row r="7" spans="1:83" ht="19.5" thickBot="1" x14ac:dyDescent="0.35">
      <c r="B7" s="42" t="s">
        <v>36</v>
      </c>
      <c r="O7" s="50" t="str">
        <f ca="1">IF(Q2="Tiefling","Height: "&amp;SUM(57,AE31)&amp;" inches",IF(Q2="half-orc","Height: "&amp;SUM(58,AE32)&amp;" inches",IF(Q2="Half-elf","Height: "&amp;SUM(57,AE31)&amp;" inches",IF(Q2="Gnome","Height: "&amp;SUM(35,AE29)&amp;" inches",IF(Q2="Dragonborn","Height: "&amp;SUM(66,AE31)&amp;" inches",IF(Q2="Halfling","Height: "&amp;SUM(31,AE29)&amp;" inches",IF(P2="dark","Height: "&amp;SUM(53,AE30)&amp;" inches",IF(P2="wood","Height: "&amp;SUM(54,AE32)&amp;" inches",IF(P2="high","Height: "&amp;SUM(54,AE32)&amp;" inches",IF(P2="mountain","Height: "&amp;SUM(48,AE29)&amp;" inches",IF(P2="hill","Height: "&amp;SUM(44,AE29)&amp;" inches",IF(Q2="human","Height: "&amp;SUM(56,AE32)&amp;" inches"," "))))))))))))</f>
        <v>Height: 38 inches</v>
      </c>
      <c r="P7" s="43" t="s">
        <v>34</v>
      </c>
      <c r="AE7" s="29" t="s">
        <v>678</v>
      </c>
      <c r="AF7" s="29" t="str">
        <f ca="1">IF($P$6&gt;=12,VLOOKUP(RANDBETWEEN(1,6),Table41[],2)," ")</f>
        <v xml:space="preserve"> </v>
      </c>
      <c r="AH7" s="29" t="s">
        <v>29</v>
      </c>
      <c r="AI7" s="29">
        <f ca="1">$P$42</f>
        <v>1</v>
      </c>
      <c r="AJ7" s="29" t="str">
        <f t="shared" ref="AJ7:AU7" ca="1" si="7">IF(COUNTIF(AJ$27:AJ$33,$AH$7),$P$8," ")</f>
        <v xml:space="preserve"> </v>
      </c>
      <c r="AK7" s="29" t="str">
        <f t="shared" ca="1" si="7"/>
        <v xml:space="preserve"> </v>
      </c>
      <c r="AL7" s="29" t="str">
        <f t="shared" ca="1" si="7"/>
        <v xml:space="preserve"> </v>
      </c>
      <c r="AM7" s="29" t="str">
        <f t="shared" ca="1" si="7"/>
        <v xml:space="preserve"> </v>
      </c>
      <c r="AN7" s="29" t="str">
        <f t="shared" ca="1" si="7"/>
        <v xml:space="preserve"> </v>
      </c>
      <c r="AO7" s="29" t="str">
        <f t="shared" ca="1" si="7"/>
        <v xml:space="preserve"> </v>
      </c>
      <c r="AP7" s="29" t="str">
        <f t="shared" ca="1" si="7"/>
        <v xml:space="preserve"> </v>
      </c>
      <c r="AQ7" s="29" t="str">
        <f t="shared" ca="1" si="7"/>
        <v xml:space="preserve"> </v>
      </c>
      <c r="AR7" s="29" t="str">
        <f t="shared" ca="1" si="7"/>
        <v xml:space="preserve"> </v>
      </c>
      <c r="AS7" s="29" t="str">
        <f t="shared" ca="1" si="7"/>
        <v xml:space="preserve"> </v>
      </c>
      <c r="AT7" s="29" t="str">
        <f t="shared" ca="1" si="7"/>
        <v xml:space="preserve"> </v>
      </c>
      <c r="AU7" s="29" t="str">
        <f t="shared" ca="1" si="7"/>
        <v xml:space="preserve"> </v>
      </c>
      <c r="AV7" s="29">
        <f t="shared" ref="AV7:AV23" ca="1" si="8">SUM(AJ7:AU7)</f>
        <v>0</v>
      </c>
      <c r="AW7" s="29" t="s">
        <v>29</v>
      </c>
      <c r="BB7" s="29" t="str">
        <f ca="1">IF(S11="Folk Hero",P8," ")</f>
        <v xml:space="preserve"> </v>
      </c>
      <c r="BM7" s="29">
        <f t="shared" ca="1" si="2"/>
        <v>0</v>
      </c>
      <c r="BN7" s="29">
        <f t="shared" ref="BN7:BN23" ca="1" si="9">AV7</f>
        <v>0</v>
      </c>
      <c r="BO7" s="29" t="str">
        <f t="shared" ca="1" si="3"/>
        <v xml:space="preserve"> </v>
      </c>
      <c r="BP7" s="29" t="str">
        <f t="shared" ca="1" si="4"/>
        <v xml:space="preserve"> </v>
      </c>
      <c r="BQ7" s="29" t="str">
        <f t="shared" ca="1" si="5"/>
        <v xml:space="preserve"> </v>
      </c>
      <c r="BR7" s="29">
        <f t="shared" ca="1" si="6"/>
        <v>0</v>
      </c>
      <c r="BT7" s="29">
        <f ca="1">IF(AND(BY30=1,OR($P$15="nature",$R$15="nature")),$P$8,0)</f>
        <v>0</v>
      </c>
      <c r="BU7" s="29">
        <f t="shared" ref="BU7:BU23" ca="1" si="10">SUM(BM7:BT7)</f>
        <v>0</v>
      </c>
      <c r="BV7" s="29" t="s">
        <v>29</v>
      </c>
      <c r="CB7" s="35">
        <f t="shared" ca="1" si="0"/>
        <v>1</v>
      </c>
      <c r="CC7" s="36">
        <f ca="1">IF(BM23&gt;0,0,RAND())</f>
        <v>0.9821255845752801</v>
      </c>
      <c r="CD7" s="29" t="s">
        <v>28</v>
      </c>
    </row>
    <row r="8" spans="1:83" ht="20.25" thickTop="1" thickBot="1" x14ac:dyDescent="0.35">
      <c r="B8" s="51" t="str">
        <f ca="1">IF(AND(B89="unarmored defense",B90&lt;&gt;"shield",Q12&gt;=2,Q11="monk",OR(Q2="dwarf",Q2="halfling",Q2="gnome")),SUM(15,INDEX('Class Tables'!L98:L117,MATCH(O12,('Class Tables'!I98:I117),0)))&amp;" ft.",IF(AND(B89="unarmored defense",B90&lt;&gt;"Shield",Q12&gt;=2,Q11="monk",P2="wood"),SUM(25,INDEX('Class Tables'!L98:L117,MATCH(O12,('Class Tables'!I98:I117),0)))&amp;" ft.",IF(AND(B89="unarmored defense",B90&lt;&gt;"shield",Q12&gt;=2,Q11="monk",OR(Q2="human",Q2="elf",Q2="dragonborn",Q2="half-elf",Q2="half-orc",Q2="tiefling")),SUM(20,INDEX('Class Tables'!L98:L117,MATCH(O12,('Class Tables'!I98:I117),0)))&amp;" ft.",IF(AND(B89="unarmored defense",B90&lt;&gt;"shield",O12&gt;=2,O11="monk",OR(Q2="dwarf",Q2="halfling",Q2="gnome")),SUM(25,INDEX('Class Tables'!L98:L117,MATCH(O12,('Class Tables'!I98:I117),0)))&amp;" ft.",IF(AND(B89="unarmored defense",B90&lt;&gt;"Shield",O12&gt;=2,O11="monk",P2="wood"),SUM(35,INDEX('Class Tables'!L98:L117,MATCH(O12,('Class Tables'!I98:I117),0)))&amp;" ft.",IF(AND(B89="unarmored defense",B90&lt;&gt;"shield",O12&gt;=2,O11="monk",OR(Q2="human",Q2="elf",Q2="dragonborn",Q2="half-elf",Q2="half-orc",Q2="tiefling")),SUM(30,INDEX('Class Tables'!L98:L117,MATCH(O12,('Class Tables'!I98:I117),0)))&amp;" ft.",IF(AND(B89="unarmored defense",Q12&gt;=5,Q11="barbarian",OR(Q2="dwarf",Q2="halfling",Q2="gnome")),"35 ft.",IF(AND(B89="unarmored defense",Q12&gt;=5,Q11="barbarian",P2="wood"),"45 ft.",IF(AND(B89="unarmored defense",Q12&gt;=5,Q11="barbarian",OR(Q2="human",Q2="elf",Q2="dragonborn",Q2="half-elf",Q2="half-orc",Q2="tiefling")),"40 ft.",IF(AND(B89="unarmored defense",O12&gt;=5,O11="barbarian",OR(Q2="dwarf",Q2="halfling",Q2="gnome")),"35 ft.",IF(AND(B89="unarmored defense",O12&gt;=O11="barbarian",P2="wood"),"45 ft.",IF(AND(B89="unarmored defense",O12&gt;=5,O11="barbarian",OR(Q2="human",Q2="elf",Q2="dragonborn",Q2="half-elf",Q2="half-orc",Q2="tiefling")),"40 ft.",IF(OR(Q2="dwarf",Q2="halfling",Q2="gnome"),"25 ft.",IF(P2="wood","35 ft.",IF(OR(Q2="human",Q2="elf",Q2="dragonborn",Q2="half-elf",Q2="half-orc",Q2="tiefling"),"30 ft."," ")))))))))))))))</f>
        <v>40 ft.</v>
      </c>
      <c r="O8" s="47" t="str">
        <f ca="1">IF(P2="dark","Weight: "&amp;SUM(AE30*RANDBETWEEN(1,6),75)&amp;" lbs.",IF(P2="wood","Weight: "&amp;SUM(AE32*RANDBETWEEN(1,4),100)&amp;" lbs.",IF(P2="high","Weight: "&amp;SUM(AE32*RANDBETWEEN(1,4),90)&amp;" lbs.",IF(P2="mountain","Weight: "&amp;SUM(AE29*RANDBETWEEN(2,12),130)&amp;" lbs.",IF(P2="hill","Weight: "&amp;SUM(AE29*RANDBETWEEN(2,12),115)&amp;" lbs.",IF(Q2="tiefling","Weight: "&amp;SUM(AE31*RANDBETWEEN(2,8),110)&amp;" lbs.",IF(Q2="Half-orc","Weight: "&amp;SUM(AE32*RANDBETWEEN(2,12),140),IF(Q2="Half-elf","Weight: "&amp;SUM(AE31*RANDBETWEEN(2,8),110),IF(Q2="Gnome","Weight: "&amp;SUM(AE29,35),IF(Q2="Dragonborn","Weight: "&amp;SUM(AE31*RANDBETWEEN(2,12),175)&amp;" lbs.",IF(Q2="Halfling","Weight: "&amp;SUM(AE29,35)&amp;" lbs.",IF(Q2="Human","Weight: "&amp;SUM(AE32*RANDBETWEEN(2,8),110)&amp;" lbs."," "))))))))))))</f>
        <v>Weight: 38</v>
      </c>
      <c r="P8" s="111">
        <f ca="1">VLOOKUP(P6,Table26[],2)</f>
        <v>3</v>
      </c>
      <c r="Q8" s="33"/>
      <c r="R8" s="33"/>
      <c r="AE8" s="29" t="s">
        <v>679</v>
      </c>
      <c r="AF8" s="29" t="str">
        <f ca="1">IF($P$6&gt;=16,VLOOKUP(RANDBETWEEN(1,6),Table41[],2)," ")</f>
        <v xml:space="preserve"> </v>
      </c>
      <c r="AH8" s="29" t="s">
        <v>13</v>
      </c>
      <c r="AI8" s="29">
        <f ca="1">$P$41</f>
        <v>0</v>
      </c>
      <c r="AJ8" s="29" t="str">
        <f t="shared" ref="AJ8:AU8" ca="1" si="11">IF(COUNTIF(AJ$27:AJ$33,$AH$8),$P$8," ")</f>
        <v xml:space="preserve"> </v>
      </c>
      <c r="AK8" s="29" t="str">
        <f t="shared" ca="1" si="11"/>
        <v xml:space="preserve"> </v>
      </c>
      <c r="AL8" s="29" t="str">
        <f t="shared" ca="1" si="11"/>
        <v xml:space="preserve"> </v>
      </c>
      <c r="AM8" s="29" t="str">
        <f t="shared" ca="1" si="11"/>
        <v xml:space="preserve"> </v>
      </c>
      <c r="AN8" s="29" t="str">
        <f t="shared" ca="1" si="11"/>
        <v xml:space="preserve"> </v>
      </c>
      <c r="AO8" s="29" t="str">
        <f t="shared" ca="1" si="11"/>
        <v xml:space="preserve"> </v>
      </c>
      <c r="AP8" s="29" t="str">
        <f t="shared" ca="1" si="11"/>
        <v xml:space="preserve"> </v>
      </c>
      <c r="AQ8" s="29" t="str">
        <f t="shared" ca="1" si="11"/>
        <v xml:space="preserve"> </v>
      </c>
      <c r="AR8" s="29" t="str">
        <f t="shared" ca="1" si="11"/>
        <v xml:space="preserve"> </v>
      </c>
      <c r="AS8" s="29" t="str">
        <f t="shared" ca="1" si="11"/>
        <v xml:space="preserve"> </v>
      </c>
      <c r="AT8" s="29" t="str">
        <f t="shared" ca="1" si="11"/>
        <v xml:space="preserve"> </v>
      </c>
      <c r="AU8" s="29" t="str">
        <f t="shared" ca="1" si="11"/>
        <v xml:space="preserve"> </v>
      </c>
      <c r="AV8" s="29">
        <f t="shared" ca="1" si="8"/>
        <v>0</v>
      </c>
      <c r="AW8" s="29" t="s">
        <v>13</v>
      </c>
      <c r="BI8" s="29" t="str">
        <f ca="1">IF(S11="Sage",P8," ")</f>
        <v xml:space="preserve"> </v>
      </c>
      <c r="BM8" s="29">
        <f t="shared" ca="1" si="2"/>
        <v>0</v>
      </c>
      <c r="BN8" s="29">
        <f t="shared" ca="1" si="9"/>
        <v>0</v>
      </c>
      <c r="BO8" s="29" t="str">
        <f t="shared" ca="1" si="3"/>
        <v xml:space="preserve"> </v>
      </c>
      <c r="BP8" s="29" t="str">
        <f t="shared" ca="1" si="4"/>
        <v xml:space="preserve"> </v>
      </c>
      <c r="BQ8" s="29" t="str">
        <f t="shared" ca="1" si="5"/>
        <v xml:space="preserve"> </v>
      </c>
      <c r="BR8" s="29">
        <f t="shared" ca="1" si="6"/>
        <v>0</v>
      </c>
      <c r="BS8" s="29">
        <f ca="1">IF(AND($BY$26=1,OR($P$15="knowledge",$R$15="knowledge")),$P$8*2,IF(AND($BY$26=2,OR($P$15="knowledge",$R$15="knowledge")),$P$8*2,0))</f>
        <v>0</v>
      </c>
      <c r="BU8" s="29">
        <f t="shared" ca="1" si="10"/>
        <v>0</v>
      </c>
      <c r="BV8" s="29" t="s">
        <v>13</v>
      </c>
      <c r="CB8" s="52"/>
      <c r="CC8" s="52"/>
    </row>
    <row r="9" spans="1:83" ht="19.5" thickBot="1" x14ac:dyDescent="0.35">
      <c r="AE9" s="29" t="s">
        <v>679</v>
      </c>
      <c r="AF9" s="29" t="str">
        <f ca="1">IF($P$6&gt;=16,VLOOKUP(RANDBETWEEN(1,6),Table41[],2)," ")</f>
        <v xml:space="preserve"> </v>
      </c>
      <c r="AH9" s="29" t="s">
        <v>14</v>
      </c>
      <c r="AI9" s="29">
        <f ca="1">$P$38</f>
        <v>2</v>
      </c>
      <c r="AJ9" s="29" t="str">
        <f t="shared" ref="AJ9:AU9" ca="1" si="12">IF(COUNTIF(AJ$27:AJ$33,$AH$9),$P$8," ")</f>
        <v xml:space="preserve"> </v>
      </c>
      <c r="AK9" s="29" t="str">
        <f t="shared" ca="1" si="12"/>
        <v xml:space="preserve"> </v>
      </c>
      <c r="AL9" s="29" t="str">
        <f t="shared" ca="1" si="12"/>
        <v xml:space="preserve"> </v>
      </c>
      <c r="AM9" s="29" t="str">
        <f t="shared" ca="1" si="12"/>
        <v xml:space="preserve"> </v>
      </c>
      <c r="AN9" s="29" t="str">
        <f t="shared" ca="1" si="12"/>
        <v xml:space="preserve"> </v>
      </c>
      <c r="AO9" s="29" t="str">
        <f t="shared" ca="1" si="12"/>
        <v xml:space="preserve"> </v>
      </c>
      <c r="AP9" s="29" t="str">
        <f t="shared" ca="1" si="12"/>
        <v xml:space="preserve"> </v>
      </c>
      <c r="AQ9" s="29" t="str">
        <f t="shared" ca="1" si="12"/>
        <v xml:space="preserve"> </v>
      </c>
      <c r="AR9" s="29" t="str">
        <f t="shared" ca="1" si="12"/>
        <v xml:space="preserve"> </v>
      </c>
      <c r="AS9" s="29" t="str">
        <f t="shared" ca="1" si="12"/>
        <v xml:space="preserve"> </v>
      </c>
      <c r="AT9" s="29" t="str">
        <f t="shared" ca="1" si="12"/>
        <v xml:space="preserve"> </v>
      </c>
      <c r="AU9" s="29" t="str">
        <f t="shared" ca="1" si="12"/>
        <v xml:space="preserve"> </v>
      </c>
      <c r="AV9" s="29">
        <f t="shared" ca="1" si="8"/>
        <v>0</v>
      </c>
      <c r="AW9" s="29" t="s">
        <v>14</v>
      </c>
      <c r="BG9" s="29" t="str">
        <f ca="1">IF(S11="Outlander",P8," ")</f>
        <v xml:space="preserve"> </v>
      </c>
      <c r="BH9" s="29" t="str">
        <f ca="1">IF(S11="Pirate",P8," ")</f>
        <v xml:space="preserve"> </v>
      </c>
      <c r="BJ9" s="29" t="str">
        <f ca="1">IF(S11="Sailor",P8," ")</f>
        <v xml:space="preserve"> </v>
      </c>
      <c r="BK9" s="29" t="str">
        <f ca="1">IF(S11="Soldier",P8," ")</f>
        <v xml:space="preserve"> </v>
      </c>
      <c r="BM9" s="29">
        <f t="shared" ca="1" si="2"/>
        <v>0</v>
      </c>
      <c r="BN9" s="29">
        <f t="shared" ca="1" si="9"/>
        <v>0</v>
      </c>
      <c r="BO9" s="29" t="str">
        <f t="shared" ca="1" si="3"/>
        <v xml:space="preserve"> </v>
      </c>
      <c r="BP9" s="29" t="str">
        <f t="shared" ca="1" si="4"/>
        <v xml:space="preserve"> </v>
      </c>
      <c r="BQ9" s="29" t="str">
        <f t="shared" ca="1" si="5"/>
        <v xml:space="preserve"> </v>
      </c>
      <c r="BR9" s="29">
        <f t="shared" ca="1" si="6"/>
        <v>0</v>
      </c>
      <c r="BU9" s="29">
        <f t="shared" ca="1" si="10"/>
        <v>0</v>
      </c>
      <c r="BV9" s="29" t="s">
        <v>14</v>
      </c>
      <c r="CB9" s="31" t="s">
        <v>740</v>
      </c>
      <c r="CC9" s="31" t="s">
        <v>742</v>
      </c>
      <c r="CD9" s="31"/>
    </row>
    <row r="10" spans="1:83" ht="26.25" thickBot="1" x14ac:dyDescent="0.4">
      <c r="O10" s="124" t="s">
        <v>681</v>
      </c>
      <c r="Q10" s="124" t="s">
        <v>682</v>
      </c>
      <c r="R10" s="49"/>
      <c r="S10" s="123" t="s">
        <v>32</v>
      </c>
      <c r="AE10" s="29" t="s">
        <v>680</v>
      </c>
      <c r="AF10" s="29" t="str">
        <f ca="1">IF($P$6&gt;=19,VLOOKUP(RANDBETWEEN(1,6),Table41[],2)," ")</f>
        <v xml:space="preserve"> </v>
      </c>
      <c r="AH10" s="29" t="s">
        <v>15</v>
      </c>
      <c r="AI10" s="29">
        <f ca="1">$P$43</f>
        <v>0</v>
      </c>
      <c r="AJ10" s="29" t="str">
        <f t="shared" ref="AJ10:AU10" ca="1" si="13">IF(COUNTIF(AJ$27:AJ$33,$AH$10),$P$8," ")</f>
        <v xml:space="preserve"> </v>
      </c>
      <c r="AK10" s="29" t="str">
        <f t="shared" ca="1" si="13"/>
        <v xml:space="preserve"> </v>
      </c>
      <c r="AL10" s="29" t="str">
        <f t="shared" ca="1" si="13"/>
        <v xml:space="preserve"> </v>
      </c>
      <c r="AM10" s="29" t="str">
        <f t="shared" ca="1" si="13"/>
        <v xml:space="preserve"> </v>
      </c>
      <c r="AN10" s="29" t="str">
        <f t="shared" ca="1" si="13"/>
        <v xml:space="preserve"> </v>
      </c>
      <c r="AO10" s="29" t="str">
        <f t="shared" ca="1" si="13"/>
        <v xml:space="preserve"> </v>
      </c>
      <c r="AP10" s="29" t="str">
        <f t="shared" ca="1" si="13"/>
        <v xml:space="preserve"> </v>
      </c>
      <c r="AQ10" s="29" t="str">
        <f t="shared" ca="1" si="13"/>
        <v xml:space="preserve"> </v>
      </c>
      <c r="AR10" s="29" t="str">
        <f t="shared" ca="1" si="13"/>
        <v xml:space="preserve"> </v>
      </c>
      <c r="AS10" s="29" t="str">
        <f t="shared" ca="1" si="13"/>
        <v xml:space="preserve"> </v>
      </c>
      <c r="AT10" s="29" t="str">
        <f t="shared" ca="1" si="13"/>
        <v xml:space="preserve"> </v>
      </c>
      <c r="AU10" s="29" t="str">
        <f t="shared" ca="1" si="13"/>
        <v xml:space="preserve"> </v>
      </c>
      <c r="AV10" s="29">
        <f t="shared" ca="1" si="8"/>
        <v>0</v>
      </c>
      <c r="AW10" s="29" t="s">
        <v>15</v>
      </c>
      <c r="AY10" s="29" t="str">
        <f ca="1">IF(S11="Charlatan",P8," ")</f>
        <v xml:space="preserve"> </v>
      </c>
      <c r="AZ10" s="29" t="str">
        <f ca="1">IF(S11="Criminal",P8," ")</f>
        <v xml:space="preserve"> </v>
      </c>
      <c r="BE10" s="29" t="str">
        <f ca="1">IF(S11="Knight",P8," ")</f>
        <v xml:space="preserve"> </v>
      </c>
      <c r="BF10" s="29" t="str">
        <f ca="1">IF(S11="Noble",P8," ")</f>
        <v xml:space="preserve"> </v>
      </c>
      <c r="BM10" s="29">
        <f t="shared" ca="1" si="2"/>
        <v>0</v>
      </c>
      <c r="BN10" s="29">
        <f t="shared" ca="1" si="9"/>
        <v>0</v>
      </c>
      <c r="BO10" s="29" t="str">
        <f t="shared" ca="1" si="3"/>
        <v xml:space="preserve"> </v>
      </c>
      <c r="BP10" s="29" t="str">
        <f t="shared" ca="1" si="4"/>
        <v xml:space="preserve"> </v>
      </c>
      <c r="BQ10" s="29" t="str">
        <f t="shared" ca="1" si="5"/>
        <v xml:space="preserve"> </v>
      </c>
      <c r="BR10" s="29">
        <f t="shared" ca="1" si="6"/>
        <v>0</v>
      </c>
      <c r="BU10" s="29">
        <f t="shared" ca="1" si="10"/>
        <v>0</v>
      </c>
      <c r="BV10" s="29" t="s">
        <v>15</v>
      </c>
      <c r="CB10" s="35">
        <f t="shared" ref="CB10:CB27" ca="1" si="14">_xlfn.RANK.EQ(CC10,$CC$10:$CC$27)</f>
        <v>5</v>
      </c>
      <c r="CC10" s="36">
        <f t="shared" ref="CC10:CC27" ca="1" si="15">IF(BM6&gt;0,0,RAND())</f>
        <v>0.73789713142659452</v>
      </c>
      <c r="CD10" s="29" t="s">
        <v>12</v>
      </c>
    </row>
    <row r="11" spans="1:83" ht="19.5" thickTop="1" x14ac:dyDescent="0.3">
      <c r="O11" s="46" t="str">
        <f ca="1">VLOOKUP(RANDBETWEEN(1,16),Table43[],2)</f>
        <v>Monk</v>
      </c>
      <c r="Q11" s="46" t="str">
        <f ca="1">IF(O11="non-classed",VLOOKUP(RANDBETWEEN(1,124),Table252[],2),IF(AND(O11="barbarian",AF14=2),VLOOKUP(RANDBETWEEN(1,11),Table43[],3),IF(AND(O11="bard",AF14=2),VLOOKUP(RANDBETWEEN(1,11),Table43[],4),IF(AND(O11="cleric",AF14=2),VLOOKUP(RANDBETWEEN(1,11),Table43[],5),IF(AND(O11="druid",AF14=2),VLOOKUP(RANDBETWEEN(1,11),Table43[],6),IF(AND(O11="fighter",AF14=2),VLOOKUP(RANDBETWEEN(1,11),Table43[],7),IF(AND(O11="Monk",AF14=2),VLOOKUP(RANDBETWEEN(1,11),Table43[],8),IF(AND(O11="Paladin",AF14=2),VLOOKUP(RANDBETWEEN(1,11),Table43[],9),IF(AND(O11="Ranger",AF14=2),VLOOKUP(RANDBETWEEN(1,11),Table43[],10),IF(AND(O11="Rogue",AF14=2),VLOOKUP(RANDBETWEEN(1,11),Table43[],11),IF(AND(O11="sorcerer",AF14=2),VLOOKUP(RANDBETWEEN(1,11),Table43[],12),IF(AND(O11="warlock",AF14=2),VLOOKUP(RANDBETWEEN(1,11),Table43[],13),IF(AND(O11="wizard",AF14=2),VLOOKUP(RANDBETWEEN(1,11),Table43[],14)," ")))))))))))))</f>
        <v xml:space="preserve"> </v>
      </c>
      <c r="R11" s="49"/>
      <c r="S11" s="33" t="str">
        <f ca="1">IF(O11&lt;&gt;"non-classed",VLOOKUP(RANDBETWEEN(1,15),Table254[],2)," ")</f>
        <v>Guild Artisan</v>
      </c>
      <c r="AE11" s="29" t="s">
        <v>680</v>
      </c>
      <c r="AF11" s="29" t="str">
        <f ca="1">IF($P$6&gt;=19,VLOOKUP(RANDBETWEEN(1,6),Table41[],2)," ")</f>
        <v xml:space="preserve"> </v>
      </c>
      <c r="AH11" s="29" t="s">
        <v>16</v>
      </c>
      <c r="AI11" s="29">
        <f ca="1">$P$41</f>
        <v>0</v>
      </c>
      <c r="AJ11" s="29" t="str">
        <f t="shared" ref="AJ11:AU11" ca="1" si="16">IF(COUNTIF(AJ$27:AJ$33,$AH$11),$P$8," ")</f>
        <v xml:space="preserve"> </v>
      </c>
      <c r="AK11" s="29" t="str">
        <f t="shared" ca="1" si="16"/>
        <v xml:space="preserve"> </v>
      </c>
      <c r="AL11" s="29" t="str">
        <f t="shared" ca="1" si="16"/>
        <v xml:space="preserve"> </v>
      </c>
      <c r="AM11" s="29" t="str">
        <f t="shared" ca="1" si="16"/>
        <v xml:space="preserve"> </v>
      </c>
      <c r="AN11" s="29" t="str">
        <f t="shared" ca="1" si="16"/>
        <v xml:space="preserve"> </v>
      </c>
      <c r="AO11" s="29" t="str">
        <f t="shared" ca="1" si="16"/>
        <v xml:space="preserve"> </v>
      </c>
      <c r="AP11" s="29" t="str">
        <f t="shared" ca="1" si="16"/>
        <v xml:space="preserve"> </v>
      </c>
      <c r="AQ11" s="29" t="str">
        <f t="shared" ca="1" si="16"/>
        <v xml:space="preserve"> </v>
      </c>
      <c r="AR11" s="29" t="str">
        <f t="shared" ca="1" si="16"/>
        <v xml:space="preserve"> </v>
      </c>
      <c r="AS11" s="29" t="str">
        <f t="shared" ca="1" si="16"/>
        <v xml:space="preserve"> </v>
      </c>
      <c r="AT11" s="29" t="str">
        <f t="shared" ca="1" si="16"/>
        <v xml:space="preserve"> </v>
      </c>
      <c r="AU11" s="29" t="str">
        <f t="shared" ca="1" si="16"/>
        <v xml:space="preserve"> </v>
      </c>
      <c r="AV11" s="29">
        <f t="shared" ca="1" si="8"/>
        <v>0</v>
      </c>
      <c r="AW11" s="29" t="s">
        <v>16</v>
      </c>
      <c r="BI11" s="29" t="str">
        <f ca="1">IF(S11="Sage",P8," ")</f>
        <v xml:space="preserve"> </v>
      </c>
      <c r="BM11" s="29">
        <f t="shared" ca="1" si="2"/>
        <v>0</v>
      </c>
      <c r="BN11" s="29">
        <f t="shared" ca="1" si="9"/>
        <v>0</v>
      </c>
      <c r="BO11" s="29" t="str">
        <f t="shared" ca="1" si="3"/>
        <v xml:space="preserve"> </v>
      </c>
      <c r="BP11" s="29" t="str">
        <f t="shared" ca="1" si="4"/>
        <v xml:space="preserve"> </v>
      </c>
      <c r="BQ11" s="29" t="str">
        <f t="shared" ca="1" si="5"/>
        <v xml:space="preserve"> </v>
      </c>
      <c r="BR11" s="29">
        <f t="shared" ca="1" si="6"/>
        <v>0</v>
      </c>
      <c r="BS11" s="29">
        <f ca="1">IF(AND($BY$27=1,OR($P$15="knowledge",$R$15="knowledge")),$P$8*2,IF(AND($BY$27=2,OR($P$15="knowledge",$R$15="knowledge")),$P$8*2,0))</f>
        <v>0</v>
      </c>
      <c r="BU11" s="29">
        <f t="shared" ca="1" si="10"/>
        <v>0</v>
      </c>
      <c r="BV11" s="29" t="s">
        <v>16</v>
      </c>
      <c r="CB11" s="35">
        <f t="shared" ca="1" si="14"/>
        <v>7</v>
      </c>
      <c r="CC11" s="36">
        <f t="shared" ca="1" si="15"/>
        <v>0.60241176101373195</v>
      </c>
      <c r="CD11" s="29" t="s">
        <v>29</v>
      </c>
    </row>
    <row r="12" spans="1:83" ht="19.5" thickBot="1" x14ac:dyDescent="0.35">
      <c r="O12" s="54">
        <f ca="1">IF($AF$14=1,RANDBETWEEN(1,20),IF(Q12=1,RANDBETWEEN(1,19),IF(Q12=2,RANDBETWEEN(2,18),IF(Q12=3,RANDBETWEEN(3,17),IF(Q12=4,RANDBETWEEN(4,16),IF(Q12=5,RANDBETWEEN(5,15),IF(Q12=6,RANDBETWEEN(6,14),IF(Q12=7,RANDBETWEEN(7,13),IF(Q12=8,RANDBETWEEN(8,12),IF(Q12=9,RANDBETWEEN(9,11),IF(Q12=10,10," ")))))))))))</f>
        <v>6</v>
      </c>
      <c r="Q12" s="54" t="str">
        <f ca="1">IF(O11="non-classed"," ",IF(AF14=1," ",IF(AF14=2,RANDBETWEEN(1,10))))</f>
        <v xml:space="preserve"> </v>
      </c>
      <c r="AH12" s="29" t="s">
        <v>17</v>
      </c>
      <c r="AI12" s="29">
        <f ca="1">$P$42</f>
        <v>1</v>
      </c>
      <c r="AJ12" s="29" t="str">
        <f t="shared" ref="AJ12:AU12" ca="1" si="17">IF(COUNTIF(AJ$27:AJ$33,$AH$12),$P$8," ")</f>
        <v xml:space="preserve"> </v>
      </c>
      <c r="AK12" s="29" t="str">
        <f t="shared" ca="1" si="17"/>
        <v xml:space="preserve"> </v>
      </c>
      <c r="AL12" s="29" t="str">
        <f t="shared" ca="1" si="17"/>
        <v xml:space="preserve"> </v>
      </c>
      <c r="AM12" s="29" t="str">
        <f t="shared" ca="1" si="17"/>
        <v xml:space="preserve"> </v>
      </c>
      <c r="AN12" s="29" t="str">
        <f t="shared" ca="1" si="17"/>
        <v xml:space="preserve"> </v>
      </c>
      <c r="AO12" s="29" t="str">
        <f t="shared" ca="1" si="17"/>
        <v xml:space="preserve"> </v>
      </c>
      <c r="AP12" s="29" t="str">
        <f t="shared" ca="1" si="17"/>
        <v xml:space="preserve"> </v>
      </c>
      <c r="AQ12" s="29" t="str">
        <f t="shared" ca="1" si="17"/>
        <v xml:space="preserve"> </v>
      </c>
      <c r="AR12" s="29" t="str">
        <f t="shared" ca="1" si="17"/>
        <v xml:space="preserve"> </v>
      </c>
      <c r="AS12" s="29" t="str">
        <f t="shared" ca="1" si="17"/>
        <v xml:space="preserve"> </v>
      </c>
      <c r="AT12" s="29" t="str">
        <f t="shared" ca="1" si="17"/>
        <v xml:space="preserve"> </v>
      </c>
      <c r="AU12" s="29" t="str">
        <f t="shared" ca="1" si="17"/>
        <v xml:space="preserve"> </v>
      </c>
      <c r="AV12" s="29">
        <f t="shared" ca="1" si="8"/>
        <v>0</v>
      </c>
      <c r="AW12" s="29" t="s">
        <v>17</v>
      </c>
      <c r="AX12" s="29" t="str">
        <f ca="1">IF(S11="acolyte",P8," ")</f>
        <v xml:space="preserve"> </v>
      </c>
      <c r="BC12" s="29">
        <f ca="1">IF(S11="Guild Artisan",P8," ")</f>
        <v>3</v>
      </c>
      <c r="BM12" s="29">
        <f t="shared" ca="1" si="2"/>
        <v>3</v>
      </c>
      <c r="BN12" s="29">
        <f t="shared" ca="1" si="9"/>
        <v>0</v>
      </c>
      <c r="BO12" s="29" t="str">
        <f t="shared" ca="1" si="3"/>
        <v xml:space="preserve"> </v>
      </c>
      <c r="BP12" s="29" t="str">
        <f t="shared" ca="1" si="4"/>
        <v xml:space="preserve"> </v>
      </c>
      <c r="BQ12" s="29" t="str">
        <f t="shared" ca="1" si="5"/>
        <v xml:space="preserve"> </v>
      </c>
      <c r="BR12" s="29">
        <f t="shared" ca="1" si="6"/>
        <v>0</v>
      </c>
      <c r="BU12" s="29">
        <f t="shared" ca="1" si="10"/>
        <v>3</v>
      </c>
      <c r="BV12" s="29" t="s">
        <v>17</v>
      </c>
      <c r="CB12" s="35">
        <f t="shared" ca="1" si="14"/>
        <v>14</v>
      </c>
      <c r="CC12" s="36">
        <f t="shared" ca="1" si="15"/>
        <v>0.20702011087747463</v>
      </c>
      <c r="CD12" s="29" t="s">
        <v>13</v>
      </c>
    </row>
    <row r="13" spans="1:83" x14ac:dyDescent="0.3">
      <c r="AF13" s="29" t="s">
        <v>683</v>
      </c>
      <c r="AH13" s="29" t="s">
        <v>18</v>
      </c>
      <c r="AI13" s="29">
        <f ca="1">$P$43</f>
        <v>0</v>
      </c>
      <c r="AJ13" s="29" t="str">
        <f t="shared" ref="AJ13:AU13" ca="1" si="18">IF(COUNTIF(AJ$27:AJ$33,$AH$13),$P$8," ")</f>
        <v xml:space="preserve"> </v>
      </c>
      <c r="AK13" s="29" t="str">
        <f t="shared" ca="1" si="18"/>
        <v xml:space="preserve"> </v>
      </c>
      <c r="AL13" s="29" t="str">
        <f t="shared" ca="1" si="18"/>
        <v xml:space="preserve"> </v>
      </c>
      <c r="AM13" s="29" t="str">
        <f t="shared" ca="1" si="18"/>
        <v xml:space="preserve"> </v>
      </c>
      <c r="AN13" s="29" t="str">
        <f t="shared" ca="1" si="18"/>
        <v xml:space="preserve"> </v>
      </c>
      <c r="AO13" s="29" t="str">
        <f t="shared" ca="1" si="18"/>
        <v xml:space="preserve"> </v>
      </c>
      <c r="AP13" s="29" t="str">
        <f t="shared" ca="1" si="18"/>
        <v xml:space="preserve"> </v>
      </c>
      <c r="AQ13" s="29" t="str">
        <f t="shared" ca="1" si="18"/>
        <v xml:space="preserve"> </v>
      </c>
      <c r="AR13" s="29" t="str">
        <f t="shared" ca="1" si="18"/>
        <v xml:space="preserve"> </v>
      </c>
      <c r="AS13" s="29" t="str">
        <f t="shared" ca="1" si="18"/>
        <v xml:space="preserve"> </v>
      </c>
      <c r="AT13" s="29" t="str">
        <f t="shared" ca="1" si="18"/>
        <v xml:space="preserve"> </v>
      </c>
      <c r="AU13" s="29" t="str">
        <f t="shared" ca="1" si="18"/>
        <v xml:space="preserve"> </v>
      </c>
      <c r="AV13" s="29">
        <f t="shared" ca="1" si="8"/>
        <v>0</v>
      </c>
      <c r="AW13" s="29" t="s">
        <v>18</v>
      </c>
      <c r="BK13" s="29" t="str">
        <f ca="1">IF(S11="Soldier",P8," ")</f>
        <v xml:space="preserve"> </v>
      </c>
      <c r="BM13" s="29">
        <f t="shared" ca="1" si="2"/>
        <v>0</v>
      </c>
      <c r="BN13" s="29">
        <f t="shared" ca="1" si="9"/>
        <v>0</v>
      </c>
      <c r="BO13" s="29" t="str">
        <f t="shared" ca="1" si="3"/>
        <v xml:space="preserve"> </v>
      </c>
      <c r="BP13" s="29" t="str">
        <f t="shared" ca="1" si="4"/>
        <v xml:space="preserve"> </v>
      </c>
      <c r="BQ13" s="29" t="str">
        <f t="shared" ca="1" si="5"/>
        <v xml:space="preserve"> </v>
      </c>
      <c r="BR13" s="29">
        <f t="shared" ca="1" si="6"/>
        <v>0</v>
      </c>
      <c r="BU13" s="29">
        <f t="shared" ca="1" si="10"/>
        <v>0</v>
      </c>
      <c r="BV13" s="29" t="s">
        <v>18</v>
      </c>
      <c r="CB13" s="35">
        <f t="shared" ca="1" si="14"/>
        <v>2</v>
      </c>
      <c r="CC13" s="36">
        <f t="shared" ca="1" si="15"/>
        <v>0.94715684077324125</v>
      </c>
      <c r="CD13" s="29" t="s">
        <v>14</v>
      </c>
    </row>
    <row r="14" spans="1:83" ht="26.25" thickBot="1" x14ac:dyDescent="0.4">
      <c r="B14" s="123" t="s">
        <v>45</v>
      </c>
      <c r="O14" s="123" t="s">
        <v>709</v>
      </c>
      <c r="P14" s="123" t="s">
        <v>743</v>
      </c>
      <c r="Q14" s="123" t="s">
        <v>698</v>
      </c>
      <c r="R14" s="123" t="s">
        <v>743</v>
      </c>
      <c r="S14" s="123" t="s">
        <v>1826</v>
      </c>
      <c r="AF14" s="29">
        <f ca="1">IF(O11="non-classed",1,VLOOKUP(RANDBETWEEN(1,10),Table42[],2))</f>
        <v>1</v>
      </c>
      <c r="AH14" s="29" t="s">
        <v>19</v>
      </c>
      <c r="AI14" s="29">
        <f ca="1">$P$41</f>
        <v>0</v>
      </c>
      <c r="AJ14" s="29" t="str">
        <f t="shared" ref="AJ14:AU14" ca="1" si="19">IF(COUNTIF(AJ$27:AJ$33,$AH$14),$P$8," ")</f>
        <v xml:space="preserve"> </v>
      </c>
      <c r="AK14" s="29" t="str">
        <f t="shared" ca="1" si="19"/>
        <v xml:space="preserve"> </v>
      </c>
      <c r="AL14" s="29" t="str">
        <f t="shared" ca="1" si="19"/>
        <v xml:space="preserve"> </v>
      </c>
      <c r="AM14" s="29" t="str">
        <f t="shared" ca="1" si="19"/>
        <v xml:space="preserve"> </v>
      </c>
      <c r="AN14" s="29" t="str">
        <f t="shared" ca="1" si="19"/>
        <v xml:space="preserve"> </v>
      </c>
      <c r="AO14" s="29" t="str">
        <f t="shared" ca="1" si="19"/>
        <v xml:space="preserve"> </v>
      </c>
      <c r="AP14" s="29" t="str">
        <f t="shared" ca="1" si="19"/>
        <v xml:space="preserve"> </v>
      </c>
      <c r="AQ14" s="29" t="str">
        <f t="shared" ca="1" si="19"/>
        <v xml:space="preserve"> </v>
      </c>
      <c r="AR14" s="29" t="str">
        <f t="shared" ca="1" si="19"/>
        <v xml:space="preserve"> </v>
      </c>
      <c r="AS14" s="29" t="str">
        <f t="shared" ca="1" si="19"/>
        <v xml:space="preserve"> </v>
      </c>
      <c r="AT14" s="29" t="str">
        <f t="shared" ca="1" si="19"/>
        <v xml:space="preserve"> </v>
      </c>
      <c r="AU14" s="29" t="str">
        <f t="shared" ca="1" si="19"/>
        <v xml:space="preserve"> </v>
      </c>
      <c r="AV14" s="29">
        <f t="shared" ca="1" si="8"/>
        <v>0</v>
      </c>
      <c r="AW14" s="29" t="s">
        <v>19</v>
      </c>
      <c r="BM14" s="29">
        <f t="shared" si="2"/>
        <v>0</v>
      </c>
      <c r="BN14" s="29">
        <f t="shared" ca="1" si="9"/>
        <v>0</v>
      </c>
      <c r="BO14" s="29" t="str">
        <f t="shared" ca="1" si="3"/>
        <v xml:space="preserve"> </v>
      </c>
      <c r="BP14" s="29" t="str">
        <f t="shared" ca="1" si="4"/>
        <v xml:space="preserve"> </v>
      </c>
      <c r="BQ14" s="29" t="str">
        <f t="shared" ca="1" si="5"/>
        <v xml:space="preserve"> </v>
      </c>
      <c r="BR14" s="29">
        <f t="shared" ca="1" si="6"/>
        <v>0</v>
      </c>
      <c r="BU14" s="29">
        <f t="shared" ca="1" si="10"/>
        <v>0</v>
      </c>
      <c r="BV14" s="29" t="s">
        <v>19</v>
      </c>
      <c r="CB14" s="35">
        <f t="shared" ca="1" si="14"/>
        <v>3</v>
      </c>
      <c r="CC14" s="36">
        <f t="shared" ca="1" si="15"/>
        <v>0.78993290145626094</v>
      </c>
      <c r="CD14" s="29" t="s">
        <v>15</v>
      </c>
      <c r="CE14" s="31"/>
    </row>
    <row r="15" spans="1:83" ht="19.5" thickTop="1" x14ac:dyDescent="0.3">
      <c r="B15" s="33" t="str">
        <f ca="1">IF(P2="dark","Darkvision 120 ft.",IF(OR(Q2="dwarf",Q2="elf",Q2="gnome",Q2="half-elf",Q2="half-orc",Q2="tiefling"),"Darkvision 60 ft.",IF(Q2="halfling","Lucky",IF(Q2="dragonborn","Breath Weapon"," "))))</f>
        <v>Darkvision 60 ft.</v>
      </c>
      <c r="O15" s="33" t="str">
        <f ca="1">IF(O11="wizard","Ritual Casting",IF(O11="warlock","Otherworldly Patron - "&amp;VLOOKUP(RANDBETWEEN(1,2),Table226[],2),IF(O11="sorcerer","Spellcasting Focus",IF(O11="rogue","Sneak Attack - "&amp;INDEX('Class Tables'!E56:E75,MATCH(O12,('Class Tables'!D56:D75),0)),IF(AND(O11="ranger",AF24=2),"Favored Enemy - "&amp;INDEX('Class Tables'!S177:S220,MATCH(1,('Class Tables'!Q177:Q220),0)),IF(AND(O11="ranger",AF24=1),"Favored Enemy - "&amp;INDEX('Class Tables'!R162:R174,MATCH(1,('Class Tables'!Q162:Q174),0)),IF(O11="paladin","Divine Sense - "&amp;SUM(1,P43)&amp;" Uses",IF(O11="monk","Unarmored Defense",IF(O11="fighter",INDEX('Class Tables'!F48:F53,MATCH(1,('Class Tables'!D48:D53),0)),IF(O11="barbarian","Rage "&amp;INDEX('Class Tables'!J141:J160,MATCH(O12,('Class Tables'!I141:I160),0))&amp; " times, "&amp;INDEX('Class Tables'!K141:K160,MATCH(O12,('Class Tables'!I141:I160),0)),IF(O11="bard","Bardic Inspiration "&amp;P43&amp;" uses at "&amp;INDEX('Class Tables'!M58:M77,MATCH(O12,('Class Tables'!L58:L77),0)),IF(OR(O11="cleric",O11="druid"),"Ritual Casting"," "))))))))))))</f>
        <v>Unarmored Defense</v>
      </c>
      <c r="P15" s="33" t="str">
        <f ca="1">IF(AND(O11="wizard",O12&gt;=2),VLOOKUP(RANDBETWEEN(1,8),Table251[],2),IF(O11="warlock",O15,IF(O11="sorcerer",VLOOKUP(RANDBETWEEN(1,2),Table224[],2),IF(AND(O11="ranger",O12&gt;=3),VLOOKUP(RANDBETWEEN(1,2),Table97[],2),IF(AND(O11="paladin",O12&gt;=3),VLOOKUP(RANDBETWEEN(1,3),Table90[],2),IF(AND(O11="monk",O12&gt;=3),VLOOKUP(RANDBETWEEN(1,3),Table82[],2),IF(AND(O11="druid",O12&gt;=2),VLOOKUP(RANDBETWEEN(1,2),Table73[],2),IF(O11="cleric",VLOOKUP(RANDBETWEEN(1,7),Table65[],2),IF(AND($O$11="barbarian",$O$12&gt;=3),VLOOKUP(RANDBETWEEN(1,2),Table40[],2),IF(AND(O11="bard",O12&gt;=3),VLOOKUP(RANDBETWEEN(1,2),Table47[],2),IF(AND(O11="fighter",O12&gt;=3),VLOOKUP(RANDBETWEEN(1,3),Table178[],2),IF(AND(O11="rogue",O12&gt;=3),VLOOKUP(RANDBETWEEN(1,3),Table189[],2)," "))))))))))))</f>
        <v>Way of the Shadow</v>
      </c>
      <c r="Q15" s="33" t="str">
        <f ca="1">IF(Q11="wizard","Ritual Casting",IF(Q11="warlock","Otherworldly Patron - "&amp;VLOOKUP(RANDBETWEEN(1,2),Table226[],2),IF(Q11="sorcerer","Spellcasting Focus",IF(Q11="rogue","Sneak Attack - "&amp;INDEX('Class Tables'!E56:E75,MATCH(Q12,('Class Tables'!D56:D75),0)),IF(AND(Q11="ranger",AF24=2),"Favored Enemy - "&amp;INDEX('Class Tables'!S177:S220,MATCH(1,('Class Tables'!Q177:Q220),0)),IF(AND(Q11="ranger",AF24=1),"Favored Enemy - "&amp;INDEX('Class Tables'!R162:R174,MATCH(1,('Class Tables'!Q162:Q174),0)),IF(Q11="paladin","Divine Sense - "&amp;SUM(1,P43)&amp;" Uses",IF(Q11="monk","Unarmored Defense",IF(Q11="fighter",INDEX('Class Tables'!F48:F53,MATCH(1,('Class Tables'!D48:D53),0)),IF(Q11="barbarian","Rage "&amp;INDEX('Class Tables'!J141:J160,MATCH(Q12,('Class Tables'!I141:I160),0))&amp; " times, "&amp;INDEX('Class Tables'!K141:K160,MATCH(Q12,('Class Tables'!I141:I160),0)),IF(Q11="bard","Bardic Inspiration - "&amp;P43&amp;" uses at "&amp;INDEX('Class Tables'!M58:M77,MATCH(Q12,('Class Tables'!L58:L77),0)),IF(OR(Q11="cleric",Q11="druid"),"Ritual Casting"," "))))))))))))</f>
        <v xml:space="preserve"> </v>
      </c>
      <c r="R15" s="33" t="str">
        <f ca="1">IF(Q11="warlock",O15,IF(Q11="sorcerer",VLOOKUP(RANDBETWEEN(1,2),Table224[],2),IF(AND(Q11="ranger",Q12&gt;=3),VLOOKUP(RANDBETWEEN(1,2),Table97[],2),IF(AND(Q11="paladin",Q12&gt;=3),VLOOKUP(RANDBETWEEN(1,3),Table90[],2),IF(AND(Q11="monk",Q12&gt;=3),VLOOKUP(RANDBETWEEN(1,3),Table82[],2),IF(AND(Q11="druid",Q12&gt;=2),VLOOKUP(RANDBETWEEN(1,2),Table73[],2),IF(Q11="cleric",VLOOKUP(RANDBETWEEN(1,7),Table65[],2),IF(AND($Q$11="barbarian",$Q$12&gt;=3),VLOOKUP(RANDBETWEEN(1,2),Table40[],2),IF(AND(Q11="bard",Q12&gt;=3),VLOOKUP(RANDBETWEEN(1,2),Table47[],2),IF(AND($Q$11="fighter",$Q$12&gt;=3),VLOOKUP(RANDBETWEEN(1,3),Table178[],2),IF(AND(Q11="rogue",Q12&gt;=3),VLOOKUP(RANDBETWEEN(1,3),Table189[],2)," ")))))))))))</f>
        <v xml:space="preserve"> </v>
      </c>
      <c r="S15" s="33" t="str">
        <f ca="1">IF(S11="urchin","City Secrets",IF(S11="soldier",VLOOKUP(RANDBETWEEN(1,8),Table263[],2),IF(S11="pirate","Bad Reputation",IF(S11="Sailor","Ship's Passage",IF(S11="sage",VLOOKUP(RANDBETWEEN(1,8),Table262[],2),IF(S11="outlander",VLOOKUP(RANDBETWEEN(1,10),Table261[],2),IF(S11="knight","Retainers",IF(S11="noble","Position of Privlege",IF(S11="hermit","Discovery",IF(S11="guild artisan",VLOOKUP(RANDBETWEEN(1,20),Table260[],2),IF(S11="folk hero","Rustic Hospitality",IF(S11="entertainer",VLOOKUP(RANDBETWEEN(1,10),Table259[],2),IF(S11="Criminal","Criminal Contact",IF(S11="Charlatan","False Identity",IF(S11="acolyte","Shelter of the Faithful"," ")))))))))))))))</f>
        <v>Cook</v>
      </c>
      <c r="AF15" s="29" t="s">
        <v>1336</v>
      </c>
      <c r="AH15" s="29" t="s">
        <v>20</v>
      </c>
      <c r="AI15" s="29">
        <f ca="1">$P$42</f>
        <v>1</v>
      </c>
      <c r="AJ15" s="29" t="str">
        <f t="shared" ref="AJ15:AU15" ca="1" si="20">IF(COUNTIF(AJ$27:AJ$33,$AH$15),$P$8," ")</f>
        <v xml:space="preserve"> </v>
      </c>
      <c r="AK15" s="29" t="str">
        <f t="shared" ca="1" si="20"/>
        <v xml:space="preserve"> </v>
      </c>
      <c r="AL15" s="29" t="str">
        <f t="shared" ca="1" si="20"/>
        <v xml:space="preserve"> </v>
      </c>
      <c r="AM15" s="29" t="str">
        <f t="shared" ca="1" si="20"/>
        <v xml:space="preserve"> </v>
      </c>
      <c r="AN15" s="29" t="str">
        <f t="shared" ca="1" si="20"/>
        <v xml:space="preserve"> </v>
      </c>
      <c r="AO15" s="29" t="str">
        <f t="shared" ca="1" si="20"/>
        <v xml:space="preserve"> </v>
      </c>
      <c r="AP15" s="29" t="str">
        <f t="shared" ca="1" si="20"/>
        <v xml:space="preserve"> </v>
      </c>
      <c r="AQ15" s="29" t="str">
        <f t="shared" ca="1" si="20"/>
        <v xml:space="preserve"> </v>
      </c>
      <c r="AR15" s="29" t="str">
        <f t="shared" ca="1" si="20"/>
        <v xml:space="preserve"> </v>
      </c>
      <c r="AS15" s="29" t="str">
        <f t="shared" ca="1" si="20"/>
        <v xml:space="preserve"> </v>
      </c>
      <c r="AT15" s="29" t="str">
        <f t="shared" ca="1" si="20"/>
        <v xml:space="preserve"> </v>
      </c>
      <c r="AU15" s="29" t="str">
        <f t="shared" ca="1" si="20"/>
        <v xml:space="preserve"> </v>
      </c>
      <c r="AV15" s="29">
        <f t="shared" ca="1" si="8"/>
        <v>0</v>
      </c>
      <c r="AW15" s="29" t="s">
        <v>20</v>
      </c>
      <c r="BD15" s="29" t="str">
        <f ca="1">IF(S11="Hermit",P8," ")</f>
        <v xml:space="preserve"> </v>
      </c>
      <c r="BM15" s="29">
        <f t="shared" ca="1" si="2"/>
        <v>0</v>
      </c>
      <c r="BN15" s="29">
        <f t="shared" ca="1" si="9"/>
        <v>0</v>
      </c>
      <c r="BO15" s="29" t="str">
        <f t="shared" ca="1" si="3"/>
        <v xml:space="preserve"> </v>
      </c>
      <c r="BP15" s="29" t="str">
        <f t="shared" ca="1" si="4"/>
        <v xml:space="preserve"> </v>
      </c>
      <c r="BQ15" s="29" t="str">
        <f t="shared" ca="1" si="5"/>
        <v xml:space="preserve"> </v>
      </c>
      <c r="BR15" s="29">
        <f t="shared" ca="1" si="6"/>
        <v>0</v>
      </c>
      <c r="BU15" s="29">
        <f t="shared" ca="1" si="10"/>
        <v>0</v>
      </c>
      <c r="BV15" s="29" t="s">
        <v>20</v>
      </c>
      <c r="CB15" s="35">
        <f t="shared" ca="1" si="14"/>
        <v>1</v>
      </c>
      <c r="CC15" s="36">
        <f t="shared" ca="1" si="15"/>
        <v>0.95885165992026544</v>
      </c>
      <c r="CD15" s="29" t="s">
        <v>16</v>
      </c>
    </row>
    <row r="16" spans="1:83" x14ac:dyDescent="0.3">
      <c r="B16" s="33" t="str">
        <f ca="1">IF(Q2="dwarf","Dwarven Resilience",IF(OR(Q2="half-elf",Q2="elf"),"Fey Ancestry",IF(Q2="halfling","Brave",IF(Q2="dragonborn","Damage Resistance",IF(Q2="gnome","Gnome Cunning",IF(Q2="half-orc","Menacing",IF(Q2="tiefling","Hellish Resistance"," ")))))))</f>
        <v>Gnome Cunning</v>
      </c>
      <c r="O16" s="33" t="str">
        <f ca="1">IF(O11="wizard","Spellcasting Focus",IF(AND(O11="warlock",O12&gt;=3),VLOOKUP(RANDBETWEEN(1,3),Table227[],2),IF(AND(O11="sorcerer",O12&gt;=2),"Sorcery Points - "&amp;O12,IF(AND(O11="rogue",O12&gt;=2),"Cunning Action",IF(AND(O11="ranger",AF24=2),"Favored Enemy - "&amp;INDEX('Class Tables'!S177:S220,MATCH(2,('Class Tables'!Q177:Q220),0)),IF(O11="paladin","Lay On Hands "&amp;O12*5&amp;" HP",IF(O11="monk","Martial Arts - "&amp;INDEX('Class Tables'!J98:J117,MATCH(O12,('Class Tables'!I98:I117),0)),IF(O11="fighter","Second Wind - 1d10+"&amp;O12&amp;" hp",IF(O11="barbarian","Unarmored Defense",IF(AND(O11="bard",O12&gt;=2),"Jack of All Trades",IF(OR(O11="cleric",O11="druid"),"Spellcasting Focus"," ")))))))))))</f>
        <v>Martial Arts - 1d6</v>
      </c>
      <c r="P16" s="33" t="str">
        <f ca="1">IF(AND(P15="school of transmutation",O12&gt;=2),"Transmutation Savant",IF(AND(P15="school of necromancy",O12&gt;=2),"Necromancy Savant",IF(AND(P15="school of illusion",O12&gt;=2),"Illusion Savant",IF(AND(P15="school of evocation",O12&gt;=2),"Evocation Savant",IF(AND(P15="school of enchantment",O12&gt;=2),"Enchantment Savant",IF(AND(P15="school of divination",O12&gt;=2),"Divination Savant",IF(AND(P15="school of conjuration",O12&gt;=2),"Conjuration Savant",IF(P15="school of abjuration","Abjuration Savant",IF(AND(P15="otherworldly patron - great old one",O12&gt;=1),"Awakened Mind",IF(AND(P15="otherworldly patron - fiend",O12&gt;=3),"Dark One's Blessing - "&amp;SUM(O12,P43)&amp;" hp",IF(P15="otherworldly patron - Archfey","Fey Presence",IF(P15="wild magic","Wild Magic Surge",IF(P15="draconic bloodline",VLOOKUP(RANDBETWEEN(1,10),Table25[],2)&amp;" Dragon Ancestry",IF(P15="arcane trickster","Mage Hand Legerdemain",IF(P15="assassin","Assassinate",IF(P15="thief","Fast Hands",IF(P15="beastmaster","Companion - "&amp;VLOOKUP(RANDBETWEEN(1,39),Table218[],2),IF(P15="hunter",VLOOKUP(RANDBETWEEN(1,3),Table108[],2),IF(P15="oath of vengeance","Channel Divinity: Abjure Enemy",IF(P15="oath of the ancients","Channel Divinity: Nature's Wrath",IF(P15="Oath of Devotion","Channel Divinity: Sacred Weapon",IF(AND(P15="way of the four elements",O12&gt;=5),"Max. Ki Point for Spell - "&amp;INDEX('Class Tables'!N120:N137,MATCH(O12,('Class Tables'!M120:M137),0)),IF(AND(P15="way of the shadow",O12&gt;=6),"Shadow Step",IF(P15="way of the open hand","Open Hand Technique",IF(P15="eldritch Knight","Weapon Bond",IF(AND(P15="battle master",O12&gt;=7),"Know Your Enemy",IF(P15="champion","Improved Critical",IF(P15="moon","Combat Wild Shape",IF(P15="land","Natural Recovery - "&amp;ROUNDUP(O12*0.5,0)&amp;" slots",IF(AND(P15="war",O12&gt;=1),"War Priest",IF(AND(P15="trickery",O12&gt;=1),"Blessing of the Trickster",IF(AND(P15="tempest",O12&gt;=1),"Wrath of the Storm",IF(AND(P15="nature",O12&gt;=2),"Channel Divinity: Charm Animals and Plants",IF(AND(P15="light",O12&gt;=1),"Warding Flare",IF(P15="life","Disciple of Life",IF(AND(P15="knowledge",O12&gt;=2),"Channel Divinity: Knowledge of the Ages",IF(P15="path of the berserker","Frenzy",IF(P15="path of the totem warrior","Spirit Seeker",IF(P15="college of lore","Cutting Words",IF(P15="college of valor","Combat Inspiration"," "))))))))))))))))))))))))))))))))))))))))</f>
        <v>Shadow Step</v>
      </c>
      <c r="Q16" s="33" t="str">
        <f ca="1">IF(Q11="wizard","Spellcasting Focus",IF(AND(Q11="warlock",Q12&gt;=3),VLOOKUP(RANDBETWEEN(1,3),Table227[],2),IF(AND(Q11="sorcerer",Q12&gt;=2),"Sorcery Points - "&amp;Q12,IF(AND(Q11="rogue",Q12&gt;=2),"Cunning Action",IF(AND(Q11="ranger",AF24=2),"Favored Enemy - "&amp;INDEX('Class Tables'!S177:S220,MATCH(2,('Class Tables'!Q177:Q220),0)),IF(Q11="paladin","Lay On Hands "&amp;Q12*5&amp;" HP",IF(Q11="monk","Martial Arts - "&amp;INDEX('Class Tables'!J98:J117,MATCH(Q12,('Class Tables'!I98:I117),0)),IF(Q11="fighter","Second Wind - 1d10+"&amp;Q12&amp;" hp",IF(Q11="barbarian","Unarmored Defense AC "&amp;SUM(10,P39,P40),IF(AND(Q11="bard",Q12&gt;=2),"Jack of All Trades",IF(OR(Q11="cleric",Q11="druid"),"Spellcasting Focus"," ")))))))))))</f>
        <v xml:space="preserve"> </v>
      </c>
      <c r="R16" s="33" t="str">
        <f ca="1">IF(AND(R15="otherworldly patron - great old one",Q12&gt;=1),"Awakened Mind",IF(AND(R15="otherworldly patron - fiend",Q12&gt;=3),"Dark One's Blessing - "&amp;SUM(O12,P43)&amp;" hp",IF(R15="otherworldly patron - Archfey","Fey Presence",IF(R15="wild magic","Wild Magic Surge",IF(R15="draconic bloodline",VLOOKUP(RANDBETWEEN(1,10),Table25[],2)&amp;" Dragon Ancestry",IF(R15="arcane trickster","Mage Hand Legerdemain",IF(R15="assassin","Assassinate",IF(R15="thief","Fast Hands",IF(R15="beastmaster","Companion - "&amp;VLOOKUP(RANDBETWEEN(1,39),Table218[],2),IF(R15="hunter",VLOOKUP(RANDBETWEEN(1,3),Table108[],2),IF(R15="oath of vengeance","Channel Divinity: Abjure Enemy",IF(R15="oath of the ancients","Channel Divinity: Nature's Wrath",IF(R15="Oath of Devotion","Channel Divinity: Sacred Weapon",IF(AND(R15="way of the four elements",Q12&gt;=5),"Max. Ki Point for Spell - "&amp;INDEX('Class Tables'!N120:N137,MATCH(Q12,('Class Tables'!M120:M137),0)),IF(AND(R15="way of the shadow",Q12&gt;=6),"Shadow Step",IF(R15="way of the open hand","Open Hand Technique",IF(R15="eldritch knight","Weapon Bond",IF(AND(R15="battle master",Q12&gt;=7),"Know Your Enemy",IF(R15="champion","Improved Critical",IF(R15="moon","Combat Wild Shape",IF(R15="land","Natural Recovery",IF(AND(R15="war",Q12&gt;=1),"War Priest",IF(AND(R15="trickery",Q12&gt;=1),"Blessing of the Trickster",IF(AND(R15="nature",Q12&gt;=1),"Wrath of the Storm",IF(AND(R15="Nature",Q12&gt;=2),"Channel Divinity: Charm Animals and Plants",IF(AND(R15="light",Q12&gt;=1),"Warding Flare",IF(R15="life","Disciple of Life",IF(AND(R15="knowledge",Q12&gt;=2),"Channel Divinity: Knowledge of the Ages",IF(R15="path of the berserker","Frenzy",IF(R15="path of the totem warrior","Spirit Seeker",IF(R15="college of lore","Cutting Words",IF(R15="college of valor","Combat Inspiration"," "))))))))))))))))))))))))))))))))</f>
        <v xml:space="preserve"> </v>
      </c>
      <c r="S16" s="33" t="str">
        <f ca="1">IF(S11="soldier","Military Rank",IF(S11="sage","Researcher",IF(S11="outlander","Wanderer",IF(S11="guild artisan","Guild Membership",IF(S11="entertainer","By Popular Demand",IF(S11="criminal",VLOOKUP(RANDBETWEEN(1,8),Table256[],2)," "))))))</f>
        <v>Guild Membership</v>
      </c>
      <c r="AE16" s="29" t="s">
        <v>1339</v>
      </c>
      <c r="AF16" s="29">
        <f ca="1">IF(AND(AF14=2,OR(Q11="monk",Q11="barbarian",Q11="warlock"),OR(O11="paladin",O11="ranger",P15="arcane trickster",P15="eldritch knight")),Q12,IF(AND($AF$14=2,OR(O11="bard",O11="druid",O11="cleric",O11="sorcerer",O11="wizard")),O12,IF(AND($AF$14=2,OR(O11="paladin",O11="ranger")),O12*0.5,IF(AND($AF$14=2,OR($P$15="arcane trickster",$P$15="eldritch knight")),O12*0.33,0))))</f>
        <v>0</v>
      </c>
      <c r="AH16" s="29" t="s">
        <v>21</v>
      </c>
      <c r="AI16" s="29">
        <f ca="1">$P$41</f>
        <v>0</v>
      </c>
      <c r="AJ16" s="29" t="str">
        <f t="shared" ref="AJ16:AU16" ca="1" si="21">IF(COUNTIF(AJ$27:AJ$33,$AH$16),$P$8," ")</f>
        <v xml:space="preserve"> </v>
      </c>
      <c r="AK16" s="29" t="str">
        <f t="shared" ca="1" si="21"/>
        <v xml:space="preserve"> </v>
      </c>
      <c r="AL16" s="29" t="str">
        <f t="shared" ca="1" si="21"/>
        <v xml:space="preserve"> </v>
      </c>
      <c r="AM16" s="29" t="str">
        <f t="shared" ca="1" si="21"/>
        <v xml:space="preserve"> </v>
      </c>
      <c r="AN16" s="29" t="str">
        <f t="shared" ca="1" si="21"/>
        <v xml:space="preserve"> </v>
      </c>
      <c r="AO16" s="29" t="str">
        <f t="shared" ca="1" si="21"/>
        <v xml:space="preserve"> </v>
      </c>
      <c r="AP16" s="29" t="str">
        <f t="shared" ca="1" si="21"/>
        <v xml:space="preserve"> </v>
      </c>
      <c r="AQ16" s="29" t="str">
        <f t="shared" ca="1" si="21"/>
        <v xml:space="preserve"> </v>
      </c>
      <c r="AR16" s="29" t="str">
        <f t="shared" ca="1" si="21"/>
        <v xml:space="preserve"> </v>
      </c>
      <c r="AS16" s="29" t="str">
        <f t="shared" ca="1" si="21"/>
        <v xml:space="preserve"> </v>
      </c>
      <c r="AT16" s="29" t="str">
        <f t="shared" ca="1" si="21"/>
        <v xml:space="preserve"> </v>
      </c>
      <c r="AU16" s="29" t="str">
        <f t="shared" ca="1" si="21"/>
        <v xml:space="preserve"> </v>
      </c>
      <c r="AV16" s="29">
        <f t="shared" ca="1" si="8"/>
        <v>0</v>
      </c>
      <c r="AW16" s="29" t="s">
        <v>21</v>
      </c>
      <c r="BM16" s="29">
        <f t="shared" si="2"/>
        <v>0</v>
      </c>
      <c r="BN16" s="29">
        <f t="shared" ca="1" si="9"/>
        <v>0</v>
      </c>
      <c r="BO16" s="29" t="str">
        <f t="shared" ca="1" si="3"/>
        <v xml:space="preserve"> </v>
      </c>
      <c r="BP16" s="29" t="str">
        <f t="shared" ca="1" si="4"/>
        <v xml:space="preserve"> </v>
      </c>
      <c r="BQ16" s="29" t="str">
        <f t="shared" ca="1" si="5"/>
        <v xml:space="preserve"> </v>
      </c>
      <c r="BR16" s="29">
        <f t="shared" ca="1" si="6"/>
        <v>0</v>
      </c>
      <c r="BS16" s="29">
        <f ca="1">IF(AND($BY$28=1,OR($P$15="knowledge",$R$15="knowledge")),$P$8*2,IF(AND($BY$28=2,OR($P$15="knowledge",$R$15="knowledge")),$P$8*2,0))</f>
        <v>0</v>
      </c>
      <c r="BT16" s="29">
        <f ca="1">IF(AND(BY31=1,OR($P$15="nature",$R$15="nature")),$P$8,0)</f>
        <v>0</v>
      </c>
      <c r="BU16" s="29">
        <f t="shared" ca="1" si="10"/>
        <v>0</v>
      </c>
      <c r="BV16" s="29" t="s">
        <v>21</v>
      </c>
      <c r="CB16" s="35">
        <f t="shared" ca="1" si="14"/>
        <v>17</v>
      </c>
      <c r="CC16" s="36">
        <f t="shared" ca="1" si="15"/>
        <v>0</v>
      </c>
      <c r="CD16" s="29" t="s">
        <v>17</v>
      </c>
    </row>
    <row r="17" spans="2:83" ht="26.25" thickBot="1" x14ac:dyDescent="0.4">
      <c r="B17" s="33" t="str">
        <f ca="1">IF(Q2="dwarf","Stonecunning",IF(Q2="elf","Trance",IF(Q2="halfling","Halfling Nimbleness",IF(P2="forest","Speak with Small Beasts",IF(P2="rock","Artificer's Lore",IF(Q2="half-orc","Relentless Endurance",IF(Q2="tiefling","Infernal Legacy"," ")))))))</f>
        <v>Speak with Small Beasts</v>
      </c>
      <c r="O17" s="33" t="str">
        <f ca="1">IF(O11="wizard","Arcane Recovery - "&amp;ROUNDDOWN(O12*0.5,0)&amp;" slots",IF(AND(O11="warlock",O12&gt;=20),"Eldritch Master",IF(AND(O11="sorcerer",O12&gt;=2),"Flexible Casting",IF(AND(O11="rogue",O12&gt;=5),"Uncanny Dodge",IF(O11="ranger","Natural Explorer: "&amp;INDEX('Class Tables'!F212:F219,MATCH(1,('Class Tables'!D212:D219),0)),IF(AND(O11="paladin",O12&gt;=2),VLOOKUP(RANDBETWEEN(1,4),Table89[],2),IF(AND(O11="monk",O12&gt;=2),"Ki Points - "&amp;INDEX('Class Tables'!K98:K117,MATCH(O12,('Class Tables'!I98:I117),0)),IF(AND(O11="fighter",O12&gt;=2),"Action Surge",IF(AND($O$11="barbarian",$O$12&gt;=2),"Reckless Attack",IF(AND(O11="bard",O12&gt;=2),"Song of Rest - "&amp;INDEX('Class Tables'!N58:N77,MATCH(O12,('Class Tables'!L58:L77),0))&amp;" hp",IF(AND(O11="druid",O12&gt;=2),"Wild Shape - "&amp;INDEX('Class Tables'!R140:R159,MATCH(O12,('Class Tables'!Q140:Q159),0)),IF(AND(O11="cleric",O12&gt;=2),"Channel Divinity - "&amp;INDEX('Class Tables'!N140:N159,MATCH(O12,('Class Tables'!M140:M159),0))&amp;" uses"," "))))))))))))</f>
        <v>Ki Points - 6</v>
      </c>
      <c r="P17" s="33" t="str">
        <f ca="1">IF(AND(P15="school of transmutation",O12&gt;=2),"Minor Alchemy",IF(AND(P15="school of necromancy",O12&gt;=2),"Grim Harvest",IF(AND(P15="school of illusion",O12&gt;=2),"Improved Minor Illusion",IF(AND(P15="school of evocation",O12&gt;=2),"Sculpt Spells",IF(AND(P15="school of enchantment",O12&gt;=2),"Hypnotic Gaze",IF(AND(P15="school of divination",O12&gt;=2),"Portent",IF(AND(P15="school of conjuration",O12&gt;=2),"Minor Conjuration",IF(P15="school of abjuration","Arcane Ward - "&amp;SUM(O12,P41)&amp;" hp",IF(AND(P15="otherworldly patron - great old one",O12&gt;=6),"Entropic Ward",IF(AND(P15="otherworldly patron - fiend",O12&gt;=10),"Fiendish Resilience",IF(AND(P15="otherworldly patron - Archfey",O12&gt;=6),"Misty Escape",IF(P15="wild magic","Tides of Chaos",IF(P15="draconic bloodline","Draconic Resilience - AC "&amp;SUM(13+P39),IF(AND(P15="arcane trickster",O12&gt;=9),"Magical Ambush",IF(AND(P15="assassin",O12&gt;=9),"Infiltration Expertise",IF(P15="thief","Second-Story Work",IF(AND(P15="beastmaster",O12&gt;=7),"Exceptional Training",IF(AND(P15="hunter",O12&gt;=7),VLOOKUP(RANDBETWEEN(1,3),Table126[],2),IF(P15="oath of vengeance","Channel Divinity: Vow of Enmity",IF(P15="oath of the ancients","Channel Divinity: Turn the Faithless",IF(P15="oath of devotion","Channel Divinity: Turn the Unholy",IF(P15="way of the four elements","Elemental Attunement",IF(AND(P15="way of the shadow",O12&gt;=11),"Cloak of Shadows",IF(AND(P15="way of the open hand",O12&gt;=6),"Wholeness of Body "&amp;O12*3&amp;" hp",IF(AND(P15="eldritch knight",O12&gt;=7),"War Magic",IF(AND(P15="battle master",O12&gt;=15),"Relentless",IF(AND(P15="champion",O12&gt;=7),"Remarkable Athlete",IF(P15="moon","Circle Forms - CR: "&amp;ROUNDDOWN(O12*0.33,0),IF(AND(P15="land",O12&gt;=6),"Land's Stride",IF(AND(P15="war",O12&gt;=2),"Channel Divinity: Guided Strike",IF(AND(P15="trickery",O12&gt;=2),"Channel Divinity: Invoke Duplicity",IF(AND(P15="tempest",O12&gt;=2),"Channel Divinity: Destructive Wrath",IF(AND(P15="nature",O12&gt;=6),"Dampen Elements",IF(AND(P15="light",O12&gt;=2),"Channel Divinity: Radiance of the Dawn",IF(AND(P15="life",O12&gt;=2),"Channel Divinity: Preserve Life - "&amp;O12*5&amp;" hp",IF(AND(P15="knowledge",O12&gt;=6),"Channel Divinity: Read Thoughts",IF($P$15="path of the totem warrior",VLOOKUP(RANDBETWEEN(1,3),Table44[],2),IF(AND(P15="college of lore",O12&gt;=14),"Peerless Skill",IF(AND(P15="college of valor",O12&gt;=6),"Extra Attack"," ")))))))))))))))))))))))))))))))))))))))</f>
        <v xml:space="preserve"> </v>
      </c>
      <c r="Q17" s="33" t="str">
        <f ca="1">IF(Q11="wizard","Arcane Recovery - "&amp;ROUNDDOWN(Q12*0.5,0)&amp;" slots",IF(AND(Q11="sorcerer",Q12&gt;=2),"Flexible Casting",IF(AND(Q11="rogue",Q12&gt;=5),"Uncanny Dodge",IF(Q11="ranger","Natural Explorer: "&amp;INDEX('Class Tables'!F212:F219,MATCH(1,('Class Tables'!D212:D219),0)),IF(AND(Q11="paladin",Q12&gt;=2),VLOOKUP(RANDBETWEEN(1,4),Table89[],2),IF(AND(Q11="monk",Q12&gt;=2),"Ki Points - "&amp;INDEX('Class Tables'!K98:K117,MATCH(Q12,('Class Tables'!I98:I117),0)),IF(AND(Q11="fighter",Q12&gt;=2),"Action Surge",IF(AND($Q$11="barbarian",$Q$12&gt;=2),"Reckless Attack",IF(AND(Q11="bard",Q12&gt;=2),"Song of Rest - "&amp;INDEX('Class Tables'!N58:N77,MATCH(Q12,('Class Tables'!L58:L77),0))&amp;" hp",IF(AND(Q11="cleric",Q12&gt;=2),"Channel Divinity - "&amp;INDEX('Class Tables'!N140:N159,MATCH(Q12,('Class Tables'!M140:M159),0))&amp;" uses",IF(AND(Q11="druid",Q12&gt;=2),"Wild Shape - "&amp;INDEX('Class Tables'!R140:R159,MATCH(Q12,('Class Tables'!Q140:Q159),0))," ")))))))))))</f>
        <v xml:space="preserve"> </v>
      </c>
      <c r="R17" s="33" t="str">
        <f ca="1">IF(AND(R15="otherworldly patron - great old one",Q12&gt;=6),"Entropic Ward",IF(AND(R15="otherworldly patron - fiend",Q12&gt;=10),"Fiendish Resilience",IF(AND(R15="otherworldly patron - Archfey",Q12&gt;=6),"Misty Escape",IF(R15="wild magic","Tides of Chaos",IF(R15="draconic bloodline","Draconic Resilience - AC "&amp;SUM(13+P39),IF(AND(R15="arcane trickster",Q12&gt;=9),"Magical Ambush",IF(AND(R15="assassin",Q12&gt;=9),"Infiltration Expertise",IF(R15="thief","Second-Story Work",IF(AND(R15="beastmaster",Q12&gt;=7),"Exceptional Training",IF(AND(R15="hunter",Q12&gt;=7),VLOOKUP(RANDBETWEEN(1,3),Table126[],2),IF(R15="oath of vengeance","Channel Divinity: Vow of Enmity",IF(R15="oath of the ancients","Channel Divinity: Turn the Faithless",IF(R15="oath of devotion","Channel Divinity: Turn the Unholy",IF(R15="way of the four elements","Elemental Attunement",IF(AND(R15="way of the open hand",Q12&gt;=6),"Wholeness of Body "&amp;Q12*3&amp;" hp",IF(AND(R15="eldritch knight",Q12&gt;=7),"War Magic",IF(AND(R15="champion",Q12&gt;=7),"Remarkable Athlete",IF(R15="moon","Circle Forms",IF(AND(R15="land",Q12&gt;=6),"Land's Stride",IF(AND(R15="war",Q12&gt;=2),"Channel Divinity: Guided Strike",IF(AND(R15="trickery",Q12&gt;=2),"Channel Divinity: Invoke Duplicity",IF(AND(R15="nature",Q12&gt;=2),"Channel Divinity: Destructive Wrath",IF(AND(R15="nature",Q12&gt;=6),"Dampen Elements",IF(AND(R15="light",Q12&gt;=2),"Channel Divinity: Radiance of the Dawn",IF(AND(R15="life",Q12&gt;=2),"Channel Divinity: Preserve Life - "&amp;Q12*5&amp;" hp",IF(AND(R15="knowledge",Q12&gt;=6),"Channel Divinity: Read Thoughts",IF($R$15="path of the totem warrior",VLOOKUP(RANDBETWEEN(1,3),Table44[],2),IF(AND(Q12&gt;=14,R15="college of lore"),"Peerless Skill",IF(AND(Q12&gt;=6,R15="College of Valor"),"Extra Attack"," ")))))))))))))))))))))))))))))</f>
        <v xml:space="preserve"> </v>
      </c>
      <c r="S17" s="123" t="s">
        <v>40</v>
      </c>
      <c r="AE17" s="29" t="s">
        <v>1337</v>
      </c>
      <c r="AF17" s="29">
        <f ca="1">IF(AND(AF14=2,OR(O11="monk",O11="barbarian",O11="warlock"),OR(Q11="paladin",Q11="ranger",R15="arcane trickster",R15="eldritch knight")),Q12,IF(AND($AF$14=2,OR(Q11="bard",Q11="druid",Q11="cleric",Q11="sorcerer",Q11="wizard")),Q12,IF(AND($AF$14=2,OR(Q11="paladin",Q11="ranger")),Q12*0.5,IF(AND($AF$14=2,OR($R$15="arcane trickster",$R$15="eldritch knight")),Q12*0.33,0))))</f>
        <v>0</v>
      </c>
      <c r="AH17" s="29" t="s">
        <v>22</v>
      </c>
      <c r="AI17" s="29">
        <f ca="1">$P$42</f>
        <v>1</v>
      </c>
      <c r="AJ17" s="29" t="str">
        <f t="shared" ref="AJ17:AU17" ca="1" si="22">IF(COUNTIF(AJ$27:AJ$33,$AH$17),$P$8," ")</f>
        <v xml:space="preserve"> </v>
      </c>
      <c r="AK17" s="29" t="str">
        <f t="shared" ca="1" si="22"/>
        <v xml:space="preserve"> </v>
      </c>
      <c r="AL17" s="29" t="str">
        <f t="shared" ca="1" si="22"/>
        <v xml:space="preserve"> </v>
      </c>
      <c r="AM17" s="29" t="str">
        <f t="shared" ca="1" si="22"/>
        <v xml:space="preserve"> </v>
      </c>
      <c r="AN17" s="29" t="str">
        <f t="shared" ca="1" si="22"/>
        <v xml:space="preserve"> </v>
      </c>
      <c r="AO17" s="29" t="str">
        <f t="shared" ca="1" si="22"/>
        <v xml:space="preserve"> </v>
      </c>
      <c r="AP17" s="29" t="str">
        <f t="shared" ca="1" si="22"/>
        <v xml:space="preserve"> </v>
      </c>
      <c r="AQ17" s="29" t="str">
        <f t="shared" ca="1" si="22"/>
        <v xml:space="preserve"> </v>
      </c>
      <c r="AR17" s="29" t="str">
        <f t="shared" ca="1" si="22"/>
        <v xml:space="preserve"> </v>
      </c>
      <c r="AS17" s="29" t="str">
        <f t="shared" ca="1" si="22"/>
        <v xml:space="preserve"> </v>
      </c>
      <c r="AT17" s="29" t="str">
        <f t="shared" ca="1" si="22"/>
        <v xml:space="preserve"> </v>
      </c>
      <c r="AU17" s="29" t="str">
        <f t="shared" ca="1" si="22"/>
        <v xml:space="preserve"> </v>
      </c>
      <c r="AV17" s="29">
        <f t="shared" ca="1" si="8"/>
        <v>0</v>
      </c>
      <c r="AW17" s="29" t="s">
        <v>22</v>
      </c>
      <c r="BH17" s="29" t="str">
        <f ca="1">IF(S11="Pirate",P8," ")</f>
        <v xml:space="preserve"> </v>
      </c>
      <c r="BJ17" s="29" t="str">
        <f ca="1">IF(S11="Sailor",P8," ")</f>
        <v xml:space="preserve"> </v>
      </c>
      <c r="BM17" s="29">
        <f t="shared" ca="1" si="2"/>
        <v>0</v>
      </c>
      <c r="BN17" s="29">
        <f t="shared" ca="1" si="9"/>
        <v>0</v>
      </c>
      <c r="BO17" s="29" t="str">
        <f t="shared" ca="1" si="3"/>
        <v xml:space="preserve"> </v>
      </c>
      <c r="BP17" s="29" t="str">
        <f t="shared" ca="1" si="4"/>
        <v xml:space="preserve"> </v>
      </c>
      <c r="BQ17" s="29" t="str">
        <f t="shared" ca="1" si="5"/>
        <v xml:space="preserve"> </v>
      </c>
      <c r="BR17" s="29">
        <f t="shared" ca="1" si="6"/>
        <v>0</v>
      </c>
      <c r="BU17" s="29">
        <f t="shared" ca="1" si="10"/>
        <v>0</v>
      </c>
      <c r="BV17" s="29" t="s">
        <v>22</v>
      </c>
      <c r="CB17" s="35">
        <f t="shared" ca="1" si="14"/>
        <v>13</v>
      </c>
      <c r="CC17" s="36">
        <f t="shared" ca="1" si="15"/>
        <v>0.30401671640417438</v>
      </c>
      <c r="CD17" s="29" t="s">
        <v>18</v>
      </c>
    </row>
    <row r="18" spans="2:83" ht="19.5" thickTop="1" x14ac:dyDescent="0.3">
      <c r="B18" s="33" t="str">
        <f ca="1">IF(P2="wood","Mask of the Wild",IF(P2="dark","Sunlight Sensitivity",IF(P2="lightfoot","Naturally Stealthy",IF(P2="stout","Stout Resilience",IF(P2="rock","Tinker",IF(Q2="half-orc","Savage Attacks"," "))))))</f>
        <v xml:space="preserve"> </v>
      </c>
      <c r="O18" s="33" t="str">
        <f ca="1">IF(AND(O11="wizard",O12&gt;=18),"Spell Mastery - "&amp;INDEX(Q193:Q202,MATCH(1,(O193:O202),0)),IF(AND(AF26=2,O11="warlock",O12&gt;=2,COUNTIF(P193:P202,"*"&amp;"eldritch blast"&amp;"*")),"Invocation - Agonizing Blast",IF(AND(O11="warlock",O12&gt;=15),"Invocation - "&amp;INDEX('Class Tables'!F164:F187,MATCH(1,('Class Tables'!D164:D187),0)),IF(AND(O11="warlock",O12&gt;=9),"Invocation - "&amp;INDEX('Class Tables'!F141:F161,MATCH(1,('Class Tables'!D141:D161),0)),IF(AND(O11="warlock",O12&gt;=7),"Invocation - "&amp;INDEX('Class Tables'!F122:F138,MATCH(1,('Class Tables'!D122:D138),0)),IF(AND(O11="warlock",O12&gt;=5),"Invocation - "&amp;INDEX('Class Tables'!F106:F119,MATCH(1,('Class Tables'!D106:D119),0)),IF(AND(O11="warlock",O12&gt;=2),"Invocation - "&amp;INDEX('Class Tables'!F93:F103,MATCH(1,('Class Tables'!D93:D103),0)),IF(AND(O11="sorcerer",O12&gt;=3),"MM - "&amp;INDEX('Class Tables'!F78:F85,MATCH(1,('Class Tables'!D78:D85),0)),IF(AND(O11="rogue",O12&gt;=7),"Evasion",IF(AND(O11="ranger",O12&gt;=2),VLOOKUP(RANDBETWEEN(1,4),Table96[],2),IF(AND(O11="paladin",O12&gt;=2),"Spellcasting Focus",IF(AND(O11="monk",O12&gt;=2),"Ki DC - "&amp;SUM(8,P8,P42),IF(AND(O11="fighter",O12&gt;=5),"Extra Attack -"&amp;INDEX('Class Tables'!U140:U159,MATCH(O12,('Class Tables'!T140:T159),0)),IF(AND($O$11="barbarian",$O$12&gt;=2),"Danger Sense",IF(AND(O11="bard",O12&gt;=5),"Font of Inspiration",IF(AND(O11="druid",O12&gt;=18),"Timeless Body",IF(AND(O11="cleric",O12&gt;=2),"Channel Divinity: Turn Undead"," ")))))))))))))))))</f>
        <v>Ki DC - 12</v>
      </c>
      <c r="P18" s="33" t="str">
        <f ca="1">IF(AND(P15="school of transmutation",O12&gt;=6),"Transmuter's Stone",IF(AND(P15="school of necromancy",O12&gt;=6),"Undead Thralls",IF(AND(P15="school of illusion",O12&gt;=6),"Malleable Illusions",IF(AND(P15="school of evocation",O12&gt;=6),"Potent Cantrip",IF(AND(P15="school of enchantment",O12&gt;=6),"Instinctive Charm",IF(AND(P15="school of divination",O12&gt;=6),"Expert Divination",IF(AND(P15="school of conjuration",O12&gt;=6),"Benign Transposition",IF(AND(P15="school of abjuration",O12&gt;=6),"Projected Ward",IF(AND(P15="otherworldly patron - great old one",O12&gt;=10),"Thought Shield",IF(AND(P15="otherworldly patron - fiend",O12&gt;=14),"Hurl Through Hell",IF(AND(P15="otherworldly patron - Archfey",O12&gt;=10),"Beguiling Defenses",IF(AND(P15="wild magic",O12&gt;=6),"Bend Luck",IF(AND(P15="draconic bloodline",O12&gt;=6),"Elemental Affinity",IF(AND(P15="arcane trickster",O12&gt;=13),"Versatile Trickster",IF(AND(P15="assassin",O12&gt;=13),"Imposter",IF(AND(P15="thief",O12&gt;=9),"Supreme Sneak",IF(AND(P15="beastmaster",O12&gt;=11),"Beastial Fury",IF(AND(P15="hunter",O12&gt;=11),VLOOKUP(RANDBETWEEN(1,2),Table179[],2),IF(AND(P15="oath of vengeance",O12&gt;=7),"Relentless Avenger",IF(AND(P15="oath of the ancients",O12&gt;=7),"Aura of Warding",IF(AND(P15="oath of devotion",O12&gt;=7),"Aura of Devotion",IF(P15="way of the four elements",INDEX('Class Tables'!K120:K126,MATCH(1,('Class Tables'!I120:I126),0)),IF(AND(P15="way of the shadow",O12&gt;=17),"Opportunist",IF(AND(P15="way of the open hand",O12&gt;=11),"Tranquility DC "&amp;SUM(8,P42,P8),IF(AND(P15="eldritch knight",O12&gt;=10),"Eldritch Strike",IF(P15="battle Master",INDEX('Class Tables'!J58:J77,MATCH(O12,('Class Tables'!I58:I77),0)),IF(AND(P15="champion",O12&gt;=10),INDEX('Class Tables'!F48:F53,MATCH(2,('Class Tables'!D48:D53),0)),IF(AND(P15="moon",O12&gt;=6),"Primal Strike",IF(AND(P15="land",O12&gt;=10),"Nature's Ward",IF(AND(P15="war",O12&gt;=6),"Channel Divinity: War God's Blessing",IF(AND(P15="trickery",O12&gt;=6),"Channel Divinity: Cloak of Shadows",IF(AND(P15="nature",O12&gt;=6),"Thunderbolt Strike",IF(AND(P15="nature",O12&gt;=8),"Divine Strike",IF(AND(P15="light",O12&gt;=6),"Improved Flare",IF(AND(P15="life",O12&gt;=6),"Blessed Healer",IF(AND(P15="knowledge",O12&gt;=8),"Potent Spellcasting",IF(AND(P15="path of the berserker",O12&gt;=6,O11="barbarian"),"Mindless Rage",IF(AND(P15="path of the totem warrior",O12&gt;=6,O11="barbarian"),VLOOKUP(RANDBETWEEN(1,3),Table44[],3),IF(AND(P15="college of valor",O12&gt;=14),"Battle Magic"," ")))))))))))))))))))))))))))))))))))))))</f>
        <v xml:space="preserve"> </v>
      </c>
      <c r="Q18" s="33" t="str">
        <f ca="1">IF(AND(Q11="warlock",Q12&gt;=9),"Invocation - "&amp;INDEX('Class Tables'!F141:F161,MATCH(1,('Class Tables'!D141:D161),0)),IF(AND(Q11="warlock",Q12&gt;=7),"Invocation - "&amp;INDEX('Class Tables'!F122:F138,MATCH(1,('Class Tables'!D122:D138),0)),IF(AND(Q11="warlock",Q12&gt;=5),"Invocation - "&amp;INDEX('Class Tables'!F106:F119,MATCH(1,('Class Tables'!D106:D119),0)),IF(AND(Q11="warlock",Q12&gt;=2),"Invocation - "&amp;INDEX('Class Tables'!F93:F103,MATCH(1,('Class Tables'!D93:D103),0)),IF(AND(Q11="sorcerer",Q12&gt;=3),"MM - "&amp;INDEX('Class Tables'!F78:F85,MATCH(1,('Class Tables'!D78:D85),0)),IF(AND(Q11="rogue",Q12&gt;=7),"Evasion",IF(AND(Q11="ranger",Q12&gt;=2),VLOOKUP(RANDBETWEEN(1,4),Table96[],2),IF(AND(Q11="paladin",Q12&gt;=2),"Spellcasting Focus",IF(AND(Q11="monk",Q12&gt;=2),"Ki DC - "&amp;SUM(8,P8,P42),IF(AND(Q11="fighter",Q12&gt;=5),"Extra Attack - "&amp;INDEX('Class Tables'!U140:U159,MATCH(Q12,('Class Tables'!T140:T159),0)),IF(AND($Q$11="barbarian",$Q$12&gt;=2),"Danger Sense",IF(AND(Q11="bard",Q12&gt;=5),"Font of Inspiration",IF(AND(Q11="cleric",Q12&gt;=2),"Channel Divinity: Turn Undead",IF(AND(Q11="druid",Q12&gt;=18),"Timeless Body"," "))))))))))))))</f>
        <v xml:space="preserve"> </v>
      </c>
      <c r="R18" s="33" t="str">
        <f ca="1">IF(AND(R15="otherworldly patron - great old one",Q12&gt;=10),"Thought Shield",IF(AND(R15="otherworldly patron - Archfey",Q12&gt;=10),"Beguiling Defenses",IF(AND(R15="wild magic",Q12&gt;=6),"Bend Luck",IF(AND(R15="draconic bloodline",Q12&gt;=6),"Elemental Affinity",IF(AND(R15="thief",Q12&gt;=9),"Supreme Sneak",IF(AND(R15="oath of vengeance",Q12&gt;=7),"Relentless Avenger",IF(AND(R15="oath of the ancients",Q12&gt;=7),"Aura of Warding",IF(AND(R15="oath of devotion",Q12&gt;=7),"Aura of Devotion",IF(R15="way of the four elements",INDEX('Class Tables'!K120:K126,MATCH(1,('Class Tables'!I120:I126),0)),IF(AND(R15="eldritch knight",Q12&gt;=10),"Eldritch Strike",IF(R15="battle Master",INDEX('Class Tables'!J58:J77,MATCH(Q12,('Class Tables'!I58:I77),0)),IF(AND(R15="champion",Q12&gt;=10),INDEX('Class Tables'!F48:F53,MATCH(2,('Class Tables'!D48:D53),0)),IF(AND(R15="moon",Q12&gt;=6),"Primal Strike",IF(AND(R15="land",Q12&gt;=10),"Nature's Ward",IF(AND(R15="war",Q12&gt;=6),"War God's Blessing",IF(AND(R15="trickery",Q12&gt;=6),"Channel Divinity: Cloak of Shadows",IF(AND(R15="nature",Q12&gt;=6),"Thunderbolt Strike",IF(AND(R15="nature",Q12&gt;=8),"Divine Strike",IF(AND(R15="light",Q12&gt;=6),"Improved Flare",IF(AND(R15="life",Q12&gt;=6),"Blessed Healer",IF(AND(R15="knowledge",Q12&gt;=8),"Potent Spellcasting",IF(AND(R15="path of the berserker",Q12&gt;=6),"Mindless Rage",IF(AND(R15="path of the totem warrior",Q12&gt;=6),VLOOKUP(RANDBETWEEN(1,3),Table44[],3)," ")))))))))))))))))))))))</f>
        <v xml:space="preserve"> </v>
      </c>
      <c r="S18" s="33" t="s">
        <v>51</v>
      </c>
      <c r="AE18" s="29" t="s">
        <v>1338</v>
      </c>
      <c r="AF18" s="29">
        <f ca="1">ROUNDDOWN(SUM(AF16:AF17),0)</f>
        <v>0</v>
      </c>
      <c r="AH18" s="29" t="s">
        <v>23</v>
      </c>
      <c r="AI18" s="29">
        <f ca="1">$P$43</f>
        <v>0</v>
      </c>
      <c r="AJ18" s="29" t="str">
        <f t="shared" ref="AJ18:AU18" ca="1" si="23">IF(COUNTIF(AJ$27:AJ$33,$AH$18),$P$8," ")</f>
        <v xml:space="preserve"> </v>
      </c>
      <c r="AK18" s="29" t="str">
        <f t="shared" ca="1" si="23"/>
        <v xml:space="preserve"> </v>
      </c>
      <c r="AL18" s="29" t="str">
        <f t="shared" ca="1" si="23"/>
        <v xml:space="preserve"> </v>
      </c>
      <c r="AM18" s="29" t="str">
        <f t="shared" ca="1" si="23"/>
        <v xml:space="preserve"> </v>
      </c>
      <c r="AN18" s="29" t="str">
        <f t="shared" ca="1" si="23"/>
        <v xml:space="preserve"> </v>
      </c>
      <c r="AO18" s="29" t="str">
        <f t="shared" ca="1" si="23"/>
        <v xml:space="preserve"> </v>
      </c>
      <c r="AP18" s="29" t="str">
        <f t="shared" ca="1" si="23"/>
        <v xml:space="preserve"> </v>
      </c>
      <c r="AQ18" s="29" t="str">
        <f t="shared" ca="1" si="23"/>
        <v xml:space="preserve"> </v>
      </c>
      <c r="AR18" s="29" t="str">
        <f t="shared" ca="1" si="23"/>
        <v xml:space="preserve"> </v>
      </c>
      <c r="AS18" s="29" t="str">
        <f t="shared" ca="1" si="23"/>
        <v xml:space="preserve"> </v>
      </c>
      <c r="AT18" s="29" t="str">
        <f t="shared" ca="1" si="23"/>
        <v xml:space="preserve"> </v>
      </c>
      <c r="AU18" s="29" t="str">
        <f t="shared" ca="1" si="23"/>
        <v xml:space="preserve"> </v>
      </c>
      <c r="AV18" s="29">
        <f t="shared" ca="1" si="8"/>
        <v>0</v>
      </c>
      <c r="AW18" s="29" t="s">
        <v>23</v>
      </c>
      <c r="BA18" s="29" t="str">
        <f ca="1">IF(S11="Entertainer",P8," ")</f>
        <v xml:space="preserve"> </v>
      </c>
      <c r="BM18" s="29">
        <f t="shared" ca="1" si="2"/>
        <v>0</v>
      </c>
      <c r="BN18" s="29">
        <f t="shared" ca="1" si="9"/>
        <v>0</v>
      </c>
      <c r="BO18" s="29" t="str">
        <f t="shared" ca="1" si="3"/>
        <v xml:space="preserve"> </v>
      </c>
      <c r="BP18" s="29" t="str">
        <f t="shared" ca="1" si="4"/>
        <v xml:space="preserve"> </v>
      </c>
      <c r="BQ18" s="29" t="str">
        <f t="shared" ca="1" si="5"/>
        <v xml:space="preserve"> </v>
      </c>
      <c r="BR18" s="29">
        <f t="shared" ca="1" si="6"/>
        <v>0</v>
      </c>
      <c r="BU18" s="29">
        <f t="shared" ca="1" si="10"/>
        <v>0</v>
      </c>
      <c r="BV18" s="29" t="s">
        <v>23</v>
      </c>
      <c r="CB18" s="35">
        <f t="shared" ca="1" si="14"/>
        <v>9</v>
      </c>
      <c r="CC18" s="36">
        <f t="shared" ca="1" si="15"/>
        <v>0.49670777322909598</v>
      </c>
      <c r="CD18" s="29" t="s">
        <v>19</v>
      </c>
    </row>
    <row r="19" spans="2:83" x14ac:dyDescent="0.3">
      <c r="B19" s="33" t="str">
        <f ca="1">IF(P2="dark","Drow Magic"," ")</f>
        <v xml:space="preserve"> </v>
      </c>
      <c r="O19" s="33" t="str">
        <f ca="1">IF(AND(O11="wizard",O12&gt;=18),"Spell Mastery - "&amp;INDEX(R193:R202,MATCH(1,(O193:O202),0)),IF(AND(O12&gt;=2,O16="pact of the chain",AF26=1),"Invocation - Voice of the Chain Master",IF(AND(O12&gt;=5,O16="pact of the blade",AF26=1),"Invocation - Thirsting Blade",IF(AND(O11="warlock",O12&gt;=2,O16="pact of the tome",AF26=1),"Invocation - Book of Ancient Secrets",IF(AND(O11="warlock",O12&gt;=2,COUNTIF(P193:P202,"*"&amp;"Eldritch blast"&amp;"*")),"Invocation - Repelling Blast",IF(AND(O11="warlock",O12&gt;=15),"Invocation - "&amp;INDEX('Class Tables'!F164:F187,MATCH(2,('Class Tables'!D164:D187),0)),IF(AND(O11="warlock",O12&gt;=9),"Invocation - "&amp;INDEX('Class Tables'!F141:F161,MATCH(2,('Class Tables'!D141:D161),0)),IF(AND(O11="warlock",O12&gt;=7),"Invocation - "&amp;INDEX('Class Tables'!F122:F138,MATCH(2,('Class Tables'!D122:D138),0)),IF(AND(O11="warlock",O12&gt;=5),"Invocation - "&amp;INDEX('Class Tables'!F106:F119,MATCH(2,('Class Tables'!D106:D119),0)),IF(AND(O11="warlock",O12&gt;=2),"Invocation - "&amp;INDEX('Class Tables'!F93:F103,MATCH(2,('Class Tables'!D93:D103),0)),IF(AND(O11="sorcerer",O12&gt;=10),"MM - "&amp;INDEX('Class Tables'!F78:F85,MATCH(2,('Class Tables'!D78:D85),0)),IF(AND(O11="rogue",O12&gt;=11),"Reliable Talent",IF(AND(O11="ranger",O12&gt;=3),"Primeval Awareness",IF(AND(O11="paladin",O12&gt;=2),"Divine Smite",IF(AND(O11="monk",O12&gt;=2),"Flurry of Blows",IF(AND(O11="fighter",O12&gt;=9),"Indomitable",IF(AND($O$11="barbarian",$O$12&gt;=5),"Extra Attack",IF(AND(O11="bard",O12&gt;=6),"Countercharm",IF(AND(O11="cleric",O12&gt;=5),"Destroy Undead - "&amp;INDEX('Class Tables'!O140:O159,MATCH(O12,('Class Tables'!M140:M159),0)),IF(AND(O11="druid",O12&gt;=18),"Beast Spells"," "))))))))))))))))))))</f>
        <v>Flurry of Blows</v>
      </c>
      <c r="P19" s="33" t="str">
        <f ca="1">IF(AND(P15="school of transmutation",O12&gt;=10),"Shapechanger",IF(AND(P15="school of necromancy",O12&gt;=10),"Inured to Undeath",IF(AND(P15="school of illusion",O12&gt;=10),"Illusory Self",IF(AND(P15="school of evocation",O12&gt;=10),"Empowered Evocation",IF(AND(P15="school of enchantment",O12&gt;=10),"Split Enchantment",IF(AND(P15="school of divination",O12&gt;=10),"The Third Eye",IF(AND(P15="school of conjuration",O12&gt;=10),"Focused Conjuration",IF(AND(P15="school of abjuration",O12&gt;=10),"Improved Abjuration",IF(AND(P15="otherworldly patron - great old one",O12&gt;=14),"Create Thrall",IF(AND(P15="otherworldly patron - Archfey",O12&gt;=14),"Dark Delirium",IF(AND(P15="wild magic",O12&gt;=14),"Controlled Chaos",IF(AND(P15="draconic bloodline",O12&gt;=14),"Dragon Wings",IF(AND(P15="arcane trickster",O12&gt;=17),"Spell Thief",IF(AND(P15="assassin",O12&gt;=17),"Death Strike DC"&amp;SUM(8,P8,P39),IF(AND(P15="thief",O12&gt;=13),"Use Magic Device",IF(AND(P15="beastmaster",O12&gt;=15),"Share Spells",IF(AND(P15="hunter",O12&gt;=15),VLOOKUP(RANDBETWEEN(1,3),Table199[],2),IF(AND(P15="oath of vengeance",O12&gt;=15),"Soul of Vengeance",IF(AND(P15="oath of the ancients",O12&gt;=15),"Undying Sentinel",(IF(AND(P15="oath of devotion",O12&gt;=15),"Purity of Spirit",IF(P15="way of the four elements",INDEX('Class Tables'!K120:K126,MATCH(2,('Class Tables'!I120:I126),0)),IF(AND(P15="way of the open hand",O12&gt;=17),"Quivering Palm",IF(AND(P15="eldritch Knight",O12&gt;=15),"Arcane Charge",IF(P15="battle master","Maneuver DC "&amp;SUM(P8,8,AF22),IF(AND(P15="champion",O12&gt;=15),"Superior Critcial",IF(AND(P15="moon",O12&gt;=10),"Elemental Wild Strike",IF(AND(P15="land",O12&gt;=14),"Nature's Sanctuary",IF(AND(P15="war",O12&gt;=8),"Divine Strike",IF(AND(P15="trickery",O12&gt;=8),"Divine Strike",IF(AND(P15="nature",O12&gt;=8),"Divine Strike",IF(AND(P15="nature",O12&gt;=17),"Master of Nature",IF(AND(P15="light",O12&gt;=8),"Potent Spellcasting",IF(AND(P15="life",O12&gt;=8),"Divine Strike",IF(AND(P15="knowledge",O12&gt;=17),"Visions of the Past",IF(AND(O12&gt;=10,P15="path of the berserker"),"Intimidating Presence DC "&amp;SUM(8,P8,P43),IF(AND(O12&gt;=10,P15="path of the totem warrior"),"Spirit Walker"," ")))))))))))))))))))))))))))))))))))))</f>
        <v xml:space="preserve"> </v>
      </c>
      <c r="Q19" s="33" t="str">
        <f ca="1">IF(AND(Q11="warlock",Q12&gt;=9),"Invocation - "&amp;INDEX('Class Tables'!F141:F161,MATCH(2,('Class Tables'!D141:D161),0)),IF(AND(Q11="warlock",Q12&gt;=7),"Invocation - "&amp;INDEX('Class Tables'!F122:F138,MATCH(2,('Class Tables'!D122:D138),0)),IF(AND(Q11="warlock",Q12&gt;=5),"Invocation - "&amp;INDEX('Class Tables'!F106:F119,MATCH(2,('Class Tables'!D106:D119),0)),IF(AND(Q11="warlock",Q12&gt;=2),"Invocation - "&amp;INDEX('Class Tables'!F93:F103,MATCH(2,('Class Tables'!D93:D103),0)),IF(AND(Q11="sorcerer",Q12&gt;=10),"MM - "&amp;INDEX('Class Tables'!F78:F85,MATCH(2,('Class Tables'!D78:D85),0)),IF(AND(Q11="ranger",Q12&gt;=3),"Primeval Awareness",IF(AND(Q11="paladin",Q12&gt;=2),"Divine Smite",IF(AND(Q11="monk",Q12&gt;=2),"Flurry of Blows",IF(AND(Q11="fighter",Q12&gt;=9),"Indomitable",IF(AND($Q$11="barbarian",$Q$12&gt;=5),"Extra Attack",IF(AND(Q11="bard",Q12&gt;=6),"Countercharm",IF(AND(Q11="cleric",Q12&gt;=5),"Destroy Undead - "&amp;INDEX('Class Tables'!O140:O159,MATCH(Q12,('Class Tables'!M140:M159),0)),IF(AND(Q11="druid",Q12&gt;=18),"Beast Spells"," ")))))))))))))</f>
        <v xml:space="preserve"> </v>
      </c>
      <c r="R19" s="33" t="str">
        <f ca="1">IF(R15="way of the four elements",INDEX('Class Tables'!K120:K126,MATCH(2,('Class Tables'!I120:I126),0)),IF(R15="battle master","Maneuver DC "&amp;SUM(P8,8,AF22),IF(AND(R15="moon",Q12&gt;=10),"Elemental Wild Shape",IF(AND(R15="war",Q12&gt;=8),"Divine Strike",IF(AND(R15="trickery",Q12&gt;=8),"Divine Strike",IF(AND(R15="nature",Q12&gt;=8),"Divine Strike",IF(AND(R15="light",Q12&gt;=8),"Potent Spellcasting",IF(AND(R15="life",Q12&gt;=8),"Divine Strike",IF(AND(R15="knowledge",Q12&gt;=17),"Visions of the Past",IF(AND(Q12&gt;=10,R15="path of the berserker"),"Intimidating Presence DC "&amp;SUM(8,P8,P43),IF(AND(Q12&gt;=10,R15="path of the totem warrior"),"Spirit Walker"," ")))))))))))</f>
        <v xml:space="preserve"> </v>
      </c>
      <c r="S19" s="33" t="str">
        <f ca="1">IF(Q2="dwarf","Dwarvish",IF(OR(Q2="half-elf",Q2="elf"),"Elvish",IF(Q2="halfling","Halfling",IF(Q2="human",VLOOKUP(RANDBETWEEN(1,8),Table20[],2),IF(Q2="gnome","Gnomish",IF(Q2="half-orc","Orc",IF(Q2="tiefling","Infernal"," ")))))))</f>
        <v>Gnomish</v>
      </c>
      <c r="AH19" s="29" t="s">
        <v>24</v>
      </c>
      <c r="AI19" s="29">
        <f ca="1">$P$43</f>
        <v>0</v>
      </c>
      <c r="AJ19" s="29" t="str">
        <f t="shared" ref="AJ19:AU19" ca="1" si="24">IF(COUNTIF(AJ$27:AJ$33,$AH$19),$P$8," ")</f>
        <v xml:space="preserve"> </v>
      </c>
      <c r="AK19" s="29" t="str">
        <f t="shared" ca="1" si="24"/>
        <v xml:space="preserve"> </v>
      </c>
      <c r="AL19" s="29" t="str">
        <f t="shared" ca="1" si="24"/>
        <v xml:space="preserve"> </v>
      </c>
      <c r="AM19" s="29" t="str">
        <f t="shared" ca="1" si="24"/>
        <v xml:space="preserve"> </v>
      </c>
      <c r="AN19" s="29" t="str">
        <f t="shared" ca="1" si="24"/>
        <v xml:space="preserve"> </v>
      </c>
      <c r="AO19" s="29" t="str">
        <f t="shared" ca="1" si="24"/>
        <v xml:space="preserve"> </v>
      </c>
      <c r="AP19" s="29" t="str">
        <f t="shared" ca="1" si="24"/>
        <v xml:space="preserve"> </v>
      </c>
      <c r="AQ19" s="29" t="str">
        <f t="shared" ca="1" si="24"/>
        <v xml:space="preserve"> </v>
      </c>
      <c r="AR19" s="29" t="str">
        <f t="shared" ca="1" si="24"/>
        <v xml:space="preserve"> </v>
      </c>
      <c r="AS19" s="29" t="str">
        <f t="shared" ca="1" si="24"/>
        <v xml:space="preserve"> </v>
      </c>
      <c r="AT19" s="29" t="str">
        <f t="shared" ca="1" si="24"/>
        <v xml:space="preserve"> </v>
      </c>
      <c r="AU19" s="29" t="str">
        <f t="shared" ca="1" si="24"/>
        <v xml:space="preserve"> </v>
      </c>
      <c r="AV19" s="29">
        <f t="shared" ca="1" si="8"/>
        <v>0</v>
      </c>
      <c r="AW19" s="29" t="s">
        <v>24</v>
      </c>
      <c r="BE19" s="29" t="str">
        <f ca="1">IF(S11="Knight",P8," ")</f>
        <v xml:space="preserve"> </v>
      </c>
      <c r="BF19" s="29" t="str">
        <f ca="1">IF(S11="Noble",P8," ")</f>
        <v xml:space="preserve"> </v>
      </c>
      <c r="BM19" s="29">
        <f t="shared" ca="1" si="2"/>
        <v>0</v>
      </c>
      <c r="BN19" s="29">
        <f t="shared" ca="1" si="9"/>
        <v>0</v>
      </c>
      <c r="BO19" s="29" t="str">
        <f t="shared" ca="1" si="3"/>
        <v xml:space="preserve"> </v>
      </c>
      <c r="BP19" s="29" t="str">
        <f t="shared" ca="1" si="4"/>
        <v xml:space="preserve"> </v>
      </c>
      <c r="BQ19" s="29" t="str">
        <f t="shared" ca="1" si="5"/>
        <v xml:space="preserve"> </v>
      </c>
      <c r="BR19" s="29">
        <f t="shared" ca="1" si="6"/>
        <v>0</v>
      </c>
      <c r="BU19" s="29">
        <f t="shared" ca="1" si="10"/>
        <v>0</v>
      </c>
      <c r="BV19" s="29" t="s">
        <v>24</v>
      </c>
      <c r="CB19" s="35">
        <f t="shared" ca="1" si="14"/>
        <v>4</v>
      </c>
      <c r="CC19" s="36">
        <f t="shared" ca="1" si="15"/>
        <v>0.76717485609517566</v>
      </c>
      <c r="CD19" s="29" t="s">
        <v>20</v>
      </c>
      <c r="CE19" s="31"/>
    </row>
    <row r="20" spans="2:83" x14ac:dyDescent="0.3">
      <c r="O20" s="33" t="str">
        <f ca="1">IF(AND(O11="warlock",O12&gt;=2,AF26=2,COUNTIF(P193:P202,"*"&amp;"Eldritch blast"&amp;"*")),"Invocation - Eldritch Spear",IF(AND(O11="warlock",O12&gt;=15),"Invocation - "&amp;INDEX('Class Tables'!F164:F187,MATCH(3,('Class Tables'!D164:D187),0)),IF(AND(O11="warlock",O12&gt;=9),"Invocation - "&amp;INDEX('Class Tables'!F141:F161,MATCH(3,('Class Tables'!D141:D161),0)),IF(AND(O11="warlock",O12&gt;=7),"Invocation - "&amp;INDEX('Class Tables'!F122:F138,MATCH(3,('Class Tables'!D122:D138),0)),IF(AND(O11="warlock",O12&gt;=5),"Invocation - "&amp;INDEX('Class Tables'!F106:F119,MATCH(3,('Class Tables'!D106:D119),0)),IF(AND(O11="sorcerer",O12&gt;=20),"Sorcerous Restoration",IF(AND(O11="sorcerer",O12&gt;=17),"MM - "&amp;INDEX('Class Tables'!F78:F85,MATCH(3,('Class Tables'!D78:D85),0)),IF(AND(O11="rogue",O12&gt;=14),"Blindsense",IF(AND(O11="ranger",O12&gt;=5),"Extra Attack",IF(AND(O11="paladin",O12&gt;=3),"Divine Health",IF(AND(O11="monk",O12&gt;=2),"Patient Defense",IF(AND(O11="barbarian",O12&gt;=5),"Fast Movement",IF(AND(O11="bard",O12&gt;=20),"Superior Inspiration",IF(AND(O11="druid",O12&gt;=20),"Archdruid",IF(AND(O11="cleric",O12&gt;=10),"Divine Intervention"," ")))))))))))))))</f>
        <v>Patient Defense</v>
      </c>
      <c r="P20" s="33" t="str">
        <f ca="1">IF(AND(P15="school of transmutation",O12&gt;=14),"Master Transmuter",IF(AND(P15="school of necromancy",O12&gt;=14),"Command Undead",IF(AND(P15="school of illusion",O12&gt;=14),"Illusory Reality",IF(AND(P15="school of evocation",O12&gt;=14),"Overchannel",IF(AND(P15="school of enchantment",O12&gt;=14),"Alter Memories",IF(AND(P15="school of divination",O12&gt;=14),"Greater Portent",IF(AND(P15="school of conjuration",O12&gt;=14),"Durable Summons",IF(AND(P15="school of abjuration",O12&gt;=14),"Spell Resistance",IF(AND(P15="wild magic",O12&gt;=18),"Spell Bombardment",IF(AND(P15="Draconic Bloodline",O12&gt;=18),"Draconic Presence",IF(AND(P15="thief",O12&gt;=17),"Thief's Reflexes",IF(AND(P15="oath of vengeance",O12&gt;=20),"Avenging Angel",IF(AND(P15="oath of the ancients",O12&gt;=20),"Elder Champion",IF(AND(P15="Oath of Devotion",O12&gt;=20),"Holy Nimbus",IF(AND(P15="way of the four elements",O12&gt;=6),INDEX('Class Tables'!K128:K129,MATCH(1,('Class Tables'!I128:I129),0)),IF(AND(P15="eldritch knight",O12&gt;=18),"Improved War Magic",IF(P15="battle master",INDEX('Class Tables'!K40:K55,MATCH(1,('Class Tables'!I40:I55),0)),IF(AND(P15="champion",O12&gt;=18),"Survivor - "&amp;SUM(5+P48)&amp;" hp",IF(AND(P15="moon",O12&gt;=14),"Thousand Forms",IF(P15="land",VLOOKUP(RANDBETWEEN(1,8),Table74[],2),IF(AND(P15="war",O12&gt;=17),"Avatar of Battle",IF(AND(P15="trickery",O12&gt;=17),"Improved Duplicity",IF(AND(P15="nature",O12&gt;=17),"Stormborn",IF(AND(P15="light",O12&gt;=17),"Corona of Light",IF(AND(P15="life",O12&gt;=17),"Supreme Healing",IF(AND(P15="path of the totem warrior",O12&gt;=14),VLOOKUP(RANDBETWEEN(1,3),Table44[],4)," "))))))))))))))))))))))))))</f>
        <v xml:space="preserve"> </v>
      </c>
      <c r="Q20" s="33" t="str">
        <f ca="1">IF(AND(Q11="warlock",Q12&gt;=9),"Invocation - "&amp;INDEX('Class Tables'!F141:F161,MATCH(3,('Class Tables'!D141:D161),0)),IF(AND(Q11="warlock",Q12&gt;=7),"Invocation - "&amp;INDEX('Class Tables'!F122:F138,MATCH(3,('Class Tables'!D122:D138),0)),IF(AND(Q11="warlock",Q12&gt;=5),"Invocation - "&amp;INDEX('Class Tables'!F106:F119,MATCH(3,('Class Tables'!D106:D119),0)),IF(AND(Q11="ranger",Q12&gt;=5),"Extra Attack",IF(AND(Q11="paladin",Q12&gt;=3),"Divine Health",IF(AND(Q11="monk",Q12&gt;=2),"Patient Defense",IF(AND(Q11="barbarian",Q12&gt;=5),"Fast Movement",IF(AND(Q11="cleric",Q12&gt;=10),"Divine Intervention"," "))))))))</f>
        <v xml:space="preserve"> </v>
      </c>
      <c r="R20" s="33" t="str">
        <f ca="1">IF(AND(R15="way of the four elements",Q12&gt;=6),INDEX('Class Tables'!K128:K129,MATCH(1,('Class Tables'!I128:I129),0)),IF(R15="battle master",INDEX('Class Tables'!K40:K55,MATCH(1,('Class Tables'!I40:I55),0)),IF(R15="land",VLOOKUP(RANDBETWEEN(1,8),Table74[],2)," ")))</f>
        <v xml:space="preserve"> </v>
      </c>
      <c r="S20" s="33" t="str">
        <f ca="1">IF(P2="high",INDEX('Class Tables'!S177:S220,MATCH(1,('Class Tables'!Q177:Q220),0))," ")</f>
        <v xml:space="preserve"> </v>
      </c>
      <c r="AE20" s="29" t="s">
        <v>1990</v>
      </c>
      <c r="AF20" s="29">
        <f ca="1">RANDBETWEEN(1,3)</f>
        <v>1</v>
      </c>
      <c r="AH20" s="29" t="s">
        <v>25</v>
      </c>
      <c r="AI20" s="29">
        <f ca="1">$P$41</f>
        <v>0</v>
      </c>
      <c r="AJ20" s="29" t="str">
        <f t="shared" ref="AJ20:AU20" ca="1" si="25">IF(COUNTIF(AJ$27:AJ$33,$AH$20),$P$8," ")</f>
        <v xml:space="preserve"> </v>
      </c>
      <c r="AK20" s="29" t="str">
        <f t="shared" ca="1" si="25"/>
        <v xml:space="preserve"> </v>
      </c>
      <c r="AL20" s="29" t="str">
        <f t="shared" ca="1" si="25"/>
        <v xml:space="preserve"> </v>
      </c>
      <c r="AM20" s="29" t="str">
        <f t="shared" ca="1" si="25"/>
        <v xml:space="preserve"> </v>
      </c>
      <c r="AN20" s="29" t="str">
        <f t="shared" ca="1" si="25"/>
        <v xml:space="preserve"> </v>
      </c>
      <c r="AO20" s="29" t="str">
        <f t="shared" ca="1" si="25"/>
        <v xml:space="preserve"> </v>
      </c>
      <c r="AP20" s="29" t="str">
        <f t="shared" ca="1" si="25"/>
        <v xml:space="preserve"> </v>
      </c>
      <c r="AQ20" s="29" t="str">
        <f t="shared" ca="1" si="25"/>
        <v xml:space="preserve"> </v>
      </c>
      <c r="AR20" s="29" t="str">
        <f t="shared" ca="1" si="25"/>
        <v xml:space="preserve"> </v>
      </c>
      <c r="AS20" s="29" t="str">
        <f t="shared" ca="1" si="25"/>
        <v xml:space="preserve"> </v>
      </c>
      <c r="AT20" s="29" t="str">
        <f t="shared" ca="1" si="25"/>
        <v xml:space="preserve"> </v>
      </c>
      <c r="AU20" s="29" t="str">
        <f t="shared" ca="1" si="25"/>
        <v xml:space="preserve"> </v>
      </c>
      <c r="AV20" s="29">
        <f t="shared" ca="1" si="8"/>
        <v>0</v>
      </c>
      <c r="AW20" s="29" t="s">
        <v>25</v>
      </c>
      <c r="AX20" s="29" t="str">
        <f ca="1">IF(S11="acolyte",P8," ")</f>
        <v xml:space="preserve"> </v>
      </c>
      <c r="BC20" s="29">
        <f ca="1">IF(S11="Guild Artisan",P8," ")</f>
        <v>3</v>
      </c>
      <c r="BD20" s="29" t="str">
        <f ca="1">IF(S11="Hermit",P8," ")</f>
        <v xml:space="preserve"> </v>
      </c>
      <c r="BM20" s="29">
        <f t="shared" ca="1" si="2"/>
        <v>3</v>
      </c>
      <c r="BN20" s="29">
        <f t="shared" ca="1" si="9"/>
        <v>0</v>
      </c>
      <c r="BO20" s="29" t="str">
        <f t="shared" ca="1" si="3"/>
        <v xml:space="preserve"> </v>
      </c>
      <c r="BP20" s="29" t="str">
        <f t="shared" ca="1" si="4"/>
        <v xml:space="preserve"> </v>
      </c>
      <c r="BQ20" s="29" t="str">
        <f t="shared" ca="1" si="5"/>
        <v xml:space="preserve"> </v>
      </c>
      <c r="BR20" s="29">
        <f t="shared" ca="1" si="6"/>
        <v>0</v>
      </c>
      <c r="BS20" s="29">
        <f ca="1">IF(AND($BY$29=1,OR($P$15="knowledge",$R$15="knowledge")),$P$8*2,IF(AND($BY$29=2,OR($P$15="knowledge",$R$15="knowledge")),$P$8*2,0))</f>
        <v>0</v>
      </c>
      <c r="BU20" s="29">
        <f t="shared" ca="1" si="10"/>
        <v>3</v>
      </c>
      <c r="BV20" s="29" t="s">
        <v>25</v>
      </c>
      <c r="CB20" s="35">
        <f t="shared" ca="1" si="14"/>
        <v>12</v>
      </c>
      <c r="CC20" s="36">
        <f t="shared" ca="1" si="15"/>
        <v>0.34900695682691674</v>
      </c>
      <c r="CD20" s="29" t="s">
        <v>21</v>
      </c>
    </row>
    <row r="21" spans="2:83" x14ac:dyDescent="0.3">
      <c r="O21" s="33" t="str">
        <f ca="1">IF(AND(O11="warlock",O12&gt;=15),"Invocation - "&amp;INDEX('Class Tables'!F164:F187,MATCH(4,('Class Tables'!D164:D187),0)),IF(AND(O11="warlock",O12&gt;=9),"Invocation - "&amp;INDEX('Class Tables'!F141:F161,MATCH(4,('Class Tables'!D141:D161),0)),IF(AND(O11="warlock",O12&gt;=7),"Invocation - "&amp;INDEX('Class Tables'!F122:F138,MATCH(4,('Class Tables'!D122:D138),0)),IF(AND(O11="rogue",O12&gt;=15),"Slippery Mind",IF(AND(O11="ranger",O12&gt;=8),"Land's Stride",IF(AND(O11="paladin",O12&gt;=5),"Extra Attack",IF(AND(O11="monk",O12&gt;=2),"Step of the Wind",IF(AND($O$11="barbarian",$O$12&gt;=7),"Feral Instinct"," "))))))))</f>
        <v>Step of the Wind</v>
      </c>
      <c r="P21" s="33" t="str">
        <f ca="1">IF(AND(P15="way of the four elements",O12&gt;=11),INDEX('Class Tables'!K131:K134,MATCH(1,('Class Tables'!I131:I134),0)),IF(P15="battle master",INDEX('Class Tables'!K40:K55,MATCH(2,('Class Tables'!I40:I55),0))," "))</f>
        <v xml:space="preserve"> </v>
      </c>
      <c r="Q21" s="33" t="str">
        <f ca="1">IF(AND(Q11="warlock",Q12&gt;=9),"Invocation - "&amp;INDEX('Class Tables'!F141:F161,MATCH(4,('Class Tables'!D141:D161),0)),IF(AND(Q11="warlock",Q12&gt;=7),"Invocation - "&amp;INDEX('Class Tables'!F122:F138,MATCH(4,('Class Tables'!D122:D138),0)),IF(AND(Q11="ranger",Q12&gt;=8),"Land's Stride",IF(AND(Q11="paladin",Q12&gt;=5),"Extra Attack",IF(AND(Q11="monk",Q12&gt;=2),"Step of the Wind",IF(AND($Q$11="barbarian",$Q$12&gt;=7),"Feral Instinct"," "))))))</f>
        <v xml:space="preserve"> </v>
      </c>
      <c r="R21" s="33" t="str">
        <f ca="1">IF(R15="battle master",INDEX('Class Tables'!K40:K55,MATCH(2,('Class Tables'!I40:I55),0))," ")</f>
        <v xml:space="preserve"> </v>
      </c>
      <c r="S21" s="33" t="str">
        <f ca="1">IF(OR(P15="knowledge",R15="knowledge"),INDEX('Class Tables'!S177:S220,MATCH(2,('Class Tables'!Q177:Q220),0))," ")</f>
        <v xml:space="preserve"> </v>
      </c>
      <c r="AE21" s="29" t="s">
        <v>1989</v>
      </c>
      <c r="AF21" s="29">
        <f ca="1">RANDBETWEEN(1,2)</f>
        <v>2</v>
      </c>
      <c r="AH21" s="29" t="s">
        <v>26</v>
      </c>
      <c r="AI21" s="29">
        <f ca="1">$P$39</f>
        <v>3</v>
      </c>
      <c r="AJ21" s="29" t="str">
        <f t="shared" ref="AJ21:AU21" ca="1" si="26">IF(COUNTIF(AJ$27:AJ$33,$AH$21),$P$8," ")</f>
        <v xml:space="preserve"> </v>
      </c>
      <c r="AK21" s="29" t="str">
        <f t="shared" ca="1" si="26"/>
        <v xml:space="preserve"> </v>
      </c>
      <c r="AL21" s="29" t="str">
        <f t="shared" ca="1" si="26"/>
        <v xml:space="preserve"> </v>
      </c>
      <c r="AM21" s="29" t="str">
        <f t="shared" ca="1" si="26"/>
        <v xml:space="preserve"> </v>
      </c>
      <c r="AN21" s="29" t="str">
        <f t="shared" ca="1" si="26"/>
        <v xml:space="preserve"> </v>
      </c>
      <c r="AO21" s="29" t="str">
        <f t="shared" ca="1" si="26"/>
        <v xml:space="preserve"> </v>
      </c>
      <c r="AP21" s="29" t="str">
        <f t="shared" ca="1" si="26"/>
        <v xml:space="preserve"> </v>
      </c>
      <c r="AQ21" s="29" t="str">
        <f t="shared" ca="1" si="26"/>
        <v xml:space="preserve"> </v>
      </c>
      <c r="AR21" s="29" t="str">
        <f t="shared" ca="1" si="26"/>
        <v xml:space="preserve"> </v>
      </c>
      <c r="AS21" s="29" t="str">
        <f t="shared" ca="1" si="26"/>
        <v xml:space="preserve"> </v>
      </c>
      <c r="AT21" s="29" t="str">
        <f t="shared" ca="1" si="26"/>
        <v xml:space="preserve"> </v>
      </c>
      <c r="AU21" s="29" t="str">
        <f t="shared" ca="1" si="26"/>
        <v xml:space="preserve"> </v>
      </c>
      <c r="AV21" s="29">
        <f t="shared" ca="1" si="8"/>
        <v>0</v>
      </c>
      <c r="AW21" s="29" t="s">
        <v>26</v>
      </c>
      <c r="AY21" s="29" t="str">
        <f ca="1">IF(S11="Charlatan",P8," ")</f>
        <v xml:space="preserve"> </v>
      </c>
      <c r="BL21" s="29" t="str">
        <f ca="1">IF(S11="urchin",P8," ")</f>
        <v xml:space="preserve"> </v>
      </c>
      <c r="BM21" s="29">
        <f t="shared" ca="1" si="2"/>
        <v>0</v>
      </c>
      <c r="BN21" s="29">
        <f t="shared" ca="1" si="9"/>
        <v>0</v>
      </c>
      <c r="BO21" s="29" t="str">
        <f t="shared" ca="1" si="3"/>
        <v xml:space="preserve"> </v>
      </c>
      <c r="BP21" s="29" t="str">
        <f t="shared" ca="1" si="4"/>
        <v xml:space="preserve"> </v>
      </c>
      <c r="BQ21" s="29" t="str">
        <f t="shared" ca="1" si="5"/>
        <v xml:space="preserve"> </v>
      </c>
      <c r="BR21" s="29">
        <f t="shared" ca="1" si="6"/>
        <v>0</v>
      </c>
      <c r="BU21" s="29">
        <f t="shared" ca="1" si="10"/>
        <v>0</v>
      </c>
      <c r="BV21" s="29" t="s">
        <v>26</v>
      </c>
      <c r="CB21" s="35">
        <f t="shared" ca="1" si="14"/>
        <v>8</v>
      </c>
      <c r="CC21" s="36">
        <f t="shared" ca="1" si="15"/>
        <v>0.55399430334321853</v>
      </c>
      <c r="CD21" s="29" t="s">
        <v>22</v>
      </c>
    </row>
    <row r="22" spans="2:83" x14ac:dyDescent="0.3">
      <c r="O22" s="33" t="str">
        <f ca="1">(IF(AND(O16="pact of the blade",O12&gt;=12,AF26=1),"Invocation - Lifedrinker",IF(AND(O11="warlock",O12&gt;=15),"Invocation - "&amp;INDEX('Class Tables'!F164:F187,MATCH(5,('Class Tables'!D164:D187),0)),IF(AND(O11="warlock",O12&gt;=9),"Invocation - "&amp;INDEX('Class Tables'!F141:F161,MATCH(5,('Class Tables'!D141:D161),0)),IF(AND(O11="rogue",O12&gt;=18),"Elusive Foe",IF(AND(O11="ranger",O12&gt;=10),"Hide in Plain Sight",IF(AND(O11="paladin",O12&gt;=6),"Aura of Protection +"&amp;MAX(P43,1),IF(AND(O11="monk",O12&gt;=2),"Unarmored Movement - "&amp;INDEX('Class Tables'!L98:L117,MATCH(O12,('Class Tables'!I98:I117),0))&amp;" ft.",IF(AND($O$11="barbarian",$O$12&gt;=9),"Brutal Critical"," ")))))))))</f>
        <v>Unarmored Movement - 15 ft.</v>
      </c>
      <c r="P22" s="33" t="str">
        <f ca="1">IF(AND(P15="way of the four elements",O12&gt;=17),INDEX('Class Tables'!K136:K138,MATCH(1,('Class Tables'!I136:I138),0)),IF(P15="battle master",INDEX('Class Tables'!K40:K55,MATCH(3,('Class Tables'!I40:I55),0))," "))</f>
        <v xml:space="preserve"> </v>
      </c>
      <c r="Q22" s="33" t="str">
        <f ca="1">IF(AND(Q11="warlock",Q12&gt;=9),"Invocation - "&amp;INDEX('Class Tables'!F141:F161,MATCH(5,('Class Tables'!D141:D161),0)),IF(AND(Q11="ranger",Q12&gt;=10),"Hide in Plain Sight",IF(AND(Q11="paladin",Q12&gt;=6),"Aura of Protection +"&amp;MAX(P43,1),IF(AND(Q11="monk",Q12&gt;=2),"Unarmored Movement - "&amp;INDEX('Class Tables'!L98:L117,MATCH(Q12,('Class Tables'!I98:I117),0))&amp;" ft.",IF(AND($Q$11="barbarian",$Q$12&gt;=9),"Brutal Critical"," ")))))</f>
        <v xml:space="preserve"> </v>
      </c>
      <c r="R22" s="33" t="str">
        <f ca="1">IF(R15="battle master",INDEX('Class Tables'!K40:K55,MATCH(3,('Class Tables'!I40:I55),0))," ")</f>
        <v xml:space="preserve"> </v>
      </c>
      <c r="S22" s="33" t="str">
        <f ca="1">IF(OR(P15="knowledge",R15="knowledge"),INDEX('Class Tables'!S177:S220,MATCH(3,('Class Tables'!Q177:Q220),0))," ")</f>
        <v xml:space="preserve"> </v>
      </c>
      <c r="AE22" s="29" t="s">
        <v>1387</v>
      </c>
      <c r="AF22" s="29">
        <f ca="1">SUM(P38:P39)-SMALL(P38:P39,1)</f>
        <v>3</v>
      </c>
      <c r="AH22" s="29" t="s">
        <v>27</v>
      </c>
      <c r="AI22" s="29">
        <f ca="1">$P$39</f>
        <v>3</v>
      </c>
      <c r="AJ22" s="29" t="str">
        <f t="shared" ref="AJ22:AU22" ca="1" si="27">IF(COUNTIF(AJ$27:AJ$33,$AH$22),$P$8," ")</f>
        <v xml:space="preserve"> </v>
      </c>
      <c r="AK22" s="29" t="str">
        <f t="shared" ca="1" si="27"/>
        <v xml:space="preserve"> </v>
      </c>
      <c r="AL22" s="29" t="str">
        <f t="shared" ca="1" si="27"/>
        <v xml:space="preserve"> </v>
      </c>
      <c r="AM22" s="29" t="str">
        <f t="shared" ca="1" si="27"/>
        <v xml:space="preserve"> </v>
      </c>
      <c r="AN22" s="29" t="str">
        <f t="shared" ca="1" si="27"/>
        <v xml:space="preserve"> </v>
      </c>
      <c r="AO22" s="29" t="str">
        <f t="shared" ca="1" si="27"/>
        <v xml:space="preserve"> </v>
      </c>
      <c r="AP22" s="29" t="str">
        <f t="shared" ca="1" si="27"/>
        <v xml:space="preserve"> </v>
      </c>
      <c r="AQ22" s="29" t="str">
        <f t="shared" ca="1" si="27"/>
        <v xml:space="preserve"> </v>
      </c>
      <c r="AR22" s="29" t="str">
        <f t="shared" ca="1" si="27"/>
        <v xml:space="preserve"> </v>
      </c>
      <c r="AS22" s="29" t="str">
        <f t="shared" ca="1" si="27"/>
        <v xml:space="preserve"> </v>
      </c>
      <c r="AT22" s="29" t="str">
        <f t="shared" ca="1" si="27"/>
        <v xml:space="preserve"> </v>
      </c>
      <c r="AU22" s="29" t="str">
        <f t="shared" ca="1" si="27"/>
        <v xml:space="preserve"> </v>
      </c>
      <c r="AV22" s="29">
        <f t="shared" ca="1" si="8"/>
        <v>0</v>
      </c>
      <c r="AW22" s="29" t="s">
        <v>27</v>
      </c>
      <c r="AZ22" s="29" t="str">
        <f ca="1">IF(S11="Criminal",P8," ")</f>
        <v xml:space="preserve"> </v>
      </c>
      <c r="BL22" s="29" t="str">
        <f ca="1">IF(S11="urchin",P8," ")</f>
        <v xml:space="preserve"> </v>
      </c>
      <c r="BM22" s="29">
        <f t="shared" ca="1" si="2"/>
        <v>0</v>
      </c>
      <c r="BN22" s="29">
        <f t="shared" ca="1" si="9"/>
        <v>0</v>
      </c>
      <c r="BO22" s="29" t="str">
        <f t="shared" ca="1" si="3"/>
        <v xml:space="preserve"> </v>
      </c>
      <c r="BP22" s="29" t="str">
        <f t="shared" ca="1" si="4"/>
        <v xml:space="preserve"> </v>
      </c>
      <c r="BQ22" s="29" t="str">
        <f t="shared" ca="1" si="5"/>
        <v xml:space="preserve"> </v>
      </c>
      <c r="BR22" s="29">
        <f t="shared" ca="1" si="6"/>
        <v>0</v>
      </c>
      <c r="BU22" s="29">
        <f t="shared" ca="1" si="10"/>
        <v>0</v>
      </c>
      <c r="BV22" s="29" t="s">
        <v>27</v>
      </c>
      <c r="CB22" s="35">
        <f t="shared" ca="1" si="14"/>
        <v>16</v>
      </c>
      <c r="CC22" s="36">
        <f t="shared" ca="1" si="15"/>
        <v>0.19635387971815077</v>
      </c>
      <c r="CD22" s="29" t="s">
        <v>23</v>
      </c>
    </row>
    <row r="23" spans="2:83" x14ac:dyDescent="0.3">
      <c r="O23" s="33" t="str">
        <f ca="1">IF(AND(O11="warlock",O12&gt;=15),"Invocation - "&amp;INDEX('Class Tables'!F164:F187,MATCH(6,('Class Tables'!D164:D187),0)),IF(AND(O11="warlock",O12&gt;=12),"Invocation - "&amp;INDEX('Class Tables'!F141:F161,MATCH(6,('Class Tables'!D141:D161),0)),IF(AND(O11="rogue",O12&gt;=20),"Stroke of Luck",IF(AND(O11="ranger",O12&gt;=14),"Vanish",IF(AND(O11="paladin",O12&gt;=10),"Aura of Courage",IF(AND(O11="monk",O12&gt;=3),"Deflect Missiles - 1d10+"&amp;SUM(P39,O12)&amp;" dmg.",IF(AND($O$11="barbarian",$O$12&gt;=11),"Relentless Rage"," ")))))))</f>
        <v>Deflect Missiles - 1d10+9 dmg.</v>
      </c>
      <c r="P23" s="33" t="str">
        <f ca="1">IF(AND(P15="battle master",O12&gt;=7),INDEX('Class Tables'!K40:K55,MATCH(4,('Class Tables'!I40:I55),0))," ")</f>
        <v xml:space="preserve"> </v>
      </c>
      <c r="Q23" s="33" t="str">
        <f ca="1">IF(AND(Q11="paladin",Q12&gt;=10),"Aura of Courage",IF(AND(Q11="monk",Q12&gt;=3),"Deflect Missiles 1d10+"&amp;SUM(Q12,P39)&amp;" dmg."," "))</f>
        <v xml:space="preserve"> </v>
      </c>
      <c r="R23" s="33" t="str">
        <f ca="1">IF(AND(R15="battle master",Q12&gt;=7),INDEX('Class Tables'!K40:K55,MATCH(4,('Class Tables'!I40:I55),0))," ")</f>
        <v xml:space="preserve"> </v>
      </c>
      <c r="S23" s="33" t="str">
        <f ca="1">IF(O11="druid","Druidic",IF(O11="rogue","Thieves' Cant"," "))</f>
        <v xml:space="preserve"> </v>
      </c>
      <c r="AE23" s="29" t="s">
        <v>1402</v>
      </c>
      <c r="AF23" s="29">
        <f ca="1">RANDBETWEEN(1,2)</f>
        <v>1</v>
      </c>
      <c r="AH23" s="29" t="s">
        <v>28</v>
      </c>
      <c r="AI23" s="29">
        <f ca="1">$P$42</f>
        <v>1</v>
      </c>
      <c r="AJ23" s="29" t="str">
        <f t="shared" ref="AJ23:AU23" ca="1" si="28">IF(COUNTIF(AJ$27:AJ$33,$AH$23),$P$8," ")</f>
        <v xml:space="preserve"> </v>
      </c>
      <c r="AK23" s="29" t="str">
        <f t="shared" ca="1" si="28"/>
        <v xml:space="preserve"> </v>
      </c>
      <c r="AL23" s="29" t="str">
        <f t="shared" ca="1" si="28"/>
        <v xml:space="preserve"> </v>
      </c>
      <c r="AM23" s="29" t="str">
        <f t="shared" ca="1" si="28"/>
        <v xml:space="preserve"> </v>
      </c>
      <c r="AN23" s="29" t="str">
        <f t="shared" ca="1" si="28"/>
        <v xml:space="preserve"> </v>
      </c>
      <c r="AO23" s="29" t="str">
        <f t="shared" ca="1" si="28"/>
        <v xml:space="preserve"> </v>
      </c>
      <c r="AP23" s="29" t="str">
        <f t="shared" ca="1" si="28"/>
        <v xml:space="preserve"> </v>
      </c>
      <c r="AQ23" s="29" t="str">
        <f t="shared" ca="1" si="28"/>
        <v xml:space="preserve"> </v>
      </c>
      <c r="AR23" s="29" t="str">
        <f t="shared" ca="1" si="28"/>
        <v xml:space="preserve"> </v>
      </c>
      <c r="AS23" s="29" t="str">
        <f t="shared" ca="1" si="28"/>
        <v xml:space="preserve"> </v>
      </c>
      <c r="AT23" s="29" t="str">
        <f t="shared" ca="1" si="28"/>
        <v xml:space="preserve"> </v>
      </c>
      <c r="AU23" s="29" t="str">
        <f t="shared" ca="1" si="28"/>
        <v xml:space="preserve"> </v>
      </c>
      <c r="AV23" s="29">
        <f t="shared" ca="1" si="8"/>
        <v>0</v>
      </c>
      <c r="AW23" s="29" t="s">
        <v>28</v>
      </c>
      <c r="BB23" s="29" t="str">
        <f ca="1">IF(S11="Folk Hero",P8," ")</f>
        <v xml:space="preserve"> </v>
      </c>
      <c r="BG23" s="29" t="str">
        <f ca="1">IF(S11="Outlander",P8," ")</f>
        <v xml:space="preserve"> </v>
      </c>
      <c r="BM23" s="29">
        <f t="shared" ca="1" si="2"/>
        <v>0</v>
      </c>
      <c r="BN23" s="29">
        <f t="shared" ca="1" si="9"/>
        <v>0</v>
      </c>
      <c r="BO23" s="29" t="str">
        <f t="shared" ca="1" si="3"/>
        <v xml:space="preserve"> </v>
      </c>
      <c r="BP23" s="29" t="str">
        <f t="shared" ca="1" si="4"/>
        <v xml:space="preserve"> </v>
      </c>
      <c r="BQ23" s="29" t="str">
        <f t="shared" ca="1" si="5"/>
        <v xml:space="preserve"> </v>
      </c>
      <c r="BR23" s="29">
        <f t="shared" ca="1" si="6"/>
        <v>0</v>
      </c>
      <c r="BT23" s="29">
        <f ca="1">IF(AND(BY32=1,OR($P$15="nature",$R$15="nature")),$P$8,0)</f>
        <v>0</v>
      </c>
      <c r="BU23" s="29">
        <f t="shared" ca="1" si="10"/>
        <v>0</v>
      </c>
      <c r="BV23" s="29" t="s">
        <v>28</v>
      </c>
      <c r="CB23" s="35">
        <f t="shared" ca="1" si="14"/>
        <v>15</v>
      </c>
      <c r="CC23" s="36">
        <f t="shared" ca="1" si="15"/>
        <v>0.19943776151268278</v>
      </c>
      <c r="CD23" s="29" t="s">
        <v>24</v>
      </c>
    </row>
    <row r="24" spans="2:83" x14ac:dyDescent="0.3">
      <c r="O24" s="33" t="str">
        <f ca="1">IF(AND(O11="warlock",O12&gt;=15,AF26=2,O16="pact of the chain"),"Chains of Carceri",IF(AND(O11="warlock",O12&gt;=15),"Invocation - "&amp;INDEX('Class Tables'!F164:F187,MATCH(7,('Class Tables'!D164:D187),0)),IF(AND(O11="ranger",O12&gt;=18),"Feral Senses",IF(AND(O11="paladin",O12&gt;=11),"Improved Divine Smite",IF(AND(O11="monk",O12&gt;=4),"Slow Fall - "&amp;O12*5&amp;" dmg.",IF(AND($O$11="barbarian",$O$12&gt;=15),"Persistent Rage"," "))))))</f>
        <v>Slow Fall - 30 dmg.</v>
      </c>
      <c r="P24" s="33" t="str">
        <f ca="1">IF(AND(P15="battle master",O12&gt;=7),INDEX('Class Tables'!K40:K55,MATCH(5,('Class Tables'!I40:I55),0))," ")</f>
        <v xml:space="preserve"> </v>
      </c>
      <c r="Q24" s="33" t="str">
        <f ca="1">IF(AND(Q11="paladin",Q12&gt;=11),"Improved Divine Smite",IF(AND(Q11="monk",Q12&gt;=4),"Slow Fall -"&amp;Q12*5&amp;" dmg."," "))</f>
        <v xml:space="preserve"> </v>
      </c>
      <c r="R24" s="33" t="str">
        <f ca="1">IF(AND(R15="battle master",Q12&gt;=7),INDEX('Class Tables'!K40:K55,MATCH(5,('Class Tables'!I40:I55),0))," ")</f>
        <v xml:space="preserve"> </v>
      </c>
      <c r="S24" s="33" t="str">
        <f ca="1">IF(P15="draconic bloodline","Draconic"," ")</f>
        <v xml:space="preserve"> </v>
      </c>
      <c r="AE24" s="29" t="s">
        <v>1509</v>
      </c>
      <c r="AF24" s="29">
        <f ca="1">RANDBETWEEN(1,2)</f>
        <v>2</v>
      </c>
      <c r="CB24" s="35">
        <f t="shared" ca="1" si="14"/>
        <v>17</v>
      </c>
      <c r="CC24" s="36">
        <f t="shared" ca="1" si="15"/>
        <v>0</v>
      </c>
      <c r="CD24" s="29" t="s">
        <v>25</v>
      </c>
    </row>
    <row r="25" spans="2:83" x14ac:dyDescent="0.3">
      <c r="O25" s="33" t="str">
        <f ca="1">IF(AND(O11="warlock",O12&gt;=18),"Invocation - "&amp;INDEX('Class Tables'!F164:F187,MATCH(8,('Class Tables'!D164:D187),0)),IF(AND(O11="ranger",O12&gt;=20),"Foe Slayer",IF(AND(O11="paladin",O12&gt;=14),"Cleansing Touch - "&amp;MAX(1,(P43))&amp;" uses",IF(AND(O11="monk",O12&gt;=5),"Extra Attack",IF(AND($O$11="barbarian",$O$12&gt;=18),"Indomitable Might"," ")))))</f>
        <v>Extra Attack</v>
      </c>
      <c r="P25" s="33" t="str">
        <f ca="1">IF(AND(P15="battle master",O12&gt;=10),INDEX('Class Tables'!K40:K55,MATCH(6,('Class Tables'!I40:I55),0))," ")</f>
        <v xml:space="preserve"> </v>
      </c>
      <c r="Q25" s="33" t="str">
        <f ca="1">IF(AND(Q11="paladin",Q12&gt;=14),"Cleansing Touch - "&amp;MAX(1,(P43))&amp;" uses",IF(AND(Q11="monk",Q12&gt;=5),"Extra Attack"," "))</f>
        <v xml:space="preserve"> </v>
      </c>
      <c r="R25" s="33" t="str">
        <f ca="1">IF(AND(R15="battle master",Q12&gt;=10),INDEX('Class Tables'!K40:K55,MATCH(6,('Class Tables'!I40:I55),0))," ")</f>
        <v xml:space="preserve"> </v>
      </c>
      <c r="S25" s="33" t="str">
        <f ca="1">IF(OR(S11="acolyte",S11="Guild artisan",S11="hermit",S11="noble",S11="knight",S11="outlander",S11="sage"),INDEX('Class Tables'!S177:S220,MATCH(4,('Class Tables'!Q177:Q220),0))," ")</f>
        <v>Wererat</v>
      </c>
      <c r="AE25" s="29" t="s">
        <v>1568</v>
      </c>
      <c r="AF25" s="29">
        <f ca="1">RANDBETWEEN(1,2)</f>
        <v>1</v>
      </c>
      <c r="CB25" s="35">
        <f t="shared" ca="1" si="14"/>
        <v>11</v>
      </c>
      <c r="CC25" s="36">
        <f t="shared" ca="1" si="15"/>
        <v>0.43602092490499966</v>
      </c>
      <c r="CD25" s="29" t="s">
        <v>26</v>
      </c>
      <c r="CE25" s="31"/>
    </row>
    <row r="26" spans="2:83" x14ac:dyDescent="0.3">
      <c r="O26" s="33" t="str">
        <f ca="1">IF(AND(O11="ranger",O12&gt;=6),"Natural Explorer: "&amp;INDEX('Class Tables'!F212:F219,MATCH(2,('Class Tables'!D212:D219),0)),IF(AND(O11="monk",O12&gt;=5),"Stunning Strike",IF(AND($O$11="barbarian",$O$12&gt;=20),"Primal Champion"," ")))</f>
        <v>Stunning Strike</v>
      </c>
      <c r="P26" s="33" t="str">
        <f ca="1">IF(AND(P15="battle master",O12&gt;=10),INDEX('Class Tables'!K40:K55,MATCH(7,('Class Tables'!I40:I55),0))," ")</f>
        <v xml:space="preserve"> </v>
      </c>
      <c r="Q26" s="33" t="str">
        <f ca="1">IF(AND(Q11="ranger",Q12&gt;=10),"Natural Explorer: "&amp;INDEX('Class Tables'!F212:F219,MATCH(2,('Class Tables'!D212:D219),0)),IF(AND(Q11="monk",Q12&gt;=5),"Stunning Strike"," "))</f>
        <v xml:space="preserve"> </v>
      </c>
      <c r="R26" s="33" t="str">
        <f ca="1">IF(AND(R15="battle master",Q12&gt;=10),INDEX('Class Tables'!K40:K55,MATCH(7,('Class Tables'!I40:I55),0))," ")</f>
        <v xml:space="preserve"> </v>
      </c>
      <c r="S26" s="33" t="str">
        <f ca="1">IF(OR(S11="acolyte",S11="sage"),INDEX('Class Tables'!S177:S220,MATCH(5,('Class Tables'!Q177:Q220),0))," ")</f>
        <v xml:space="preserve"> </v>
      </c>
      <c r="AE26" s="29" t="s">
        <v>693</v>
      </c>
      <c r="AF26" s="29">
        <f ca="1">RANDBETWEEN(1,2)</f>
        <v>1</v>
      </c>
      <c r="AJ26" s="29" t="s">
        <v>685</v>
      </c>
      <c r="AK26" s="29" t="s">
        <v>686</v>
      </c>
      <c r="AL26" s="29" t="s">
        <v>687</v>
      </c>
      <c r="AM26" s="29" t="s">
        <v>688</v>
      </c>
      <c r="AN26" s="29" t="s">
        <v>689</v>
      </c>
      <c r="AO26" s="29" t="s">
        <v>694</v>
      </c>
      <c r="AP26" s="29" t="s">
        <v>695</v>
      </c>
      <c r="AQ26" s="29" t="s">
        <v>690</v>
      </c>
      <c r="AR26" s="29" t="s">
        <v>691</v>
      </c>
      <c r="AS26" s="29" t="s">
        <v>692</v>
      </c>
      <c r="AT26" s="29" t="s">
        <v>693</v>
      </c>
      <c r="AU26" s="29" t="s">
        <v>696</v>
      </c>
      <c r="AX26" s="29" t="s">
        <v>1810</v>
      </c>
      <c r="AY26" s="29" t="s">
        <v>1811</v>
      </c>
      <c r="AZ26" s="29" t="s">
        <v>1812</v>
      </c>
      <c r="BA26" s="29" t="s">
        <v>1813</v>
      </c>
      <c r="BB26" s="29" t="s">
        <v>1814</v>
      </c>
      <c r="BC26" s="29" t="s">
        <v>1815</v>
      </c>
      <c r="BD26" s="29" t="s">
        <v>1816</v>
      </c>
      <c r="BE26" s="29" t="s">
        <v>1823</v>
      </c>
      <c r="BF26" s="29" t="s">
        <v>1821</v>
      </c>
      <c r="BG26" s="29" t="s">
        <v>1817</v>
      </c>
      <c r="BH26" s="29" t="s">
        <v>1822</v>
      </c>
      <c r="BI26" s="29" t="s">
        <v>1818</v>
      </c>
      <c r="BJ26" s="29" t="s">
        <v>1720</v>
      </c>
      <c r="BK26" s="29" t="s">
        <v>1819</v>
      </c>
      <c r="BL26" s="29" t="s">
        <v>1820</v>
      </c>
      <c r="BN26" s="29">
        <f t="shared" ref="BN26:BN43" ca="1" si="29">_xlfn.RANK.EQ(BO26,$BO$26:$BO$43)</f>
        <v>3</v>
      </c>
      <c r="BO26" s="29">
        <f ca="1">IF(BP26="Acrobatics",RAND(),0)</f>
        <v>0</v>
      </c>
      <c r="BP26" s="29" t="str">
        <f ca="1">IF(OR(BM6&gt;=1,AV6&gt;=1),AH6," ")</f>
        <v xml:space="preserve"> </v>
      </c>
      <c r="BR26" s="29">
        <f t="shared" ref="BR26:BR43" ca="1" si="30">_xlfn.RANK.EQ(BS26,$BS$26:$BS$43)</f>
        <v>16</v>
      </c>
      <c r="BS26" s="29">
        <f t="shared" ref="BS26:BS43" ca="1" si="31">IF(BO26=0,RAND(),0)</f>
        <v>0.1857775374805144</v>
      </c>
      <c r="BU26" s="29">
        <f ca="1">_xlfn.RANK.EQ(BV26,$BV$26:$BV$29)</f>
        <v>1</v>
      </c>
      <c r="BV26" s="29">
        <f ca="1">IF(BW26="Arcana",RAND(),0)</f>
        <v>0</v>
      </c>
      <c r="BW26" s="29" t="str">
        <f ca="1">IF(OR($AV$8&gt;=1,$BR$8&gt;=1,BM8&gt;=1),"Arcana"," ")</f>
        <v xml:space="preserve"> </v>
      </c>
      <c r="BY26" s="29">
        <f ca="1">_xlfn.RANK.EQ(BZ26,$BZ$26:$BZ$29)</f>
        <v>1</v>
      </c>
      <c r="BZ26" s="29">
        <f t="shared" ref="BZ26:BZ32" ca="1" si="32">IF(BV26=0,RAND(),0)</f>
        <v>0.79912382906432766</v>
      </c>
      <c r="CB26" s="35">
        <f t="shared" ca="1" si="14"/>
        <v>10</v>
      </c>
      <c r="CC26" s="36">
        <f t="shared" ca="1" si="15"/>
        <v>0.46371063340655139</v>
      </c>
      <c r="CD26" s="29" t="s">
        <v>27</v>
      </c>
    </row>
    <row r="27" spans="2:83" x14ac:dyDescent="0.3">
      <c r="O27" s="33" t="str">
        <f ca="1">IF(AND(O11="ranger",O12&gt;=10),"Natural Explorer: "&amp;INDEX('Class Tables'!F212:F219,MATCH(3,('Class Tables'!D212:D219),0)),IF(AND(O11="monk",O12&gt;=6),"Ki-Empowered Strikes"," "))</f>
        <v>Ki-Empowered Strikes</v>
      </c>
      <c r="P27" s="33" t="str">
        <f ca="1">IF(AND(P15="battle master",O12&gt;=15),INDEX('Class Tables'!K40:K55,MATCH(8,('Class Tables'!I40:I55),0))," ")</f>
        <v xml:space="preserve"> </v>
      </c>
      <c r="Q27" s="33" t="str">
        <f ca="1">IF(AND(Q11="ranger",Q12&gt;=10),"Natural Explorer: "&amp;INDEX('Class Tables'!F212:F219,MATCH(3,('Class Tables'!D212:D219),0)),IF(AND(Q11="monk",Q12&gt;=6),"Ki-Empowered Strikes"," "))</f>
        <v xml:space="preserve"> </v>
      </c>
      <c r="AI27" s="29">
        <v>1</v>
      </c>
      <c r="AJ27" s="29" t="str">
        <f ca="1">IF(O11="barbarian",INDEX(#REF!,MATCH($AI$27,(#REF!),0))," ")</f>
        <v xml:space="preserve"> </v>
      </c>
      <c r="AK27" s="29" t="str">
        <f ca="1">IF(OR(O11="bard",Q11="bard"),INDEX(#REF!,MATCH($AI$27,(#REF!),0))," ")</f>
        <v xml:space="preserve"> </v>
      </c>
      <c r="AL27" s="29" t="str">
        <f ca="1">IF(O11="cleric",INDEX(#REF!,MATCH(AI27,(#REF!),0))," ")</f>
        <v xml:space="preserve"> </v>
      </c>
      <c r="AM27" s="29" t="str">
        <f ca="1">IF(O11="Druid",INDEX(#REF!,MATCH(AI27,(#REF!),0))," ")</f>
        <v xml:space="preserve"> </v>
      </c>
      <c r="AN27" s="29" t="str">
        <f ca="1">IF(O11="fighter",INDEX(#REF!,MATCH(AI27,(#REF!),0))," ")</f>
        <v xml:space="preserve"> </v>
      </c>
      <c r="AO27" s="29" t="e">
        <f ca="1">IF(O11="monk",INDEX(#REF!,MATCH(AI27,(#REF!),0))," ")</f>
        <v>#REF!</v>
      </c>
      <c r="AP27" s="29" t="str">
        <f ca="1">IF(O11="Paladin",INDEX(#REF!,MATCH(AI27,(#REF!),0))," ")</f>
        <v xml:space="preserve"> </v>
      </c>
      <c r="AQ27" s="29" t="str">
        <f ca="1">IF(OR(O11="ranger",Q11="ranger"),INDEX(#REF!,MATCH(AI27,(#REF!),0))," ")</f>
        <v xml:space="preserve"> </v>
      </c>
      <c r="AR27" s="29" t="str">
        <f ca="1">IF(OR(O11="rogue",Q11="rogue"),INDEX(#REF!,MATCH(AI27,(#REF!),0))," ")</f>
        <v xml:space="preserve"> </v>
      </c>
      <c r="AS27" s="29" t="str">
        <f ca="1">IF(O11="sorcerer",INDEX(#REF!,MATCH(AI27,(#REF!),0))," ")</f>
        <v xml:space="preserve"> </v>
      </c>
      <c r="AT27" s="29" t="str">
        <f ca="1">IF(O11="Warlock",INDEX(#REF!,MATCH(AI27,(#REF!),0))," ")</f>
        <v xml:space="preserve"> </v>
      </c>
      <c r="AU27" s="29" t="str">
        <f ca="1">IF(O11="wizard",INDEX(#REF!,MATCH(AI27,(#REF!),0))," ")</f>
        <v xml:space="preserve"> </v>
      </c>
      <c r="AX27" s="29" t="s">
        <v>17</v>
      </c>
      <c r="AY27" s="29" t="s">
        <v>15</v>
      </c>
      <c r="AZ27" s="29" t="s">
        <v>15</v>
      </c>
      <c r="BA27" s="29" t="s">
        <v>12</v>
      </c>
      <c r="BB27" s="29" t="s">
        <v>29</v>
      </c>
      <c r="BC27" s="29" t="s">
        <v>17</v>
      </c>
      <c r="BD27" s="29" t="s">
        <v>20</v>
      </c>
      <c r="BE27" s="29" t="s">
        <v>1824</v>
      </c>
      <c r="BF27" s="29" t="s">
        <v>16</v>
      </c>
      <c r="BG27" s="29" t="s">
        <v>14</v>
      </c>
      <c r="BH27" s="29" t="s">
        <v>14</v>
      </c>
      <c r="BI27" s="29" t="s">
        <v>13</v>
      </c>
      <c r="BJ27" s="29" t="s">
        <v>14</v>
      </c>
      <c r="BK27" s="29" t="s">
        <v>14</v>
      </c>
      <c r="BL27" s="29" t="s">
        <v>26</v>
      </c>
      <c r="BN27" s="29">
        <f t="shared" ca="1" si="29"/>
        <v>3</v>
      </c>
      <c r="BO27" s="29">
        <f ca="1">IF(BP27="Animal Handling",RAND(),0)</f>
        <v>0</v>
      </c>
      <c r="BP27" s="29" t="str">
        <f t="shared" ref="BP27:BP43" ca="1" si="33">IF(OR(BM7&gt;=1,AV7&gt;=1),AH7," ")</f>
        <v xml:space="preserve"> </v>
      </c>
      <c r="BR27" s="29">
        <f t="shared" ca="1" si="30"/>
        <v>8</v>
      </c>
      <c r="BS27" s="29">
        <f t="shared" ca="1" si="31"/>
        <v>0.58909833990904936</v>
      </c>
      <c r="BU27" s="29">
        <f ca="1">_xlfn.RANK.EQ(BV27,$BV$26:$BV$29)</f>
        <v>1</v>
      </c>
      <c r="BV27" s="29">
        <f ca="1">IF(BW27="History",RAND(),0)</f>
        <v>0</v>
      </c>
      <c r="BW27" s="29" t="str">
        <f ca="1">IF(OR($AV$11&gt;=1,$BR$11&gt;=1,BM11&gt;=1),"History"," ")</f>
        <v xml:space="preserve"> </v>
      </c>
      <c r="BY27" s="29">
        <f ca="1">_xlfn.RANK.EQ(BZ27,$BZ$26:$BZ$29)</f>
        <v>4</v>
      </c>
      <c r="BZ27" s="29">
        <f t="shared" ca="1" si="32"/>
        <v>0.44024918221972542</v>
      </c>
      <c r="CB27" s="35">
        <f t="shared" ca="1" si="14"/>
        <v>6</v>
      </c>
      <c r="CC27" s="36">
        <f t="shared" ca="1" si="15"/>
        <v>0.60337627509993907</v>
      </c>
      <c r="CD27" s="29" t="s">
        <v>28</v>
      </c>
    </row>
    <row r="28" spans="2:83" x14ac:dyDescent="0.3">
      <c r="O28" s="33" t="str">
        <f ca="1">IF(AND(O11="monk",O12&gt;=7),"Evasion"," ")</f>
        <v xml:space="preserve"> </v>
      </c>
      <c r="P28" s="33" t="str">
        <f ca="1">IF(AND(P15="battle master",O12&gt;=15),INDEX('Class Tables'!K40:K55,MATCH(9,('Class Tables'!I40:I55),0))," ")</f>
        <v xml:space="preserve"> </v>
      </c>
      <c r="Q28" s="33" t="str">
        <f ca="1">IF(AND(Q11="monk",Q12&gt;=7),"Evasion"," ")</f>
        <v xml:space="preserve"> </v>
      </c>
      <c r="AE28" s="29" t="s">
        <v>1804</v>
      </c>
      <c r="AI28" s="29">
        <v>2</v>
      </c>
      <c r="AJ28" s="29" t="str">
        <f ca="1">IF(O11="barbarian",INDEX(#REF!,MATCH($AI$28,(#REF!),0))," ")</f>
        <v xml:space="preserve"> </v>
      </c>
      <c r="AK28" s="29" t="str">
        <f ca="1">IF(O11="bard",INDEX(#REF!,MATCH(AI28,(#REF!),0))," ")</f>
        <v xml:space="preserve"> </v>
      </c>
      <c r="AL28" s="29" t="str">
        <f ca="1">IF(O11="cleric",INDEX(#REF!,MATCH(AI28,(#REF!),0))," ")</f>
        <v xml:space="preserve"> </v>
      </c>
      <c r="AM28" s="29" t="str">
        <f ca="1">IF(O11="druid",INDEX(#REF!,MATCH(AI28,(#REF!),0))," ")</f>
        <v xml:space="preserve"> </v>
      </c>
      <c r="AN28" s="29" t="str">
        <f ca="1">IF(O11="fighter",INDEX(#REF!,MATCH(AI28,(#REF!),0))," ")</f>
        <v xml:space="preserve"> </v>
      </c>
      <c r="AO28" s="29" t="e">
        <f ca="1">IF(O11="monk",INDEX(#REF!,MATCH(AI28,(#REF!),0))," ")</f>
        <v>#REF!</v>
      </c>
      <c r="AP28" s="29" t="str">
        <f ca="1">IF(O11="paladin",INDEX(#REF!,MATCH(AI28,(#REF!),0))," ")</f>
        <v xml:space="preserve"> </v>
      </c>
      <c r="AQ28" s="29" t="str">
        <f ca="1">IF(O11="ranger",INDEX(#REF!,MATCH(AI28,(#REF!),0))," ")</f>
        <v xml:space="preserve"> </v>
      </c>
      <c r="AR28" s="29" t="str">
        <f ca="1">IF(O11="rogue",INDEX(#REF!,MATCH(AI28,(#REF!),0))," ")</f>
        <v xml:space="preserve"> </v>
      </c>
      <c r="AS28" s="29" t="str">
        <f ca="1">IF(O11="sorcerer",INDEX(#REF!,MATCH(AI28,(#REF!),0))," ")</f>
        <v xml:space="preserve"> </v>
      </c>
      <c r="AT28" s="29" t="str">
        <f ca="1">IF(O11="warlock",INDEX(#REF!,MATCH(AI28,(#REF!),0))," ")</f>
        <v xml:space="preserve"> </v>
      </c>
      <c r="AU28" s="29" t="str">
        <f ca="1">IF(O11="wizard",INDEX(#REF!,MATCH(AI28,(#REF!),0))," ")</f>
        <v xml:space="preserve"> </v>
      </c>
      <c r="AX28" s="29" t="s">
        <v>25</v>
      </c>
      <c r="AY28" s="29" t="s">
        <v>26</v>
      </c>
      <c r="AZ28" s="29" t="s">
        <v>27</v>
      </c>
      <c r="BA28" s="29" t="s">
        <v>23</v>
      </c>
      <c r="BB28" s="29" t="s">
        <v>28</v>
      </c>
      <c r="BC28" s="29" t="s">
        <v>24</v>
      </c>
      <c r="BD28" s="29" t="s">
        <v>25</v>
      </c>
      <c r="BE28" s="29" t="s">
        <v>24</v>
      </c>
      <c r="BF28" s="29" t="s">
        <v>24</v>
      </c>
      <c r="BG28" s="29" t="s">
        <v>28</v>
      </c>
      <c r="BH28" s="29" t="s">
        <v>22</v>
      </c>
      <c r="BI28" s="29" t="s">
        <v>16</v>
      </c>
      <c r="BJ28" s="29" t="s">
        <v>22</v>
      </c>
      <c r="BK28" s="29" t="s">
        <v>18</v>
      </c>
      <c r="BL28" s="29" t="s">
        <v>27</v>
      </c>
      <c r="BN28" s="29">
        <f t="shared" ca="1" si="29"/>
        <v>3</v>
      </c>
      <c r="BO28" s="29">
        <f ca="1">IF(BP28="Arcana",RAND(),0)</f>
        <v>0</v>
      </c>
      <c r="BP28" s="29" t="str">
        <f t="shared" ca="1" si="33"/>
        <v xml:space="preserve"> </v>
      </c>
      <c r="BR28" s="29">
        <f t="shared" ca="1" si="30"/>
        <v>3</v>
      </c>
      <c r="BS28" s="29">
        <f t="shared" ca="1" si="31"/>
        <v>0.85833919096643363</v>
      </c>
      <c r="BU28" s="29">
        <f ca="1">_xlfn.RANK.EQ(BV28,$BV$26:$BV$29)</f>
        <v>1</v>
      </c>
      <c r="BV28" s="29">
        <f ca="1">IF(BW28="Nature",RAND(),0)</f>
        <v>0</v>
      </c>
      <c r="BW28" s="29" t="str">
        <f ca="1">IF(OR($AV$16&gt;=1,$BR$16&gt;=1,BM16&gt;=1),"Nature"," ")</f>
        <v xml:space="preserve"> </v>
      </c>
      <c r="BY28" s="29">
        <f ca="1">_xlfn.RANK.EQ(BZ28,$BZ$26:$BZ$29)</f>
        <v>2</v>
      </c>
      <c r="BZ28" s="29">
        <f t="shared" ca="1" si="32"/>
        <v>0.62835809919651175</v>
      </c>
    </row>
    <row r="29" spans="2:83" x14ac:dyDescent="0.3">
      <c r="O29" s="33" t="str">
        <f ca="1">IF(AND(O11="monk",O12&gt;=7),"Stillness of Mind"," ")</f>
        <v xml:space="preserve"> </v>
      </c>
      <c r="Q29" s="33" t="str">
        <f ca="1">IF(AND(Q11="monk",Q12&gt;=7),"Stillness of Mind"," ")</f>
        <v xml:space="preserve"> </v>
      </c>
      <c r="AE29" s="29">
        <f ca="1">RANDBETWEEN(2,8)</f>
        <v>3</v>
      </c>
      <c r="BN29" s="29">
        <f t="shared" ca="1" si="29"/>
        <v>3</v>
      </c>
      <c r="BO29" s="29">
        <f ca="1">IF(BP29="Athletics",RAND(),0)</f>
        <v>0</v>
      </c>
      <c r="BP29" s="29" t="str">
        <f t="shared" ca="1" si="33"/>
        <v xml:space="preserve"> </v>
      </c>
      <c r="BR29" s="29">
        <f t="shared" ca="1" si="30"/>
        <v>5</v>
      </c>
      <c r="BS29" s="29">
        <f t="shared" ca="1" si="31"/>
        <v>0.71728973039632249</v>
      </c>
      <c r="BU29" s="29">
        <f ca="1">_xlfn.RANK.EQ(BV29,$BV$26:$BV$29)</f>
        <v>1</v>
      </c>
      <c r="BV29" s="29">
        <f ca="1">IF(BW29="Religion",RAND(),0)</f>
        <v>0</v>
      </c>
      <c r="BW29" s="29" t="str">
        <f ca="1">IF(AND($AV$20&gt;=1,$BR$20&gt;=1,BM20&gt;=1),"Religion"," ")</f>
        <v xml:space="preserve"> </v>
      </c>
      <c r="BY29" s="29">
        <f ca="1">_xlfn.RANK.EQ(BZ29,$BZ$26:$BZ$29)</f>
        <v>3</v>
      </c>
      <c r="BZ29" s="29">
        <f t="shared" ca="1" si="32"/>
        <v>0.60169957431611154</v>
      </c>
      <c r="CB29" s="31" t="s">
        <v>729</v>
      </c>
      <c r="CC29" s="36"/>
    </row>
    <row r="30" spans="2:83" x14ac:dyDescent="0.3">
      <c r="O30" s="33" t="str">
        <f ca="1">IF(AND(O11="monk",O12&gt;=10),"Purity of Body"," ")</f>
        <v xml:space="preserve"> </v>
      </c>
      <c r="Q30" s="33" t="str">
        <f ca="1">IF(AND(Q11="monk",Q12&gt;=10),"Purity of Body"," ")</f>
        <v xml:space="preserve"> </v>
      </c>
      <c r="AE30" s="29">
        <f ca="1">RANDBETWEEN(2,12)</f>
        <v>11</v>
      </c>
      <c r="AI30" s="29">
        <v>3</v>
      </c>
      <c r="AK30" s="29" t="str">
        <f ca="1">IF(O11="bard",INDEX(#REF!,MATCH(AI30,(#REF!),0))," ")</f>
        <v xml:space="preserve"> </v>
      </c>
      <c r="AP30" s="29" t="str">
        <f ca="1">IF($AG$30="druid",VLOOKUP(RANDBETWEEN(1,8),Table51350464806863920336393242[],2)," ")</f>
        <v xml:space="preserve"> </v>
      </c>
      <c r="AQ30" s="29" t="str">
        <f ca="1">IF(O11="ranger",INDEX(#REF!,MATCH(AI30,(#REF!),0))," ")</f>
        <v xml:space="preserve"> </v>
      </c>
      <c r="AR30" s="29" t="str">
        <f ca="1">IF(O11="rogue",INDEX(#REF!,MATCH(AI30,(#REF!),0))," ")</f>
        <v xml:space="preserve"> </v>
      </c>
      <c r="AT30" s="29" t="str">
        <f ca="1">IF(OR(COUNTIF(O18:O25,"*"&amp;"beguiling influence"&amp;"*"),COUNTIF(O13:O13,"*"&amp;"beguiling influence"&amp;"*")),"Deception"," ")</f>
        <v xml:space="preserve"> </v>
      </c>
      <c r="BN30" s="29">
        <f t="shared" ca="1" si="29"/>
        <v>3</v>
      </c>
      <c r="BO30" s="29">
        <f ca="1">IF(BP30="Deception",RAND(),0)</f>
        <v>0</v>
      </c>
      <c r="BP30" s="29" t="str">
        <f t="shared" ca="1" si="33"/>
        <v xml:space="preserve"> </v>
      </c>
      <c r="BR30" s="29">
        <f t="shared" ca="1" si="30"/>
        <v>14</v>
      </c>
      <c r="BS30" s="29">
        <f t="shared" ca="1" si="31"/>
        <v>0.22044185442678477</v>
      </c>
      <c r="BU30" s="29">
        <f ca="1">_xlfn.RANK.EQ(BV30,$BV$30:$BV$32)</f>
        <v>1</v>
      </c>
      <c r="BV30" s="29">
        <f ca="1">IF(BW30="Animal Handling",RAND(),0)</f>
        <v>0</v>
      </c>
      <c r="BW30" s="29" t="str">
        <f ca="1">IF(OR($AV$7&gt;=1,$BR$7&gt;=1,BM7&gt;=1),"Animal Handling"," ")</f>
        <v xml:space="preserve"> </v>
      </c>
      <c r="BY30" s="29">
        <f ca="1">_xlfn.RANK.EQ(BZ30,$BZ$30:$BZ$32)</f>
        <v>3</v>
      </c>
      <c r="BZ30" s="29">
        <f t="shared" ca="1" si="32"/>
        <v>0.15757846255241614</v>
      </c>
      <c r="CB30" s="35">
        <f ca="1">_xlfn.RANK.EQ(CC30,$CC$30:$CC$34)</f>
        <v>1</v>
      </c>
      <c r="CC30" s="36">
        <f ca="1">IF(BM11&gt;0,0,RAND())</f>
        <v>0.94596299442793563</v>
      </c>
      <c r="CD30" s="29" t="s">
        <v>16</v>
      </c>
    </row>
    <row r="31" spans="2:83" x14ac:dyDescent="0.3">
      <c r="O31" s="33" t="str">
        <f ca="1">IF(AND(O11="monk",O12&gt;=13),"Tongue of the Sun and Moon"," ")</f>
        <v xml:space="preserve"> </v>
      </c>
      <c r="AE31" s="29">
        <f ca="1">RANDBETWEEN(2,16)</f>
        <v>11</v>
      </c>
      <c r="AI31" s="29">
        <v>4</v>
      </c>
      <c r="AK31" s="29" t="str">
        <f ca="1">IF(P15="college of lore",INDEX(#REF!,MATCH(AI31,(#REF!),0))," ")</f>
        <v xml:space="preserve"> </v>
      </c>
      <c r="AR31" s="29" t="str">
        <f ca="1">IF(O11="rogue",INDEX(#REF!,MATCH(AI31,(#REF!),0))," ")</f>
        <v xml:space="preserve"> </v>
      </c>
      <c r="AT31" s="29" t="str">
        <f ca="1">IF(OR(COUNTIF(O18:O25,"*"&amp;"beguiling influence"&amp;"*"),COUNTIF(O13:O13,"*"&amp;"beguiling influence"&amp;"*")),"Persuasion"," ")</f>
        <v xml:space="preserve"> </v>
      </c>
      <c r="BN31" s="29">
        <f t="shared" ca="1" si="29"/>
        <v>3</v>
      </c>
      <c r="BO31" s="29">
        <f ca="1">IF(BP31="History",RAND(),0)</f>
        <v>0</v>
      </c>
      <c r="BP31" s="29" t="str">
        <f t="shared" ca="1" si="33"/>
        <v xml:space="preserve"> </v>
      </c>
      <c r="BR31" s="29">
        <f t="shared" ca="1" si="30"/>
        <v>11</v>
      </c>
      <c r="BS31" s="29">
        <f t="shared" ca="1" si="31"/>
        <v>0.4587973371430446</v>
      </c>
      <c r="BU31" s="29">
        <f ca="1">_xlfn.RANK.EQ(BV31,$BV$30:$BV$32)</f>
        <v>1</v>
      </c>
      <c r="BV31" s="29">
        <f ca="1">IF(BW31="Nature",RAND(),0)</f>
        <v>0</v>
      </c>
      <c r="BW31" s="29" t="str">
        <f ca="1">IF(OR($AV$16&gt;=1,$BR$16&gt;=1,BM16&gt;=1),"Nature"," ")</f>
        <v xml:space="preserve"> </v>
      </c>
      <c r="BY31" s="29">
        <f ca="1">_xlfn.RANK.EQ(BZ31,$BZ$30:$BZ$32)</f>
        <v>2</v>
      </c>
      <c r="BZ31" s="29">
        <f t="shared" ca="1" si="32"/>
        <v>0.20860503817536546</v>
      </c>
      <c r="CB31" s="35">
        <f ca="1">_xlfn.RANK.EQ(CC31,$CC$30:$CC$34)</f>
        <v>4</v>
      </c>
      <c r="CC31" s="36">
        <f ca="1">IF(BM12&gt;0,0,RAND())</f>
        <v>0</v>
      </c>
      <c r="CD31" s="29" t="s">
        <v>17</v>
      </c>
      <c r="CE31" s="31"/>
    </row>
    <row r="32" spans="2:83" x14ac:dyDescent="0.3">
      <c r="O32" s="33" t="str">
        <f ca="1">IF(AND(O11="monk",O12&gt;=14),"Diamond Soul"," ")</f>
        <v xml:space="preserve"> </v>
      </c>
      <c r="AE32" s="29">
        <f ca="1">RANDBETWEEN(2,20)</f>
        <v>13</v>
      </c>
      <c r="AI32" s="29">
        <v>5</v>
      </c>
      <c r="AK32" s="29" t="str">
        <f ca="1">IF(P15="college of lore",INDEX(#REF!,MATCH(AI32,(#REF!),0))," ")</f>
        <v xml:space="preserve"> </v>
      </c>
      <c r="BN32" s="29">
        <f t="shared" ca="1" si="29"/>
        <v>2</v>
      </c>
      <c r="BO32" s="29">
        <f ca="1">IF(BP32="Insight",RAND(),0)</f>
        <v>0.20652984705396393</v>
      </c>
      <c r="BP32" s="29" t="str">
        <f t="shared" ca="1" si="33"/>
        <v>Insight</v>
      </c>
      <c r="BR32" s="29">
        <f t="shared" ca="1" si="30"/>
        <v>17</v>
      </c>
      <c r="BS32" s="29">
        <f t="shared" ca="1" si="31"/>
        <v>0</v>
      </c>
      <c r="BU32" s="29">
        <f ca="1">_xlfn.RANK.EQ(BV32,$BV$30:$BV$32)</f>
        <v>1</v>
      </c>
      <c r="BV32" s="29">
        <f ca="1">IF(BW32="Survival",RAND(),0)</f>
        <v>0</v>
      </c>
      <c r="BW32" s="29" t="str">
        <f ca="1">IF(OR($AV$23&gt;=1,$BR$23&gt;=1,BM23&gt;=1),"Survival"," ")</f>
        <v xml:space="preserve"> </v>
      </c>
      <c r="BY32" s="29">
        <f ca="1">_xlfn.RANK.EQ(BZ32,$BZ$30:$BZ$32)</f>
        <v>1</v>
      </c>
      <c r="BZ32" s="29">
        <f t="shared" ca="1" si="32"/>
        <v>0.32975149846980256</v>
      </c>
      <c r="CB32" s="35">
        <f ca="1">_xlfn.RANK.EQ(CC32,$CC$30:$CC$34)</f>
        <v>3</v>
      </c>
      <c r="CC32" s="36">
        <f ca="1">IF(BM15&gt;0,0,RAND())</f>
        <v>0.45807198477331501</v>
      </c>
      <c r="CD32" s="29" t="s">
        <v>20</v>
      </c>
    </row>
    <row r="33" spans="1:83" x14ac:dyDescent="0.3">
      <c r="O33" s="33" t="str">
        <f ca="1">IF(AND(O11="monk",O12&gt;=15),"Timeless Body"," ")</f>
        <v xml:space="preserve"> </v>
      </c>
      <c r="AI33" s="29">
        <v>6</v>
      </c>
      <c r="AK33" s="29" t="str">
        <f ca="1">IF(P15="college of lore",INDEX(#REF!,MATCH(AI33,(#REF!),0))," ")</f>
        <v xml:space="preserve"> </v>
      </c>
      <c r="BN33" s="29">
        <f t="shared" ca="1" si="29"/>
        <v>3</v>
      </c>
      <c r="BO33" s="29">
        <f ca="1">IF(BP33="Intimidation",RAND(),0)</f>
        <v>0</v>
      </c>
      <c r="BP33" s="29" t="str">
        <f t="shared" ca="1" si="33"/>
        <v xml:space="preserve"> </v>
      </c>
      <c r="BR33" s="29">
        <f t="shared" ca="1" si="30"/>
        <v>4</v>
      </c>
      <c r="BS33" s="29">
        <f t="shared" ca="1" si="31"/>
        <v>0.82155516163484565</v>
      </c>
      <c r="CB33" s="35">
        <f ca="1">_xlfn.RANK.EQ(CC33,$CC$30:$CC$34)</f>
        <v>2</v>
      </c>
      <c r="CC33" s="36">
        <f ca="1">IF(BM19&gt;0,0,RAND())</f>
        <v>0.56815312845901256</v>
      </c>
      <c r="CD33" s="29" t="s">
        <v>24</v>
      </c>
    </row>
    <row r="34" spans="1:83" x14ac:dyDescent="0.3">
      <c r="O34" s="33" t="str">
        <f ca="1">IF(AND(O11="Monk",O12&gt;=18),"Empty Body"," ")</f>
        <v xml:space="preserve"> </v>
      </c>
      <c r="BN34" s="29">
        <f t="shared" ca="1" si="29"/>
        <v>3</v>
      </c>
      <c r="BO34" s="29">
        <f ca="1">IF(BP34="Investigation",RAND(),0)</f>
        <v>0</v>
      </c>
      <c r="BP34" s="29" t="str">
        <f t="shared" ca="1" si="33"/>
        <v xml:space="preserve"> </v>
      </c>
      <c r="BR34" s="29">
        <f t="shared" ca="1" si="30"/>
        <v>15</v>
      </c>
      <c r="BS34" s="29">
        <f t="shared" ca="1" si="31"/>
        <v>0.19189967927503071</v>
      </c>
      <c r="CB34" s="35">
        <f ca="1">_xlfn.RANK.EQ(CC34,$CC$30:$CC$34)</f>
        <v>4</v>
      </c>
      <c r="CC34" s="36">
        <f ca="1">IF(BM20&gt;0,0,RAND())</f>
        <v>0</v>
      </c>
      <c r="CD34" s="29" t="s">
        <v>25</v>
      </c>
    </row>
    <row r="35" spans="1:83" x14ac:dyDescent="0.3">
      <c r="O35" s="33" t="str">
        <f ca="1">IF(AND(O11="monk",O12&gt;=20),"Perfect Body"," ")</f>
        <v xml:space="preserve"> </v>
      </c>
      <c r="AE35" s="29" t="s">
        <v>2255</v>
      </c>
      <c r="AF35" s="29">
        <f ca="1">RANDBETWEEN(1,3)</f>
        <v>2</v>
      </c>
      <c r="BN35" s="29">
        <f t="shared" ca="1" si="29"/>
        <v>3</v>
      </c>
      <c r="BO35" s="29">
        <f ca="1">IF(BP35="Medicine",RAND(),0)</f>
        <v>0</v>
      </c>
      <c r="BP35" s="29" t="str">
        <f t="shared" ca="1" si="33"/>
        <v xml:space="preserve"> </v>
      </c>
      <c r="BR35" s="29">
        <f t="shared" ca="1" si="30"/>
        <v>2</v>
      </c>
      <c r="BS35" s="29">
        <f t="shared" ca="1" si="31"/>
        <v>0.90436485117952603</v>
      </c>
    </row>
    <row r="36" spans="1:83" ht="19.5" thickBot="1" x14ac:dyDescent="0.35">
      <c r="A36" s="33"/>
      <c r="B36" s="38"/>
      <c r="C36" s="38"/>
      <c r="D36" s="38"/>
      <c r="E36" s="38"/>
      <c r="F36" s="38"/>
      <c r="G36" s="38"/>
      <c r="H36" s="38"/>
      <c r="I36" s="38"/>
      <c r="J36" s="38"/>
      <c r="K36" s="38"/>
      <c r="L36" s="38"/>
      <c r="M36" s="38"/>
      <c r="N36" s="38"/>
      <c r="O36" s="38"/>
      <c r="P36" s="38"/>
      <c r="AE36" s="29" t="s">
        <v>2256</v>
      </c>
      <c r="AF36" s="29">
        <f ca="1">RANDBETWEEN(1,2)</f>
        <v>2</v>
      </c>
      <c r="BN36" s="29">
        <f t="shared" ca="1" si="29"/>
        <v>3</v>
      </c>
      <c r="BO36" s="29">
        <f ca="1">IF(BP36="Nature",RAND(),0)</f>
        <v>0</v>
      </c>
      <c r="BP36" s="29" t="str">
        <f t="shared" ca="1" si="33"/>
        <v xml:space="preserve"> </v>
      </c>
      <c r="BR36" s="29">
        <f t="shared" ca="1" si="30"/>
        <v>9</v>
      </c>
      <c r="BS36" s="29">
        <f t="shared" ca="1" si="31"/>
        <v>0.54187229344223109</v>
      </c>
      <c r="CB36" s="31" t="s">
        <v>730</v>
      </c>
      <c r="CE36" s="31"/>
    </row>
    <row r="37" spans="1:83" ht="30.75" thickBot="1" x14ac:dyDescent="0.45">
      <c r="A37" s="137"/>
      <c r="B37" s="122" t="s">
        <v>10</v>
      </c>
      <c r="C37" s="53" t="s">
        <v>710</v>
      </c>
      <c r="D37" s="53" t="s">
        <v>676</v>
      </c>
      <c r="E37" s="53" t="s">
        <v>677</v>
      </c>
      <c r="F37" s="53" t="s">
        <v>678</v>
      </c>
      <c r="G37" s="53" t="s">
        <v>679</v>
      </c>
      <c r="H37" s="53" t="s">
        <v>680</v>
      </c>
      <c r="I37" s="53" t="s">
        <v>675</v>
      </c>
      <c r="J37" s="53"/>
      <c r="K37" s="53"/>
      <c r="L37" s="53"/>
      <c r="M37" s="53"/>
      <c r="N37" s="53"/>
      <c r="O37" s="53" t="s">
        <v>8</v>
      </c>
      <c r="P37" s="116" t="s">
        <v>9</v>
      </c>
      <c r="BN37" s="29">
        <f t="shared" ca="1" si="29"/>
        <v>3</v>
      </c>
      <c r="BO37" s="29">
        <f ca="1">IF(BP37="Perception",RAND(),0)</f>
        <v>0</v>
      </c>
      <c r="BP37" s="29" t="str">
        <f t="shared" ca="1" si="33"/>
        <v xml:space="preserve"> </v>
      </c>
      <c r="BR37" s="29">
        <f t="shared" ca="1" si="30"/>
        <v>12</v>
      </c>
      <c r="BS37" s="29">
        <f t="shared" ca="1" si="31"/>
        <v>0.45166130497256907</v>
      </c>
      <c r="CB37" s="35">
        <f t="shared" ref="CB37:CB44" ca="1" si="34">_xlfn.RANK.EQ(CC37,$CC$37:$CC$44)</f>
        <v>1</v>
      </c>
      <c r="CC37" s="36">
        <f ca="1">IF(BM8&gt;0,0,RAND())</f>
        <v>0.88628728643244237</v>
      </c>
      <c r="CD37" s="29" t="s">
        <v>13</v>
      </c>
    </row>
    <row r="38" spans="1:83" ht="19.5" thickTop="1" x14ac:dyDescent="0.3">
      <c r="A38" s="137"/>
      <c r="B38" s="33" t="s">
        <v>1</v>
      </c>
      <c r="C38" s="33" t="str">
        <f ca="1">IF(O26="Primal Champion",4," ")</f>
        <v xml:space="preserve"> </v>
      </c>
      <c r="D38" s="33" t="str">
        <f ca="1">IF(AND($AF$2="strength",$AF$3="strength"),2,IF(OR($AF$2="strength",$AF$3="strength"),1," "))</f>
        <v xml:space="preserve"> </v>
      </c>
      <c r="E38" s="33" t="str">
        <f ca="1">IF(AND($AF$4="strength",$AF$5="strength"),2,IF(OR($AF$4="strength",$AF$5="strength"),1," "))</f>
        <v xml:space="preserve"> </v>
      </c>
      <c r="F38" s="33" t="str">
        <f ca="1">IF(AND($AF$6="strength",$AF$7="strength"),2,IF(OR($AF$6="strength",$AF$7="strength"),1," "))</f>
        <v xml:space="preserve"> </v>
      </c>
      <c r="G38" s="33" t="str">
        <f ca="1">IF(AND($AF$8="strength",$AF$9="strength"),2,IF(OR($AF$8="strength",$AF$9="strength"),1," "))</f>
        <v xml:space="preserve"> </v>
      </c>
      <c r="H38" s="33" t="str">
        <f ca="1">IF(AND($AF$10="strength",$AF$11="strength"),2,IF(OR($AF$10="strength",$AF$11="strength"),1," "))</f>
        <v xml:space="preserve"> </v>
      </c>
      <c r="I38" s="33">
        <f ca="1">IF(OR(Q2="dragonborn",P2="mountain",Q2="Half-orc"),SUM(J38:M38)-SMALL(J38:M38,1)+2,IF(Q2="human",(SUM(J38:M38)-SMALL(J38:M38,1)+1),(SUM(J38:M38)-SMALL(J38:M38,1))))</f>
        <v>14</v>
      </c>
      <c r="J38" s="33">
        <f t="shared" ref="J38:M43" ca="1" si="35">RANDBETWEEN(1,6)</f>
        <v>5</v>
      </c>
      <c r="K38" s="33">
        <f t="shared" ca="1" si="35"/>
        <v>3</v>
      </c>
      <c r="L38" s="33">
        <f t="shared" ca="1" si="35"/>
        <v>6</v>
      </c>
      <c r="M38" s="33">
        <f t="shared" ca="1" si="35"/>
        <v>3</v>
      </c>
      <c r="N38" s="33"/>
      <c r="O38" s="33">
        <f ca="1">IF(OR(O11="barbarian",O11="fighter",O11="paladin"),MAX(13,(SUM(C38:I38))),IF(OR(Q11="barbarian",Q11="fighter",Q11="paladin"),MAX(13,(SUM(C38:I38))),SUM(C38:I38)))</f>
        <v>14</v>
      </c>
      <c r="P38" s="117">
        <f ca="1">VLOOKUP(O38,Table1[],2)</f>
        <v>2</v>
      </c>
      <c r="BN38" s="29">
        <f t="shared" ca="1" si="29"/>
        <v>3</v>
      </c>
      <c r="BO38" s="29">
        <f ca="1">IF(BP38="Performance",RAND(),0)</f>
        <v>0</v>
      </c>
      <c r="BP38" s="29" t="str">
        <f t="shared" ca="1" si="33"/>
        <v xml:space="preserve"> </v>
      </c>
      <c r="BR38" s="29">
        <f t="shared" ca="1" si="30"/>
        <v>10</v>
      </c>
      <c r="BS38" s="29">
        <f t="shared" ca="1" si="31"/>
        <v>0.46610926044133805</v>
      </c>
      <c r="CB38" s="35">
        <f t="shared" ca="1" si="34"/>
        <v>6</v>
      </c>
      <c r="CC38" s="36">
        <f ca="1">IF(BM7&gt;0,0,RAND())</f>
        <v>0.15315263707625004</v>
      </c>
      <c r="CD38" s="29" t="s">
        <v>29</v>
      </c>
    </row>
    <row r="39" spans="1:83" x14ac:dyDescent="0.3">
      <c r="A39" s="137"/>
      <c r="B39" s="33" t="s">
        <v>2</v>
      </c>
      <c r="C39" s="33"/>
      <c r="D39" s="33">
        <f ca="1">IF(AND($AF$2="dexterity",$AF$3="dexterity"),2,IF(OR($AF$2="dexterity",$AF$3="dexterity"),1," "))</f>
        <v>1</v>
      </c>
      <c r="E39" s="33" t="str">
        <f ca="1">IF(AND($AF$4="dexterity",$AF$5="dexterity"),2,IF(OR($AF$4="dexterity",$AF$5="dexterity"),1," "))</f>
        <v xml:space="preserve"> </v>
      </c>
      <c r="F39" s="33" t="str">
        <f ca="1">IF(AND($AF$6="dexterity",$AF$7="dexterity"),2,IF(OR($AF$6="dexterity",$AF$7="dexterity"),1," "))</f>
        <v xml:space="preserve"> </v>
      </c>
      <c r="G39" s="33" t="str">
        <f ca="1">IF(AND($AF$8="dexterity",$AF$9="dexterity"),2,IF(OR($AF$8="dexterity",$AF$9="dexterity"),1," "))</f>
        <v xml:space="preserve"> </v>
      </c>
      <c r="H39" s="33" t="str">
        <f ca="1">IF(AND($AF$10="dexterity",$AF$11="dexterity"),2,IF(OR($AF$10="dexterity",$AF$11="dexterity"),1," "))</f>
        <v xml:space="preserve"> </v>
      </c>
      <c r="I39" s="33">
        <f ca="1">IF(OR(Q2="elf",Q2="halfling"),SUM(J39:M39)-SMALL(J39:M39,1)+2,IF(OR(Q2="human",P2="forest",Q2="half-elf"),SUM(J39:M39)-SMALL(J39:M39,1)+1,SUM(J39:M39)-SMALL(J39:M39,1)))</f>
        <v>15</v>
      </c>
      <c r="J39" s="33">
        <f t="shared" ca="1" si="35"/>
        <v>4</v>
      </c>
      <c r="K39" s="33">
        <f t="shared" ca="1" si="35"/>
        <v>6</v>
      </c>
      <c r="L39" s="33">
        <f t="shared" ca="1" si="35"/>
        <v>1</v>
      </c>
      <c r="M39" s="33">
        <f t="shared" ca="1" si="35"/>
        <v>4</v>
      </c>
      <c r="N39" s="33"/>
      <c r="O39" s="33">
        <f ca="1">IF(OR(O11="fighter",O11="ranger",O11="rogue"),MAX(13,(SUM(C39:I39))),IF(OR(Q11="fighter",Q11="ranger",Q11="rogue"),MAX(13,(SUM(C39:I39))),SUM(C39:I39)))</f>
        <v>16</v>
      </c>
      <c r="P39" s="117">
        <f ca="1">VLOOKUP(O39,Table1[],2)</f>
        <v>3</v>
      </c>
      <c r="BN39" s="29">
        <f t="shared" ca="1" si="29"/>
        <v>3</v>
      </c>
      <c r="BO39" s="29">
        <f ca="1">IF(BP39="Persuasion",RAND(),0)</f>
        <v>0</v>
      </c>
      <c r="BP39" s="29" t="str">
        <f t="shared" ca="1" si="33"/>
        <v xml:space="preserve"> </v>
      </c>
      <c r="BR39" s="29">
        <f t="shared" ca="1" si="30"/>
        <v>13</v>
      </c>
      <c r="BS39" s="29">
        <f t="shared" ca="1" si="31"/>
        <v>0.24836950945136294</v>
      </c>
      <c r="CB39" s="35">
        <f t="shared" ca="1" si="34"/>
        <v>7</v>
      </c>
      <c r="CC39" s="36">
        <f ca="1">IF(BM12&gt;0,0,RAND())</f>
        <v>0</v>
      </c>
      <c r="CD39" s="29" t="s">
        <v>17</v>
      </c>
    </row>
    <row r="40" spans="1:83" x14ac:dyDescent="0.3">
      <c r="A40" s="137"/>
      <c r="B40" s="33" t="s">
        <v>3</v>
      </c>
      <c r="C40" s="33" t="str">
        <f ca="1">IF(O26="primal Champion",4," ")</f>
        <v xml:space="preserve"> </v>
      </c>
      <c r="D40" s="33" t="str">
        <f ca="1">IF(AND($AF$2="constitution",$AF$3="constitution"),2,IF(OR($AF$2="constitution",$AF$3="constitution"),1," "))</f>
        <v xml:space="preserve"> </v>
      </c>
      <c r="E40" s="33" t="str">
        <f ca="1">IF(AND($AF$4="constitution",$AF$5="constitution"),2,IF(OR($AF$4="constitution",$AF$5="constitution"),1," "))</f>
        <v xml:space="preserve"> </v>
      </c>
      <c r="F40" s="33" t="str">
        <f ca="1">IF(AND($AF$6="constitution",$AF$7="constitution"),2,IF(OR($AF$6="constitution",$AF$7="constitution"),1," "))</f>
        <v xml:space="preserve"> </v>
      </c>
      <c r="G40" s="33" t="str">
        <f ca="1">IF(AND($AF$8="constitution",$AF$9="constitution"),2,IF(OR($AF$8="constitution",$AF$9="constitution"),1," "))</f>
        <v xml:space="preserve"> </v>
      </c>
      <c r="H40" s="33" t="str">
        <f ca="1">IF(AND($AF$10="constitution",$AF$11="constitution"),2,IF(OR($AF$10="constitution",$AF$11="constitution"),1," "))</f>
        <v xml:space="preserve"> </v>
      </c>
      <c r="I40" s="33">
        <f ca="1">IF(Q2="dwarf",SUM(J40:M40)-SMALL(J40:M40,1)+2,IF(OR(P2="stout",Q2="human",P2="rock",Q2="half-elf",Q2="half-orc"),SUM(J40:M40)-SMALL(J40:M40,1)+1,SUM(J40:M40)-SMALL(J40:M40,1)))</f>
        <v>13</v>
      </c>
      <c r="J40" s="33">
        <f t="shared" ca="1" si="35"/>
        <v>3</v>
      </c>
      <c r="K40" s="33">
        <f t="shared" ca="1" si="35"/>
        <v>4</v>
      </c>
      <c r="L40" s="33">
        <f t="shared" ca="1" si="35"/>
        <v>3</v>
      </c>
      <c r="M40" s="33">
        <f t="shared" ca="1" si="35"/>
        <v>6</v>
      </c>
      <c r="N40" s="33"/>
      <c r="O40" s="33">
        <f ca="1">SUM(C40:I40)</f>
        <v>13</v>
      </c>
      <c r="P40" s="117">
        <f ca="1">IF(P2="hill",VLOOKUP(O40,Table1[],2)+1,VLOOKUP(O40,Table1[],2))</f>
        <v>1</v>
      </c>
      <c r="AJ40" s="29" t="s">
        <v>1650</v>
      </c>
      <c r="AK40" s="29" t="s">
        <v>530</v>
      </c>
      <c r="BN40" s="29">
        <f t="shared" ca="1" si="29"/>
        <v>1</v>
      </c>
      <c r="BO40" s="29">
        <f ca="1">IF(BP40="Religion",RAND(),0)</f>
        <v>0.85818862919595063</v>
      </c>
      <c r="BP40" s="29" t="str">
        <f t="shared" ca="1" si="33"/>
        <v>Religion</v>
      </c>
      <c r="BR40" s="29">
        <f t="shared" ca="1" si="30"/>
        <v>17</v>
      </c>
      <c r="BS40" s="29">
        <f t="shared" ca="1" si="31"/>
        <v>0</v>
      </c>
      <c r="CB40" s="35">
        <f t="shared" ca="1" si="34"/>
        <v>4</v>
      </c>
      <c r="CC40" s="36">
        <f ca="1">IF(BM15&gt;0,0,RAND())</f>
        <v>0.19659733157765802</v>
      </c>
      <c r="CD40" s="29" t="s">
        <v>20</v>
      </c>
    </row>
    <row r="41" spans="1:83" x14ac:dyDescent="0.3">
      <c r="A41" s="137"/>
      <c r="B41" s="33" t="s">
        <v>4</v>
      </c>
      <c r="C41" s="33"/>
      <c r="D41" s="33" t="str">
        <f ca="1">IF(AND($AF$2="intelligence",$AF$3="intelligence"),2,IF(OR($AF$2="Intelligence",$AF$3="intelligence"),1," "))</f>
        <v xml:space="preserve"> </v>
      </c>
      <c r="E41" s="33" t="str">
        <f ca="1">IF(AND($AF$4="intelligence",$AF$5="intelligence"),2,IF(OR($AF$4="Intelligence",$AF$5="intelligence"),1," "))</f>
        <v xml:space="preserve"> </v>
      </c>
      <c r="F41" s="33" t="str">
        <f ca="1">IF(AND($AF$6="intelligence",$AF$7="intelligence"),2,IF(OR($AF$6="Intelligence",$AF$7="intelligence"),1," "))</f>
        <v xml:space="preserve"> </v>
      </c>
      <c r="G41" s="33" t="str">
        <f ca="1">IF(AND($AF$8="intelligence",$AF$9="intelligence"),2,IF(OR($AF$8="Intelligence",$AF$9="intelligence"),1," "))</f>
        <v xml:space="preserve"> </v>
      </c>
      <c r="H41" s="33" t="str">
        <f ca="1">IF(AND($AF$10="intelligence",$AF$11="intelligence"),2,IF(OR($AF$10="Intelligence",$AF$11="intelligence"),1," "))</f>
        <v xml:space="preserve"> </v>
      </c>
      <c r="I41" s="33">
        <f ca="1">IF(OR(P2="high",Q2="human",Q2="tiefling"),SUM(J41:M41)-SMALL(J41:M41,1)+1,IF(Q2="gnome",SUM(J41:M41)-SMALL(J41:M41,1)+2,SUM(J41:M41)-SMALL(J41:M41,1)))</f>
        <v>11</v>
      </c>
      <c r="J41" s="33">
        <f t="shared" ca="1" si="35"/>
        <v>4</v>
      </c>
      <c r="K41" s="33">
        <f t="shared" ca="1" si="35"/>
        <v>2</v>
      </c>
      <c r="L41" s="33">
        <f t="shared" ca="1" si="35"/>
        <v>1</v>
      </c>
      <c r="M41" s="33">
        <f t="shared" ca="1" si="35"/>
        <v>3</v>
      </c>
      <c r="N41" s="33"/>
      <c r="O41" s="33">
        <f ca="1">IF(O11="wizard",MAX(13,(SUM(C41:I41))),IF(Q11="wizard",MAX(13,(SUM(C41:I41))),SUM(C41:I41)))</f>
        <v>11</v>
      </c>
      <c r="P41" s="117">
        <f ca="1">VLOOKUP(O41,Table1[],2)</f>
        <v>0</v>
      </c>
      <c r="AJ41" s="29" t="s">
        <v>1649</v>
      </c>
      <c r="AK41" s="29" t="str">
        <f ca="1">IF(Q11="wizard",((Q12-1)*2)+6," ")</f>
        <v xml:space="preserve"> </v>
      </c>
      <c r="BN41" s="29">
        <f t="shared" ca="1" si="29"/>
        <v>3</v>
      </c>
      <c r="BO41" s="29">
        <f ca="1">IF(BP41="Sleight of Hand",RAND(),0)</f>
        <v>0</v>
      </c>
      <c r="BP41" s="29" t="str">
        <f t="shared" ca="1" si="33"/>
        <v xml:space="preserve"> </v>
      </c>
      <c r="BR41" s="29">
        <f t="shared" ca="1" si="30"/>
        <v>7</v>
      </c>
      <c r="BS41" s="29">
        <f t="shared" ca="1" si="31"/>
        <v>0.66354081531463116</v>
      </c>
      <c r="CB41" s="35">
        <f t="shared" ca="1" si="34"/>
        <v>2</v>
      </c>
      <c r="CC41" s="36">
        <f ca="1">IF(BM16&gt;0,0,RAND())</f>
        <v>0.64080156129997079</v>
      </c>
      <c r="CD41" s="29" t="s">
        <v>21</v>
      </c>
      <c r="CE41" s="31"/>
    </row>
    <row r="42" spans="1:83" x14ac:dyDescent="0.3">
      <c r="A42" s="137"/>
      <c r="B42" s="33" t="s">
        <v>5</v>
      </c>
      <c r="C42" s="33"/>
      <c r="D42" s="33">
        <f ca="1">IF(AND($AF$2="wisdom",$AF$3="wisdom"),2,IF(OR($AF$2="wisdom",$AF$3="wisdom"),1," "))</f>
        <v>1</v>
      </c>
      <c r="E42" s="33" t="str">
        <f ca="1">IF(AND($AF$4="wisdom",$AF$5="wisdom"),2,IF(OR($AF$4="wisdom",$AF$5="wisdom"),1," "))</f>
        <v xml:space="preserve"> </v>
      </c>
      <c r="F42" s="33" t="str">
        <f ca="1">IF(AND($AF$6="wisdom",$AF$7="wisdom"),2,IF(OR($AF$6="wisdom",$AF$7="wisdom"),1," "))</f>
        <v xml:space="preserve"> </v>
      </c>
      <c r="G42" s="33" t="str">
        <f ca="1">IF(AND($AF$8="wisdom",$AF$9="wisdom"),2,IF(OR($AF$8="wisdom",$AF$9="wisdom"),1," "))</f>
        <v xml:space="preserve"> </v>
      </c>
      <c r="H42" s="33" t="str">
        <f ca="1">IF(AND($AF$10="wisdom",$AF$11="wisdom"),2,IF(OR($AF$10="wisdom",$AF$11="wisdom"),1," "))</f>
        <v xml:space="preserve"> </v>
      </c>
      <c r="I42" s="33">
        <f ca="1">IF(OR(P2="hill",P2="wood",Q2="human"),SUM(J42:M42)-SMALL(J42:M42,1)+1,SUM(J42:M42)-SMALL(J42:M42,1))</f>
        <v>7</v>
      </c>
      <c r="J42" s="33">
        <f t="shared" ca="1" si="35"/>
        <v>1</v>
      </c>
      <c r="K42" s="33">
        <f t="shared" ca="1" si="35"/>
        <v>2</v>
      </c>
      <c r="L42" s="33">
        <f t="shared" ca="1" si="35"/>
        <v>1</v>
      </c>
      <c r="M42" s="33">
        <f t="shared" ca="1" si="35"/>
        <v>4</v>
      </c>
      <c r="N42" s="33"/>
      <c r="O42" s="33">
        <f ca="1">IF(OR(O11="cleric",O11="druid",O11="monk",O11="ranger"),MAX(13,(SUM(C42:I42))),IF(OR(Q11="cleric",Q11="druid",Q11="monk",Q11="ranger"),MAX(13,(SUM(C42:I42))),SUM(C42:I42)))</f>
        <v>13</v>
      </c>
      <c r="P42" s="117">
        <f ca="1">VLOOKUP(O42,Table1[],2)</f>
        <v>1</v>
      </c>
      <c r="BN42" s="29">
        <f t="shared" ca="1" si="29"/>
        <v>3</v>
      </c>
      <c r="BO42" s="29">
        <f ca="1">IF(BP42="Stealth",RAND(),0)</f>
        <v>0</v>
      </c>
      <c r="BP42" s="29" t="str">
        <f t="shared" ca="1" si="33"/>
        <v xml:space="preserve"> </v>
      </c>
      <c r="BR42" s="29">
        <f t="shared" ca="1" si="30"/>
        <v>6</v>
      </c>
      <c r="BS42" s="29">
        <f t="shared" ca="1" si="31"/>
        <v>0.6741562377315673</v>
      </c>
      <c r="CB42" s="35">
        <f t="shared" ca="1" si="34"/>
        <v>3</v>
      </c>
      <c r="CC42" s="36">
        <f ca="1">IF(BM17&gt;0,0,RAND())</f>
        <v>0.52091114429638852</v>
      </c>
      <c r="CD42" s="29" t="s">
        <v>22</v>
      </c>
    </row>
    <row r="43" spans="1:83" ht="19.5" thickBot="1" x14ac:dyDescent="0.35">
      <c r="A43" s="137"/>
      <c r="B43" s="38" t="s">
        <v>6</v>
      </c>
      <c r="C43" s="38"/>
      <c r="D43" s="38" t="str">
        <f ca="1">IF(AND($AF$2="charisma",$AF$3="charisma"),2,IF(OR($AF$2="charisma",$AF$3="charisma"),1," "))</f>
        <v xml:space="preserve"> </v>
      </c>
      <c r="E43" s="38" t="str">
        <f ca="1">IF(AND($AF$4="charisma",$AF$5="charisma"),2,IF(OR($AF$4="charisma",$AF$5="charisma"),1," "))</f>
        <v xml:space="preserve"> </v>
      </c>
      <c r="F43" s="38" t="str">
        <f ca="1">IF(AND($AF$6="charisma",$AF$7="charisma"),2,IF(OR($AF$6="charisma",$AF$7="charisma"),1," "))</f>
        <v xml:space="preserve"> </v>
      </c>
      <c r="G43" s="38" t="str">
        <f ca="1">IF(AND($AF$8="charisma",$AF$9="charisma"),2,IF(OR($AF$8="charisma",$AF$9="charisma"),1," "))</f>
        <v xml:space="preserve"> </v>
      </c>
      <c r="H43" s="38" t="str">
        <f ca="1">IF(AND($AF$10="charisma",$AF$11="charisma"),2,IF(OR($AF$10="charisma",$AF$11="charisma"),1," "))</f>
        <v xml:space="preserve"> </v>
      </c>
      <c r="I43" s="38">
        <f ca="1">IF(OR(P2="dark",P2="lightfoot",Q2="human",Q2="dragonborn"),SUM(J43:M43)-SMALL(J43:M43,1)+1,IF(OR(Q2="half-elf",Q2="tiefling"),SUM(J43:M43)-SMALL(J43:M43,1)+2,SUM(J43:M43)-SMALL(J43:M43,1)))</f>
        <v>11</v>
      </c>
      <c r="J43" s="38">
        <f t="shared" ca="1" si="35"/>
        <v>1</v>
      </c>
      <c r="K43" s="38">
        <f t="shared" ca="1" si="35"/>
        <v>2</v>
      </c>
      <c r="L43" s="38">
        <f t="shared" ca="1" si="35"/>
        <v>3</v>
      </c>
      <c r="M43" s="38">
        <f t="shared" ca="1" si="35"/>
        <v>6</v>
      </c>
      <c r="N43" s="38"/>
      <c r="O43" s="38">
        <f ca="1">IF(OR(O11="bard",O11="paladin",O11="sorcerer",O11="warlock"),MAX(13,(SUM(C43:I43))),IF(OR(Q11="bard",Q11="paladin",Q11="sorcerer",Q11="warlock"),MAX(13,(SUM(C43:I43))),SUM(C43:I43)))</f>
        <v>11</v>
      </c>
      <c r="P43" s="118">
        <f ca="1">VLOOKUP(O43,Table1[],2)</f>
        <v>0</v>
      </c>
      <c r="AJ43" s="31" t="s">
        <v>1166</v>
      </c>
      <c r="AO43" s="57"/>
      <c r="AP43" s="57"/>
      <c r="AQ43" s="57"/>
      <c r="BN43" s="29">
        <f t="shared" ca="1" si="29"/>
        <v>3</v>
      </c>
      <c r="BO43" s="29">
        <f ca="1">IF(BP43="Survival",RAND(),0)</f>
        <v>0</v>
      </c>
      <c r="BP43" s="29" t="str">
        <f t="shared" ca="1" si="33"/>
        <v xml:space="preserve"> </v>
      </c>
      <c r="BR43" s="29">
        <f t="shared" ca="1" si="30"/>
        <v>1</v>
      </c>
      <c r="BS43" s="29">
        <f t="shared" ca="1" si="31"/>
        <v>0.99273078525191116</v>
      </c>
      <c r="CB43" s="35">
        <f t="shared" ca="1" si="34"/>
        <v>7</v>
      </c>
      <c r="CC43" s="36">
        <f ca="1">IF(BM20&gt;0,0,RAND())</f>
        <v>0</v>
      </c>
      <c r="CD43" s="29" t="s">
        <v>25</v>
      </c>
    </row>
    <row r="44" spans="1:83" ht="19.5" thickBot="1" x14ac:dyDescent="0.35">
      <c r="A44" s="33"/>
      <c r="B44" s="38"/>
      <c r="C44" s="38"/>
      <c r="D44" s="38"/>
      <c r="E44" s="38"/>
      <c r="F44" s="38"/>
      <c r="G44" s="38"/>
      <c r="H44" s="38"/>
      <c r="I44" s="38"/>
      <c r="J44" s="38"/>
      <c r="K44" s="38"/>
      <c r="L44" s="38"/>
      <c r="M44" s="38"/>
      <c r="N44" s="38"/>
      <c r="O44" s="38"/>
      <c r="P44" s="38"/>
      <c r="AJ44" s="58" t="str">
        <f ca="1">IF(Table20033544979184890531437856[[#This Row],[Column2]]=0," ",_xlfn.RANK.EQ(AK44,$AK$44:$AK$53))</f>
        <v xml:space="preserve"> </v>
      </c>
      <c r="AK44" s="29">
        <f ca="1">IF(Table20033544979184890531437856[[#This Row],[Column3]]=" ", 0,RAND())</f>
        <v>0</v>
      </c>
      <c r="AL44" s="29" t="str">
        <f t="shared" ref="AL44:AL53" ca="1" si="36">Q315</f>
        <v xml:space="preserve"> </v>
      </c>
      <c r="AO44" s="29" t="s">
        <v>1962</v>
      </c>
      <c r="CB44" s="35">
        <f t="shared" ca="1" si="34"/>
        <v>5</v>
      </c>
      <c r="CC44" s="36">
        <f ca="1">IF(BM23&gt;0,0,RAND())</f>
        <v>0.19445730504093595</v>
      </c>
      <c r="CD44" s="29" t="s">
        <v>28</v>
      </c>
    </row>
    <row r="45" spans="1:83" ht="30.75" thickBot="1" x14ac:dyDescent="0.45">
      <c r="A45" s="115"/>
      <c r="B45" s="122" t="s">
        <v>37</v>
      </c>
      <c r="C45" s="53"/>
      <c r="D45" s="53"/>
      <c r="E45" s="53"/>
      <c r="F45" s="53"/>
      <c r="G45" s="53"/>
      <c r="H45" s="53"/>
      <c r="I45" s="53"/>
      <c r="J45" s="53"/>
      <c r="K45" s="53"/>
      <c r="L45" s="53"/>
      <c r="M45" s="53"/>
      <c r="N45" s="53"/>
      <c r="O45" s="53" t="s">
        <v>30</v>
      </c>
      <c r="P45" s="116" t="s">
        <v>38</v>
      </c>
      <c r="AJ45" s="58" t="str">
        <f ca="1">IF(Table20033544979184890531437856[[#This Row],[Column2]]=0," ",_xlfn.RANK.EQ(AK45,$AK$44:$AK$53))</f>
        <v xml:space="preserve"> </v>
      </c>
      <c r="AK45" s="29">
        <f ca="1">IF(Table20033544979184890531437856[[#This Row],[Column3]]=" ", 0,RAND())</f>
        <v>0</v>
      </c>
      <c r="AL45" s="29" t="str">
        <f t="shared" ca="1" si="36"/>
        <v xml:space="preserve"> </v>
      </c>
      <c r="AO45" s="29" t="str">
        <f ca="1">IF(Table293375489831888945361417284[[#This Row],[Column2]]=0," ",_xlfn.RANK.EQ(Table293375489831888945361417284[[#This Row],[Column2]],$AP$45:$AP$59))</f>
        <v xml:space="preserve"> </v>
      </c>
      <c r="AP45" s="29">
        <f ca="1">IF(OR(Table293375489831888945361417284[[#This Row],[Column3]]=" ",Table293375489831888945361417284[[#This Row],[Column3]]="simple weapons"), 0,RAND())</f>
        <v>0</v>
      </c>
      <c r="AQ45" s="29" t="str">
        <f ca="1">P76</f>
        <v>Simple Weapons</v>
      </c>
    </row>
    <row r="46" spans="1:83" ht="19.5" thickTop="1" x14ac:dyDescent="0.3">
      <c r="A46" s="137"/>
      <c r="B46" s="33" t="s">
        <v>1</v>
      </c>
      <c r="C46" s="33"/>
      <c r="D46" s="33"/>
      <c r="E46" s="33"/>
      <c r="F46" s="33"/>
      <c r="G46" s="33"/>
      <c r="H46" s="33"/>
      <c r="I46" s="33"/>
      <c r="J46" s="33"/>
      <c r="K46" s="33"/>
      <c r="L46" s="33"/>
      <c r="M46" s="33"/>
      <c r="N46" s="33"/>
      <c r="O46" s="33" t="str">
        <f ca="1">IF(OR($O$11="barbarian",O11="fighter",O11="monk",O11="ranger"),"x"," ")</f>
        <v>x</v>
      </c>
      <c r="P46" s="72">
        <f t="shared" ref="P46:P51" ca="1" si="37">IF(O46="x",SUM(P38,$P$8),P38)</f>
        <v>5</v>
      </c>
      <c r="T46" s="49"/>
      <c r="U46" s="49"/>
      <c r="AJ46" s="58" t="str">
        <f ca="1">IF(Table20033544979184890531437856[[#This Row],[Column2]]=0," ",_xlfn.RANK.EQ(AK46,$AK$44:$AK$53))</f>
        <v xml:space="preserve"> </v>
      </c>
      <c r="AK46" s="29">
        <f ca="1">IF(Table20033544979184890531437856[[#This Row],[Column3]]=" ", 0,RAND())</f>
        <v>0</v>
      </c>
      <c r="AL46" s="29" t="str">
        <f t="shared" ca="1" si="36"/>
        <v xml:space="preserve"> </v>
      </c>
      <c r="AO46" s="29" t="str">
        <f ca="1">IF(Table293375489831888945361417284[[#This Row],[Column2]]=0," ",_xlfn.RANK.EQ(Table293375489831888945361417284[[#This Row],[Column2]],$AP$45:$AP$59))</f>
        <v xml:space="preserve"> </v>
      </c>
      <c r="AP46" s="29">
        <f ca="1">IF(OR(Table293375489831888945361417284[[#This Row],[Column3]]=" ",Table293375489831888945361417284[[#This Row],[Column3]]="martial weapons"), 0,RAND())</f>
        <v>0</v>
      </c>
      <c r="AQ46" s="29" t="str">
        <f ca="1">P77</f>
        <v xml:space="preserve"> </v>
      </c>
      <c r="CB46" s="31" t="s">
        <v>731</v>
      </c>
      <c r="CE46" s="31"/>
    </row>
    <row r="47" spans="1:83" x14ac:dyDescent="0.3">
      <c r="A47" s="137"/>
      <c r="B47" s="33" t="s">
        <v>2</v>
      </c>
      <c r="C47" s="33"/>
      <c r="D47" s="33"/>
      <c r="E47" s="33"/>
      <c r="F47" s="33"/>
      <c r="G47" s="33"/>
      <c r="H47" s="33"/>
      <c r="I47" s="33"/>
      <c r="J47" s="33"/>
      <c r="K47" s="33"/>
      <c r="L47" s="33"/>
      <c r="M47" s="33"/>
      <c r="N47" s="33"/>
      <c r="O47" s="33" t="str">
        <f ca="1">IF(OR($O$11="bard",O11="monk",O11="ranger",O11="rogue"),"x"," ")</f>
        <v>x</v>
      </c>
      <c r="P47" s="72">
        <f t="shared" ca="1" si="37"/>
        <v>6</v>
      </c>
      <c r="T47" s="49"/>
      <c r="U47" s="49"/>
      <c r="AJ47" s="58" t="str">
        <f ca="1">IF(Table20033544979184890531437856[[#This Row],[Column2]]=0," ",_xlfn.RANK.EQ(AK47,$AK$44:$AK$53))</f>
        <v xml:space="preserve"> </v>
      </c>
      <c r="AK47" s="29">
        <f ca="1">IF(Table20033544979184890531437856[[#This Row],[Column3]]=" ", 0,RAND())</f>
        <v>0</v>
      </c>
      <c r="AL47" s="29" t="str">
        <f t="shared" ca="1" si="36"/>
        <v xml:space="preserve"> </v>
      </c>
      <c r="AO47" s="29" t="str">
        <f ca="1">IF(Table293375489831888945361417284[[#This Row],[Column2]]=0," ",_xlfn.RANK.EQ(Table293375489831888945361417284[[#This Row],[Column2]],$AP$45:$AP$59))</f>
        <v xml:space="preserve"> </v>
      </c>
      <c r="AP47" s="29">
        <f ca="1">IF(Table293375489831888945361417284[[#This Row],[Column3]]=" ", 0,RAND())</f>
        <v>0</v>
      </c>
      <c r="AQ47" s="29" t="str">
        <f ca="1">P78</f>
        <v xml:space="preserve"> </v>
      </c>
      <c r="CB47" s="35">
        <f t="shared" ref="CB47:CB54" ca="1" si="38">_xlfn.RANK.EQ(CC47,$CC$47:$CC$54)</f>
        <v>1</v>
      </c>
      <c r="CC47" s="36">
        <f ca="1">IF(BM6&gt;0,0,RAND())</f>
        <v>0.96395888710885103</v>
      </c>
      <c r="CD47" s="29" t="s">
        <v>12</v>
      </c>
    </row>
    <row r="48" spans="1:83" x14ac:dyDescent="0.3">
      <c r="A48" s="137"/>
      <c r="B48" s="33" t="s">
        <v>3</v>
      </c>
      <c r="C48" s="33"/>
      <c r="D48" s="33"/>
      <c r="E48" s="33"/>
      <c r="F48" s="33"/>
      <c r="G48" s="33"/>
      <c r="H48" s="33"/>
      <c r="I48" s="33"/>
      <c r="J48" s="33"/>
      <c r="K48" s="33"/>
      <c r="L48" s="33"/>
      <c r="M48" s="33"/>
      <c r="N48" s="33"/>
      <c r="O48" s="33" t="str">
        <f ca="1">IF(OR(O11="barbarian",O11="fighter",O11="sorcerer"),"x"," ")</f>
        <v xml:space="preserve"> </v>
      </c>
      <c r="P48" s="72">
        <f t="shared" ca="1" si="37"/>
        <v>1</v>
      </c>
      <c r="T48" s="49"/>
      <c r="U48" s="49"/>
      <c r="AJ48" s="58" t="str">
        <f ca="1">IF(Table20033544979184890531437856[[#This Row],[Column2]]=0," ",_xlfn.RANK.EQ(AK48,$AK$44:$AK$53))</f>
        <v xml:space="preserve"> </v>
      </c>
      <c r="AK48" s="29">
        <f ca="1">IF(Table20033544979184890531437856[[#This Row],[Column3]]=" ", 0,RAND())</f>
        <v>0</v>
      </c>
      <c r="AL48" s="29" t="str">
        <f t="shared" ca="1" si="36"/>
        <v xml:space="preserve"> </v>
      </c>
      <c r="AO48" s="29" t="str">
        <f ca="1">IF(Table293375489831888945361417284[[#This Row],[Column2]]=0," ",_xlfn.RANK.EQ(Table293375489831888945361417284[[#This Row],[Column2]],$AP$45:$AP$59))</f>
        <v xml:space="preserve"> </v>
      </c>
      <c r="AP48" s="29">
        <f ca="1">IF(Table293375489831888945361417284[[#This Row],[Column3]]=" ", 0,RAND())</f>
        <v>0</v>
      </c>
      <c r="AQ48" s="29" t="str">
        <f ca="1">P79</f>
        <v xml:space="preserve"> </v>
      </c>
      <c r="CB48" s="35">
        <f t="shared" ca="1" si="38"/>
        <v>7</v>
      </c>
      <c r="CC48" s="36">
        <f ca="1">IF(BM7&gt;0,0,RAND())</f>
        <v>8.5067884658220905E-3</v>
      </c>
      <c r="CD48" s="29" t="s">
        <v>29</v>
      </c>
    </row>
    <row r="49" spans="1:83" x14ac:dyDescent="0.3">
      <c r="A49" s="137"/>
      <c r="B49" s="33" t="s">
        <v>4</v>
      </c>
      <c r="C49" s="33"/>
      <c r="D49" s="33"/>
      <c r="E49" s="33"/>
      <c r="F49" s="33"/>
      <c r="G49" s="33"/>
      <c r="H49" s="33"/>
      <c r="I49" s="33"/>
      <c r="J49" s="33"/>
      <c r="K49" s="33"/>
      <c r="L49" s="33"/>
      <c r="M49" s="33"/>
      <c r="N49" s="33"/>
      <c r="O49" s="33" t="str">
        <f ca="1">IF(OR(O11="rogue",O11="druid",O11="wizard"),"x"," ")</f>
        <v xml:space="preserve"> </v>
      </c>
      <c r="P49" s="72">
        <f t="shared" ca="1" si="37"/>
        <v>0</v>
      </c>
      <c r="T49" s="49"/>
      <c r="U49" s="49"/>
      <c r="AJ49" s="58" t="str">
        <f ca="1">IF(Table20033544979184890531437856[[#This Row],[Column2]]=0," ",_xlfn.RANK.EQ(AK49,$AK$44:$AK$53))</f>
        <v xml:space="preserve"> </v>
      </c>
      <c r="AK49" s="29">
        <f ca="1">IF(Table20033544979184890531437856[[#This Row],[Column3]]=" ", 0,RAND())</f>
        <v>0</v>
      </c>
      <c r="AL49" s="29" t="str">
        <f t="shared" ca="1" si="36"/>
        <v xml:space="preserve"> </v>
      </c>
      <c r="AO49" s="29" t="str">
        <f ca="1">IF(Table293375489831888945361417284[[#This Row],[Column2]]=0," ",_xlfn.RANK.EQ(Table293375489831888945361417284[[#This Row],[Column2]],$AP$45:$AP$59))</f>
        <v xml:space="preserve"> </v>
      </c>
      <c r="AP49" s="29">
        <f ca="1">IF(Table293375489831888945361417284[[#This Row],[Column3]]=" ", 0,RAND())</f>
        <v>0</v>
      </c>
      <c r="AQ49" s="29" t="str">
        <f ca="1">P80</f>
        <v xml:space="preserve"> </v>
      </c>
      <c r="CB49" s="35">
        <f t="shared" ca="1" si="38"/>
        <v>4</v>
      </c>
      <c r="CC49" s="36">
        <f ca="1">IF(BM9&gt;0,0,RAND())</f>
        <v>0.3682438668711937</v>
      </c>
      <c r="CD49" s="29" t="s">
        <v>14</v>
      </c>
    </row>
    <row r="50" spans="1:83" x14ac:dyDescent="0.3">
      <c r="A50" s="137"/>
      <c r="B50" s="33" t="s">
        <v>39</v>
      </c>
      <c r="C50" s="33"/>
      <c r="D50" s="33"/>
      <c r="E50" s="33"/>
      <c r="F50" s="33"/>
      <c r="G50" s="33"/>
      <c r="H50" s="33"/>
      <c r="I50" s="33"/>
      <c r="J50" s="33"/>
      <c r="K50" s="33"/>
      <c r="L50" s="33"/>
      <c r="M50" s="33"/>
      <c r="N50" s="33"/>
      <c r="O50" s="33" t="str">
        <f ca="1">IF(OR(O11="cleric",O11="druid",O11="paladin",O11="warlock",O11="wizard"),"x",IF(AND(O11="rogue",O12&gt;=15),"x"," "))</f>
        <v xml:space="preserve"> </v>
      </c>
      <c r="P50" s="72">
        <f t="shared" ca="1" si="37"/>
        <v>1</v>
      </c>
      <c r="T50" s="49"/>
      <c r="U50" s="49"/>
      <c r="AJ50" s="58" t="str">
        <f ca="1">IF(Table20033544979184890531437856[[#This Row],[Column2]]=0," ",_xlfn.RANK.EQ(AK50,$AK$44:$AK$53))</f>
        <v xml:space="preserve"> </v>
      </c>
      <c r="AK50" s="29">
        <f ca="1">IF(Table20033544979184890531437856[[#This Row],[Column3]]=" ", 0,RAND())</f>
        <v>0</v>
      </c>
      <c r="AL50" s="29" t="str">
        <f t="shared" ca="1" si="36"/>
        <v xml:space="preserve"> </v>
      </c>
      <c r="AO50" s="29">
        <f ca="1">IF(Table293375489831888945361417284[[#This Row],[Column2]]=0," ",_xlfn.RANK.EQ(Table293375489831888945361417284[[#This Row],[Column2]],$AP$45:$AP$59))</f>
        <v>1</v>
      </c>
      <c r="AP50" s="29">
        <f ca="1">IF(Table293375489831888945361417284[[#This Row],[Column3]]=" ", 0,RAND())</f>
        <v>0.74794784921998692</v>
      </c>
      <c r="AQ50" s="29" t="str">
        <f ca="1">Q76</f>
        <v>Shortsword</v>
      </c>
      <c r="CB50" s="35">
        <f t="shared" ca="1" si="38"/>
        <v>5</v>
      </c>
      <c r="CC50" s="36">
        <f ca="1">IF(BM11&gt;0,0,RAND())</f>
        <v>0.24777295538936372</v>
      </c>
      <c r="CD50" s="29" t="s">
        <v>16</v>
      </c>
    </row>
    <row r="51" spans="1:83" ht="19.5" thickBot="1" x14ac:dyDescent="0.35">
      <c r="A51" s="137"/>
      <c r="B51" s="38" t="s">
        <v>6</v>
      </c>
      <c r="C51" s="38"/>
      <c r="D51" s="38"/>
      <c r="E51" s="38"/>
      <c r="F51" s="38"/>
      <c r="G51" s="38"/>
      <c r="H51" s="38"/>
      <c r="I51" s="38"/>
      <c r="J51" s="38"/>
      <c r="K51" s="38"/>
      <c r="L51" s="38"/>
      <c r="M51" s="38"/>
      <c r="N51" s="38"/>
      <c r="O51" s="38" t="str">
        <f ca="1">IF(OR($O$11="bard",O11="cleric",O11="paladin",O11="sorcerer",O11="warlock"),"x"," ")</f>
        <v xml:space="preserve"> </v>
      </c>
      <c r="P51" s="73">
        <f t="shared" ca="1" si="37"/>
        <v>0</v>
      </c>
      <c r="AJ51" s="58" t="str">
        <f ca="1">IF(Table20033544979184890531437856[[#This Row],[Column2]]=0," ",_xlfn.RANK.EQ(AK51,$AK$44:$AK$53))</f>
        <v xml:space="preserve"> </v>
      </c>
      <c r="AK51" s="29">
        <f ca="1">IF(Table20033544979184890531437856[[#This Row],[Column3]]=" ", 0,RAND())</f>
        <v>0</v>
      </c>
      <c r="AL51" s="29" t="str">
        <f t="shared" ca="1" si="36"/>
        <v xml:space="preserve"> </v>
      </c>
      <c r="AO51" s="29" t="str">
        <f ca="1">IF(Table293375489831888945361417284[[#This Row],[Column2]]=0," ",_xlfn.RANK.EQ(Table293375489831888945361417284[[#This Row],[Column2]],$AP$45:$AP$59))</f>
        <v xml:space="preserve"> </v>
      </c>
      <c r="AP51" s="29">
        <f ca="1">IF(Table293375489831888945361417284[[#This Row],[Column3]]=" ", 0,RAND())</f>
        <v>0</v>
      </c>
      <c r="AQ51" s="29" t="str">
        <f ca="1">Q77</f>
        <v xml:space="preserve"> </v>
      </c>
      <c r="CB51" s="35">
        <f t="shared" ca="1" si="38"/>
        <v>8</v>
      </c>
      <c r="CC51" s="36">
        <f ca="1">IF(BM12&gt;0,0,RAND())</f>
        <v>0</v>
      </c>
      <c r="CD51" s="29" t="s">
        <v>17</v>
      </c>
      <c r="CE51" s="31"/>
    </row>
    <row r="52" spans="1:83" ht="19.5" thickBot="1" x14ac:dyDescent="0.35">
      <c r="A52" s="138"/>
      <c r="B52" s="99"/>
      <c r="C52" s="99"/>
      <c r="D52" s="99"/>
      <c r="E52" s="99"/>
      <c r="F52" s="99"/>
      <c r="G52" s="99"/>
      <c r="H52" s="99"/>
      <c r="I52" s="99"/>
      <c r="J52" s="99"/>
      <c r="K52" s="99"/>
      <c r="L52" s="99"/>
      <c r="M52" s="99"/>
      <c r="N52" s="99"/>
      <c r="O52" s="99"/>
      <c r="P52" s="99"/>
      <c r="AJ52" s="58" t="str">
        <f ca="1">IF(Table20033544979184890531437856[[#This Row],[Column2]]=0," ",_xlfn.RANK.EQ(AK52,$AK$44:$AK$53))</f>
        <v xml:space="preserve"> </v>
      </c>
      <c r="AK52" s="29">
        <f ca="1">IF(Table20033544979184890531437856[[#This Row],[Column3]]=" ", 0,RAND())</f>
        <v>0</v>
      </c>
      <c r="AL52" s="29" t="str">
        <f t="shared" ca="1" si="36"/>
        <v xml:space="preserve"> </v>
      </c>
      <c r="AO52" s="29" t="str">
        <f ca="1">IF(Table293375489831888945361417284[[#This Row],[Column2]]=0," ",_xlfn.RANK.EQ(Table293375489831888945361417284[[#This Row],[Column2]],$AP$45:$AP$59))</f>
        <v xml:space="preserve"> </v>
      </c>
      <c r="AP52" s="29">
        <f ca="1">IF(Table293375489831888945361417284[[#This Row],[Column3]]=" ", 0,RAND())</f>
        <v>0</v>
      </c>
      <c r="AQ52" s="29" t="str">
        <f ca="1">Q78</f>
        <v xml:space="preserve"> </v>
      </c>
      <c r="CB52" s="35">
        <f t="shared" ca="1" si="38"/>
        <v>3</v>
      </c>
      <c r="CC52" s="36">
        <f ca="1">IF(BM13&gt;0,0,RAND())</f>
        <v>0.47596659500622351</v>
      </c>
      <c r="CD52" s="29" t="s">
        <v>18</v>
      </c>
    </row>
    <row r="53" spans="1:83" ht="30.75" thickBot="1" x14ac:dyDescent="0.45">
      <c r="A53" s="137"/>
      <c r="B53" s="122" t="s">
        <v>11</v>
      </c>
      <c r="C53" s="33"/>
      <c r="D53" s="33"/>
      <c r="E53" s="33"/>
      <c r="F53" s="33"/>
      <c r="G53" s="33"/>
      <c r="H53" s="33"/>
      <c r="I53" s="33"/>
      <c r="J53" s="33"/>
      <c r="K53" s="33"/>
      <c r="L53" s="33"/>
      <c r="M53" s="33"/>
      <c r="N53" s="33"/>
      <c r="O53" s="53" t="s">
        <v>30</v>
      </c>
      <c r="P53" s="119" t="s">
        <v>529</v>
      </c>
      <c r="AJ53" s="58" t="str">
        <f ca="1">IF(Table20033544979184890531437856[[#This Row],[Column2]]=0," ",_xlfn.RANK.EQ(AK53,$AK$44:$AK$53))</f>
        <v xml:space="preserve"> </v>
      </c>
      <c r="AK53" s="29">
        <f ca="1">IF(Table20033544979184890531437856[[#This Row],[Column3]]=" ", 0,RAND())</f>
        <v>0</v>
      </c>
      <c r="AL53" s="29" t="str">
        <f t="shared" ca="1" si="36"/>
        <v xml:space="preserve"> </v>
      </c>
      <c r="AO53" s="29" t="str">
        <f ca="1">IF(Table293375489831888945361417284[[#This Row],[Column2]]=0," ",_xlfn.RANK.EQ(Table293375489831888945361417284[[#This Row],[Column2]],$AP$45:$AP$59))</f>
        <v xml:space="preserve"> </v>
      </c>
      <c r="AP53" s="29">
        <f ca="1">IF(Table293375489831888945361417284[[#This Row],[Column3]]=" ", 0,RAND())</f>
        <v>0</v>
      </c>
      <c r="AQ53" s="29" t="str">
        <f ca="1">Q79</f>
        <v xml:space="preserve"> </v>
      </c>
      <c r="CB53" s="35">
        <f t="shared" ca="1" si="38"/>
        <v>2</v>
      </c>
      <c r="CC53" s="36">
        <f ca="1">IF(BM17&gt;0,0,RAND())</f>
        <v>0.68719502864268467</v>
      </c>
      <c r="CD53" s="29" t="s">
        <v>22</v>
      </c>
    </row>
    <row r="54" spans="1:83" ht="19.5" thickTop="1" x14ac:dyDescent="0.3">
      <c r="A54" s="137"/>
      <c r="B54" s="33" t="s">
        <v>12</v>
      </c>
      <c r="C54" s="59"/>
      <c r="D54" s="33"/>
      <c r="E54" s="33"/>
      <c r="F54" s="33"/>
      <c r="G54" s="33"/>
      <c r="H54" s="33"/>
      <c r="I54" s="33"/>
      <c r="J54" s="33"/>
      <c r="K54" s="33"/>
      <c r="L54" s="33"/>
      <c r="M54" s="33"/>
      <c r="N54" s="33"/>
      <c r="O54" s="33" t="str">
        <f t="shared" ref="O54:O71" ca="1" si="39">IF(BU6&gt;0,"x"," ")</f>
        <v>x</v>
      </c>
      <c r="P54" s="120">
        <f ca="1">SUM(BU6,P39)</f>
        <v>6</v>
      </c>
      <c r="AO54" s="29" t="str">
        <f ca="1">IF(Table293375489831888945361417284[[#This Row],[Column2]]=0," ",_xlfn.RANK.EQ(Table293375489831888945361417284[[#This Row],[Column2]],$AP$45:$AP$59))</f>
        <v xml:space="preserve"> </v>
      </c>
      <c r="AP54" s="29">
        <f ca="1">IF(Table293375489831888945361417284[[#This Row],[Column3]]=" ", 0,RAND())</f>
        <v>0</v>
      </c>
      <c r="AQ54" s="29" t="str">
        <f ca="1">Q80</f>
        <v xml:space="preserve"> </v>
      </c>
      <c r="CB54" s="35">
        <f t="shared" ca="1" si="38"/>
        <v>6</v>
      </c>
      <c r="CC54" s="36">
        <f ca="1">IF(BM23&gt;0,0,RAND())</f>
        <v>0.14789656515530392</v>
      </c>
      <c r="CD54" s="29" t="s">
        <v>28</v>
      </c>
    </row>
    <row r="55" spans="1:83" x14ac:dyDescent="0.3">
      <c r="A55" s="137"/>
      <c r="B55" s="33" t="s">
        <v>29</v>
      </c>
      <c r="C55" s="59"/>
      <c r="D55" s="33"/>
      <c r="E55" s="33"/>
      <c r="F55" s="33"/>
      <c r="G55" s="33"/>
      <c r="H55" s="33"/>
      <c r="I55" s="33"/>
      <c r="J55" s="33"/>
      <c r="K55" s="33"/>
      <c r="L55" s="33"/>
      <c r="M55" s="33"/>
      <c r="N55" s="33"/>
      <c r="O55" s="33" t="str">
        <f t="shared" ca="1" si="39"/>
        <v xml:space="preserve"> </v>
      </c>
      <c r="P55" s="120">
        <f ca="1">SUM(BU7,P42)</f>
        <v>1</v>
      </c>
      <c r="AJ55" s="31" t="s">
        <v>1167</v>
      </c>
      <c r="AO55" s="29" t="str">
        <f ca="1">IF(Table293375489831888945361417284[[#This Row],[Column2]]=0," ",_xlfn.RANK.EQ(Table293375489831888945361417284[[#This Row],[Column2]],$AP$45:$AP$59))</f>
        <v xml:space="preserve"> </v>
      </c>
      <c r="AP55" s="29">
        <f ca="1">IF(Table293375489831888945361417284[[#This Row],[Column3]]=" ", 0,RAND())</f>
        <v>0</v>
      </c>
      <c r="AQ55" s="29" t="str">
        <f ca="1">R76</f>
        <v xml:space="preserve"> </v>
      </c>
    </row>
    <row r="56" spans="1:83" x14ac:dyDescent="0.3">
      <c r="A56" s="137"/>
      <c r="B56" s="33" t="s">
        <v>13</v>
      </c>
      <c r="C56" s="33"/>
      <c r="D56" s="33"/>
      <c r="E56" s="33"/>
      <c r="F56" s="33"/>
      <c r="G56" s="33"/>
      <c r="H56" s="33"/>
      <c r="I56" s="33"/>
      <c r="J56" s="33"/>
      <c r="K56" s="33"/>
      <c r="L56" s="33"/>
      <c r="M56" s="33"/>
      <c r="N56" s="33"/>
      <c r="O56" s="33" t="str">
        <f t="shared" ca="1" si="39"/>
        <v xml:space="preserve"> </v>
      </c>
      <c r="P56" s="120">
        <f ca="1">SUM(BU8,P41)</f>
        <v>0</v>
      </c>
      <c r="AJ56" s="58" t="str">
        <f ca="1">IF(Table20133645079284990631537957[[#This Row],[Column2]]=0," ",_xlfn.RANK.EQ(AK56,$AK$56:$AK$65))</f>
        <v xml:space="preserve"> </v>
      </c>
      <c r="AK56" s="29">
        <f ca="1">IF(AL56=" ", 0,RAND())</f>
        <v>0</v>
      </c>
      <c r="AL56" s="29" t="str">
        <f t="shared" ref="AL56:AL65" ca="1" si="40">R315</f>
        <v xml:space="preserve"> </v>
      </c>
      <c r="AO56" s="29" t="str">
        <f ca="1">IF(Table293375489831888945361417284[[#This Row],[Column2]]=0," ",_xlfn.RANK.EQ(Table293375489831888945361417284[[#This Row],[Column2]],$AP$45:$AP$59))</f>
        <v xml:space="preserve"> </v>
      </c>
      <c r="AP56" s="29">
        <f ca="1">IF(Table293375489831888945361417284[[#This Row],[Column3]]=" ", 0,RAND())</f>
        <v>0</v>
      </c>
      <c r="AQ56" s="29" t="str">
        <f ca="1">R77</f>
        <v xml:space="preserve"> </v>
      </c>
      <c r="CB56" s="31" t="s">
        <v>732</v>
      </c>
      <c r="CE56" s="31"/>
    </row>
    <row r="57" spans="1:83" x14ac:dyDescent="0.3">
      <c r="A57" s="137"/>
      <c r="B57" s="33" t="s">
        <v>14</v>
      </c>
      <c r="C57" s="33"/>
      <c r="D57" s="33"/>
      <c r="E57" s="33"/>
      <c r="F57" s="33"/>
      <c r="G57" s="33"/>
      <c r="H57" s="33"/>
      <c r="I57" s="33"/>
      <c r="J57" s="33"/>
      <c r="K57" s="33"/>
      <c r="L57" s="33"/>
      <c r="M57" s="33"/>
      <c r="N57" s="33"/>
      <c r="O57" s="33" t="str">
        <f t="shared" ca="1" si="39"/>
        <v xml:space="preserve"> </v>
      </c>
      <c r="P57" s="120">
        <f ca="1">SUM(BU9,P38)</f>
        <v>2</v>
      </c>
      <c r="AJ57" s="58" t="str">
        <f ca="1">IF(Table20133645079284990631537957[[#This Row],[Column2]]=0," ",_xlfn.RANK.EQ(AK57,$AK$56:$AK$65))</f>
        <v xml:space="preserve"> </v>
      </c>
      <c r="AK57" s="29">
        <f t="shared" ref="AK57:AK65" ca="1" si="41">IF(AL57=" ", 0,RAND())</f>
        <v>0</v>
      </c>
      <c r="AL57" s="29" t="str">
        <f t="shared" ca="1" si="40"/>
        <v xml:space="preserve"> </v>
      </c>
      <c r="AO57" s="29" t="str">
        <f ca="1">IF(Table293375489831888945361417284[[#This Row],[Column2]]=0," ",_xlfn.RANK.EQ(Table293375489831888945361417284[[#This Row],[Column2]],$AP$45:$AP$59))</f>
        <v xml:space="preserve"> </v>
      </c>
      <c r="AP57" s="29">
        <f ca="1">IF(Table293375489831888945361417284[[#This Row],[Column3]]=" ", 0,RAND())</f>
        <v>0</v>
      </c>
      <c r="AQ57" s="29" t="str">
        <f ca="1">R78</f>
        <v xml:space="preserve"> </v>
      </c>
      <c r="CB57" s="35">
        <f t="shared" ref="CB57:CB62" ca="1" si="42">_xlfn.RANK.EQ(CC57,$CC$57:$CC$62)</f>
        <v>3</v>
      </c>
      <c r="CC57" s="36">
        <f ca="1">IF(BM6&gt;0,0,RAND())</f>
        <v>0.35417531603480124</v>
      </c>
      <c r="CD57" s="29" t="s">
        <v>12</v>
      </c>
    </row>
    <row r="58" spans="1:83" x14ac:dyDescent="0.3">
      <c r="A58" s="137"/>
      <c r="B58" s="33" t="s">
        <v>15</v>
      </c>
      <c r="C58" s="33"/>
      <c r="D58" s="33"/>
      <c r="E58" s="33"/>
      <c r="F58" s="33"/>
      <c r="G58" s="33"/>
      <c r="H58" s="33"/>
      <c r="I58" s="33"/>
      <c r="J58" s="33"/>
      <c r="K58" s="33"/>
      <c r="L58" s="33"/>
      <c r="M58" s="33"/>
      <c r="N58" s="33"/>
      <c r="O58" s="33" t="str">
        <f t="shared" ca="1" si="39"/>
        <v xml:space="preserve"> </v>
      </c>
      <c r="P58" s="120">
        <f ca="1">SUM(BU10,P43)</f>
        <v>0</v>
      </c>
      <c r="AJ58" s="58" t="str">
        <f ca="1">IF(Table20133645079284990631537957[[#This Row],[Column2]]=0," ",_xlfn.RANK.EQ(AK58,$AK$56:$AK$65))</f>
        <v xml:space="preserve"> </v>
      </c>
      <c r="AK58" s="29">
        <f t="shared" ca="1" si="41"/>
        <v>0</v>
      </c>
      <c r="AL58" s="29" t="str">
        <f t="shared" ca="1" si="40"/>
        <v xml:space="preserve"> </v>
      </c>
      <c r="AO58" s="29" t="str">
        <f ca="1">IF(Table293375489831888945361417284[[#This Row],[Column2]]=0," ",_xlfn.RANK.EQ(Table293375489831888945361417284[[#This Row],[Column2]],$AP$45:$AP$59))</f>
        <v xml:space="preserve"> </v>
      </c>
      <c r="AP58" s="29">
        <f ca="1">IF(Table293375489831888945361417284[[#This Row],[Column3]]=" ", 0,RAND())</f>
        <v>0</v>
      </c>
      <c r="AQ58" s="29" t="str">
        <f ca="1">R79</f>
        <v xml:space="preserve"> </v>
      </c>
      <c r="CB58" s="35">
        <f t="shared" ca="1" si="42"/>
        <v>4</v>
      </c>
      <c r="CC58" s="36">
        <f ca="1">IF(BM9&gt;0,0,RAND())</f>
        <v>0.2040318151691326</v>
      </c>
      <c r="CD58" s="29" t="s">
        <v>14</v>
      </c>
    </row>
    <row r="59" spans="1:83" x14ac:dyDescent="0.3">
      <c r="A59" s="137"/>
      <c r="B59" s="33" t="s">
        <v>16</v>
      </c>
      <c r="C59" s="33"/>
      <c r="D59" s="33"/>
      <c r="E59" s="33"/>
      <c r="F59" s="33"/>
      <c r="G59" s="33"/>
      <c r="H59" s="33"/>
      <c r="I59" s="33"/>
      <c r="J59" s="33"/>
      <c r="K59" s="33"/>
      <c r="L59" s="33"/>
      <c r="M59" s="33"/>
      <c r="N59" s="33"/>
      <c r="O59" s="33" t="str">
        <f t="shared" ca="1" si="39"/>
        <v xml:space="preserve"> </v>
      </c>
      <c r="P59" s="120">
        <f ca="1">SUM(P41,BU11)</f>
        <v>0</v>
      </c>
      <c r="AJ59" s="58" t="str">
        <f ca="1">IF(Table20133645079284990631537957[[#This Row],[Column2]]=0," ",_xlfn.RANK.EQ(AK59,$AK$56:$AK$65))</f>
        <v xml:space="preserve"> </v>
      </c>
      <c r="AK59" s="29">
        <f t="shared" ca="1" si="41"/>
        <v>0</v>
      </c>
      <c r="AL59" s="29" t="str">
        <f t="shared" ca="1" si="40"/>
        <v xml:space="preserve"> </v>
      </c>
      <c r="AO59" s="29" t="str">
        <f ca="1">IF(Table293375489831888945361417284[[#This Row],[Column2]]=0," ",_xlfn.RANK.EQ(Table293375489831888945361417284[[#This Row],[Column2]],$AP$45:$AP$59))</f>
        <v xml:space="preserve"> </v>
      </c>
      <c r="AP59" s="29">
        <f ca="1">IF(Table293375489831888945361417284[[#This Row],[Column3]]=" ", 0,RAND())</f>
        <v>0</v>
      </c>
      <c r="AQ59" s="29" t="str">
        <f ca="1">R80</f>
        <v xml:space="preserve"> </v>
      </c>
      <c r="CB59" s="35">
        <f t="shared" ca="1" si="42"/>
        <v>2</v>
      </c>
      <c r="CC59" s="36">
        <f ca="1">IF(BM11&gt;0,0,RAND())</f>
        <v>0.71205825090293207</v>
      </c>
      <c r="CD59" s="29" t="s">
        <v>16</v>
      </c>
    </row>
    <row r="60" spans="1:83" x14ac:dyDescent="0.3">
      <c r="A60" s="137"/>
      <c r="B60" s="33" t="s">
        <v>17</v>
      </c>
      <c r="C60" s="33"/>
      <c r="D60" s="33"/>
      <c r="E60" s="33"/>
      <c r="F60" s="33"/>
      <c r="G60" s="33"/>
      <c r="H60" s="33"/>
      <c r="I60" s="33"/>
      <c r="J60" s="33"/>
      <c r="K60" s="33"/>
      <c r="L60" s="33"/>
      <c r="M60" s="33"/>
      <c r="N60" s="33"/>
      <c r="O60" s="33" t="str">
        <f t="shared" ca="1" si="39"/>
        <v>x</v>
      </c>
      <c r="P60" s="120">
        <f ca="1">SUM(BU12,P42)</f>
        <v>4</v>
      </c>
      <c r="AJ60" s="58" t="str">
        <f ca="1">IF(Table20133645079284990631537957[[#This Row],[Column2]]=0," ",_xlfn.RANK.EQ(AK60,$AK$56:$AK$65))</f>
        <v xml:space="preserve"> </v>
      </c>
      <c r="AK60" s="29">
        <f t="shared" ca="1" si="41"/>
        <v>0</v>
      </c>
      <c r="AL60" s="29" t="str">
        <f t="shared" ca="1" si="40"/>
        <v xml:space="preserve"> </v>
      </c>
      <c r="CB60" s="35">
        <f t="shared" ca="1" si="42"/>
        <v>5</v>
      </c>
      <c r="CC60" s="36">
        <f ca="1">IF(BM12&gt;0,0,RAND())</f>
        <v>0</v>
      </c>
      <c r="CD60" s="29" t="s">
        <v>17</v>
      </c>
    </row>
    <row r="61" spans="1:83" x14ac:dyDescent="0.3">
      <c r="A61" s="137"/>
      <c r="B61" s="33" t="s">
        <v>18</v>
      </c>
      <c r="C61" s="33"/>
      <c r="D61" s="33"/>
      <c r="E61" s="33"/>
      <c r="F61" s="33"/>
      <c r="G61" s="33"/>
      <c r="H61" s="33"/>
      <c r="I61" s="33"/>
      <c r="J61" s="33"/>
      <c r="K61" s="33"/>
      <c r="L61" s="33"/>
      <c r="M61" s="33"/>
      <c r="N61" s="33"/>
      <c r="O61" s="33" t="str">
        <f t="shared" ca="1" si="39"/>
        <v xml:space="preserve"> </v>
      </c>
      <c r="P61" s="120">
        <f ca="1">SUM(BU13,P43)</f>
        <v>0</v>
      </c>
      <c r="AJ61" s="58" t="str">
        <f ca="1">IF(Table20133645079284990631537957[[#This Row],[Column2]]=0," ",_xlfn.RANK.EQ(AK61,$AK$56:$AK$65))</f>
        <v xml:space="preserve"> </v>
      </c>
      <c r="AK61" s="29">
        <f t="shared" ca="1" si="41"/>
        <v>0</v>
      </c>
      <c r="AL61" s="29" t="str">
        <f t="shared" ca="1" si="40"/>
        <v xml:space="preserve"> </v>
      </c>
      <c r="CB61" s="35">
        <f t="shared" ca="1" si="42"/>
        <v>5</v>
      </c>
      <c r="CC61" s="36">
        <f ca="1">IF(BM20&gt;0,0,RAND())</f>
        <v>0</v>
      </c>
      <c r="CD61" s="29" t="s">
        <v>25</v>
      </c>
    </row>
    <row r="62" spans="1:83" x14ac:dyDescent="0.3">
      <c r="A62" s="137"/>
      <c r="B62" s="33" t="s">
        <v>19</v>
      </c>
      <c r="C62" s="33"/>
      <c r="D62" s="33"/>
      <c r="E62" s="33"/>
      <c r="F62" s="33"/>
      <c r="G62" s="33"/>
      <c r="H62" s="33"/>
      <c r="I62" s="33"/>
      <c r="J62" s="33"/>
      <c r="K62" s="33"/>
      <c r="L62" s="33"/>
      <c r="M62" s="33"/>
      <c r="N62" s="33"/>
      <c r="O62" s="33" t="str">
        <f t="shared" ca="1" si="39"/>
        <v xml:space="preserve"> </v>
      </c>
      <c r="P62" s="120">
        <f ca="1">SUM(BU14,P41)</f>
        <v>0</v>
      </c>
      <c r="AJ62" s="58" t="str">
        <f ca="1">IF(Table20133645079284990631537957[[#This Row],[Column2]]=0," ",_xlfn.RANK.EQ(AK62,$AK$56:$AK$65))</f>
        <v xml:space="preserve"> </v>
      </c>
      <c r="AK62" s="29">
        <f t="shared" ca="1" si="41"/>
        <v>0</v>
      </c>
      <c r="AL62" s="29" t="str">
        <f t="shared" ca="1" si="40"/>
        <v xml:space="preserve"> </v>
      </c>
      <c r="CB62" s="35">
        <f t="shared" ca="1" si="42"/>
        <v>1</v>
      </c>
      <c r="CC62" s="36">
        <f ca="1">IF(BM22&gt;0,0,RAND())</f>
        <v>0.90295396994848642</v>
      </c>
      <c r="CD62" s="29" t="s">
        <v>27</v>
      </c>
      <c r="CE62" s="31"/>
    </row>
    <row r="63" spans="1:83" x14ac:dyDescent="0.3">
      <c r="A63" s="137"/>
      <c r="B63" s="33" t="s">
        <v>20</v>
      </c>
      <c r="C63" s="33"/>
      <c r="D63" s="33"/>
      <c r="E63" s="33"/>
      <c r="F63" s="33"/>
      <c r="G63" s="33"/>
      <c r="H63" s="33"/>
      <c r="I63" s="33"/>
      <c r="J63" s="33"/>
      <c r="K63" s="33"/>
      <c r="L63" s="33"/>
      <c r="M63" s="33"/>
      <c r="N63" s="33"/>
      <c r="O63" s="33" t="str">
        <f t="shared" ca="1" si="39"/>
        <v xml:space="preserve"> </v>
      </c>
      <c r="P63" s="120">
        <f ca="1">SUM(BU15,P42)</f>
        <v>1</v>
      </c>
      <c r="AJ63" s="58" t="str">
        <f ca="1">IF(Table20133645079284990631537957[[#This Row],[Column2]]=0," ",_xlfn.RANK.EQ(AK63,$AK$56:$AK$65))</f>
        <v xml:space="preserve"> </v>
      </c>
      <c r="AK63" s="29">
        <f t="shared" ca="1" si="41"/>
        <v>0</v>
      </c>
      <c r="AL63" s="29" t="str">
        <f t="shared" ca="1" si="40"/>
        <v xml:space="preserve"> </v>
      </c>
    </row>
    <row r="64" spans="1:83" x14ac:dyDescent="0.3">
      <c r="A64" s="137"/>
      <c r="B64" s="33" t="s">
        <v>21</v>
      </c>
      <c r="C64" s="33"/>
      <c r="D64" s="33"/>
      <c r="E64" s="33"/>
      <c r="F64" s="33"/>
      <c r="G64" s="33"/>
      <c r="H64" s="33"/>
      <c r="I64" s="33"/>
      <c r="J64" s="33"/>
      <c r="K64" s="33"/>
      <c r="L64" s="33"/>
      <c r="M64" s="33"/>
      <c r="N64" s="33"/>
      <c r="O64" s="33" t="str">
        <f t="shared" ca="1" si="39"/>
        <v xml:space="preserve"> </v>
      </c>
      <c r="P64" s="120">
        <f ca="1">SUM(BU16,P41)</f>
        <v>0</v>
      </c>
      <c r="AJ64" s="58" t="str">
        <f ca="1">IF(Table20133645079284990631537957[[#This Row],[Column2]]=0," ",_xlfn.RANK.EQ(AK64,$AK$56:$AK$65))</f>
        <v xml:space="preserve"> </v>
      </c>
      <c r="AK64" s="29">
        <f t="shared" ca="1" si="41"/>
        <v>0</v>
      </c>
      <c r="AL64" s="29" t="str">
        <f t="shared" ca="1" si="40"/>
        <v xml:space="preserve"> </v>
      </c>
      <c r="CB64" s="31" t="s">
        <v>733</v>
      </c>
    </row>
    <row r="65" spans="1:82" x14ac:dyDescent="0.3">
      <c r="A65" s="137"/>
      <c r="B65" s="33" t="s">
        <v>22</v>
      </c>
      <c r="C65" s="33"/>
      <c r="D65" s="33"/>
      <c r="E65" s="33"/>
      <c r="F65" s="33"/>
      <c r="G65" s="33"/>
      <c r="H65" s="33"/>
      <c r="I65" s="33"/>
      <c r="J65" s="33"/>
      <c r="K65" s="33"/>
      <c r="L65" s="33"/>
      <c r="M65" s="33"/>
      <c r="N65" s="33"/>
      <c r="O65" s="33" t="str">
        <f t="shared" ca="1" si="39"/>
        <v xml:space="preserve"> </v>
      </c>
      <c r="P65" s="120">
        <f ca="1">SUM(BU17,P42)</f>
        <v>1</v>
      </c>
      <c r="AJ65" s="58" t="str">
        <f ca="1">IF(Table20133645079284990631537957[[#This Row],[Column2]]=0," ",_xlfn.RANK.EQ(AK65,$AK$56:$AK$65))</f>
        <v xml:space="preserve"> </v>
      </c>
      <c r="AK65" s="29">
        <f t="shared" ca="1" si="41"/>
        <v>0</v>
      </c>
      <c r="AL65" s="29" t="str">
        <f t="shared" ca="1" si="40"/>
        <v xml:space="preserve"> </v>
      </c>
      <c r="CB65" s="35">
        <f t="shared" ref="CB65:CB70" ca="1" si="43">_xlfn.RANK.EQ(CC65,$CC$65:$CC$70)</f>
        <v>3</v>
      </c>
      <c r="CC65" s="36">
        <f ca="1">IF(BM9&gt;0,0,RAND())</f>
        <v>0.28591865894488233</v>
      </c>
      <c r="CD65" s="29" t="s">
        <v>14</v>
      </c>
    </row>
    <row r="66" spans="1:82" x14ac:dyDescent="0.3">
      <c r="A66" s="137"/>
      <c r="B66" s="33" t="s">
        <v>23</v>
      </c>
      <c r="C66" s="33"/>
      <c r="D66" s="33"/>
      <c r="E66" s="33"/>
      <c r="F66" s="33"/>
      <c r="G66" s="33"/>
      <c r="H66" s="33"/>
      <c r="I66" s="33"/>
      <c r="J66" s="33"/>
      <c r="K66" s="33"/>
      <c r="L66" s="33"/>
      <c r="M66" s="33"/>
      <c r="N66" s="33"/>
      <c r="O66" s="33" t="str">
        <f t="shared" ca="1" si="39"/>
        <v xml:space="preserve"> </v>
      </c>
      <c r="P66" s="120">
        <f ca="1">SUM(BU18,P43)</f>
        <v>0</v>
      </c>
      <c r="CB66" s="35">
        <f t="shared" ca="1" si="43"/>
        <v>5</v>
      </c>
      <c r="CC66" s="36">
        <f ca="1">IF(BM12&gt;0,0,RAND())</f>
        <v>0</v>
      </c>
      <c r="CD66" s="29" t="s">
        <v>17</v>
      </c>
    </row>
    <row r="67" spans="1:82" x14ac:dyDescent="0.3">
      <c r="A67" s="137"/>
      <c r="B67" s="33" t="s">
        <v>24</v>
      </c>
      <c r="C67" s="33"/>
      <c r="D67" s="33"/>
      <c r="E67" s="33"/>
      <c r="F67" s="33"/>
      <c r="G67" s="33"/>
      <c r="H67" s="33"/>
      <c r="I67" s="33"/>
      <c r="J67" s="33"/>
      <c r="K67" s="33"/>
      <c r="L67" s="33"/>
      <c r="M67" s="33"/>
      <c r="N67" s="33"/>
      <c r="O67" s="33" t="str">
        <f t="shared" ca="1" si="39"/>
        <v xml:space="preserve"> </v>
      </c>
      <c r="P67" s="120">
        <f ca="1">SUM(BU19,P43)</f>
        <v>0</v>
      </c>
      <c r="AJ67" s="31" t="s">
        <v>1168</v>
      </c>
      <c r="CB67" s="35">
        <f t="shared" ca="1" si="43"/>
        <v>4</v>
      </c>
      <c r="CC67" s="36">
        <f ca="1">IF(BM13&gt;0,0,RAND())</f>
        <v>0.17863657785602416</v>
      </c>
      <c r="CD67" s="29" t="s">
        <v>18</v>
      </c>
    </row>
    <row r="68" spans="1:82" x14ac:dyDescent="0.3">
      <c r="A68" s="137"/>
      <c r="B68" s="33" t="s">
        <v>25</v>
      </c>
      <c r="C68" s="33"/>
      <c r="D68" s="33"/>
      <c r="E68" s="33"/>
      <c r="F68" s="33"/>
      <c r="G68" s="33"/>
      <c r="H68" s="33"/>
      <c r="I68" s="33"/>
      <c r="J68" s="33"/>
      <c r="K68" s="33"/>
      <c r="L68" s="33"/>
      <c r="M68" s="33"/>
      <c r="N68" s="33"/>
      <c r="O68" s="33" t="str">
        <f t="shared" ca="1" si="39"/>
        <v>x</v>
      </c>
      <c r="P68" s="120">
        <f ca="1">SUM(BU20,P41)</f>
        <v>3</v>
      </c>
      <c r="AJ68" s="58" t="str">
        <f ca="1">IF(Table20233745179385090732038058[[#This Row],[Column2]]=0," ",_xlfn.RANK.EQ(AK68,$AK$68:$AK$77))</f>
        <v xml:space="preserve"> </v>
      </c>
      <c r="AK68" s="60">
        <f t="shared" ref="AK68:AK77" ca="1" si="44">IF(AL68=" ", 0,RAND())</f>
        <v>0</v>
      </c>
      <c r="AL68" s="29" t="str">
        <f t="shared" ref="AL68:AL77" ca="1" si="45">S315</f>
        <v xml:space="preserve"> </v>
      </c>
      <c r="CB68" s="35">
        <f t="shared" ca="1" si="43"/>
        <v>1</v>
      </c>
      <c r="CC68" s="36">
        <f ca="1">IF(BM15&gt;0,0,RAND())</f>
        <v>0.97990267118316343</v>
      </c>
      <c r="CD68" s="29" t="s">
        <v>20</v>
      </c>
    </row>
    <row r="69" spans="1:82" x14ac:dyDescent="0.3">
      <c r="A69" s="137"/>
      <c r="B69" s="33" t="s">
        <v>26</v>
      </c>
      <c r="C69" s="33"/>
      <c r="D69" s="33"/>
      <c r="E69" s="33"/>
      <c r="F69" s="33"/>
      <c r="G69" s="33"/>
      <c r="H69" s="33"/>
      <c r="I69" s="33"/>
      <c r="J69" s="33"/>
      <c r="K69" s="33"/>
      <c r="L69" s="33"/>
      <c r="M69" s="33"/>
      <c r="N69" s="33"/>
      <c r="O69" s="33" t="str">
        <f t="shared" ca="1" si="39"/>
        <v xml:space="preserve"> </v>
      </c>
      <c r="P69" s="120">
        <f ca="1">SUM(BU21,P39)</f>
        <v>3</v>
      </c>
      <c r="AJ69" s="58" t="str">
        <f ca="1">IF(Table20233745179385090732038058[[#This Row],[Column2]]=0," ",_xlfn.RANK.EQ(AK69,$AK$68:$AK$77))</f>
        <v xml:space="preserve"> </v>
      </c>
      <c r="AK69" s="60">
        <f t="shared" ca="1" si="44"/>
        <v>0</v>
      </c>
      <c r="AL69" s="29" t="str">
        <f t="shared" ca="1" si="45"/>
        <v xml:space="preserve"> </v>
      </c>
      <c r="CB69" s="35">
        <f t="shared" ca="1" si="43"/>
        <v>2</v>
      </c>
      <c r="CC69" s="36">
        <f ca="1">IF(BM19&gt;0,0,RAND())</f>
        <v>0.44616003236674073</v>
      </c>
      <c r="CD69" s="29" t="s">
        <v>24</v>
      </c>
    </row>
    <row r="70" spans="1:82" x14ac:dyDescent="0.3">
      <c r="A70" s="137"/>
      <c r="B70" s="33" t="s">
        <v>27</v>
      </c>
      <c r="C70" s="33"/>
      <c r="D70" s="33"/>
      <c r="E70" s="33"/>
      <c r="F70" s="33"/>
      <c r="G70" s="33"/>
      <c r="H70" s="33"/>
      <c r="I70" s="33"/>
      <c r="J70" s="33"/>
      <c r="K70" s="33"/>
      <c r="L70" s="33"/>
      <c r="M70" s="33"/>
      <c r="N70" s="33"/>
      <c r="O70" s="33" t="str">
        <f t="shared" ca="1" si="39"/>
        <v xml:space="preserve"> </v>
      </c>
      <c r="P70" s="120">
        <f ca="1">SUM(BU22,P39)</f>
        <v>3</v>
      </c>
      <c r="AJ70" s="58" t="str">
        <f ca="1">IF(Table20233745179385090732038058[[#This Row],[Column2]]=0," ",_xlfn.RANK.EQ(AK70,$AK$68:$AK$77))</f>
        <v xml:space="preserve"> </v>
      </c>
      <c r="AK70" s="60">
        <f t="shared" ca="1" si="44"/>
        <v>0</v>
      </c>
      <c r="AL70" s="29" t="str">
        <f t="shared" ca="1" si="45"/>
        <v xml:space="preserve"> </v>
      </c>
      <c r="CB70" s="35">
        <f t="shared" ca="1" si="43"/>
        <v>5</v>
      </c>
      <c r="CC70" s="36">
        <f ca="1">IF(BM20&gt;0,0,RAND())</f>
        <v>0</v>
      </c>
      <c r="CD70" s="29" t="s">
        <v>25</v>
      </c>
    </row>
    <row r="71" spans="1:82" x14ac:dyDescent="0.3">
      <c r="A71" s="137"/>
      <c r="B71" s="33" t="s">
        <v>28</v>
      </c>
      <c r="C71" s="33"/>
      <c r="D71" s="33"/>
      <c r="E71" s="33"/>
      <c r="F71" s="33"/>
      <c r="G71" s="33"/>
      <c r="H71" s="33"/>
      <c r="I71" s="33"/>
      <c r="J71" s="33"/>
      <c r="K71" s="33"/>
      <c r="L71" s="33"/>
      <c r="M71" s="33"/>
      <c r="N71" s="33"/>
      <c r="O71" s="33" t="str">
        <f t="shared" ca="1" si="39"/>
        <v xml:space="preserve"> </v>
      </c>
      <c r="P71" s="120">
        <f ca="1">SUM(BU23,P42)</f>
        <v>1</v>
      </c>
      <c r="AJ71" s="58" t="str">
        <f ca="1">IF(Table20233745179385090732038058[[#This Row],[Column2]]=0," ",_xlfn.RANK.EQ(AK71,$AK$68:$AK$77))</f>
        <v xml:space="preserve"> </v>
      </c>
      <c r="AK71" s="60">
        <f t="shared" ca="1" si="44"/>
        <v>0</v>
      </c>
      <c r="AL71" s="29" t="str">
        <f t="shared" ca="1" si="45"/>
        <v xml:space="preserve"> </v>
      </c>
    </row>
    <row r="72" spans="1:82" ht="19.5" thickBot="1" x14ac:dyDescent="0.35">
      <c r="A72" s="137"/>
      <c r="B72" s="38" t="str">
        <f ca="1">IF(O11="non-classed","Profession"," ")</f>
        <v xml:space="preserve"> </v>
      </c>
      <c r="C72" s="38"/>
      <c r="D72" s="38"/>
      <c r="E72" s="38"/>
      <c r="F72" s="38"/>
      <c r="G72" s="38"/>
      <c r="H72" s="38"/>
      <c r="I72" s="38"/>
      <c r="J72" s="38"/>
      <c r="K72" s="38"/>
      <c r="L72" s="38"/>
      <c r="M72" s="38"/>
      <c r="N72" s="38"/>
      <c r="O72" s="38" t="str">
        <f ca="1">IF(O11="non-classed","x"," ")</f>
        <v xml:space="preserve"> </v>
      </c>
      <c r="P72" s="121" t="str">
        <f ca="1">IF(O11="non-classed",P8*2," ")</f>
        <v xml:space="preserve"> </v>
      </c>
      <c r="AJ72" s="58" t="str">
        <f ca="1">IF(Table20233745179385090732038058[[#This Row],[Column2]]=0," ",_xlfn.RANK.EQ(AK72,$AK$68:$AK$77))</f>
        <v xml:space="preserve"> </v>
      </c>
      <c r="AK72" s="60">
        <f t="shared" ca="1" si="44"/>
        <v>0</v>
      </c>
      <c r="AL72" s="29" t="str">
        <f t="shared" ca="1" si="45"/>
        <v xml:space="preserve"> </v>
      </c>
      <c r="CB72" s="31" t="s">
        <v>734</v>
      </c>
    </row>
    <row r="73" spans="1:82" ht="19.5" thickBot="1" x14ac:dyDescent="0.35">
      <c r="AJ73" s="58" t="str">
        <f ca="1">IF(Table20233745179385090732038058[[#This Row],[Column2]]=0," ",_xlfn.RANK.EQ(AK73,$AK$68:$AK$77))</f>
        <v xml:space="preserve"> </v>
      </c>
      <c r="AK73" s="60">
        <f t="shared" ca="1" si="44"/>
        <v>0</v>
      </c>
      <c r="AL73" s="29" t="str">
        <f t="shared" ca="1" si="45"/>
        <v xml:space="preserve"> </v>
      </c>
      <c r="CB73" s="35">
        <f t="shared" ref="CB73:CB81" ca="1" si="46">_xlfn.RANK.EQ(CC73,$CC$73:$CC$81)</f>
        <v>8</v>
      </c>
      <c r="CC73" s="36">
        <f ca="1">IF(BM7&gt;0,0,RAND())</f>
        <v>0.11456410599067623</v>
      </c>
      <c r="CD73" s="29" t="s">
        <v>29</v>
      </c>
    </row>
    <row r="74" spans="1:82" ht="30.75" thickBot="1" x14ac:dyDescent="0.45">
      <c r="B74" s="106" t="s">
        <v>2716</v>
      </c>
      <c r="AJ74" s="58" t="str">
        <f ca="1">IF(Table20233745179385090732038058[[#This Row],[Column2]]=0," ",_xlfn.RANK.EQ(AK74,$AK$68:$AK$77))</f>
        <v xml:space="preserve"> </v>
      </c>
      <c r="AK74" s="60">
        <f t="shared" ca="1" si="44"/>
        <v>0</v>
      </c>
      <c r="AL74" s="29" t="str">
        <f t="shared" ca="1" si="45"/>
        <v xml:space="preserve"> </v>
      </c>
      <c r="CB74" s="35">
        <f t="shared" ca="1" si="46"/>
        <v>2</v>
      </c>
      <c r="CC74" s="36">
        <f ca="1">IF(BM9&gt;0,0,RAND())</f>
        <v>0.86777396415332197</v>
      </c>
      <c r="CD74" s="29" t="s">
        <v>14</v>
      </c>
    </row>
    <row r="75" spans="1:82" ht="19.5" thickBot="1" x14ac:dyDescent="0.35">
      <c r="B75" s="55" t="s">
        <v>52</v>
      </c>
      <c r="O75" s="53" t="s">
        <v>121</v>
      </c>
      <c r="P75" s="26" t="s">
        <v>46</v>
      </c>
      <c r="Q75" s="61"/>
      <c r="R75" s="28"/>
      <c r="AJ75" s="58" t="str">
        <f ca="1">IF(Table20233745179385090732038058[[#This Row],[Column2]]=0," ",_xlfn.RANK.EQ(AK75,$AK$68:$AK$77))</f>
        <v xml:space="preserve"> </v>
      </c>
      <c r="AK75" s="60">
        <f t="shared" ca="1" si="44"/>
        <v>0</v>
      </c>
      <c r="AL75" s="29" t="str">
        <f t="shared" ca="1" si="45"/>
        <v xml:space="preserve"> </v>
      </c>
      <c r="CB75" s="35">
        <f t="shared" ca="1" si="46"/>
        <v>9</v>
      </c>
      <c r="CC75" s="36">
        <f ca="1">IF(BM12&gt;0,0,RAND())</f>
        <v>0</v>
      </c>
      <c r="CD75" s="29" t="s">
        <v>17</v>
      </c>
    </row>
    <row r="76" spans="1:82" ht="19.5" thickTop="1" x14ac:dyDescent="0.3">
      <c r="B76" s="56" t="str">
        <f ca="1">IF(OR(O11="warlock",Q11="warlock",P2="mountain",O11="barbarian",O11="bard",Q11="barbarian",O11="cleric",Q11="bard",Q11="cleric",O11="druid",Q11="druid",O11="fighter",Q11="fighter",O11="paladin",Q11="paladin",O11="ranger",Q11="ranger",O11="rogue",Q11="rogue"),"Light Armor"," ")</f>
        <v xml:space="preserve"> </v>
      </c>
      <c r="O76" s="33" t="str">
        <f ca="1">IF(Q2="dwarf",VLOOKUP(RANDBETWEEN(1,3),Table3[],2),IF(P2="rock","Artisan's Tools"," "))</f>
        <v xml:space="preserve"> </v>
      </c>
      <c r="P76" s="62" t="str">
        <f ca="1">IF(OR(O11="warlock",Q11="warlock",O11="barbarian",O11="bard",Q11="barbarian",Q11="bard",O11="cleric",O11="fighter",Q11="fighter",O11="monk",Q11="monk",O11="paladin",Q11="paladin",O11="ranger",Q11="ranger",O11="rogue"),"Simple Weapons",IF(Q2="dwarf","Handaxe"," "))</f>
        <v>Simple Weapons</v>
      </c>
      <c r="Q76" s="60" t="str">
        <f ca="1">IF(AND(P76&lt;&gt;"simple weapons",OR($O$11="druid",O11="non-classed")),"Club",IF(P80="shortsword"," ",IF(AND(P77&lt;&gt;"martial weapons",OR(O11="monk",O11="bard",Q11="monk",O11="rogue")),"Shortsword"," ")))</f>
        <v>Shortsword</v>
      </c>
      <c r="R76" s="63" t="str">
        <f ca="1">IF(AND(P76&lt;&gt;"simple weapons",OR($O$11="druid",O11="sorcerer",O11="wizard",O11="non-classed")),"Quarterstaff"," ")</f>
        <v xml:space="preserve"> </v>
      </c>
      <c r="AJ76" s="58" t="str">
        <f ca="1">IF(Table20233745179385090732038058[[#This Row],[Column2]]=0," ",_xlfn.RANK.EQ(AK76,$AK$68:$AK$77))</f>
        <v xml:space="preserve"> </v>
      </c>
      <c r="AK76" s="60">
        <f t="shared" ca="1" si="44"/>
        <v>0</v>
      </c>
      <c r="AL76" s="29" t="str">
        <f t="shared" ca="1" si="45"/>
        <v xml:space="preserve"> </v>
      </c>
      <c r="CB76" s="35">
        <f t="shared" ca="1" si="46"/>
        <v>4</v>
      </c>
      <c r="CC76" s="36">
        <f ca="1">IF(BM13&gt;0,0,RAND())</f>
        <v>0.52182784636931556</v>
      </c>
      <c r="CD76" s="29" t="s">
        <v>18</v>
      </c>
    </row>
    <row r="77" spans="1:82" x14ac:dyDescent="0.3">
      <c r="B77" s="56" t="str">
        <f ca="1">IF(OR(P2="mountain",O11="barbarian",Q11="barbarian",P15="college of valor",R15="college of valor",O11="cleric",Q11="cleric",O11="druid",Q11="druid",O11="fighter",Q11="fighter",O11="paladin",Q11="paladin",O11="ranger",Q11="ranger"),"Medium Armor"," ")</f>
        <v xml:space="preserve"> </v>
      </c>
      <c r="O77" s="33" t="str">
        <f ca="1">IF(AND(O11="monk",AF23=2),INDEX('Class Tables'!F25:F34,MATCH(1,('Class Tables'!D25:D34),0)),IF(AND(O11="monk",AF23=1),INDEX('Class Tables'!J80:J95,MATCH(1,('Class Tables'!I80:I95),0)),IF(P15="battle master",VLOOKUP(RANDBETWEEN(1,16),Table79[],2),IF(OR($O$11="bard"),INDEX('Class Tables'!$F$25:$F$34,MATCH(1,('Class Tables'!$D$25:$D$34),0))," "))))</f>
        <v>Alchemist's Supplies</v>
      </c>
      <c r="P77" s="64" t="str">
        <f ca="1">IF(OR($O$11="barbarian",Q11="barbarian",P15="college of valor",R15="college of valor",R15="tempest",P15="tempest",P15="war",R15="war",O11="fighter",Q11="fighter",O11="paladin",Q11="paladin",O11="ranger",Q11="ranger"),"Martial Weapons",IF($Q$2="dwarf","Battleaxe",IF(OR($P$2="high",$P$2="wood"),"Longsword",IF($P$2="dark","Rapier"," "))))</f>
        <v xml:space="preserve"> </v>
      </c>
      <c r="Q77" s="65" t="str">
        <f ca="1">IF(AND(OR($O$11="druid",O11="sorcerer",O11="wizard",O11="non-classed"),P76&lt;&gt;"Simple weapons"),"Dagger",IF(AND(O11="bard",P77&lt;&gt;"Martial Weapons"),"Hand Crossbow",IF(AND(O11="rogue",P77&lt;&gt;"martial weapons"),"Hand Crossbow"," ")))</f>
        <v xml:space="preserve"> </v>
      </c>
      <c r="R77" s="66" t="str">
        <f ca="1">IF(AND(P77&lt;&gt;"martial weapons",$O$11="druid"),"Scimitar"," ")</f>
        <v xml:space="preserve"> </v>
      </c>
      <c r="AJ77" s="58" t="str">
        <f ca="1">IF(Table20233745179385090732038058[[#This Row],[Column2]]=0," ",_xlfn.RANK.EQ(AK77,$AK$68:$AK$77))</f>
        <v xml:space="preserve"> </v>
      </c>
      <c r="AK77" s="60">
        <f t="shared" ca="1" si="44"/>
        <v>0</v>
      </c>
      <c r="AL77" s="29" t="str">
        <f t="shared" ca="1" si="45"/>
        <v xml:space="preserve"> </v>
      </c>
      <c r="CB77" s="35">
        <f t="shared" ca="1" si="46"/>
        <v>3</v>
      </c>
      <c r="CC77" s="36">
        <f ca="1">IF(BM14&gt;0,0,RAND())</f>
        <v>0.75124175605472299</v>
      </c>
      <c r="CD77" s="29" t="s">
        <v>19</v>
      </c>
    </row>
    <row r="78" spans="1:82" x14ac:dyDescent="0.3">
      <c r="B78" s="56" t="str">
        <f ca="1">IF(OR(O11="barbarian",Q11="barbarian",R15="college of valor",P15="college of valor",O11="cleric",Q11="cleric",O11="druid",Q11="Druid",O11="fighter",Q11="fighter",O11="paladin",Q11="paladin",O11="ranger",Q11="ranger"),"Shields"," ")</f>
        <v xml:space="preserve"> </v>
      </c>
      <c r="O78" s="33" t="str">
        <f ca="1">IF(OR($O$11="bard"),INDEX('Class Tables'!$F$25:$F$34,MATCH(2,('Class Tables'!$D$25:$D$34),0))," ")</f>
        <v xml:space="preserve"> </v>
      </c>
      <c r="P78" s="62" t="str">
        <f ca="1">IF(AND(P76&lt;&gt;"Simple Weapons",Q2="dwarf"),"Light Hammer",IF(AND(P2="high",P76&lt;&gt;"Simple Weapons"),"Shortbow",IF(AND(P76&lt;&gt;"Simple Weapons",P2="wood"),"Shortbow",IF(AND(P2="dark",P77&lt;&gt;"Martial Weapons"),"Hand Crossbow"," "))))</f>
        <v xml:space="preserve"> </v>
      </c>
      <c r="Q78" s="60" t="str">
        <f ca="1">IF(AND(OR($O$11="druid",O11="sorcerer",O11="wizard"),P76&lt;&gt;"Simple weapons"),"Dart",IF(AND(P77&lt;&gt;"martial weapons",OR(O11="bard",O11="rogue")),"Longsword"," "))</f>
        <v xml:space="preserve"> </v>
      </c>
      <c r="R78" s="63" t="str">
        <f ca="1">IF(AND(P76&lt;&gt;"simple weapons",$O$11="druid"),"Sickle"," ")</f>
        <v xml:space="preserve"> </v>
      </c>
      <c r="CB78" s="35">
        <f t="shared" ca="1" si="46"/>
        <v>7</v>
      </c>
      <c r="CC78" s="36">
        <f ca="1">IF(BM16&gt;0,0,RAND())</f>
        <v>0.14505139077255258</v>
      </c>
      <c r="CD78" s="29" t="s">
        <v>21</v>
      </c>
    </row>
    <row r="79" spans="1:82" x14ac:dyDescent="0.3">
      <c r="B79" s="33" t="str">
        <f ca="1">IF(OR(P15="life",R15="life",P15="nature",R15="nature",P15="tempest",R15="tempest",P15="war",R15="war",O11="fighter",Q11="fighter",O11="paladin"),"Heavy Armor"," ")</f>
        <v xml:space="preserve"> </v>
      </c>
      <c r="O79" s="33" t="str">
        <f ca="1">IF(OR($O$11="bard",$Q$11="bard"),INDEX('Class Tables'!$F$25:$F$34,MATCH(3,('Class Tables'!$D$25:$D$34),0))," ")</f>
        <v xml:space="preserve"> </v>
      </c>
      <c r="P79" s="64" t="str">
        <f ca="1">IF(P77="martial weapons"," ",IF(Q2="dwarf","Warhammer",IF(OR(P2="high",P2="wood"),"Longbow"," ")))</f>
        <v xml:space="preserve"> </v>
      </c>
      <c r="Q79" s="65" t="str">
        <f ca="1">IF(AND($O$11="druid",P76&lt;&gt;"simple weapons"),"Javelin",IF(AND(O11="sorcerer",P76&lt;&gt;"simple weapons"),"Light Crossbow",IF(AND(O11="wizard",P76&lt;&gt;"simple weapons"),"Light Crossbow",IF(AND(OR(O11="bard",O11="rogue"),P77&lt;&gt;"martial weapons"),"Rapier"," "))))</f>
        <v xml:space="preserve"> </v>
      </c>
      <c r="R79" s="66" t="str">
        <f ca="1">IF(AND(P76&lt;&gt;"simple weapons",OR($O$11="druid",O11="sorcerer",O11="wizard")),"Sling"," ")</f>
        <v xml:space="preserve"> </v>
      </c>
      <c r="AJ79" s="31" t="s">
        <v>676</v>
      </c>
      <c r="CB79" s="35">
        <f t="shared" ca="1" si="46"/>
        <v>5</v>
      </c>
      <c r="CC79" s="36">
        <f ca="1">IF(BM17&gt;0,0,RAND())</f>
        <v>0.35970205596430127</v>
      </c>
      <c r="CD79" s="29" t="s">
        <v>22</v>
      </c>
    </row>
    <row r="80" spans="1:82" ht="19.5" thickBot="1" x14ac:dyDescent="0.35">
      <c r="O80" s="33" t="str">
        <f ca="1">IF(OR(O11="druid",S11="hermit"),"Herbalism Kit"," ")</f>
        <v xml:space="preserve"> </v>
      </c>
      <c r="P80" s="51" t="str">
        <f ca="1">IF(AND(P77&lt;&gt;"martial weapons",OR(P2="high",P2="wood",P2="dark")),"Shortsword"," ")</f>
        <v xml:space="preserve"> </v>
      </c>
      <c r="Q80" s="67" t="str">
        <f ca="1">IF(AND(P76&lt;&gt;"simple weapons",$O$11="druid"),"Mace"," ")</f>
        <v xml:space="preserve"> </v>
      </c>
      <c r="R80" s="68" t="str">
        <f ca="1">IF(AND(P76&lt;&gt;"simple weapons",$O$11="druid"),"Spear"," ")</f>
        <v xml:space="preserve"> </v>
      </c>
      <c r="AJ80" s="58" t="str">
        <f ca="1">IF(Table20333845279485190832138159[[#This Row],[Column2]]=0," ",_xlfn.RANK.EQ(AK80,$AK$80:$AK$89))</f>
        <v xml:space="preserve"> </v>
      </c>
      <c r="AK80" s="60">
        <f t="shared" ref="AK80:AK89" ca="1" si="47">IF(AL80=" ", 0,RAND())</f>
        <v>0</v>
      </c>
      <c r="AL80" s="29" t="str">
        <f t="shared" ref="AL80:AL89" ca="1" si="48">T315</f>
        <v xml:space="preserve"> </v>
      </c>
      <c r="CB80" s="35">
        <f t="shared" ca="1" si="46"/>
        <v>6</v>
      </c>
      <c r="CC80" s="36">
        <f ca="1">IF(BM22&gt;0,0,RAND())</f>
        <v>0.31925427981653964</v>
      </c>
      <c r="CD80" s="29" t="s">
        <v>27</v>
      </c>
    </row>
    <row r="81" spans="1:82" x14ac:dyDescent="0.3">
      <c r="O81" s="33" t="str">
        <f ca="1">IF(AND(AF25=2,OR(O11="rogue",Q11="rogue")),"Thieves' Tools - Expert",IF(OR(O11="rogue",Q11="rogue"),"Thieves' Tools"," "))</f>
        <v xml:space="preserve"> </v>
      </c>
      <c r="AJ81" s="58" t="str">
        <f ca="1">IF(Table20333845279485190832138159[[#This Row],[Column2]]=0," ",_xlfn.RANK.EQ(AK81,$AK$80:$AK$89))</f>
        <v xml:space="preserve"> </v>
      </c>
      <c r="AK81" s="60">
        <f t="shared" ca="1" si="47"/>
        <v>0</v>
      </c>
      <c r="AL81" s="29" t="str">
        <f t="shared" ca="1" si="48"/>
        <v xml:space="preserve"> </v>
      </c>
      <c r="CB81" s="35">
        <f t="shared" ca="1" si="46"/>
        <v>1</v>
      </c>
      <c r="CC81" s="36">
        <f ca="1">IF(BM23&gt;0,0,RAND())</f>
        <v>0.86908389885405357</v>
      </c>
      <c r="CD81" s="29" t="s">
        <v>28</v>
      </c>
    </row>
    <row r="82" spans="1:82" x14ac:dyDescent="0.3">
      <c r="O82" s="33" t="str">
        <f ca="1">IF(P15="assassin","Disguise Kit"," ")</f>
        <v xml:space="preserve"> </v>
      </c>
      <c r="AJ82" s="58" t="str">
        <f ca="1">IF(Table20333845279485190832138159[[#This Row],[Column2]]=0," ",_xlfn.RANK.EQ(AK82,$AK$80:$AK$89))</f>
        <v xml:space="preserve"> </v>
      </c>
      <c r="AK82" s="60">
        <f t="shared" ca="1" si="47"/>
        <v>0</v>
      </c>
      <c r="AL82" s="29" t="str">
        <f t="shared" ca="1" si="48"/>
        <v xml:space="preserve"> </v>
      </c>
    </row>
    <row r="83" spans="1:82" x14ac:dyDescent="0.3">
      <c r="O83" s="33" t="str">
        <f ca="1">IF(P15="assassin","Poisoner's Kit"," ")</f>
        <v xml:space="preserve"> </v>
      </c>
      <c r="AJ83" s="58" t="str">
        <f ca="1">IF(Table20333845279485190832138159[[#This Row],[Column2]]=0," ",_xlfn.RANK.EQ(AK83,$AK$80:$AK$89))</f>
        <v xml:space="preserve"> </v>
      </c>
      <c r="AK83" s="60">
        <f t="shared" ca="1" si="47"/>
        <v>0</v>
      </c>
      <c r="AL83" s="29" t="str">
        <f t="shared" ca="1" si="48"/>
        <v xml:space="preserve"> </v>
      </c>
      <c r="CB83" s="31" t="s">
        <v>735</v>
      </c>
    </row>
    <row r="84" spans="1:82" x14ac:dyDescent="0.3">
      <c r="O84" s="33" t="str">
        <f ca="1">IF(S11="soldier",VLOOKUP(RANDBETWEEN(1,4),Table258[],2),IF(OR(S11="sailor",S11="pirate"),"Navigator's Tools",IF(OR(S11="folk hero",S11="Guild Artisan"),VLOOKUP(RANDBETWEEN(1,16),Table79[],2),IF(AND(OR(S11="criminal",S11="urchin"),OR(O81&lt;&gt;"Thieves' Tools",O81&lt;&gt;"Thieves' Tools - Expert")),"Thieves' Tools",IF(AND(OR(S11="charlatan",S11="entertainer"),O82&lt;&gt;"Disguise Kit"),"Disguise Kit"," ")))))</f>
        <v>Cobbler's Tools</v>
      </c>
      <c r="AJ84" s="58" t="str">
        <f ca="1">IF(Table20333845279485190832138159[[#This Row],[Column2]]=0," ",_xlfn.RANK.EQ(AK84,$AK$80:$AK$89))</f>
        <v xml:space="preserve"> </v>
      </c>
      <c r="AK84" s="60">
        <f t="shared" ca="1" si="47"/>
        <v>0</v>
      </c>
      <c r="AL84" s="29" t="str">
        <f t="shared" ca="1" si="48"/>
        <v xml:space="preserve"> </v>
      </c>
      <c r="CB84" s="35">
        <f t="shared" ref="CB84:CB94" ca="1" si="49">_xlfn.RANK.EQ(CC84,$CC$84:$CC$94)</f>
        <v>4</v>
      </c>
      <c r="CC84" s="36">
        <f ca="1">IF(BM6&gt;0,0,RAND())</f>
        <v>0.75428582409769684</v>
      </c>
      <c r="CD84" s="29" t="s">
        <v>12</v>
      </c>
    </row>
    <row r="85" spans="1:82" x14ac:dyDescent="0.3">
      <c r="O85" s="33" t="str">
        <f ca="1">IF(AND(S11="urchin",O82&lt;&gt;"Disguise Kit"),"Disguise Kit",IF(OR(S11="Sailor",S11="pirate"),"Vehicles (Water)",IF(OR(S11="folk hero",S11="Soldier"),"Vehicles (Land)",IF(OR(S11="entertainer",S11="outlander"),INDEX('Class Tables'!$F$25:$F$34,MATCH(4,('Class Tables'!$D$25:$D$34),0)),IF(OR(S11="criminal",S11="noble",S11="knight"),VLOOKUP(RANDBETWEEN(1,4),Table258[],2),IF(S11="charlatan","Forgery Kit"," "))))))</f>
        <v xml:space="preserve"> </v>
      </c>
      <c r="AJ85" s="58" t="str">
        <f ca="1">IF(Table20333845279485190832138159[[#This Row],[Column2]]=0," ",_xlfn.RANK.EQ(AK85,$AK$80:$AK$89))</f>
        <v xml:space="preserve"> </v>
      </c>
      <c r="AK85" s="60">
        <f t="shared" ca="1" si="47"/>
        <v>0</v>
      </c>
      <c r="AL85" s="29" t="str">
        <f t="shared" ca="1" si="48"/>
        <v xml:space="preserve"> </v>
      </c>
      <c r="CB85" s="35">
        <f t="shared" ca="1" si="49"/>
        <v>5</v>
      </c>
      <c r="CC85" s="36">
        <f ca="1">IF(BM9&gt;0,0,RAND())</f>
        <v>0.70834955589667414</v>
      </c>
      <c r="CD85" s="29" t="s">
        <v>14</v>
      </c>
    </row>
    <row r="86" spans="1:82" ht="19.5" thickBot="1" x14ac:dyDescent="0.35">
      <c r="AJ86" s="58" t="str">
        <f ca="1">IF(Table20333845279485190832138159[[#This Row],[Column2]]=0," ",_xlfn.RANK.EQ(AK86,$AK$80:$AK$89))</f>
        <v xml:space="preserve"> </v>
      </c>
      <c r="AK86" s="60">
        <f t="shared" ca="1" si="47"/>
        <v>0</v>
      </c>
      <c r="AL86" s="29" t="str">
        <f t="shared" ca="1" si="48"/>
        <v xml:space="preserve"> </v>
      </c>
      <c r="CB86" s="35">
        <f t="shared" ca="1" si="49"/>
        <v>1</v>
      </c>
      <c r="CC86" s="36">
        <f ca="1">IF(BM10&gt;0,0,RAND())</f>
        <v>0.88085344910539198</v>
      </c>
      <c r="CD86" s="29" t="s">
        <v>15</v>
      </c>
    </row>
    <row r="87" spans="1:82" ht="30.75" thickBot="1" x14ac:dyDescent="0.45">
      <c r="A87" s="72"/>
      <c r="B87" s="128" t="s">
        <v>1953</v>
      </c>
      <c r="AJ87" s="58" t="str">
        <f ca="1">IF(Table20333845279485190832138159[[#This Row],[Column2]]=0," ",_xlfn.RANK.EQ(AK87,$AK$80:$AK$89))</f>
        <v xml:space="preserve"> </v>
      </c>
      <c r="AK87" s="60">
        <f t="shared" ca="1" si="47"/>
        <v>0</v>
      </c>
      <c r="AL87" s="29" t="str">
        <f t="shared" ca="1" si="48"/>
        <v xml:space="preserve"> </v>
      </c>
      <c r="CB87" s="35">
        <f t="shared" ca="1" si="49"/>
        <v>11</v>
      </c>
      <c r="CC87" s="36">
        <f ca="1">IF(BM12&gt;0,0,RAND())</f>
        <v>0</v>
      </c>
      <c r="CD87" s="29" t="s">
        <v>17</v>
      </c>
    </row>
    <row r="88" spans="1:82" x14ac:dyDescent="0.3">
      <c r="A88" s="115"/>
      <c r="B88" s="130" t="s">
        <v>1952</v>
      </c>
      <c r="C88" s="130"/>
      <c r="D88" s="130"/>
      <c r="E88" s="130"/>
      <c r="F88" s="130"/>
      <c r="G88" s="130"/>
      <c r="H88" s="130"/>
      <c r="I88" s="130"/>
      <c r="J88" s="130"/>
      <c r="K88" s="130"/>
      <c r="L88" s="130"/>
      <c r="M88" s="130"/>
      <c r="N88" s="130"/>
      <c r="O88" s="130" t="s">
        <v>1954</v>
      </c>
      <c r="P88" s="130" t="s">
        <v>1955</v>
      </c>
      <c r="Q88" s="130" t="s">
        <v>1956</v>
      </c>
      <c r="R88" s="130" t="s">
        <v>1088</v>
      </c>
      <c r="S88" s="130" t="s">
        <v>2480</v>
      </c>
      <c r="T88" s="130" t="s">
        <v>1957</v>
      </c>
      <c r="AJ88" s="58" t="str">
        <f ca="1">IF(Table20333845279485190832138159[[#This Row],[Column2]]=0," ",_xlfn.RANK.EQ(AK88,$AK$80:$AK$89))</f>
        <v xml:space="preserve"> </v>
      </c>
      <c r="AK88" s="60">
        <f t="shared" ca="1" si="47"/>
        <v>0</v>
      </c>
      <c r="AL88" s="29" t="str">
        <f t="shared" ca="1" si="48"/>
        <v xml:space="preserve"> </v>
      </c>
      <c r="CB88" s="35">
        <f t="shared" ca="1" si="49"/>
        <v>2</v>
      </c>
      <c r="CC88" s="36">
        <f ca="1">IF(BM13&gt;0,0,RAND())</f>
        <v>0.85668822851541426</v>
      </c>
      <c r="CD88" s="29" t="s">
        <v>18</v>
      </c>
    </row>
    <row r="89" spans="1:82" x14ac:dyDescent="0.3">
      <c r="A89" s="137"/>
      <c r="B89" s="33" t="str">
        <f ca="1">IF(OR(O15="unarmored defense",O16="unarmored defense",Q15="unarmored defense",Q16="unarmored defense"),"Unarmored Defense",IF(B79="heavy armor",VLOOKUP(RANDBETWEEN(1,4),Table286[],2),IF(B77="medium armor",VLOOKUP(RANDBETWEEN(1,5),Table285[],2),IF(B76="light armor",VLOOKUP(RANDBETWEEN(1,3),Table284[],2),VLOOKUP(RANDBETWEEN(1,3),Table291[],2)))))</f>
        <v>Unarmored Defense</v>
      </c>
      <c r="C89" s="33"/>
      <c r="D89" s="33"/>
      <c r="E89" s="33"/>
      <c r="F89" s="33"/>
      <c r="G89" s="33"/>
      <c r="H89" s="33"/>
      <c r="I89" s="33"/>
      <c r="J89" s="33"/>
      <c r="K89" s="33"/>
      <c r="L89" s="33"/>
      <c r="M89" s="33"/>
      <c r="N89" s="33"/>
      <c r="O89" s="33">
        <f ca="1">IF(B89="unarmored Defense",10,INDEX(Items!C2:C22,MATCH(B89,(Items!B2:B22),0)))</f>
        <v>10</v>
      </c>
      <c r="P89" s="33">
        <f ca="1">IF(OR(B89="ring mail",B89="chain mail",B89="splint",B89="plate"),0,IF(B89="fine clothes",P39,IF(B89="common clothes",P39,IF(B89="traveler's clothes",P39,IF(B89="unarmored defense",P39,IF(B89="padded",P39,IF(B89="leather",P39,IF(B89="Studded Leather",P39,IF(B89="Hide",MIN(2,(P39)),IF(B89="chain shirt",MIN(2,(P39)),IF(B89="scale mail",MIN(2,(P39)),IF(B89="breastplate",MIN(2,(P39)),IF(B89="half plate",MIN(2,(Q2)),0)))))))))))))</f>
        <v>3</v>
      </c>
      <c r="Q89" s="33">
        <f ca="1">IF(AND(B89="unarmored defense",OR(O11="barbarian",Q11="barbarian")),P40,IF(AND(B89="unarmored defense",OR(O11="monk",Q11="monk")),P42,IF(AND(OR(O17="defense style",Q17="defense style",P18="defense style",O15="defense style",S18="defense style",Q15="defense style"),B89&lt;&gt;"unarmored defense"),2,0)))</f>
        <v>1</v>
      </c>
      <c r="R89" s="33">
        <f ca="1">IF(AND(B90="shield",COUNTIF(B109:P109,"*"&amp;"Shield +3"&amp;"*")),5,IF(AND(B90="shield",COUNTIF(B109:P109,"*"&amp;"Shield +2"&amp;"*")),4,IF(AND(B90="shield",COUNTIF(B109:P109,"*"&amp;"Shield +1"&amp;"*")),3,IF(B90="shield",2,0))))</f>
        <v>0</v>
      </c>
      <c r="S89" s="29" t="str">
        <f ca="1">IF(COUNTIF(B109:P109,"*"&amp;"Armor +3"&amp;"*"),3,IF(COUNTIF(B109:P109,"*"&amp;"Armor +2"&amp;"*"),2,IF(COUNTIF(B109:P109,"*"&amp;"Armor +1"&amp;"*"),1," ")))</f>
        <v xml:space="preserve"> </v>
      </c>
      <c r="T89" s="33">
        <f ca="1">SUM(C89:S89)</f>
        <v>14</v>
      </c>
      <c r="AJ89" s="58" t="str">
        <f ca="1">IF(Table20333845279485190832138159[[#This Row],[Column2]]=0," ",_xlfn.RANK.EQ(AK89,$AK$80:$AK$89))</f>
        <v xml:space="preserve"> </v>
      </c>
      <c r="AK89" s="60">
        <f t="shared" ca="1" si="47"/>
        <v>0</v>
      </c>
      <c r="AL89" s="29" t="str">
        <f t="shared" ca="1" si="48"/>
        <v xml:space="preserve"> </v>
      </c>
      <c r="CB89" s="35">
        <f t="shared" ca="1" si="49"/>
        <v>10</v>
      </c>
      <c r="CC89" s="36">
        <f ca="1">IF(BM14&gt;0,0,RAND())</f>
        <v>3.6965494170678292E-2</v>
      </c>
      <c r="CD89" s="29" t="s">
        <v>19</v>
      </c>
    </row>
    <row r="90" spans="1:82" x14ac:dyDescent="0.3">
      <c r="A90" s="137"/>
      <c r="B90" s="33" t="str">
        <f ca="1">IF(B78="shields","Shield"," ")</f>
        <v xml:space="preserve"> </v>
      </c>
      <c r="C90" s="33"/>
      <c r="D90" s="33"/>
      <c r="E90" s="33"/>
      <c r="F90" s="33"/>
      <c r="G90" s="33"/>
      <c r="H90" s="33"/>
      <c r="I90" s="33"/>
      <c r="J90" s="33"/>
      <c r="K90" s="33"/>
      <c r="L90" s="33"/>
      <c r="M90" s="33"/>
      <c r="N90" s="33"/>
      <c r="O90" s="33"/>
      <c r="P90" s="33"/>
      <c r="Q90" s="33"/>
      <c r="R90" s="33"/>
      <c r="S90" s="33"/>
      <c r="CB90" s="35">
        <f t="shared" ca="1" si="49"/>
        <v>3</v>
      </c>
      <c r="CC90" s="36">
        <f ca="1">IF(BM17&gt;0,0,RAND())</f>
        <v>0.78277108500598735</v>
      </c>
      <c r="CD90" s="29" t="s">
        <v>22</v>
      </c>
    </row>
    <row r="91" spans="1:82" x14ac:dyDescent="0.3">
      <c r="A91" s="137"/>
      <c r="B91" s="69" t="s">
        <v>1962</v>
      </c>
      <c r="C91" s="69"/>
      <c r="D91" s="69"/>
      <c r="E91" s="69"/>
      <c r="F91" s="69"/>
      <c r="G91" s="69"/>
      <c r="H91" s="69"/>
      <c r="I91" s="69"/>
      <c r="J91" s="69"/>
      <c r="K91" s="69"/>
      <c r="L91" s="69"/>
      <c r="M91" s="69"/>
      <c r="N91" s="69"/>
      <c r="O91" s="69" t="s">
        <v>1963</v>
      </c>
      <c r="P91" s="69" t="s">
        <v>1982</v>
      </c>
      <c r="Q91" s="70" t="s">
        <v>1983</v>
      </c>
      <c r="R91" s="71" t="s">
        <v>2715</v>
      </c>
      <c r="S91" s="30"/>
      <c r="AJ91" s="31" t="s">
        <v>1169</v>
      </c>
      <c r="CB91" s="35">
        <f t="shared" ca="1" si="49"/>
        <v>7</v>
      </c>
      <c r="CC91" s="36">
        <f ca="1">IF(BM18&gt;0,0,RAND())</f>
        <v>0.31554513947057061</v>
      </c>
      <c r="CD91" s="29" t="s">
        <v>23</v>
      </c>
    </row>
    <row r="92" spans="1:82" x14ac:dyDescent="0.3">
      <c r="A92" s="137"/>
      <c r="B92" s="33" t="str">
        <f ca="1">IF(P77="martial weapons",VLOOKUP(RANDBETWEEN(1,18),Table289[],2),IF(P76="simple weapons",VLOOKUP(RANDBETWEEN(1,10),Table287[],2),INDEX(AQ45:AQ59,MATCH(1,(AO45:AO59),0))))</f>
        <v>Club</v>
      </c>
      <c r="C92" s="33"/>
      <c r="D92" s="33"/>
      <c r="E92" s="33"/>
      <c r="F92" s="33"/>
      <c r="G92" s="33"/>
      <c r="H92" s="33"/>
      <c r="I92" s="33"/>
      <c r="J92" s="33"/>
      <c r="K92" s="33"/>
      <c r="L92" s="33"/>
      <c r="M92" s="33"/>
      <c r="N92" s="33"/>
      <c r="O92" s="33" t="str">
        <f ca="1">INDEX(Items!$G$2:$G$44,MATCH(B92,(Items!$F$2:$F$44),0))</f>
        <v>1d4b</v>
      </c>
      <c r="P92" s="33" t="str">
        <f ca="1">INDEX(Items!$I$2:$I$44,MATCH(B92,(Items!$F$2:$F$44),0))</f>
        <v>n/a</v>
      </c>
      <c r="Q92" s="72" t="str">
        <f ca="1">INDEX(Items!$H$2:$H$44,MATCH(B92,(Items!$F$2:$F$44),0))</f>
        <v>Light</v>
      </c>
      <c r="R92" s="30"/>
      <c r="S92" s="30"/>
      <c r="AJ92" s="58" t="str">
        <f ca="1">IF(Table20433945379585290932238260[[#This Row],[Column2]]=0," ",_xlfn.RANK.EQ(AK92,$AK$92:$AK$101))</f>
        <v xml:space="preserve"> </v>
      </c>
      <c r="AK92" s="60">
        <f t="shared" ref="AK92:AK101" ca="1" si="50">IF(AL92=" ", 0,RAND())</f>
        <v>0</v>
      </c>
      <c r="AL92" s="29" t="str">
        <f t="shared" ref="AL92:AL101" ca="1" si="51">P334</f>
        <v xml:space="preserve"> </v>
      </c>
      <c r="CB92" s="35">
        <f t="shared" ca="1" si="49"/>
        <v>8</v>
      </c>
      <c r="CC92" s="36">
        <f ca="1">IF(BM19&gt;0,0,RAND())</f>
        <v>0.31101955184459817</v>
      </c>
      <c r="CD92" s="29" t="s">
        <v>24</v>
      </c>
    </row>
    <row r="93" spans="1:82" x14ac:dyDescent="0.3">
      <c r="A93" s="137"/>
      <c r="B93" s="33" t="str">
        <f ca="1">IF(P77="martial weapons",VLOOKUP(RANDBETWEEN(1,18),Table289[],2),IF(P76="simple weapons",VLOOKUP(RANDBETWEEN(1,10),Table287[],2),INDEX(AQ45:AQ59,MATCH(2,(AO45:AO59),0))))</f>
        <v>Spear</v>
      </c>
      <c r="C93" s="33"/>
      <c r="D93" s="33"/>
      <c r="E93" s="33"/>
      <c r="F93" s="33"/>
      <c r="G93" s="33"/>
      <c r="H93" s="33"/>
      <c r="I93" s="33"/>
      <c r="J93" s="33"/>
      <c r="K93" s="33"/>
      <c r="L93" s="33"/>
      <c r="M93" s="33"/>
      <c r="N93" s="33"/>
      <c r="O93" s="33" t="str">
        <f ca="1">INDEX(Items!$G$2:$G$44,MATCH(B93,(Items!$F$2:$F$44),0))</f>
        <v>1d6p</v>
      </c>
      <c r="P93" s="33" t="str">
        <f ca="1">INDEX(Items!$I$2:$I$44,MATCH(B93,(Items!$F$2:$F$44),0))</f>
        <v>1d8b</v>
      </c>
      <c r="Q93" s="72" t="str">
        <f ca="1">INDEX(Items!$H$2:$H$44,MATCH(B93,(Items!$F$2:$F$44),0))</f>
        <v>Thrown (20/60)</v>
      </c>
      <c r="R93" s="30"/>
      <c r="S93" s="30"/>
      <c r="AJ93" s="58" t="str">
        <f ca="1">IF(Table20433945379585290932238260[[#This Row],[Column2]]=0," ",_xlfn.RANK.EQ(AK93,$AK$92:$AK$101))</f>
        <v xml:space="preserve"> </v>
      </c>
      <c r="AK93" s="60">
        <f t="shared" ca="1" si="50"/>
        <v>0</v>
      </c>
      <c r="AL93" s="29" t="str">
        <f t="shared" ca="1" si="51"/>
        <v xml:space="preserve"> </v>
      </c>
      <c r="CB93" s="35">
        <f t="shared" ca="1" si="49"/>
        <v>9</v>
      </c>
      <c r="CC93" s="36">
        <f ca="1">IF(BM21&gt;0,0,RAND())</f>
        <v>0.21121163407309929</v>
      </c>
      <c r="CD93" s="29" t="s">
        <v>26</v>
      </c>
    </row>
    <row r="94" spans="1:82" x14ac:dyDescent="0.3">
      <c r="A94" s="137"/>
      <c r="B94" s="33" t="str">
        <f ca="1">IF(P77="martial weapons",VLOOKUP(RANDBETWEEN(1,5),Table290[],2),IF(P76="simple weapons",VLOOKUP(RANDBETWEEN(1,4),Table288[],2,),INDEX(AQ45:AQ59,MATCH(3,(AO45:AO59),0))))</f>
        <v>Dart</v>
      </c>
      <c r="C94" s="33"/>
      <c r="D94" s="33"/>
      <c r="E94" s="33"/>
      <c r="F94" s="33"/>
      <c r="G94" s="33"/>
      <c r="H94" s="33"/>
      <c r="I94" s="33"/>
      <c r="J94" s="33"/>
      <c r="K94" s="33"/>
      <c r="L94" s="33"/>
      <c r="M94" s="33"/>
      <c r="N94" s="33"/>
      <c r="O94" s="33" t="str">
        <f ca="1">IF(B94=" "," ",INDEX(Items!$G$2:$G$44,MATCH(B94,(Items!$F$2:$F$44),0)))</f>
        <v>1d4p</v>
      </c>
      <c r="P94" s="33" t="str">
        <f ca="1">IF(B94=" "," ",INDEX(Items!$I$2:$I$44,MATCH(B94,(Items!$F$2:$F$44),0)))</f>
        <v>n/a</v>
      </c>
      <c r="Q94" s="72" t="str">
        <f ca="1">IF(B94=" "," ",INDEX(Items!$H$2:$H$44,MATCH(B94,(Items!$F$2:$F$44),0)))</f>
        <v>Finesse,Throw (20/60)</v>
      </c>
      <c r="R94" s="30"/>
      <c r="S94" s="30"/>
      <c r="AJ94" s="58" t="str">
        <f ca="1">IF(Table20433945379585290932238260[[#This Row],[Column2]]=0," ",_xlfn.RANK.EQ(AK94,$AK$92:$AK$101))</f>
        <v xml:space="preserve"> </v>
      </c>
      <c r="AK94" s="60">
        <f t="shared" ca="1" si="50"/>
        <v>0</v>
      </c>
      <c r="AL94" s="29" t="str">
        <f t="shared" ca="1" si="51"/>
        <v xml:space="preserve"> </v>
      </c>
      <c r="CB94" s="35">
        <f t="shared" ca="1" si="49"/>
        <v>6</v>
      </c>
      <c r="CC94" s="36">
        <f ca="1">IF(BM22&gt;0,0,RAND())</f>
        <v>0.69832402297040241</v>
      </c>
      <c r="CD94" s="29" t="s">
        <v>27</v>
      </c>
    </row>
    <row r="95" spans="1:82" ht="19.5" thickBot="1" x14ac:dyDescent="0.35">
      <c r="A95" s="137"/>
      <c r="B95" s="38" t="str">
        <f ca="1">IF(O11="monk","Martial Arts"," ")</f>
        <v>Martial Arts</v>
      </c>
      <c r="C95" s="33"/>
      <c r="D95" s="33"/>
      <c r="E95" s="33"/>
      <c r="F95" s="33"/>
      <c r="G95" s="33"/>
      <c r="H95" s="33"/>
      <c r="I95" s="33"/>
      <c r="J95" s="33"/>
      <c r="K95" s="33"/>
      <c r="L95" s="33"/>
      <c r="M95" s="33"/>
      <c r="N95" s="33"/>
      <c r="O95" s="38" t="str">
        <f ca="1">IF(B95="martial arts",INDEX('Class Tables'!J98:J117,MATCH(O12,('Class Tables'!I98:I117),0))," ")</f>
        <v>1d6</v>
      </c>
      <c r="P95" s="38" t="str">
        <f ca="1">IF(B95=" "," ",IF(B95="martial arts", " ",INDEX(Items!$I$2:$I$44,MATCH(B95,(Items!$F$2:$F$44),0))))</f>
        <v xml:space="preserve"> </v>
      </c>
      <c r="Q95" s="73" t="str">
        <f ca="1">IF(B95=" "," ",IF(B95="martial arts"," ",INDEX(Items!$H$2:$H$44,MATCH(B95,(Items!$F$2:$F$44),0))))</f>
        <v xml:space="preserve"> </v>
      </c>
      <c r="R95" s="41"/>
      <c r="S95" s="41"/>
      <c r="AJ95" s="58" t="str">
        <f ca="1">IF(Table20433945379585290932238260[[#This Row],[Column2]]=0," ",_xlfn.RANK.EQ(AK95,$AK$92:$AK$101))</f>
        <v xml:space="preserve"> </v>
      </c>
      <c r="AK95" s="60">
        <f t="shared" ca="1" si="50"/>
        <v>0</v>
      </c>
      <c r="AL95" s="29" t="str">
        <f t="shared" ca="1" si="51"/>
        <v xml:space="preserve"> </v>
      </c>
    </row>
    <row r="96" spans="1:82" x14ac:dyDescent="0.3">
      <c r="A96" s="137"/>
      <c r="O96" s="69" t="s">
        <v>1964</v>
      </c>
      <c r="P96" s="69" t="s">
        <v>34</v>
      </c>
      <c r="Q96" s="69" t="s">
        <v>1986</v>
      </c>
      <c r="R96" s="69" t="s">
        <v>2753</v>
      </c>
      <c r="S96" s="70" t="s">
        <v>2480</v>
      </c>
      <c r="AJ96" s="58" t="str">
        <f ca="1">IF(Table20433945379585290932238260[[#This Row],[Column2]]=0," ",_xlfn.RANK.EQ(AK96,$AK$92:$AK$101))</f>
        <v xml:space="preserve"> </v>
      </c>
      <c r="AK96" s="60">
        <f t="shared" ca="1" si="50"/>
        <v>0</v>
      </c>
      <c r="AL96" s="29" t="str">
        <f t="shared" ca="1" si="51"/>
        <v xml:space="preserve"> </v>
      </c>
      <c r="CB96" s="31" t="s">
        <v>736</v>
      </c>
    </row>
    <row r="97" spans="1:82" x14ac:dyDescent="0.3">
      <c r="A97" s="137"/>
      <c r="B97" s="29" t="str">
        <f ca="1">B92</f>
        <v>Club</v>
      </c>
      <c r="O97" s="33">
        <f ca="1">IF(VLOOKUP(B92,Items!$F$2:$J$44,5,FALSE)="fin",SUM($P$38:$P$39)-SMALL($P$38:$P$39,1),IF(VLOOKUP(B92,(Items!$F$2:$J$44),5,FALSE)="str",$P$38,IF(VLOOKUP(B92,(Items!$F$2:$J$44),5,FALSE)="dex",$P$39,0)))</f>
        <v>2</v>
      </c>
      <c r="P97" s="33">
        <f ca="1">P8</f>
        <v>3</v>
      </c>
      <c r="Q97" s="33">
        <f ca="1">IF(AND(OR(B92&lt;&gt;"light crossbow",B92&lt;&gt;"dart",B92="shortbow",B92&lt;&gt;"Sling",B92&lt;&gt;"blowgun",B92&lt;&gt;"hand crossbow",B92&lt;&gt;"heavy crossbow",B92&lt;&gt;"longbow",B92&lt;&gt;"net",B92&lt;&gt;"greatclub",B92&lt;&gt;"glaive",B92&lt;&gt;"Greataxe",B92&lt;&gt;"Greatsword",B92&lt;&gt;"halbard",B92&lt;&gt;"maul",B92&lt;&gt;"pike"),OR($O$18="dueling style",$Q$18="dueling style",$P$18="dueling style",$S$18="dueling style",$O$15="dueling style",$Q$15="dueling style")),2,0)</f>
        <v>0</v>
      </c>
      <c r="R97" s="33">
        <f ca="1">IF(AND(OR(B92="light crossbow",B92="dart",B92="shortbow",B92="Sling",B92="blowgun",B92="hand crossbow",B92="heavy crossbow",B92="longbow",B92="net"),OR($P$18="archery style",$S$18="archery style",$O$15="archery style",$Q$15="archery style")),2,0)</f>
        <v>0</v>
      </c>
      <c r="S97" s="72">
        <f ca="1">IF(COUNTIF(B109:P109,"*"&amp;"Weapon +3"&amp;"*"),3,IF(COUNTIF(B109:P109,"*"&amp;"Weapon +2"&amp;"*"),2,IF(COUNTIF(B109:P109,"*"&amp;"Weapon +1"&amp;"*"),1," ")))</f>
        <v>1</v>
      </c>
      <c r="AJ97" s="58" t="str">
        <f ca="1">IF(Table20433945379585290932238260[[#This Row],[Column2]]=0," ",_xlfn.RANK.EQ(AK97,$AK$92:$AK$101))</f>
        <v xml:space="preserve"> </v>
      </c>
      <c r="AK97" s="60">
        <f t="shared" ca="1" si="50"/>
        <v>0</v>
      </c>
      <c r="AL97" s="29" t="str">
        <f t="shared" ca="1" si="51"/>
        <v xml:space="preserve"> </v>
      </c>
      <c r="CB97" s="35">
        <f t="shared" ref="CB97:CB102" ca="1" si="52">_xlfn.RANK.EQ(CC97,$CC$97:$CC$102)</f>
        <v>2</v>
      </c>
      <c r="CC97" s="36">
        <f ca="1">IF(BM8&gt;0,0,RAND())</f>
        <v>0.83289794292678687</v>
      </c>
      <c r="CD97" s="29" t="s">
        <v>13</v>
      </c>
    </row>
    <row r="98" spans="1:82" x14ac:dyDescent="0.3">
      <c r="A98" s="137"/>
      <c r="B98" s="29" t="str">
        <f ca="1">B93</f>
        <v>Spear</v>
      </c>
      <c r="O98" s="33">
        <f ca="1">IF(VLOOKUP(B93,Items!$F$2:$J$44,5,FALSE)="fin",SUM($P$38:$P$39)-SMALL($P$38:$P$39,1),IF(VLOOKUP(B93,(Items!$F$2:$J$44),5,FALSE)="str",$P$38,IF(VLOOKUP(B93,(Items!$F$2:$J$44),5,FALSE)="dex",$P$39,0)))</f>
        <v>2</v>
      </c>
      <c r="P98" s="33">
        <f ca="1">P8</f>
        <v>3</v>
      </c>
      <c r="Q98" s="33">
        <f ca="1">IF(AND(OR(B93&lt;&gt;"light crossbow",B93&lt;&gt;"dart",B93="shortbow",B93&lt;&gt;"Sling",B93&lt;&gt;"blowgun",B93&lt;&gt;"hand crossbow",B93&lt;&gt;"heavy crossbow",B93&lt;&gt;"longbow",B93&lt;&gt;"net",B93&lt;&gt;"greatclub",B93&lt;&gt;"glaive",B93&lt;&gt;"Greataxe",B93&lt;&gt;"Greatsword",B93&lt;&gt;"halbard",B93&lt;&gt;"maul",B93&lt;&gt;"pike"),OR($O$18="dueling style",$Q$18="dueling style",$P$18="dueling style",$S$18="dueling style",$O$15="dueling style",$Q$15="dueling style")),2,0)</f>
        <v>0</v>
      </c>
      <c r="R98" s="33">
        <f ca="1">IF(AND(OR(B93="light crossbow",B93="dart",B93="shortbow",B93="Sling",B93="blowgun",B93="hand crossbow",B93="heavy crossbow",B93="longbow",B93="net"),OR($P$18="archery style",$S$18="archery style",$O$15="archery style",$Q$15="archery style")),2,0)</f>
        <v>0</v>
      </c>
      <c r="S98" s="72" t="str">
        <f ca="1">IF(AND(S97&lt;&gt;2,COUNTIF(B109:P109,"*"&amp;"Weapon +2"&amp;"*")),2,IF(AND(S97&lt;&gt;1,COUNTIF(B109:P109,"*"&amp;"Weapon +1"&amp;"*")),1," "))</f>
        <v xml:space="preserve"> </v>
      </c>
      <c r="AJ98" s="58" t="str">
        <f ca="1">IF(Table20433945379585290932238260[[#This Row],[Column2]]=0," ",_xlfn.RANK.EQ(AK98,$AK$92:$AK$101))</f>
        <v xml:space="preserve"> </v>
      </c>
      <c r="AK98" s="60">
        <f t="shared" ca="1" si="50"/>
        <v>0</v>
      </c>
      <c r="AL98" s="29" t="str">
        <f t="shared" ca="1" si="51"/>
        <v xml:space="preserve"> </v>
      </c>
      <c r="CB98" s="35">
        <f t="shared" ca="1" si="52"/>
        <v>3</v>
      </c>
      <c r="CC98" s="36">
        <f ca="1">IF(BM10&gt;0,0,RAND())</f>
        <v>0.65648691078649346</v>
      </c>
      <c r="CD98" s="29" t="s">
        <v>15</v>
      </c>
    </row>
    <row r="99" spans="1:82" x14ac:dyDescent="0.3">
      <c r="A99" s="137"/>
      <c r="B99" s="29" t="str">
        <f ca="1">B94</f>
        <v>Dart</v>
      </c>
      <c r="O99" s="33">
        <f ca="1">IF(VLOOKUP(B94,Items!$F$2:$J$44,5,FALSE)="fin",SUM($P$38:$P$39)-SMALL($P$38:$P$39,1),IF(VLOOKUP(B94,(Items!$F$2:$J$44),5,FALSE)="str",$P$38,IF(VLOOKUP(B94,(Items!$F$2:$J$44),5,FALSE)="dex",$P$39,0)))</f>
        <v>3</v>
      </c>
      <c r="P99" s="33">
        <f ca="1">IF(B94=" "," ",P8)</f>
        <v>3</v>
      </c>
      <c r="Q99" s="33">
        <f ca="1">IF(AND(OR(B94&lt;&gt;"light crossbow",B94&lt;&gt;"dart",B94="shortbow",B94&lt;&gt;"Sling",B94&lt;&gt;"blowgun",B94&lt;&gt;"hand crossbow",B94&lt;&gt;"heavy crossbow",B94&lt;&gt;"longbow",B94&lt;&gt;"net",B94&lt;&gt;"greatclub",B94&lt;&gt;"glaive",B94&lt;&gt;"Greataxe",B94&lt;&gt;"Greatsword",B94&lt;&gt;"halbard",B94&lt;&gt;"maul",B94&lt;&gt;"pike"),OR($O$18="dueling style",$Q$18="dueling style",$P$18="dueling style",$S$18="dueling style",$O$15="dueling style",$Q$15="dueling style")),2,0)</f>
        <v>0</v>
      </c>
      <c r="R99" s="33">
        <f ca="1">IF(AND(OR(B94="light crossbow",B94="dart",B94="shortbow",B94="Sling",B94="blowgun",B94="hand crossbow",B94="heavy crossbow",B94="longbow",B94="net"),OR($P$18="archery style",$S$18="archery style",$O$15="archery style",$Q$15="archery style")),2,0)</f>
        <v>0</v>
      </c>
      <c r="S99" s="72" t="str">
        <f ca="1">IF(AND(S97&lt;&gt;1,S98&lt;&gt;1,COUNTIF(B109:P109,"*"&amp;"Weapon +1"&amp;"*")),1," ")</f>
        <v xml:space="preserve"> </v>
      </c>
      <c r="AJ99" s="58" t="str">
        <f ca="1">IF(Table20433945379585290932238260[[#This Row],[Column2]]=0," ",_xlfn.RANK.EQ(AK99,$AK$92:$AK$101))</f>
        <v xml:space="preserve"> </v>
      </c>
      <c r="AK99" s="60">
        <f t="shared" ca="1" si="50"/>
        <v>0</v>
      </c>
      <c r="AL99" s="29" t="str">
        <f t="shared" ca="1" si="51"/>
        <v xml:space="preserve"> </v>
      </c>
      <c r="CB99" s="35">
        <f t="shared" ca="1" si="52"/>
        <v>5</v>
      </c>
      <c r="CC99" s="36">
        <f ca="1">IF(BM12&gt;0,0,RAND())</f>
        <v>0</v>
      </c>
      <c r="CD99" s="29" t="s">
        <v>17</v>
      </c>
    </row>
    <row r="100" spans="1:82" x14ac:dyDescent="0.3">
      <c r="A100" s="138"/>
      <c r="B100" s="29" t="str">
        <f ca="1">B95</f>
        <v>Martial Arts</v>
      </c>
      <c r="O100" s="33">
        <f ca="1">IF(B95="martial arts",SUM($P$38:$P$39)-SMALL($P$38:$P$39,1)," ")</f>
        <v>3</v>
      </c>
      <c r="P100" s="33">
        <f ca="1">IF(B95=" "," ",P8)</f>
        <v>3</v>
      </c>
      <c r="Q100" s="33">
        <f ca="1">IF(AND(OR(B95&lt;&gt;"light crossbow",B95&lt;&gt;"dart",B95="shortbow",B95&lt;&gt;"Sling",B95&lt;&gt;"blowgun",B95&lt;&gt;"hand crossbow",B95&lt;&gt;"heavy crossbow",B95&lt;&gt;"longbow",B95&lt;&gt;"net",B95&lt;&gt;"greatclub",B95&lt;&gt;"glaive",B95&lt;&gt;"Greataxe",B95&lt;&gt;"Greatsword",B95&lt;&gt;"halbard",B95&lt;&gt;"maul",B95&lt;&gt;"pike"),OR($O$18="dueling style",$Q$18="dueling style",$P$18="dueling style",$S$18="dueling style",$O$15="dueling style",$Q$15="dueling style")),2,0)</f>
        <v>0</v>
      </c>
      <c r="R100" s="33">
        <f ca="1">IF(AND(OR(B95="light crossbow",B95="dart",B95="shortbow",B95="Sling",B95="blowgun",B95="hand crossbow",B95="heavy crossbow",B95="longbow",B95="net"),OR($P$18="archery style",$S$18="archery style",$O$15="archery style",$Q$15="archery style")),2,0)</f>
        <v>0</v>
      </c>
      <c r="S100" s="72" t="str">
        <f ca="1">IF(AND(S98&lt;&gt;1,S99&lt;&gt;1,COUNTIF(B110:P110,"*"&amp;"Weapon +1"&amp;"*")),1," ")</f>
        <v xml:space="preserve"> </v>
      </c>
      <c r="AJ100" s="58" t="str">
        <f ca="1">IF(Table20433945379585290932238260[[#This Row],[Column2]]=0," ",_xlfn.RANK.EQ(AK100,$AK$92:$AK$101))</f>
        <v xml:space="preserve"> </v>
      </c>
      <c r="AK100" s="60">
        <f t="shared" ca="1" si="50"/>
        <v>0</v>
      </c>
      <c r="AL100" s="29" t="str">
        <f t="shared" ca="1" si="51"/>
        <v xml:space="preserve"> </v>
      </c>
      <c r="CB100" s="35">
        <f t="shared" ca="1" si="52"/>
        <v>4</v>
      </c>
      <c r="CC100" s="36">
        <f ca="1">IF(BM13&gt;0,0,RAND())</f>
        <v>0.60966687072730308</v>
      </c>
      <c r="CD100" s="29" t="s">
        <v>18</v>
      </c>
    </row>
    <row r="101" spans="1:82" x14ac:dyDescent="0.3">
      <c r="A101" s="138"/>
      <c r="AJ101" s="58" t="str">
        <f ca="1">IF(Table20433945379585290932238260[[#This Row],[Column2]]=0," ",_xlfn.RANK.EQ(AK101,$AK$92:$AK$101))</f>
        <v xml:space="preserve"> </v>
      </c>
      <c r="AK101" s="60">
        <f t="shared" ca="1" si="50"/>
        <v>0</v>
      </c>
      <c r="AL101" s="29" t="str">
        <f t="shared" ca="1" si="51"/>
        <v xml:space="preserve"> </v>
      </c>
      <c r="CB101" s="35">
        <f t="shared" ca="1" si="52"/>
        <v>1</v>
      </c>
      <c r="CC101" s="36">
        <f ca="1">IF(BM19&gt;0,0,RAND())</f>
        <v>0.98539422076244954</v>
      </c>
      <c r="CD101" s="29" t="s">
        <v>24</v>
      </c>
    </row>
    <row r="102" spans="1:82" x14ac:dyDescent="0.3">
      <c r="A102" s="137"/>
      <c r="B102" s="69" t="str">
        <f ca="1">IF(B40="non-classed","Shoulder Bag",IF(B103="diplomat's pack","Small Chest","Backpack"))</f>
        <v>Backpack</v>
      </c>
      <c r="C102" s="33"/>
      <c r="D102" s="33"/>
      <c r="E102" s="33"/>
      <c r="F102" s="33"/>
      <c r="G102" s="33"/>
      <c r="H102" s="33"/>
      <c r="I102" s="33"/>
      <c r="J102" s="33"/>
      <c r="K102" s="33"/>
      <c r="L102" s="33"/>
      <c r="M102" s="33"/>
      <c r="N102" s="33"/>
      <c r="O102" s="33"/>
      <c r="P102" s="33"/>
      <c r="Q102" s="69" t="s">
        <v>1988</v>
      </c>
      <c r="R102" s="69" t="str">
        <f ca="1">IF(OR(P15="eldritch knight",R15="eldritch knight",P15="arcane trickster",R15="arcane trickster",O11="ranger",Q11="ranger",O11="bard",Q11="bard",O11="cleric",Q11="cleric",O11="druid",Q11="druid",O11="paladin",Q11="paladin",O11="sorcerer",Q11="sorcerer",O11="warlock",Q11="warlock",O11="wizard",Q11="wizard"),"Component Pouch"," ")</f>
        <v xml:space="preserve"> </v>
      </c>
      <c r="CB102" s="35">
        <f t="shared" ca="1" si="52"/>
        <v>5</v>
      </c>
      <c r="CC102" s="36">
        <f ca="1">IF(BM20&gt;0,0,RAND())</f>
        <v>0</v>
      </c>
      <c r="CD102" s="29" t="s">
        <v>25</v>
      </c>
    </row>
    <row r="103" spans="1:82" x14ac:dyDescent="0.3">
      <c r="A103" s="137"/>
      <c r="B103" s="33" t="str">
        <f ca="1">IF(AND(AF21=2,O11="wizard"),"Explorer's Pack",IF(AND(AF21=1,OR(O11="sorcerer",O11="wizard",O11="warlock")),"Scholar's Pack",IF(AND(AF20=1,O11="rogue"),"Dungeoneer's Pack",IF(AND(AF20=2,O11="rogue"),"Explorer's Pack",IF(AND(AF20=3,O11="rogue"),"Burglar's Pack",IF(AND(AF21=1,OR(O11="monk",O11="Fighter",O11="ranger",O11="Sorcerer")),"Explorer's Pack",IF(AND(AF21=2,OR(O11="fighter",O11="monk",O11="ranger",O11="sorcerer",O11="warlock")),"Dungeoneer's Pack",IF(O11="druid","Explorer's Pack",IF(AND(AF21=2,OR(O11="cleric",O11="paladin")),"Explorer's Pack",IF(AND(AF21=1,OR(O11="cleric",O11="paladin")),"Priest's Pack",IF(AND(AF21=1,O11="bard"),"Diplomat's Pack",IF(AND(AF21=2,O11="bard"),"Entertainer's Pack",IF(O11="barbarian","Explorer's Pack"," ")))))))))))))</f>
        <v>Dungeoneer's Pack</v>
      </c>
      <c r="C103" s="33"/>
      <c r="D103" s="33"/>
      <c r="E103" s="33"/>
      <c r="F103" s="33"/>
      <c r="G103" s="33"/>
      <c r="H103" s="33"/>
      <c r="I103" s="33"/>
      <c r="J103" s="33"/>
      <c r="K103" s="33"/>
      <c r="L103" s="33"/>
      <c r="M103" s="33"/>
      <c r="N103" s="33"/>
      <c r="O103" s="33" t="str">
        <f ca="1">IF(B103="Scholar's Pack","SP - Little Bag of Sand",IF(B103="Priest's Pack","PP - 2 Blocks of Incense",IF(B103="Entertainer's Pack","EP - Waterskin",IF(B103="Dungeoneer's Pack","DP - Tinderbox",IF(B103="Diplomat's Pack","DP - Lamp",IF(B103="Burglar's Pack","BP - Hammer",IF(B103="explorer's pack","EP - 10 Days Rations"," ")))))))</f>
        <v>DP - Tinderbox</v>
      </c>
      <c r="P103" s="33" t="str">
        <f ca="1">IF(B103="Diplomat's Pack","DP - Soap",IF(B103="Burglar's Pack","BP - Tinderbox"," "))</f>
        <v xml:space="preserve"> </v>
      </c>
      <c r="Q103" s="33" t="str">
        <f ca="1">INDEX(Items!C47:C66,MATCH(P6,(Items!A47:A66),0))&amp;" CP"</f>
        <v>0 CP</v>
      </c>
      <c r="R103" s="33" t="str">
        <f ca="1">IF(OR(,O11="bard",Q11="bard",O11="cleric",Q11="cleric",O11="druid",Q11="druid",O11="paladin",Q11="paladin",O11="sorcerer",Q11="sorcerer",O11="warlock",Q11="warlock",O11="wizard",Q11="wizard"),"Arcane Focus"," ")</f>
        <v xml:space="preserve"> </v>
      </c>
      <c r="AJ103" s="31" t="s">
        <v>1170</v>
      </c>
    </row>
    <row r="104" spans="1:82" x14ac:dyDescent="0.3">
      <c r="A104" s="137"/>
      <c r="B104" s="33" t="str">
        <f ca="1">IF(B103="Scholar's Pack","SP - Book of Lore",IF(B103="Priest's Pack","PP - Blanket",IF(B103="Entertainer's Pack","EP - Bedroll",IF(B103="Dungeoneer's Pack","DP - Crowbar",IF(B103="Diplomat's Pack","DP - 2 Map/Scroll Cases",IF(B103="Burglar's Pack","BP - 10' of String",IF(B103="explorer's pack"," EP - Bedroll"," ")))))))</f>
        <v>DP - Crowbar</v>
      </c>
      <c r="C104" s="33"/>
      <c r="D104" s="33"/>
      <c r="E104" s="33"/>
      <c r="F104" s="33"/>
      <c r="G104" s="33"/>
      <c r="H104" s="33"/>
      <c r="I104" s="33"/>
      <c r="J104" s="33"/>
      <c r="K104" s="33"/>
      <c r="L104" s="33"/>
      <c r="M104" s="33"/>
      <c r="N104" s="33"/>
      <c r="O104" s="33" t="str">
        <f ca="1">IF(B103="Scholar's Pack","SP - Small Knife",IF(B103="Priest's Pack","PP - Censer",IF(B103="Entertainer's Pack","EP - Disguise Kit",IF(B103="Dungeoneer's Pack","DP - 10 Days Rations",IF(B103="Diplomat's Pack","DP - 2 Flasks of Oil",IF(B103="Burglar's Pack","BP - 10 Pitons",IF(B103="explorer's pack","EP - Waterskin"," ")))))))</f>
        <v>DP - 10 Days Rations</v>
      </c>
      <c r="P104" s="33" t="str">
        <f ca="1">IF(B103="Burglar's Pack","BP - Waterskin"," ")</f>
        <v xml:space="preserve"> </v>
      </c>
      <c r="Q104" s="33" t="str">
        <f ca="1">INDEX(Items!D47:D66,MATCH(P6,(Items!A47:A66),0))&amp;" SP"</f>
        <v>0 SP</v>
      </c>
      <c r="R104" s="69" t="str">
        <f ca="1">IF(COUNTIF(B92:B94,"*"&amp;"sling"&amp;"*"),"Sling Bullet Pouch"," ")</f>
        <v xml:space="preserve"> </v>
      </c>
      <c r="AJ104" s="58" t="str">
        <f ca="1">IF(AK104=0," ",_xlfn.RANK.EQ(AK104,$AK$104:$AK$113))</f>
        <v xml:space="preserve"> </v>
      </c>
      <c r="AK104" s="60">
        <f t="shared" ref="AK104:AK113" ca="1" si="53">IF(AL104=" ", 0,RAND())</f>
        <v>0</v>
      </c>
      <c r="AL104" s="29" t="str">
        <f t="shared" ref="AL104:AL113" ca="1" si="54">Q334</f>
        <v xml:space="preserve"> </v>
      </c>
      <c r="CB104" s="31" t="s">
        <v>737</v>
      </c>
    </row>
    <row r="105" spans="1:82" x14ac:dyDescent="0.3">
      <c r="A105" s="137"/>
      <c r="B105" s="33" t="str">
        <f ca="1">IF(B103="Scholar's Pack","SP - Bottle of Ink",IF(B103="Priest's Pack","PP - 10 Candles",IF(B103="Entertainer's Pack","EP - 2 Costumes",IF(B103="Dungeoneer's Pack","DP -Hammer ",IF(B103="Diplomat's Pack","DP - Set of Fine Clothes",IF(B103="Burglar's Pack","BP - Bell",IF(B103="explorer's pack","EP - Mess Kit"," ")))))))</f>
        <v xml:space="preserve">DP -Hammer </v>
      </c>
      <c r="C105" s="33"/>
      <c r="D105" s="33"/>
      <c r="E105" s="33"/>
      <c r="F105" s="33"/>
      <c r="G105" s="33"/>
      <c r="H105" s="33"/>
      <c r="I105" s="33"/>
      <c r="J105" s="33"/>
      <c r="K105" s="33"/>
      <c r="L105" s="33"/>
      <c r="M105" s="33"/>
      <c r="N105" s="33"/>
      <c r="O105" s="33" t="str">
        <f ca="1">IF(B103="Priest's Pack","PP - Vestments",IF(B103="Dungeoneer's Pack","DP - Waterskin",IF(B103="Diplomat's Pack","DP - 5 Sheets of Paper",IF(B103="Burglar's Pack","BP - Hooded Lantern",IF(B103="explorer's pack","EP - 50' Hempen Rope"," ")))))</f>
        <v>DP - Waterskin</v>
      </c>
      <c r="P105" s="33" t="str">
        <f ca="1">IF(B103="Burglar's Pack","BP - 50' Hempen Rope"," ")</f>
        <v xml:space="preserve"> </v>
      </c>
      <c r="Q105" s="33" t="str">
        <f ca="1">INDEX(Items!E47:E66,MATCH(P6,(Items!A47:A66),0))&amp;" EP"</f>
        <v>0 EP</v>
      </c>
      <c r="R105" s="33" t="str">
        <f ca="1">IF(COUNTIF(B92:B94,"*"&amp;"sling"&amp;"*"),RANDBETWEEN(6,13)&amp;" Sling Bullets"," ")</f>
        <v xml:space="preserve"> </v>
      </c>
      <c r="AJ105" s="58" t="str">
        <f t="shared" ref="AJ105:AJ113" ca="1" si="55">IF(AK105=0," ",_xlfn.RANK.EQ(AK105,$AK$104:$AK$113))</f>
        <v xml:space="preserve"> </v>
      </c>
      <c r="AK105" s="60">
        <f t="shared" ca="1" si="53"/>
        <v>0</v>
      </c>
      <c r="AL105" s="29" t="str">
        <f t="shared" ca="1" si="54"/>
        <v xml:space="preserve"> </v>
      </c>
      <c r="CB105" s="35">
        <f t="shared" ref="CB105:CB111" ca="1" si="56">_xlfn.RANK.EQ(CC105,$CC$105:$CC$111)</f>
        <v>6</v>
      </c>
      <c r="CC105" s="36">
        <f ca="1">IF(BM8&gt;0,0,RAND())</f>
        <v>6.264258925432209E-2</v>
      </c>
      <c r="CD105" s="29" t="s">
        <v>13</v>
      </c>
    </row>
    <row r="106" spans="1:82" x14ac:dyDescent="0.3">
      <c r="A106" s="137"/>
      <c r="B106" s="33" t="str">
        <f ca="1">IF(B103="Scholar's Pack","SP - Ink Pen",IF(B103="Priest's Pack","PP - Tinderbox",IF(B103="Entertainer's Pack","EP - 5 Candles",IF(B103="Dungeoneer's Pack","DP - 10 Pitons",IF(B103="Diplomat's Pack","DP - Bottle of Ink",IF(B103="Burglar's Pack","BP - 5 Candles",IF(B103="explorer's pack","EP - Tinderbox"," ")))))))</f>
        <v>DP - 10 Pitons</v>
      </c>
      <c r="C106" s="33"/>
      <c r="D106" s="33"/>
      <c r="E106" s="33"/>
      <c r="F106" s="33"/>
      <c r="G106" s="33"/>
      <c r="H106" s="33"/>
      <c r="I106" s="33"/>
      <c r="J106" s="33"/>
      <c r="K106" s="33"/>
      <c r="L106" s="33"/>
      <c r="M106" s="33"/>
      <c r="N106" s="33"/>
      <c r="O106" s="33" t="str">
        <f ca="1">IF(B103="Priest's Pack","PP - 2 Days Rations",IF(B103="Dungeoneer's Pack","DP - 50' Hempen Rope",IF(B103="Diplomat's Pack","DP - Vial of Perfume",IF(B103="Burglar's Pack","BP - 2 Flasks of Oil"," "))))</f>
        <v>DP - 50' Hempen Rope</v>
      </c>
      <c r="P106" s="33" t="str">
        <f ca="1">VLOOKUP(RANDBETWEEN(1,58),Table296[],2)</f>
        <v>Hunting Trap</v>
      </c>
      <c r="Q106" s="33" t="str">
        <f ca="1">INDEX(Items!F47:F66,MATCH(P6,(Items!A47:A66),0))&amp;" GP"</f>
        <v>52 GP</v>
      </c>
      <c r="R106" s="69" t="str">
        <f ca="1">IF(COUNTIF(B92:B94,"*"&amp;"light crossbow"&amp;"*"),"Quiver",IF(COUNTIF(B92:B94,"*"&amp;"hand crossbow"&amp;"*"),"Quiver",IF(COUNTIF(B92:B94,"*"&amp;"heavy crossbow"&amp;"*"),"Quiver",IF(COUNTIF(B92:B94,"*"&amp;"longbow"&amp;"*"),"Quiver",IF(COUNTIF(B92:B94,"*"&amp;"shortbow"&amp;"*"),"Quiver"," ")))))</f>
        <v xml:space="preserve"> </v>
      </c>
      <c r="AJ106" s="58" t="str">
        <f t="shared" ca="1" si="55"/>
        <v xml:space="preserve"> </v>
      </c>
      <c r="AK106" s="60">
        <f t="shared" ca="1" si="53"/>
        <v>0</v>
      </c>
      <c r="AL106" s="29" t="str">
        <f t="shared" ca="1" si="54"/>
        <v xml:space="preserve"> </v>
      </c>
      <c r="CB106" s="35">
        <f t="shared" ca="1" si="56"/>
        <v>4</v>
      </c>
      <c r="CC106" s="36">
        <f ca="1">IF(BM10&gt;0,0,RAND())</f>
        <v>0.21191055576784257</v>
      </c>
      <c r="CD106" s="29" t="s">
        <v>15</v>
      </c>
    </row>
    <row r="107" spans="1:82" x14ac:dyDescent="0.3">
      <c r="A107" s="137"/>
      <c r="B107" s="33" t="str">
        <f ca="1">IF(B103="Scholar's Pack","SP - 10 Sheets of Parchment",IF(B103="Priest's Pack","PP - Alms Box",IF(B103="Entertainer's Pack","EP - 5 Days Rations",IF(B103="Dungeoneer's Pack","DP - 10 Torches",IF(B103="Diplomat's Pack","DP - Ink Pen",IF(B103="Burglar's Pack","BP - Crowbar",IF(B103="explorer's pack","EP - 10 Torches"," ")))))))</f>
        <v>DP - 10 Torches</v>
      </c>
      <c r="C107" s="33"/>
      <c r="D107" s="33"/>
      <c r="E107" s="33"/>
      <c r="F107" s="33"/>
      <c r="G107" s="33"/>
      <c r="H107" s="33"/>
      <c r="I107" s="33"/>
      <c r="J107" s="33"/>
      <c r="K107" s="33"/>
      <c r="L107" s="33"/>
      <c r="M107" s="33"/>
      <c r="N107" s="33"/>
      <c r="O107" s="33" t="str">
        <f ca="1">IF(B103="Priest's Pack","PP - Waterskin",IF(B103="Diplomat's Pack","DP - Sealing Wax",IF(B103="Burglar's Pack","BP - 5 Days Rations"," ")))</f>
        <v xml:space="preserve"> </v>
      </c>
      <c r="P107" s="33" t="str">
        <f ca="1">VLOOKUP(RANDBETWEEN(1,58),Table296[],2)</f>
        <v>Book</v>
      </c>
      <c r="Q107" s="33" t="str">
        <f ca="1">INDEX(Items!G47:G66,MATCH(P6,(Items!A47:A66),0))&amp;" PP"</f>
        <v>0 PP</v>
      </c>
      <c r="R107" s="33" t="str">
        <f ca="1">IF(COUNTIF(B92:B94,"*"&amp;"longbow"&amp;"*"),RANDBETWEEN(10,24)&amp;" Arrows",IF(COUNTIF(B92:B94,"*"&amp;"shortbow"&amp;"*"),RANDBETWEEN(10,24)&amp;" Arrows",IF(COUNTIF(B92:B94,"*"&amp;"light crossbow"&amp;"*"),RANDBETWEEN(10,24)&amp;" Bolts",IF(COUNTIF(B92:B94,"*"&amp;"hand crossbow"&amp;"*"),RANDBETWEEN(10,24)&amp;" Bolts",IF(COUNTIF(B92:B94,"*"&amp;"heavy crossbow"&amp;"*"),RANDBETWEEN(10,24)&amp;" Bolts"," ")))))</f>
        <v xml:space="preserve"> </v>
      </c>
      <c r="AJ107" s="58" t="str">
        <f t="shared" ca="1" si="55"/>
        <v xml:space="preserve"> </v>
      </c>
      <c r="AK107" s="60">
        <f t="shared" ca="1" si="53"/>
        <v>0</v>
      </c>
      <c r="AL107" s="29" t="str">
        <f t="shared" ca="1" si="54"/>
        <v xml:space="preserve"> </v>
      </c>
      <c r="CB107" s="35">
        <f t="shared" ca="1" si="56"/>
        <v>1</v>
      </c>
      <c r="CC107" s="36">
        <f ca="1">IF(BM11&gt;0,0,RAND())</f>
        <v>0.90539142598084643</v>
      </c>
      <c r="CD107" s="29" t="s">
        <v>16</v>
      </c>
    </row>
    <row r="108" spans="1:82" x14ac:dyDescent="0.3">
      <c r="A108" s="137"/>
      <c r="B108" s="33" t="str">
        <f ca="1">IF(AF35&gt;=1,VLOOKUP(RANDBETWEEN(1,200),Table298[],2)," ")</f>
        <v>a small vial filled with dust and  labeled "medikashon"</v>
      </c>
      <c r="C108" s="33"/>
      <c r="D108" s="33"/>
      <c r="E108" s="33"/>
      <c r="F108" s="33"/>
      <c r="G108" s="33"/>
      <c r="H108" s="33"/>
      <c r="I108" s="33"/>
      <c r="J108" s="33"/>
      <c r="K108" s="33"/>
      <c r="L108" s="33"/>
      <c r="M108" s="33"/>
      <c r="N108" s="33"/>
      <c r="O108" s="33" t="str">
        <f ca="1">IF(AF35&gt;=2,VLOOKUP(RANDBETWEEN(1,200),Table298[],2)," ")</f>
        <v>a handful of dirt</v>
      </c>
      <c r="P108" s="33" t="str">
        <f ca="1">IF(AF35&gt;=3,VLOOKUP(RANDBETWEEN(1,200),Table298[],2)," ")</f>
        <v xml:space="preserve"> </v>
      </c>
      <c r="AJ108" s="58" t="str">
        <f t="shared" ca="1" si="55"/>
        <v xml:space="preserve"> </v>
      </c>
      <c r="AK108" s="60">
        <f t="shared" ca="1" si="53"/>
        <v>0</v>
      </c>
      <c r="AL108" s="29" t="str">
        <f t="shared" ca="1" si="54"/>
        <v xml:space="preserve"> </v>
      </c>
      <c r="CB108" s="35">
        <f t="shared" ca="1" si="56"/>
        <v>5</v>
      </c>
      <c r="CC108" s="36">
        <f ca="1">IF(BM13&gt;0,0,RAND())</f>
        <v>7.4632119439561606E-2</v>
      </c>
      <c r="CD108" s="29" t="s">
        <v>18</v>
      </c>
    </row>
    <row r="109" spans="1:82" ht="19.5" thickBot="1" x14ac:dyDescent="0.35">
      <c r="B109" s="38" t="str">
        <f ca="1">IF(AND(P6&gt;=5,O11&lt;&gt;"non-classed"),VLOOKUP(RANDBETWEEN(1,100),Table5764[],2)," ")</f>
        <v>Weapon +1 (Bonus Above)</v>
      </c>
      <c r="O109" s="29" t="str">
        <f ca="1">IF(AND(P6&gt;=11,O11&lt;&gt;"non-classed"),VLOOKUP(RANDBETWEEN(1,100),Table576465[],2)," ")</f>
        <v xml:space="preserve"> </v>
      </c>
      <c r="P109" s="29" t="str">
        <f ca="1">IF(AND(P6&gt;=17,O11&lt;&gt;"non-classed"),VLOOKUP(RANDBETWEEN(1,100),Table576466[],2)," ")</f>
        <v xml:space="preserve"> </v>
      </c>
      <c r="AJ109" s="58" t="str">
        <f t="shared" ca="1" si="55"/>
        <v xml:space="preserve"> </v>
      </c>
      <c r="AK109" s="60">
        <f t="shared" ca="1" si="53"/>
        <v>0</v>
      </c>
      <c r="AL109" s="29" t="str">
        <f t="shared" ca="1" si="54"/>
        <v xml:space="preserve"> </v>
      </c>
      <c r="CB109" s="35">
        <f t="shared" ca="1" si="56"/>
        <v>2</v>
      </c>
      <c r="CC109" s="36">
        <f ca="1">IF(BM14&gt;0,0,RAND())</f>
        <v>0.77996244585153129</v>
      </c>
      <c r="CD109" s="29" t="s">
        <v>19</v>
      </c>
    </row>
    <row r="110" spans="1:82" ht="19.5" thickBot="1" x14ac:dyDescent="0.35">
      <c r="A110" s="33"/>
      <c r="AJ110" s="58" t="str">
        <f t="shared" ca="1" si="55"/>
        <v xml:space="preserve"> </v>
      </c>
      <c r="AK110" s="60">
        <f t="shared" ca="1" si="53"/>
        <v>0</v>
      </c>
      <c r="AL110" s="29" t="str">
        <f t="shared" ca="1" si="54"/>
        <v xml:space="preserve"> </v>
      </c>
      <c r="CB110" s="35">
        <f t="shared" ca="1" si="56"/>
        <v>3</v>
      </c>
      <c r="CC110" s="36">
        <f ca="1">IF(BM16&gt;0,0,RAND())</f>
        <v>0.65488833183496031</v>
      </c>
      <c r="CD110" s="29" t="s">
        <v>21</v>
      </c>
    </row>
    <row r="111" spans="1:82" ht="30.75" thickBot="1" x14ac:dyDescent="0.45">
      <c r="B111" s="105" t="s">
        <v>1327</v>
      </c>
      <c r="AJ111" s="58" t="str">
        <f t="shared" ca="1" si="55"/>
        <v xml:space="preserve"> </v>
      </c>
      <c r="AK111" s="60">
        <f t="shared" ca="1" si="53"/>
        <v>0</v>
      </c>
      <c r="AL111" s="29" t="str">
        <f t="shared" ca="1" si="54"/>
        <v xml:space="preserve"> </v>
      </c>
      <c r="CB111" s="35">
        <f t="shared" ca="1" si="56"/>
        <v>7</v>
      </c>
      <c r="CC111" s="36">
        <f ca="1">IF(BM20&gt;0,0,RAND())</f>
        <v>0</v>
      </c>
      <c r="CD111" s="29" t="s">
        <v>25</v>
      </c>
    </row>
    <row r="112" spans="1:82" x14ac:dyDescent="0.3">
      <c r="B112" s="74"/>
      <c r="C112" s="75"/>
      <c r="D112" s="75"/>
      <c r="E112" s="75"/>
      <c r="F112" s="75"/>
      <c r="G112" s="75"/>
      <c r="H112" s="75"/>
      <c r="I112" s="75"/>
      <c r="J112" s="75"/>
      <c r="K112" s="75"/>
      <c r="L112" s="75"/>
      <c r="M112" s="75"/>
      <c r="N112" s="75"/>
      <c r="O112" s="75"/>
      <c r="P112" s="76" t="s">
        <v>1124</v>
      </c>
      <c r="Q112" s="76" t="s">
        <v>1166</v>
      </c>
      <c r="R112" s="77" t="s">
        <v>1167</v>
      </c>
      <c r="AJ112" s="58" t="str">
        <f t="shared" ca="1" si="55"/>
        <v xml:space="preserve"> </v>
      </c>
      <c r="AK112" s="60">
        <f t="shared" ca="1" si="53"/>
        <v>0</v>
      </c>
      <c r="AL112" s="29" t="str">
        <f t="shared" ca="1" si="54"/>
        <v xml:space="preserve"> </v>
      </c>
    </row>
    <row r="113" spans="2:82" x14ac:dyDescent="0.3">
      <c r="B113" s="78" t="s">
        <v>1122</v>
      </c>
      <c r="C113" s="33"/>
      <c r="D113" s="33"/>
      <c r="E113" s="33"/>
      <c r="F113" s="33"/>
      <c r="G113" s="33"/>
      <c r="H113" s="33"/>
      <c r="I113" s="33"/>
      <c r="J113" s="33"/>
      <c r="K113" s="33"/>
      <c r="L113" s="33"/>
      <c r="M113" s="33"/>
      <c r="N113" s="33"/>
      <c r="O113" s="34">
        <v>1</v>
      </c>
      <c r="P113" s="33" t="str">
        <f ca="1">IF(P2="forest","Minor Illusion",IF(Q2="tiefling","Thaumaturgy",IF(P2="dark","Dancing Lights",IF(P2="high",INDEX('Spell Tables'!P242:P257,MATCH(1,('Spell Tables'!N242:N257),0))," "))))</f>
        <v>Minor Illusion</v>
      </c>
      <c r="Q113" s="33" t="str">
        <f ca="1">IF(AND($P$2="Dark",$P$6&gt;=3),"Faerie Fire (1/day)",IF(AND(Q2="tiefling",P6&gt;=3),"Hellish Rebuke (as 2nd Level - 1/day)"," "))</f>
        <v xml:space="preserve"> </v>
      </c>
      <c r="R113" s="72" t="str">
        <f ca="1">IF(AND($P$2="Dark",$P$6&gt;=5),"Darkness (1/day)",IF(AND(Q2="tiefling",P6&gt;=5),"Darkness (1/day)"," "))</f>
        <v xml:space="preserve"> </v>
      </c>
      <c r="AJ113" s="58" t="str">
        <f t="shared" ca="1" si="55"/>
        <v xml:space="preserve"> </v>
      </c>
      <c r="AK113" s="60">
        <f t="shared" ca="1" si="53"/>
        <v>0</v>
      </c>
      <c r="AL113" s="29" t="str">
        <f t="shared" ca="1" si="54"/>
        <v xml:space="preserve"> </v>
      </c>
      <c r="CB113" s="31" t="s">
        <v>738</v>
      </c>
    </row>
    <row r="114" spans="2:82" x14ac:dyDescent="0.3">
      <c r="B114" s="79">
        <f ca="1">IF(OR(P2="dark",Q2="tiefling"),8+$P$8+$N$43,IF(P2="Forest",8+$P$8+$N$41," "))</f>
        <v>11</v>
      </c>
      <c r="C114" s="33"/>
      <c r="D114" s="33"/>
      <c r="E114" s="33"/>
      <c r="F114" s="33"/>
      <c r="G114" s="33"/>
      <c r="H114" s="33"/>
      <c r="I114" s="33"/>
      <c r="J114" s="33"/>
      <c r="K114" s="33"/>
      <c r="L114" s="33"/>
      <c r="M114" s="33"/>
      <c r="N114" s="33"/>
      <c r="O114" s="34">
        <v>2</v>
      </c>
      <c r="P114" s="33"/>
      <c r="Q114" s="33"/>
      <c r="R114" s="72"/>
      <c r="CB114" s="35">
        <f t="shared" ref="CB114:CB119" ca="1" si="57">_xlfn.RANK.EQ(CC114,$CC$114:$CC$119)</f>
        <v>3</v>
      </c>
      <c r="CC114" s="36">
        <f ca="1">IF(BM8&gt;0,0,RAND())</f>
        <v>0.7342195309933649</v>
      </c>
      <c r="CD114" s="29" t="s">
        <v>13</v>
      </c>
    </row>
    <row r="115" spans="2:82" x14ac:dyDescent="0.3">
      <c r="B115" s="78" t="s">
        <v>1123</v>
      </c>
      <c r="C115" s="33"/>
      <c r="D115" s="33"/>
      <c r="E115" s="33"/>
      <c r="F115" s="33"/>
      <c r="G115" s="33"/>
      <c r="H115" s="33"/>
      <c r="I115" s="33"/>
      <c r="J115" s="33"/>
      <c r="K115" s="33"/>
      <c r="L115" s="33"/>
      <c r="M115" s="33"/>
      <c r="N115" s="33"/>
      <c r="O115" s="34">
        <v>3</v>
      </c>
      <c r="P115" s="33"/>
      <c r="Q115" s="33"/>
      <c r="R115" s="72"/>
      <c r="AJ115" s="31" t="s">
        <v>1171</v>
      </c>
      <c r="CB115" s="35">
        <f t="shared" ca="1" si="57"/>
        <v>1</v>
      </c>
      <c r="CC115" s="36">
        <f ca="1">IF(BM11&gt;0,0,RAND())</f>
        <v>0.96489228415724171</v>
      </c>
      <c r="CD115" s="29" t="s">
        <v>16</v>
      </c>
    </row>
    <row r="116" spans="2:82" ht="19.5" thickBot="1" x14ac:dyDescent="0.35">
      <c r="B116" s="80">
        <f ca="1">IF(OR(P2="dark",Q2="tiefling"),P8+$N$43,IF(P2="forest",P8+$N$41," "))</f>
        <v>3</v>
      </c>
      <c r="C116" s="38"/>
      <c r="D116" s="38"/>
      <c r="E116" s="38"/>
      <c r="F116" s="38"/>
      <c r="G116" s="38"/>
      <c r="H116" s="38"/>
      <c r="I116" s="38"/>
      <c r="J116" s="38"/>
      <c r="K116" s="38"/>
      <c r="L116" s="38"/>
      <c r="M116" s="38"/>
      <c r="N116" s="38"/>
      <c r="O116" s="38"/>
      <c r="P116" s="38"/>
      <c r="Q116" s="38"/>
      <c r="R116" s="73"/>
      <c r="AJ116" s="58" t="str">
        <f ca="1">IF(AK116=0," ",_xlfn.RANK.EQ(AK116,$AK$116:$AK$125))</f>
        <v xml:space="preserve"> </v>
      </c>
      <c r="AK116" s="60">
        <f t="shared" ref="AK116:AK125" ca="1" si="58">IF(AL116=" ", 0,RAND())</f>
        <v>0</v>
      </c>
      <c r="AL116" s="29" t="str">
        <f t="shared" ref="AL116:AL125" ca="1" si="59">R334</f>
        <v xml:space="preserve"> </v>
      </c>
      <c r="CB116" s="35">
        <f t="shared" ca="1" si="57"/>
        <v>5</v>
      </c>
      <c r="CC116" s="36">
        <f ca="1">IF(BM12&gt;0,0,RAND())</f>
        <v>0</v>
      </c>
      <c r="CD116" s="29" t="s">
        <v>17</v>
      </c>
    </row>
    <row r="117" spans="2:82" ht="19.5" thickBot="1" x14ac:dyDescent="0.35">
      <c r="AJ117" s="58" t="str">
        <f t="shared" ref="AJ117:AJ125" ca="1" si="60">IF(AK117=0," ",_xlfn.RANK.EQ(AK117,$AK$116:$AK$125))</f>
        <v xml:space="preserve"> </v>
      </c>
      <c r="AK117" s="60">
        <f t="shared" ca="1" si="58"/>
        <v>0</v>
      </c>
      <c r="AL117" s="29" t="str">
        <f t="shared" ca="1" si="59"/>
        <v xml:space="preserve"> </v>
      </c>
      <c r="CB117" s="35">
        <f t="shared" ca="1" si="57"/>
        <v>4</v>
      </c>
      <c r="CC117" s="36">
        <f ca="1">IF(BM14&gt;0,0,RAND())</f>
        <v>0.30140365847172257</v>
      </c>
      <c r="CD117" s="29" t="s">
        <v>19</v>
      </c>
    </row>
    <row r="118" spans="2:82" ht="30.75" thickBot="1" x14ac:dyDescent="0.45">
      <c r="B118" s="105" t="s">
        <v>1334</v>
      </c>
      <c r="AJ118" s="58" t="str">
        <f t="shared" ca="1" si="60"/>
        <v xml:space="preserve"> </v>
      </c>
      <c r="AK118" s="60">
        <f t="shared" ca="1" si="58"/>
        <v>0</v>
      </c>
      <c r="AL118" s="29" t="str">
        <f t="shared" ca="1" si="59"/>
        <v xml:space="preserve"> </v>
      </c>
      <c r="CB118" s="35">
        <f t="shared" ca="1" si="57"/>
        <v>2</v>
      </c>
      <c r="CC118" s="36">
        <f ca="1">IF(BM15&gt;0,0,RAND())</f>
        <v>0.87111653398905275</v>
      </c>
      <c r="CD118" s="29" t="s">
        <v>20</v>
      </c>
    </row>
    <row r="119" spans="2:82" x14ac:dyDescent="0.3">
      <c r="B119" s="79"/>
      <c r="C119" s="27"/>
      <c r="D119" s="27"/>
      <c r="E119" s="27"/>
      <c r="F119" s="27"/>
      <c r="G119" s="27"/>
      <c r="H119" s="27"/>
      <c r="I119" s="27"/>
      <c r="J119" s="27"/>
      <c r="K119" s="27"/>
      <c r="L119" s="27"/>
      <c r="M119" s="27"/>
      <c r="N119" s="27"/>
      <c r="O119" s="27"/>
      <c r="P119" s="76" t="s">
        <v>1124</v>
      </c>
      <c r="Q119" s="76" t="s">
        <v>1166</v>
      </c>
      <c r="R119" s="76" t="s">
        <v>1167</v>
      </c>
      <c r="S119" s="76" t="s">
        <v>1168</v>
      </c>
      <c r="T119" s="77" t="s">
        <v>676</v>
      </c>
      <c r="AJ119" s="58" t="str">
        <f t="shared" ca="1" si="60"/>
        <v xml:space="preserve"> </v>
      </c>
      <c r="AK119" s="60">
        <f t="shared" ca="1" si="58"/>
        <v>0</v>
      </c>
      <c r="AL119" s="29" t="str">
        <f t="shared" ca="1" si="59"/>
        <v xml:space="preserve"> </v>
      </c>
      <c r="CB119" s="35">
        <f t="shared" ca="1" si="57"/>
        <v>5</v>
      </c>
      <c r="CC119" s="36">
        <f ca="1">IF(BM20&gt;0,0,RAND())</f>
        <v>0</v>
      </c>
      <c r="CD119" s="29" t="s">
        <v>25</v>
      </c>
    </row>
    <row r="120" spans="2:82" x14ac:dyDescent="0.3">
      <c r="B120" s="78" t="str">
        <f ca="1">IF(P15="way of the four elements","Way of the Four Elements",IF(AND(O11="wizard",O12&gt;=20),"Signature Spell",IF(AND($O$11="paladin",$O$12&gt;=3),"Oath Spells",IF(AND($P$15="moon",$O$12&gt;=14),"Thousand Forms",IF($P$15="way of the shadow","Shadow Arts",IF(AND($O$11="druid",$P$15="land"),"Land Circle Spells",IF($O$11="cleric","Domain Spells",IF($O$11="bard","Magical Secrets",IF($P$15="path of the totem warrior","Totem Warrior Spells",IF(AND($O$11="warlock",$O$12&gt;=2),"Mystic Arcanum and Invocation",IF($P$15="arcane trickster","4th,8th,14th,20th non E&amp;I spells",IF($P$15="eldritch knight","4th,8th,14th,20th non A&amp;E spells"," "))))))))))))</f>
        <v>Shadow Arts</v>
      </c>
      <c r="C120" s="33"/>
      <c r="D120" s="33"/>
      <c r="E120" s="33"/>
      <c r="F120" s="33"/>
      <c r="G120" s="33"/>
      <c r="H120" s="33"/>
      <c r="I120" s="33"/>
      <c r="J120" s="33"/>
      <c r="K120" s="33"/>
      <c r="L120" s="33"/>
      <c r="M120" s="33"/>
      <c r="N120" s="33"/>
      <c r="O120" s="34">
        <v>1</v>
      </c>
      <c r="P120" s="33" t="str">
        <f ca="1">IF($O$16="pact of the tome",INDEX('Spell Tables'!$BD$19:$BD$37,MATCH(1,('Spell Tables'!$BB$19:$BB$37),0)),IF($P$15="way of the shadow","Minor Illusion (free)",IF($P$15="land",INDEX('Spell Tables'!P48:P55,MATCH(8,('Spell Tables'!N48:N55),0)),IF($P$15="nature",INDEX('Spell Tables'!P48:P55,MATCH(6,('Spell Tables'!N48:N55),0)),IF($P$15="light","Light",IF(AND($O$11="bard",AL191="c"),INDEX('Spell Tables'!$BD$2:$BD$16,MATCH(10,('Spell Tables'!$BB$2:$BB$16),0))," "))))))</f>
        <v>Minor Illusion (free)</v>
      </c>
      <c r="Q120" s="33" t="str">
        <f ca="1">IF(COUNTIF(P18:P21,"*"&amp;"Fist of Four Thunders"&amp;"*"),"Thunderwave (2 ki)",IF(COUNTIF($O$18:$O$25,"*"&amp;"armor of shadows"&amp;"*"),"Mage Armor*",IF($P$15="oath of vengeance","Bane",IF($P$15="Oath of the Ancients","Ensnaring Strike",IF($P$15="Oath of Devotion","Protection from Good and Evil",IF(AND($P$15="war",$O$12&gt;=1),"Divine Favor",IF(AND($P$15="Trickery",$O$12&gt;=1),"Charm Person",IF(AND($P$15="tempest",$O$12&gt;=1),"Fog Cloud",IF(AND($P$15="nature",$O$12&gt;=1),"Animal Friendship",IF(AND($P$15="light",$O$12&gt;=1),"Burning Hands",IF($P$15="life","Bless",IF($P$15="knowledge","Command",IF(AND($O$11="bard",AL155=1),INDEX('Spell Tables'!$BH$2:$BH$41,MATCH($O$120,('Spell Tables'!$BF$2:$BF$41),0)),IF($P$15="arcane trickster",INDEX('Spell Tables'!$X$141:$X$163,MATCH(O120,('Spell Tables'!$V$141:$V$163),0)),IF($P$15="path of the totem warrior","Speak with Animals (as ritual)",IF($P$15="eldritch knight",INDEX('Spell Tables'!$X$70:$X$90,MATCH($O$120,('Spell Tables'!$V$70:$V$90),0))," "))))))))))))))))</f>
        <v xml:space="preserve"> </v>
      </c>
      <c r="R120" s="33" t="str">
        <f ca="1">IF(COUNTIF(P18:P21,"*"&amp;"Clench of the North Wind"&amp;"*"),"Hold Person (3 ki)",IF(COUNTIF(P18:P21,"*"&amp;"Clench of the North Wind"&amp;"*"),"Hold Person (3 ki)",IF(COUNTIF(O18:O25,"*"&amp;"ascendant step"&amp;"*"),"Levitate*",IF(AND(P15="oath of vengeance",O12&gt;=5),"Hold Person",IF(AND(P15="Oath of the Ancients",O12&gt;=5),"Moonbeam",IF(AND(P15="Oath of Devotion",O12&gt;=5),"Lesser Restoration",IF(AND(P15="moon",O12&gt;=14),"Alter Self",IF(P15="Way of the Shadow","Darkness",IF(AND($P$20="Underdark",$O$12&gt;=3),"Spider Climb",IF(AND($P$20="Swamp",$O$12&gt;=3),"Darkness",IF(AND($P$20="Mountain",$O$12&gt;=3),"Spider Climb",IF(AND($P$20="Grassland",$O$12&gt;=3),"Invisibility",IF(AND($P$20="Forest",$O$12&gt;=3),"Barkskin",IF(AND($P$20="Desert",$O$12&gt;=3),"Blur",IF(AND($P$20="Coast",$O$12&gt;=3),"Mirror Image",IF(AND($P$20="arctic",$O$12&gt;=3),"Hold Person",IF(AND(P15="war",O12&gt;=3),"Magic Weapon",IF(AND(P15="Trickery",O12&gt;=3),"Mirror Image",IF(AND(P15="tempest",O12&gt;=3),"Gust of Wind",IF(AND(P15="nature",O12&gt;=3),"Barkskin",IF(AND(P15="light",O12&gt;=3),"Flaming Sphere",IF(AND(P15="Life",O12&gt;=3),"Lesser Restoration",IF(AND(P15="knowledge",O12&gt;=3),"Augury",IF(AND(O11="bard",AL155=2),INDEX('Spell Tables'!BL2:BL37,MATCH(O120,('Spell Tables'!BJ2:BJ37),0)),IF(P15="path of the totem warrior","Beast Sense (as ritual)",IF(AND(P15="eldritch knight",O12&gt;=8),INDEX('Spell Tables'!AF70:AF94,MATCH(#REF!,('Spell Tables'!AD70:AD94),0)),IF(AND(P15="arcane trickster",O12&gt;=8),INDEX('Spell Tables'!AF141:AF165,MATCH(#REF!,('Spell Tables'!AD141:AD165),0))," ")))))))))))))))))))))))))))</f>
        <v>Darkness</v>
      </c>
      <c r="S120" s="33" t="str">
        <f ca="1">IF(COUNTIF(P18:P21,"*"&amp;"Mist Stance"&amp;"*"),"Gaseous Form (4 ki)",IF(AND($O$11="wizard",O12&gt;=20),INDEX('Spell Tables'!$AB$242:$AB$270,MATCH(29,('Spell Tables'!$Z$242:$Z$270),0)),IF(COUNTIF(O18:O25,"*"&amp;"mire the mind"&amp;"*"),"Slow**",IF(AND(P15="oath of vengeance",O12&gt;=9),"Haste",IF(AND(P15="Oath of the Ancients",O12&gt;=9),"Plant Growth",IF(AND(P15="Oath of Devotion",O12&gt;=9),"Beacon of Hope",IF(AND($P$20="Underdark",$O$12&gt;=5),"Gaseous Form",IF(AND($P$20="Swamp",$O$12&gt;=5),"Water Walk",IF(AND($P$20="Mountain",$O$12&gt;=5),"Lightning Bolt",IF(AND($P$20="Grassland",$O$12&gt;=5),"Daylight",IF(AND($P$20="Forest",$O$12&gt;=5),"Call Lightning",IF(AND($P$20="Desert",$O$12&gt;=5),"Create Food and Water",IF(AND($P$20="Coast",$O$12&gt;=5),"Water Breathing",IF(AND($P$20="arctic",$O$12&gt;=5),"Sleet Storm",IF(AND(P15="war",O12&gt;=5),"Crusader's Mantle",IF(AND(P15="trickery",O12&gt;=5),"Blink",IF(AND(P15="tempest",O12&gt;=5),"Call Lightning",IF(AND(P15="nature",O12&gt;=5),"Plant Growth",IF(AND(P15="light",O12&gt;=5),"Daylight",IF(AND(P15="life",O12&gt;=5),"Beacon of Hope",IF(AND(P15="knowledge",O12&gt;=5),"Nondetection",IF(AND(O11="bard",AL155=3),INDEX('Spell Tables'!BP2:BP35,MATCH(O120,('Spell Tables'!BN2:BN35),0)),IF(AND(P15="arcane trickster",O12&gt;=14),INDEX('Spell Tables'!AN141:AN165,MATCH(O120,('Spell Tables'!AL141:AL165),0)),IF(AND(P15="eldritch knight",O12&gt;=14),INDEX('Spell Tables'!AN70:AN88,MATCH(O120,('Spell Tables'!AL70:AL88),0))," "))))))))))))))))))))))))</f>
        <v xml:space="preserve"> </v>
      </c>
      <c r="T120" s="72" t="str">
        <f ca="1">IF(COUNTIF(P18:P21,"*"&amp;"Eternal Mountain Defense"&amp;"*"),"Stoneskin (5 ki)",IF(COUNTIF(O18:O25,"*"&amp;"bewitching whispers"&amp;"*"),"Compulsion**",IF(AND(P15="oath of vengeance",O12&gt;=13),"Banishment",IF(AND(P15="Oath of the Ancients",O12&gt;=13),"Ice Storm",IF(AND(P15="Oath of Devotion",O12&gt;=13),"Freedom of Movement",IF(AND($P$20="Underdark",$O$12&gt;=7),"Greater Invisibility",IF(AND($P$20="Swamp",$O$12&gt;=7),"Freedom of Movement",IF(AND($P$20="Mountain",$O$12&gt;=7),"Stone Shape",IF(AND($P$20="Grassland",$O$12&gt;=7),"Divination",IF(AND($P$20="Forest",$O$12&gt;=7),"Divination",IF(AND($P$20="Desert",$O$12&gt;=7),"Blight",IF(AND($P$20="Coast",$O$12&gt;=7),"Control Water",IF(AND($P$20="arctic",$O$12&gt;=7),"Freedom of Movement",IF(AND(P15="war",O12&gt;=7),"Freedom of Movement",IF(AND(P15="trickery",O12&gt;=7),"Dimension Door",IF(AND(P15="tempest",O12&gt;=7),"Control Water",IF(AND(P15="nature",O12&gt;=7),"Dominate Beast",IF(AND(P15="light",O12&gt;=7),"Guardian of Faith",IF(AND(P15="life",O12&gt;=7),"Death Ward",IF(AND(P15="knowledge",O12&gt;=7),"Arcane Eye",IF(AND(O11="bard",AL155=4),INDEX('Spell Tables'!BT2:BT29,MATCH(O120,('Spell Tables'!BR2:BR29),0)),IF(AND(P15="arcane trickster",O12&gt;=20),INDEX('Spell Tables'!AV141:AV159,MATCH(O120,('Spell Tables'!AT141:AT159),0)),IF(AND(P15="eldritch knight",O12&gt;=20),INDEX('Spell Tables'!AV70:AV86,MATCH(O120,('Spell Tables'!AT70:AT86),0))," ")))))))))))))))))))))))</f>
        <v xml:space="preserve"> </v>
      </c>
      <c r="AJ120" s="58" t="str">
        <f t="shared" ca="1" si="60"/>
        <v xml:space="preserve"> </v>
      </c>
      <c r="AK120" s="60">
        <f t="shared" ca="1" si="58"/>
        <v>0</v>
      </c>
      <c r="AL120" s="29" t="str">
        <f t="shared" ca="1" si="59"/>
        <v xml:space="preserve"> </v>
      </c>
    </row>
    <row r="121" spans="2:82" x14ac:dyDescent="0.3">
      <c r="B121" s="79" t="str">
        <f ca="1">IF(P15="way of the four elements","Elemental Disciplines - cost Ki",IF(AND(O11="wizard",O12&gt;=20),"Always Prepared",IF(AND($O$11="warlock",$O$12&gt;=2),"* = at will - no slot use",IF($P$15="land",$P$20," "))))</f>
        <v xml:space="preserve"> </v>
      </c>
      <c r="C121" s="33"/>
      <c r="D121" s="33"/>
      <c r="E121" s="33"/>
      <c r="F121" s="33"/>
      <c r="G121" s="33"/>
      <c r="H121" s="33"/>
      <c r="I121" s="33"/>
      <c r="J121" s="33"/>
      <c r="K121" s="33"/>
      <c r="L121" s="33"/>
      <c r="M121" s="33"/>
      <c r="N121" s="33"/>
      <c r="O121" s="34">
        <v>2</v>
      </c>
      <c r="P121" s="33" t="str">
        <f ca="1">IF($O$16="pact of the tome",INDEX('Spell Tables'!$BD$19:$BD$37,MATCH(2,('Spell Tables'!$BB$19:$BB$37),0)),IF(AND($O$11="bard",AL192="c"),INDEX('Spell Tables'!$BD$2:$BD$16,MATCH(11,('Spell Tables'!$BB$2:$BB$16),0))," "))</f>
        <v xml:space="preserve"> </v>
      </c>
      <c r="Q121" s="33" t="str">
        <f ca="1">IF(COUNTIF(P18:P21,"*"&amp;"Sweeping Cinder Strike"&amp;"*"),"Burning Hands (2 ki)",IF(COUNTIF(O18:O25,"*"&amp;"beast speech"&amp;"*"),"Speak with Animals*",IF(P15="Oath of the Ancients","Speak with Animals",IF(P15="Oath of vengeance","Hunter's Mark",IF(P15="Oath of Devotion","Sanctuary",IF(AND(P15="war",O12&gt;=1),"Shield of Faith",IF(AND(P15="trickery",O12&gt;=1),"Disguise Self",IF(AND(P15="tempest",O12&gt;=1),"Thunderwave",IF(AND(P15="Nature",O12&gt;=1),"Speak with Animals",IF(AND(P15="light",O12&gt;=1),"Faerie Fire",IF(P15="life","Cure Wounds",IF(P15="knowledge","Identify",IF(AND($O$11="bard",AL156=1),INDEX('Spell Tables'!$BH$2:$BH$41,MATCH(O121,('Spell Tables'!$BF$2:$BF$41),0))," ")))))))))))))</f>
        <v xml:space="preserve"> </v>
      </c>
      <c r="R121" s="33" t="str">
        <f ca="1">IF(COUNTIF(P18:P21,"*"&amp;"Gong of the Summit"&amp;"*"),"Shatter (3 ki)",IF(COUNTIF(O18:O25,"*"&amp;"master of myriad forms"&amp;"*"),"Alter Self*",IF(AND(P15="oath of vengeance",O12&gt;=5),"Misty Step",IF(AND(P15="Oath of the Ancients",O12&gt;=5),"Misty Step",IF(AND(P15="Oath of Devotion",O12&gt;=5),"Zone of Truth",IF(P15="way of the shadow","Darkvision",IF(AND($P$20="Underdark",$O$12&gt;=3),"Web",IF(AND($P$20="Swamp",$O$12&gt;=3),"Melf's Acid Arrow",IF(AND($P$20="Mountain",$O$12&gt;=3),"Spike Growth",IF(AND($P$20="Grassland",$O$12&gt;=3),"Pass Without Trace",IF(AND($P$20="Forest",$O$12&gt;=3),"Spider Climb",IF(AND($P$20="Desert",$O$12&gt;=3),"Silence",IF(AND($P$20="Coast",$O$12&gt;=3),"Misty Step",IF(AND($P$20="arctic",$O$12&gt;=3),"Spike Growth",IF(AND(P15="war",O12&gt;=3),"Spiritual Weapon",IF(AND(P15="trickery",O12&gt;=3),"Pass Without Trace",IF(AND(P15="tempest",O12&gt;=3),"Shatter",IF(AND(P15="nature",O12&gt;=3),"Spike Growth",IF(AND(P15="light",O12&gt;=3),"Scorching Ray",IF(AND(P15="life",O12&gt;=3),"Spiritual Weapon",IF(AND(P15="knowledge",O12&gt;=3),"Suggestion",IF(AND($O$11="bard",AL156=2),INDEX('Spell Tables'!$BL$2:$BL$37,MATCH(O121,('Spell Tables'!$BJ$2:$BJ$37),0))," "))))))))))))))))))))))</f>
        <v>Darkvision</v>
      </c>
      <c r="S121" s="33" t="str">
        <f ca="1">IF(COUNTIF(P18:P21,"*"&amp;"Ride the Wind"&amp;"*"),"Fly (4 ki)",IF(AND($O$11="wizard",O12&gt;=20),INDEX('Spell Tables'!$AB$242:$AB$270,MATCH(28,('Spell Tables'!$Z$242:$Z$270),0)),IF(COUNTIF(O18:O25,"*"&amp;"sign of ill omen"&amp;"*"),"Bestow Curse**",IF(AND(P15="oath of vengeance",O12&gt;=9),"Protection from Energy",IF(AND(P15="Oath of the Ancients",O12&gt;=9),"Protection from Energy",IF(AND(P15="Oath of Devotion",O12&gt;=9),"Dispel Magic",IF(AND($P$20="Underdark",$O$12&gt;=5),"Stinking Cloud",IF(AND($P$20="Swamp",$O$12&gt;=5),"Stinking Cloud",IF(AND($P$20="Mountain",$O$12&gt;=5),"Meld Into Stone",IF(AND($P$20="Grassland",$O$12&gt;=5),"Haste",IF(AND($P$20="Forest",$O$12&gt;=5),"Plant Growth",IF(AND($P$20="Desert",$O$12&gt;=5),"Protection from Energy",IF(AND($P$20="Coast",$O$12&gt;=5),"Water Walk",IF(AND($P$20="arctic",$O$12&gt;=5),"Slow",IF(AND(P15="war",O12&gt;=5),"Spirit Guardians",IF(AND(P15="trickery",O12&gt;=5),"Dispel Magic",IF(AND(P15="Tempest",O12&gt;=5),"Sleet Storm",IF(AND(P15="nature",O12&gt;=5),"Wind Wall",IF(AND(P15="light",O12&gt;=5),"Fireball",IF(AND(P15="life",O12&gt;=5),"Revivify",IF(AND(P15="knowledge",O12&gt;=5),"Speak with Dead",IF(AND($O$11="bard",AL156=3),INDEX('Spell Tables'!$BP$2:$BP$35,MATCH(O121,('Spell Tables'!$BN$2:$BN$35),0))," "))))))))))))))))))))))</f>
        <v xml:space="preserve"> </v>
      </c>
      <c r="T121" s="72" t="str">
        <f ca="1">IF(COUNTIF(P18:P21,"*"&amp;"River of Hungry Flame"&amp;"*"),"Wall of Fire (5 ki)",IF(COUNTIF(O18:O25,"*"&amp;"Dreadful word"&amp;"*"),"Confusion**",IF(AND(P15="oath of vengeance",O12&gt;=13),"Dimension Door",IF(AND(P15="Oath of the Ancients",O12&gt;=13),"Stoneskin",IF(AND(P15="Oath of Devotion",O12&gt;=13),"Guardian of Faith",IF(AND($P$20="Underdark",$O$12&gt;=7),"Stone Shape",IF(AND($P$20="Swamp",$O$12&gt;=7),"Locate Creature",IF(AND($P$20="Mountain",$O$12&gt;=7),"Stonekin",IF(AND($P$20="Grassland",$O$12&gt;=7),"Freedom of Movement",IF(AND($P$20="Forest",$O$12&gt;=7),"Freedom of Movement",IF(AND($P$20="Desert",$O$12&gt;=7),"Hallucinatory Terrain",IF(AND($P$20="Coast",$O$12&gt;=7),"Freedom of Movement",IF(AND($P$20="arctic",$O$12&gt;=7),"Ice Storm",IF(AND(P15="war",O12&gt;=7),"Stoneskin",IF(AND(P15="trickery",O12&gt;=7),"Polymorph",IF(AND(P15="tempest",O12&gt;=7),"Ice Storm",IF(AND(P15="nature",O12&gt;=7),"Grasping Vine",IF(AND(P15="light",O12&gt;=7),"Wall of Fire",IF(AND(P15="life",O12&gt;=7),"Guardian of Faith",IF(AND(P15="knowledge",O12&gt;=7),"Confusion",IF(AND($O$11="bard",AL156=4),INDEX('Spell Tables'!$BT$2:$BT$29,MATCH(O121,('Spell Tables'!$BR$2:$BR$29),0))," ")))))))))))))))))))))</f>
        <v xml:space="preserve"> </v>
      </c>
      <c r="AJ121" s="58" t="str">
        <f t="shared" ca="1" si="60"/>
        <v xml:space="preserve"> </v>
      </c>
      <c r="AK121" s="60">
        <f t="shared" ca="1" si="58"/>
        <v>0</v>
      </c>
      <c r="AL121" s="29" t="str">
        <f t="shared" ca="1" si="59"/>
        <v xml:space="preserve"> </v>
      </c>
    </row>
    <row r="122" spans="2:82" x14ac:dyDescent="0.3">
      <c r="B122" s="79" t="str">
        <f ca="1">IF(AND(O11="wizard",O12&gt;=20),"Cast once at 3rd level - no slot use",IF(AND($O$11="warlock",$O$12&gt;=2),"** = once per long rest - uses slot",IF(AND($O$11="paladin",$O$12&gt;=3),"Free Preparation",IF(AND($P$15="moon",$O$12&gt;=14),"At Will",IF($P$15="way of the shadow","Cost 2 Ki Points",IF(OR($P$15="land",$O$11="cleric"),"Free Preparation",IF(AND($O$11="bard",$O$12&gt;=10),"Count Toward Known"," ")))))))</f>
        <v>Cost 2 Ki Points</v>
      </c>
      <c r="C122" s="33"/>
      <c r="D122" s="33"/>
      <c r="E122" s="33"/>
      <c r="F122" s="33"/>
      <c r="G122" s="33"/>
      <c r="H122" s="33"/>
      <c r="I122" s="33"/>
      <c r="J122" s="33"/>
      <c r="K122" s="33"/>
      <c r="L122" s="33"/>
      <c r="M122" s="33"/>
      <c r="N122" s="33"/>
      <c r="O122" s="34">
        <v>3</v>
      </c>
      <c r="P122" s="33" t="str">
        <f ca="1">IF($O$16="pact of the tome",INDEX('Spell Tables'!$BD$19:$BD$37,MATCH(3,('Spell Tables'!$BB$19:$BB$37),0))," ")</f>
        <v xml:space="preserve"> </v>
      </c>
      <c r="Q122" s="29" t="str">
        <f ca="1">IF(COUNTIF(O18:O25,"*"&amp;"eldritch sight"&amp;"*"),"Detect Magic*",IF(AND($O$11="bard",AL191=1),INDEX('Spell Tables'!$BH$2:$BH$41,MATCH(O122,('Spell Tables'!$BF$2:$BF$41),0))," "))</f>
        <v xml:space="preserve"> </v>
      </c>
      <c r="R122" s="33" t="str">
        <f ca="1">IF(COUNTIF(P18:P21,"*"&amp;"Rush of the Gale Spirits"&amp;"*"),"Gust of Wind (2 ki)",IF(P15="way of the shadow","Pass Without Trace",IF(AND($O$11="bard",AL191=2),INDEX('Spell Tables'!$BL$2:$BL$37,MATCH(O122,('Spell Tables'!$BJ$2:$BJ$37),0))," ")))</f>
        <v>Pass Without Trace</v>
      </c>
      <c r="S122" s="33" t="str">
        <f ca="1">IF(COUNTIF(O18:O25,"*"&amp;"whispers of the grave"&amp;"*"),"Speak with Dead*",IF(AND($O$11="bard",AL191=3),INDEX('Spell Tables'!$BP$2:$BP$35,MATCH(O122,('Spell Tables'!$BN$2:$BN$35),0))," "))</f>
        <v xml:space="preserve"> </v>
      </c>
      <c r="T122" s="72" t="str">
        <f ca="1">IF(COUNTIF(O18:O25,"*"&amp;"Sculptor of Flesh"&amp;"*"),"Polymorph**"," ")</f>
        <v xml:space="preserve"> </v>
      </c>
      <c r="AJ122" s="58" t="str">
        <f t="shared" ca="1" si="60"/>
        <v xml:space="preserve"> </v>
      </c>
      <c r="AK122" s="60">
        <f t="shared" ca="1" si="58"/>
        <v>0</v>
      </c>
      <c r="AL122" s="29" t="str">
        <f t="shared" ca="1" si="59"/>
        <v xml:space="preserve"> </v>
      </c>
    </row>
    <row r="123" spans="2:82" x14ac:dyDescent="0.3">
      <c r="B123" s="79" t="str">
        <f ca="1">IF(AND($O$11="warlock",$O$12&gt;=2),"6th level and up = *"," ")</f>
        <v xml:space="preserve"> </v>
      </c>
      <c r="O123" s="81">
        <v>4</v>
      </c>
      <c r="Q123" s="29" t="str">
        <f ca="1">IF(COUNTIF(O18:O25,"*"&amp;"fiendish vigor"&amp;"*"),"False Life*",IF(AND($O$11="bard",AL192=1),INDEX('Spell Tables'!$BH$2:$BH$41,MATCH(O123,('Spell Tables'!$BF$2:$BF$41),0))," "))</f>
        <v xml:space="preserve"> </v>
      </c>
      <c r="R123" s="29" t="str">
        <f ca="1">IF(P15="way of the shadow","Silence",IF(AND($O$11="bard",AL192=2),INDEX('Spell Tables'!$BL$2:$BL$37,MATCH(O123,('Spell Tables'!$BJ$2:$BJ$37),0))," "))</f>
        <v>Silence</v>
      </c>
      <c r="S123" s="29" t="str">
        <f ca="1">IF(AND($O$11="bard",AL192=3),INDEX('Spell Tables'!$BP$2:$BP$35,MATCH(O123,('Spell Tables'!$BN$2:$BN$35),0))," ")</f>
        <v xml:space="preserve"> </v>
      </c>
      <c r="T123" s="72" t="str">
        <f ca="1">IF(COUNTIF(O18:O25,"*"&amp;"visions of distant realms"&amp;"*"),"Arcane Eye*"," ")</f>
        <v xml:space="preserve"> </v>
      </c>
      <c r="AJ123" s="58" t="str">
        <f t="shared" ca="1" si="60"/>
        <v xml:space="preserve"> </v>
      </c>
      <c r="AK123" s="60">
        <f t="shared" ca="1" si="58"/>
        <v>0</v>
      </c>
      <c r="AL123" s="29" t="str">
        <f t="shared" ca="1" si="59"/>
        <v xml:space="preserve"> </v>
      </c>
    </row>
    <row r="124" spans="2:82" x14ac:dyDescent="0.3">
      <c r="B124" s="79"/>
      <c r="O124" s="81">
        <v>5</v>
      </c>
      <c r="Q124" s="29" t="str">
        <f ca="1">IF(COUNTIF(O18:O25,"*"&amp;"Mask of many faces"&amp;"*"),"Disguise Self*","")</f>
        <v/>
      </c>
      <c r="T124" s="72"/>
      <c r="AJ124" s="58" t="str">
        <f t="shared" ca="1" si="60"/>
        <v xml:space="preserve"> </v>
      </c>
      <c r="AK124" s="60">
        <f t="shared" ca="1" si="58"/>
        <v>0</v>
      </c>
      <c r="AL124" s="29" t="str">
        <f t="shared" ca="1" si="59"/>
        <v xml:space="preserve"> </v>
      </c>
    </row>
    <row r="125" spans="2:82" x14ac:dyDescent="0.3">
      <c r="B125" s="79"/>
      <c r="O125" s="81">
        <v>6</v>
      </c>
      <c r="Q125" s="29" t="str">
        <f ca="1">IF(COUNTIF(O18:O25,"*"&amp;"misty vision"&amp;"*"),"Silent Image*"," " )</f>
        <v xml:space="preserve"> </v>
      </c>
      <c r="T125" s="72"/>
      <c r="AJ125" s="58" t="str">
        <f t="shared" ca="1" si="60"/>
        <v xml:space="preserve"> </v>
      </c>
      <c r="AK125" s="60">
        <f t="shared" ca="1" si="58"/>
        <v>0</v>
      </c>
      <c r="AL125" s="29" t="str">
        <f t="shared" ca="1" si="59"/>
        <v xml:space="preserve"> </v>
      </c>
    </row>
    <row r="126" spans="2:82" x14ac:dyDescent="0.3">
      <c r="B126" s="79"/>
      <c r="O126" s="81">
        <v>7</v>
      </c>
      <c r="Q126" s="29" t="str">
        <f ca="1">IF(COUNTIF(O18:O25,"*"&amp;"otherworldly leap"&amp;"*"),"Jump*"," ")</f>
        <v xml:space="preserve"> </v>
      </c>
      <c r="T126" s="72"/>
    </row>
    <row r="127" spans="2:82" x14ac:dyDescent="0.3">
      <c r="B127" s="79"/>
      <c r="O127" s="81">
        <v>8</v>
      </c>
      <c r="Q127" s="29" t="str">
        <f ca="1">IF(COUNTIF(O18:O25,"*"&amp;"Thief of five fates"&amp;"*"),"Bane**"," ")</f>
        <v xml:space="preserve"> </v>
      </c>
      <c r="T127" s="72"/>
      <c r="AJ127" s="31" t="s">
        <v>677</v>
      </c>
    </row>
    <row r="128" spans="2:82" x14ac:dyDescent="0.3">
      <c r="B128" s="79" t="str">
        <f ca="1">IF(AND($O$16="pact of the tome",COUNTIF($O$13:$O$13,"*"&amp;"book of ancient secrets"&amp;"*")),"Book of Ancient Secrets"," ")</f>
        <v xml:space="preserve"> </v>
      </c>
      <c r="O128" s="81">
        <v>9</v>
      </c>
      <c r="Q128" s="29" t="str">
        <f ca="1">IF(AND(O16="pact of the tome",COUNTIF(O18:O25,"*"&amp;"book of ancient secrets"&amp;"*")),INDEX('Spell Tables'!BD40:BD46,MATCH(1,('Spell Tables'!BB40:BB46),0))," ")</f>
        <v xml:space="preserve"> </v>
      </c>
      <c r="T128" s="72"/>
      <c r="AJ128" s="58" t="str">
        <f ca="1">IF(AK128=0," ",_xlfn.RANK.EQ(AK128,$AK$128:$AK$137))</f>
        <v xml:space="preserve"> </v>
      </c>
      <c r="AK128" s="60">
        <f t="shared" ref="AK128:AK137" ca="1" si="61">IF(AL128=" ", 0,RAND())</f>
        <v>0</v>
      </c>
      <c r="AL128" s="29" t="str">
        <f t="shared" ref="AL128:AL137" ca="1" si="62">S334</f>
        <v xml:space="preserve"> </v>
      </c>
    </row>
    <row r="129" spans="1:38" ht="19.5" thickBot="1" x14ac:dyDescent="0.35">
      <c r="B129" s="80" t="str">
        <f ca="1">IF($O$16="pact of the chain",$O$16,IF(OR(P129="minor illusion",S129="animate dead",T129="polymorph"),"School Spells - in Spellbook"," "))</f>
        <v xml:space="preserve"> </v>
      </c>
      <c r="C129" s="38"/>
      <c r="D129" s="38"/>
      <c r="E129" s="38"/>
      <c r="F129" s="38"/>
      <c r="G129" s="38"/>
      <c r="H129" s="38"/>
      <c r="I129" s="38"/>
      <c r="J129" s="38"/>
      <c r="K129" s="38"/>
      <c r="L129" s="38"/>
      <c r="M129" s="38"/>
      <c r="N129" s="38"/>
      <c r="O129" s="82">
        <v>10</v>
      </c>
      <c r="P129" s="38" t="str">
        <f ca="1">IF(AND(P15="school of Illusion",COUNTIF(P315:P324,"*"&amp;"Minor Illusion"&amp;"*"))," ",IF(P15="school of illusion","Minor Illusion"," "))</f>
        <v xml:space="preserve"> </v>
      </c>
      <c r="Q129" s="38" t="str">
        <f ca="1">IF(AND(O16="pact of the tome",COUNTIF(O18:O25,"*"&amp;"book of ancient secrets"&amp;"*")),INDEX('Spell Tables'!BD40:BD46,MATCH(2,('Spell Tables'!BB40:BB46),0)),IF(O16="pact of the chain","Find Familiar (as ritual)"," "))</f>
        <v xml:space="preserve"> </v>
      </c>
      <c r="R129" s="38"/>
      <c r="S129" s="38" t="str">
        <f ca="1">IF(AND(P15="school of necromancy",O12&gt;=6,COUNTIF(S315:S324,"*"&amp;"Animate Dead"&amp;"*"))," ",IF(AND(P15="school of necromancy",O12&gt;=6),"Animate Dead"," "))</f>
        <v xml:space="preserve"> </v>
      </c>
      <c r="T129" s="73" t="str">
        <f ca="1">IF(AND(P15="school of transmutation",O12&gt;=10,COUNTIF(T315:T324,"*"&amp;"Polymorph"&amp;"*"))," ",IF(AND(P15="school of transmutation",O12&gt;=6),"Polymorph"," "))</f>
        <v xml:space="preserve"> </v>
      </c>
      <c r="AJ129" s="58" t="str">
        <f t="shared" ref="AJ129:AJ137" ca="1" si="63">IF(AK129=0," ",_xlfn.RANK.EQ(AK129,$AK$128:$AK$137))</f>
        <v xml:space="preserve"> </v>
      </c>
      <c r="AK129" s="60">
        <f t="shared" ca="1" si="61"/>
        <v>0</v>
      </c>
      <c r="AL129" s="29" t="str">
        <f t="shared" ca="1" si="62"/>
        <v xml:space="preserve"> </v>
      </c>
    </row>
    <row r="130" spans="1:38" x14ac:dyDescent="0.3">
      <c r="A130" s="33"/>
      <c r="B130" s="27"/>
      <c r="AJ130" s="58" t="str">
        <f t="shared" ca="1" si="63"/>
        <v xml:space="preserve"> </v>
      </c>
      <c r="AK130" s="60">
        <f t="shared" ca="1" si="61"/>
        <v>0</v>
      </c>
      <c r="AL130" s="29" t="str">
        <f t="shared" ca="1" si="62"/>
        <v xml:space="preserve"> </v>
      </c>
    </row>
    <row r="131" spans="1:38" ht="19.5" thickBot="1" x14ac:dyDescent="0.35">
      <c r="A131" s="131"/>
      <c r="B131" s="33"/>
      <c r="O131" s="38"/>
      <c r="AJ131" s="58" t="str">
        <f t="shared" ca="1" si="63"/>
        <v xml:space="preserve"> </v>
      </c>
      <c r="AK131" s="60">
        <f t="shared" ca="1" si="61"/>
        <v>0</v>
      </c>
      <c r="AL131" s="29" t="str">
        <f t="shared" ca="1" si="62"/>
        <v xml:space="preserve"> </v>
      </c>
    </row>
    <row r="132" spans="1:38" x14ac:dyDescent="0.3">
      <c r="A132" s="131"/>
      <c r="B132" s="129"/>
      <c r="O132" s="132"/>
      <c r="P132" s="76" t="s">
        <v>1169</v>
      </c>
      <c r="Q132" s="76" t="s">
        <v>1170</v>
      </c>
      <c r="R132" s="76" t="s">
        <v>1171</v>
      </c>
      <c r="S132" s="76" t="s">
        <v>677</v>
      </c>
      <c r="T132" s="77" t="s">
        <v>1172</v>
      </c>
      <c r="AJ132" s="58" t="str">
        <f t="shared" ca="1" si="63"/>
        <v xml:space="preserve"> </v>
      </c>
      <c r="AK132" s="60">
        <f t="shared" ca="1" si="61"/>
        <v>0</v>
      </c>
      <c r="AL132" s="29" t="str">
        <f t="shared" ca="1" si="62"/>
        <v xml:space="preserve"> </v>
      </c>
    </row>
    <row r="133" spans="1:38" x14ac:dyDescent="0.3">
      <c r="A133" s="131"/>
      <c r="B133" s="129"/>
      <c r="O133" s="86">
        <v>1</v>
      </c>
      <c r="P133" s="65" t="str">
        <f ca="1">IF(COUNTIF(P18:P21,"*"&amp;"Breath of Winter"&amp;"*"),"Cone of Cold (6 ki)",IF(COUNTIF(O18:O25,"*"&amp;"chains of carceri"&amp;"*"),"Hold Monster**(c,f,e only)",IF(AND(P15="oath of vengeance",O12&gt;=17),"Hold Monster",IF(AND(P15="Oath of the Ancients",O12&gt;=17),"Commune with Nature",IF(AND(P15="Oath of Devotion",O12&gt;=17),"Commune",IF(AND($P$20="Underdark",$O$12&gt;=9),"Cloudkill",IF(AND($P$20="Swamp",$O$12&gt;=9),"Insect Plague",IF(AND($P$20="Mountain",$O$12&gt;=9),"Passwall",IF(AND($P$20="Grassland",$O$12&gt;=9),"Dream",IF(AND($P$20="Forest",$O$12&gt;=9),"Commune with Nature",IF(AND($P$20="Desert",$O$12&gt;=9),"Insect Plague",IF(AND($P$20="Coast",$O$12&gt;=9),"Conjure Elemental",IF(AND($P$20="arctic",$O$12&gt;=9),"Commune with Nature",IF(AND($P$15="war",$O$12&gt;=9),"Flame Strike",IF(AND($P$15="trickery",$O$12&gt;=9),"Dominate Person",IF(AND($P$15="tempest",$O$12&gt;=9),"Destructive Wave",IF(AND($P$15="nature",$O$12&gt;=9),"Insect Plague",IF(AND(P15="light",O12&gt;=9),"Flame Strike",IF(AND(P15="life",O12&gt;=9),"Mass Cure Wounds",IF(AND(P15="knowledge",O12&gt;=9),"Legend Lore",IF(AND(O11="bard",AL156=5),INDEX('Spell Tables'!BX2:BX24,MATCH(O120,('Spell Tables'!BV2:BV24),0)),IF(AND(P15="path of the totem warrior",O12&gt;=10),"Commune with Nature (as ritual)"," "))))))))))))))))))))))</f>
        <v xml:space="preserve"> </v>
      </c>
      <c r="Q133" s="65" t="str">
        <f ca="1">IF(AND(O11="bard",AL167=6),INDEX('Spell Tables'!CB2:CB27,MATCH(O120,('Spell Tables'!BZ2:BZ27),0)),IF(AND($O$11="warlock",$O$12&gt;=11),INDEX('Spell Tables'!AN194:AN201,MATCH(1,('Spell Tables'!AL194:AL201),0))," "))</f>
        <v xml:space="preserve"> </v>
      </c>
      <c r="R133" s="65" t="str">
        <f ca="1">IF(AND(O11="bard",AL167=7),INDEX('Spell Tables'!CF2:CF11,MATCH(O120,('Spell Tables'!CD2:CD11),0)),IF(AND($O$11="warlock",$O$12&gt;=13),INDEX('Spell Tables'!AR194:AR197,MATCH(1,('Spell Tables'!AP194:AP197),0))," "))</f>
        <v xml:space="preserve"> </v>
      </c>
      <c r="S133" s="65" t="str">
        <f ca="1">IF(AND(O11="bard",AL179=8),INDEX('Spell Tables'!CJ2:CJ14,MATCH(O120,('Spell Tables'!CH2:CH14),0)),IF(AND($O$11="warlock",$O$12&gt;=15),INDEX('Spell Tables'!AV194:AV198,MATCH(1,('Spell Tables'!AT194:AT198),0))," "))</f>
        <v xml:space="preserve"> </v>
      </c>
      <c r="T133" s="66" t="str">
        <f ca="1">IF(AND(O11="bard",AL180=9),INDEX('Spell Tables'!CN2:CN11,MATCH(O120,('Spell Tables'!CL2:CL11),0)),IF(AND($O$11="warlock",$O$12&gt;=17),INDEX('Spell Tables'!AZ194:AZ198,MATCH(1,('Spell Tables'!AX194:AX198),0))," "))</f>
        <v xml:space="preserve"> </v>
      </c>
      <c r="AJ133" s="58" t="str">
        <f t="shared" ca="1" si="63"/>
        <v xml:space="preserve"> </v>
      </c>
      <c r="AK133" s="60">
        <f t="shared" ca="1" si="61"/>
        <v>0</v>
      </c>
      <c r="AL133" s="29" t="str">
        <f t="shared" ca="1" si="62"/>
        <v xml:space="preserve"> </v>
      </c>
    </row>
    <row r="134" spans="1:38" x14ac:dyDescent="0.3">
      <c r="A134" s="131"/>
      <c r="B134" s="129"/>
      <c r="O134" s="133">
        <v>2</v>
      </c>
      <c r="P134" s="60" t="str">
        <f ca="1">IF(COUNTIF(P18:P21,"*"&amp;"Wave of Rolling Earth"&amp;"*"),"Wall of Stone (6 ki)",IF(COUNTIF(O18:O25,"*"&amp;"minions of chaos"&amp;"*"),"Conjure Elemental**",IF(AND(P15="oath of vengeance",O12&gt;=17),"Scrying",IF(AND(P15="Oath of the Ancients",O12&gt;=17),"Tree Stride",IF(AND(P15="Oath of Devotion",O12&gt;=17),"Flame Strike",IF(AND($P$20="Underdark",$O$12&gt;=9),"Insect Plague",IF(AND($P$20="Swamp",$O$12&gt;=9),"Scrying",IF(AND($P$20="Mountain",$O$12&gt;=9),"Wall of Stone",IF(AND($P$20="Grassland",$O$12&gt;=9),"Insect Plague",IF(AND($P$20="Forest",$O$12&gt;=9),"Tree Stride",IF(AND($P$20="Desert",$O$12&gt;=9),"Wall of Stone",IF(AND($P$20="Coast",$O$12&gt;=9),"Scrying",IF(AND($P$20="arctic",$O$12&gt;=9),"Cone of Cold",IF(AND($P$15="war",$O$12&gt;=9),"Hold Monster",IF(AND($P$15="trickery",$O$12&gt;=9),"Modify Memory",IF(AND($P$15="tempest",$O$12&gt;=9),"Insect Plague",IF(AND($P$15="nature",$O$12&gt;=9),"Tree Stride",IF(AND(P15="light",O12&gt;=9),"Scrying",IF(AND(P15="life",O12&gt;=9),"Raise Dead",IF(AND(P15="knowledge",O12&gt;=9),"Scrying",IF(AND($O$11="bard",AL157=5),INDEX('Spell Tables'!$BX$2:$BX$24,MATCH(O121,('Spell Tables'!$BV$2:$BV$24),0))," ")))))))))))))))))))))</f>
        <v xml:space="preserve"> </v>
      </c>
      <c r="Q134" s="60" t="str">
        <f ca="1">IF(AND(O11="bard",AL168=6),INDEX('Spell Tables'!CB2:CB27,MATCH(O121,('Spell Tables'!BZ2:BZ27),0))," ")</f>
        <v xml:space="preserve"> </v>
      </c>
      <c r="R134" s="60" t="str">
        <f ca="1">IF(AND(O11="bard",AL168=7),INDEX('Spell Tables'!CF2:CF11,MATCH(O121,('Spell Tables'!CD2:CD11),0))," ")</f>
        <v xml:space="preserve"> </v>
      </c>
      <c r="S134" s="60" t="str">
        <f ca="1">IF(AND(O11="bard",AL179=8),INDEX('Spell Tables'!CJ2:CJ14,MATCH(O121,('Spell Tables'!CH2:CH14),0))," ")</f>
        <v xml:space="preserve"> </v>
      </c>
      <c r="T134" s="63" t="str">
        <f ca="1">IF(AND(O11="bard",AL180=9),INDEX('Spell Tables'!CN2:CN11,MATCH(O121,('Spell Tables'!CL2:CL11),0))," ")</f>
        <v xml:space="preserve"> </v>
      </c>
      <c r="AJ134" s="58" t="str">
        <f t="shared" ca="1" si="63"/>
        <v xml:space="preserve"> </v>
      </c>
      <c r="AK134" s="60">
        <f t="shared" ca="1" si="61"/>
        <v>0</v>
      </c>
      <c r="AL134" s="29" t="str">
        <f t="shared" ca="1" si="62"/>
        <v xml:space="preserve"> </v>
      </c>
    </row>
    <row r="135" spans="1:38" x14ac:dyDescent="0.3">
      <c r="A135" s="33"/>
      <c r="O135" s="86">
        <v>3</v>
      </c>
      <c r="P135" s="65"/>
      <c r="Q135" s="65"/>
      <c r="R135" s="65"/>
      <c r="S135" s="65"/>
      <c r="T135" s="66"/>
      <c r="AJ135" s="58" t="str">
        <f t="shared" ca="1" si="63"/>
        <v xml:space="preserve"> </v>
      </c>
      <c r="AK135" s="60">
        <f t="shared" ca="1" si="61"/>
        <v>0</v>
      </c>
      <c r="AL135" s="29" t="str">
        <f t="shared" ca="1" si="62"/>
        <v xml:space="preserve"> </v>
      </c>
    </row>
    <row r="136" spans="1:38" x14ac:dyDescent="0.3">
      <c r="A136" s="33"/>
      <c r="O136" s="133">
        <v>4</v>
      </c>
      <c r="P136" s="60"/>
      <c r="Q136" s="60"/>
      <c r="R136" s="60"/>
      <c r="S136" s="60"/>
      <c r="T136" s="63"/>
      <c r="AJ136" s="58" t="str">
        <f t="shared" ca="1" si="63"/>
        <v xml:space="preserve"> </v>
      </c>
      <c r="AK136" s="60">
        <f t="shared" ca="1" si="61"/>
        <v>0</v>
      </c>
      <c r="AL136" s="29" t="str">
        <f t="shared" ca="1" si="62"/>
        <v xml:space="preserve"> </v>
      </c>
    </row>
    <row r="137" spans="1:38" x14ac:dyDescent="0.3">
      <c r="A137" s="33"/>
      <c r="O137" s="86">
        <v>5</v>
      </c>
      <c r="P137" s="65"/>
      <c r="Q137" s="65"/>
      <c r="R137" s="65"/>
      <c r="S137" s="65"/>
      <c r="T137" s="66"/>
      <c r="AJ137" s="58" t="str">
        <f t="shared" ca="1" si="63"/>
        <v xml:space="preserve"> </v>
      </c>
      <c r="AK137" s="60">
        <f t="shared" ca="1" si="61"/>
        <v>0</v>
      </c>
      <c r="AL137" s="29" t="str">
        <f t="shared" ca="1" si="62"/>
        <v xml:space="preserve"> </v>
      </c>
    </row>
    <row r="138" spans="1:38" x14ac:dyDescent="0.3">
      <c r="A138" s="33"/>
      <c r="O138" s="133">
        <v>6</v>
      </c>
      <c r="P138" s="60"/>
      <c r="Q138" s="60"/>
      <c r="R138" s="60"/>
      <c r="S138" s="60"/>
      <c r="T138" s="63"/>
    </row>
    <row r="139" spans="1:38" x14ac:dyDescent="0.3">
      <c r="A139" s="33"/>
      <c r="O139" s="86">
        <v>7</v>
      </c>
      <c r="P139" s="65"/>
      <c r="Q139" s="65"/>
      <c r="R139" s="65"/>
      <c r="S139" s="65"/>
      <c r="T139" s="66"/>
      <c r="AJ139" s="31" t="s">
        <v>1172</v>
      </c>
    </row>
    <row r="140" spans="1:38" x14ac:dyDescent="0.3">
      <c r="A140" s="33"/>
      <c r="O140" s="133">
        <v>8</v>
      </c>
      <c r="P140" s="60"/>
      <c r="Q140" s="60"/>
      <c r="R140" s="60"/>
      <c r="S140" s="60"/>
      <c r="T140" s="63"/>
      <c r="AJ140" s="58" t="str">
        <f ca="1">IF(AK140=0," ",_xlfn.RANK.EQ(AK140,$AK$140:$AK$149))</f>
        <v xml:space="preserve"> </v>
      </c>
      <c r="AK140" s="60">
        <f t="shared" ref="AK140:AK149" ca="1" si="64">IF(AL140=" ", 0,RAND())</f>
        <v>0</v>
      </c>
      <c r="AL140" s="29" t="str">
        <f t="shared" ref="AL140:AL149" ca="1" si="65">T334</f>
        <v xml:space="preserve"> </v>
      </c>
    </row>
    <row r="141" spans="1:38" x14ac:dyDescent="0.3">
      <c r="A141" s="33"/>
      <c r="O141" s="86">
        <v>9</v>
      </c>
      <c r="P141" s="65"/>
      <c r="Q141" s="65"/>
      <c r="R141" s="65"/>
      <c r="S141" s="65"/>
      <c r="T141" s="66"/>
      <c r="AJ141" s="58" t="str">
        <f t="shared" ref="AJ141:AJ149" ca="1" si="66">IF(AK141=0," ",_xlfn.RANK.EQ(AK141,$AK$140:$AK$149))</f>
        <v xml:space="preserve"> </v>
      </c>
      <c r="AK141" s="60">
        <f t="shared" ca="1" si="64"/>
        <v>0</v>
      </c>
      <c r="AL141" s="29" t="str">
        <f t="shared" ca="1" si="65"/>
        <v xml:space="preserve"> </v>
      </c>
    </row>
    <row r="142" spans="1:38" ht="19.5" thickBot="1" x14ac:dyDescent="0.35">
      <c r="A142" s="33"/>
      <c r="O142" s="134">
        <v>10</v>
      </c>
      <c r="P142" s="67"/>
      <c r="Q142" s="67"/>
      <c r="R142" s="67"/>
      <c r="S142" s="67"/>
      <c r="T142" s="68"/>
      <c r="AJ142" s="58" t="str">
        <f t="shared" ca="1" si="66"/>
        <v xml:space="preserve"> </v>
      </c>
      <c r="AK142" s="60">
        <f t="shared" ca="1" si="64"/>
        <v>0</v>
      </c>
      <c r="AL142" s="29" t="str">
        <f t="shared" ca="1" si="65"/>
        <v xml:space="preserve"> </v>
      </c>
    </row>
    <row r="143" spans="1:38" ht="19.5" thickBot="1" x14ac:dyDescent="0.35">
      <c r="AJ143" s="58" t="str">
        <f t="shared" ca="1" si="66"/>
        <v xml:space="preserve"> </v>
      </c>
      <c r="AK143" s="60">
        <f t="shared" ca="1" si="64"/>
        <v>0</v>
      </c>
      <c r="AL143" s="29" t="str">
        <f t="shared" ca="1" si="65"/>
        <v xml:space="preserve"> </v>
      </c>
    </row>
    <row r="144" spans="1:38" ht="30.75" thickBot="1" x14ac:dyDescent="0.45">
      <c r="B144" s="105" t="s">
        <v>1335</v>
      </c>
      <c r="AJ144" s="58" t="str">
        <f t="shared" ca="1" si="66"/>
        <v xml:space="preserve"> </v>
      </c>
      <c r="AK144" s="60">
        <f t="shared" ca="1" si="64"/>
        <v>0</v>
      </c>
      <c r="AL144" s="29" t="str">
        <f t="shared" ca="1" si="65"/>
        <v xml:space="preserve"> </v>
      </c>
    </row>
    <row r="145" spans="1:38" x14ac:dyDescent="0.3">
      <c r="B145" s="79"/>
      <c r="C145" s="27"/>
      <c r="D145" s="27"/>
      <c r="E145" s="27"/>
      <c r="F145" s="27"/>
      <c r="G145" s="27"/>
      <c r="H145" s="27"/>
      <c r="I145" s="27"/>
      <c r="J145" s="27"/>
      <c r="K145" s="27"/>
      <c r="L145" s="27"/>
      <c r="M145" s="27"/>
      <c r="N145" s="27"/>
      <c r="O145" s="27"/>
      <c r="P145" s="76" t="s">
        <v>1124</v>
      </c>
      <c r="Q145" s="76" t="s">
        <v>1166</v>
      </c>
      <c r="R145" s="76" t="s">
        <v>1167</v>
      </c>
      <c r="S145" s="76" t="s">
        <v>1168</v>
      </c>
      <c r="T145" s="77" t="s">
        <v>676</v>
      </c>
      <c r="AJ145" s="58" t="str">
        <f t="shared" ca="1" si="66"/>
        <v xml:space="preserve"> </v>
      </c>
      <c r="AK145" s="60">
        <f t="shared" ca="1" si="64"/>
        <v>0</v>
      </c>
      <c r="AL145" s="29" t="str">
        <f t="shared" ca="1" si="65"/>
        <v xml:space="preserve"> </v>
      </c>
    </row>
    <row r="146" spans="1:38" x14ac:dyDescent="0.3">
      <c r="B146" s="86" t="str">
        <f ca="1">IF(R15="way of the four elements","Way of the Four Elements",IF(AND(Q11="paladin",Q12&gt;=3),"Oath Spells",IF(AND(R15="moon",Q12&gt;=14),"Thousand Forms",IF(R15="way of the shadow","Shadow Arts",IF(AND(Q11="druid",R15="land"),"Land Circle Spells",IF(Q11="cleric","Domain Spells",IF(Q11="bard","Magical Secrets",IF(R15="path of the totem warrior","Totem Warrior Spells",IF(AND(Q11="warlock",Q12&gt;=2),"Mystic Arcanum and Invocation",IF(R15="arcane trickster","4th,8th,14th,20th non E&amp;I spells",IF(R15="eldritch knight","4th,8th,14th,20th non A&amp;E spells"," ")))))))))))</f>
        <v xml:space="preserve"> </v>
      </c>
      <c r="C146" s="33"/>
      <c r="D146" s="33"/>
      <c r="E146" s="33"/>
      <c r="F146" s="33"/>
      <c r="G146" s="33"/>
      <c r="H146" s="33"/>
      <c r="I146" s="33"/>
      <c r="J146" s="33"/>
      <c r="K146" s="33"/>
      <c r="L146" s="33"/>
      <c r="M146" s="33"/>
      <c r="N146" s="33"/>
      <c r="O146" s="34">
        <v>1</v>
      </c>
      <c r="P146" s="33" t="str">
        <f ca="1">IF(R15="school of illusion","Minor Illusion",IF(Q16="pact of the tome",INDEX('Spell Tables'!$BD$19:$BD$37,MATCH(1,('Spell Tables'!$BB$19:$BB$37),0)),IF(R15="way of the shadow","Minor Illusion (free)",IF(R15="land",INDEX('Spell Tables'!P48:P55,MATCH(8,('Spell Tables'!N48:N55),0)),IF(R15="nature",INDEX('Spell Tables'!P48:P55,MATCH(6,('Spell Tables'!N48:N55),0)),IF(R15="light","Light",IF(AND(Q11="bard",AL191="c"),INDEX('Spell Tables'!$BD$2:$BD$16,MATCH(10,('Spell Tables'!$BB$2:$BB$16),0))," ")))))))</f>
        <v xml:space="preserve"> </v>
      </c>
      <c r="Q146" s="33" t="str">
        <f ca="1">IF(COUNTIF(R18:R21,"*"&amp;"Fist of Four Thunders"&amp;"*"),"Thunderwave (2 ki)",IF(COUNTIF($Q$18:$Q$22,"*"&amp;"armor of shadows"&amp;"*"),"Mage Armor*",IF(R15="oath of vengeance","Bane",IF(R15="Oath of the Ancients","Ensnaring Strike",IF(R15="Oath of Devotion","Protection from Good and Evil",IF(AND(R15="war",Q12&gt;=1),"Divine Favor",IF(AND(R15="Trickery",Q12&gt;=1),"Charm Person",IF(AND(R15="tempest",Q12&gt;=1),"Fog Cloud",IF(AND(R15="nature",Q12&gt;=1),"Animal Friendship",IF(AND(R15="light",Q12&gt;=1),"Burning Hands",IF(R15="life","Bless",IF(R15="knowledge","Command",IF(AND(Q11="bard",AL155=1),INDEX('Spell Tables'!$BH$2:$BH$41,MATCH($O$120,('Spell Tables'!$BF$2:$BF$41),0)),IF(R15="arcane trickster",INDEX('Spell Tables'!$X$141:$X$163,MATCH(O120,('Spell Tables'!$V$141:$V$163),0)),IF(R15="path of the totem warrior","Speak with Animals (as ritual)",IF(R15="eldritch knight",INDEX('Spell Tables'!$X$70:$X$90,MATCH($O$120,('Spell Tables'!$V$70:W90),0))," "))))))))))))))))</f>
        <v xml:space="preserve"> </v>
      </c>
      <c r="R146" s="33" t="str">
        <f ca="1">IF(COUNTIF(R18:R21,"*"&amp;"Clench of the North Wind"&amp;"*"),"Hold Person (3 ki)",IF(COUNTIF(Q18:Q22,"*"&amp;"ascendant step"&amp;"*"),"Levitate*",IF(AND(R15="oath of vengeance",Q12&gt;=5),"Hold Person",IF(AND(R15="Oath of the Ancients",Q12&gt;=5),"Moonbeam",IF(AND(R15="Oath of Devotion",Q12&gt;=5),"Lesser Restoration",IF(AND(R15="moon",Q12&gt;=14),"Alter Self",IF(R15="Way of the Shadow","Darkness",IF(AND($P$20="Underdark",Q12&gt;=3),"Spider Climb",IF(AND($P$20="Swamp",Q12&gt;=3),"Darkness",IF(AND($P$20="Mountain",Q12&gt;=3),"Spider Climb",IF(AND($P$20="Grassland",Q12&gt;=3),"Invisibility",IF(AND($P$20="Forest",Q12&gt;=3),"Barkskin",IF(AND($P$20="Desert",Q12&gt;=3),"Blur",IF(AND($P$20="Coast",Q12&gt;=3),"Mirror Image",IF(AND($P$20="arctic",Q12&gt;=3),"Hold Person",IF(AND(R15="war",Q12&gt;=3),"Magic Weapon",IF(AND(R15="Trickery",Q12&gt;=3),"Mirror Image",IF(AND(R15="tempest",Q12&gt;=3),"Gust of Wind",IF(AND(R15="nature",Q12&gt;=3),"Barkskin",IF(AND(R15="light",Q12&gt;=3),"Flaming Sphere",IF(AND(R15="Life",Q12&gt;=3),"Lesser Restoration",IF(AND(R15="knowledge",Q12&gt;=3),"Augury",IF(AND(Q11="bard",AL155=2),INDEX('Spell Tables'!BL2:BL37,MATCH(O120,('Spell Tables'!BJ2:BJ37),0)),IF(R15="path of the totem warrior","Beast Sense (as ritual)",IF(AND(R15="eldritch knight",Q12&gt;=8),INDEX('Spell Tables'!AF70:AF94,MATCH(#REF!,('Spell Tables'!AD70:AD94),0)),IF(AND(R15="arcane trickster",Q12&gt;=8),INDEX('Spell Tables'!AF141:AF165,MATCH(#REF!,('Spell Tables'!AD141:AD165),0))," "))))))))))))))))))))))))))</f>
        <v xml:space="preserve"> </v>
      </c>
      <c r="S146" s="33" t="str">
        <f ca="1">IF(COUNTIF(Q18:Q22,"*"&amp;"mire the mind"&amp;"*"),"Slow**",IF(AND(R15="oath of vengeance",Q12&gt;=9),"Haste",IF(AND(R15="Oath of the Ancients",Q12&gt;=9),"Plant Growth",IF(AND(R15="Oath of Devotion",Q12&gt;=9),"Beacon of Hope",IF(AND($P$20="Underdark",Q12&gt;=5),"Gaseous Form",IF(AND($P$20="Swamp",Q12&gt;=5),"Water Walk",IF(AND($P$20="Mountain",Q12&gt;=5),"Lightning Bolt",IF(AND($P$20="Grassland",Q12&gt;=5),"Daylight",IF(AND($P$20="Forest",Q12&gt;=5),"Call Lightning",IF(AND($P$20="Desert",Q12&gt;=5),"Create Food and Water",IF(AND($P$20="Coast",Q12&gt;=5),"Water Breathing",IF(AND($P$20="arctic",Q12&gt;=5),"Sleet Storm",IF(AND(R15="war",Q12&gt;=5),"Crusader's Mantle",IF(AND(R15="trickery",Q12&gt;=5),"Blink",IF(AND(R15="tempest",Q12&gt;=5),"Call Lightning",IF(AND(R15="nature",Q12&gt;=5),"Plant Growth",IF(AND(R15="light",Q12&gt;=5),"Daylight",IF(AND(R15="life",Q12&gt;=5),"Beacon of Hope",IF(AND(R15="knowledge",Q12&gt;=5),"Nondetection",IF(AND(Q11="bard",AL155=3),INDEX('Spell Tables'!BP2:BP35,MATCH(O120,('Spell Tables'!BN2:BN35),0)),IF(AND(R15="arcane trickster",Q12&gt;=14),INDEX('Spell Tables'!AN141:AN165,MATCH(O120,('Spell Tables'!AL141:AL165),0)),IF(AND(R15="eldritch knight",Q12&gt;=14),INDEX('Spell Tables'!AN70:AN88,MATCH(O120,('Spell Tables'!AL70:AL88),0))," "))))))))))))))))))))))</f>
        <v xml:space="preserve"> </v>
      </c>
      <c r="T146" s="72" t="str">
        <f ca="1">IF(COUNTIF(Q18:Q22,"*"&amp;"bewitching whispers"&amp;"*"),"Compulsion**",IF(AND(R15="oath of vengeance",Q12&gt;=13),"Banishment",IF(AND(R15="Oath of the Ancients",Q12&gt;=13),"Ice Storm",IF(AND(R15="Oath of Devotion",Q12&gt;=13),"Freedom of Movement",IF(AND($P$20="Underdark",Q12&gt;=7),"Greater Invisibility",IF(AND($P$20="Swamp",Q12&gt;=7),"Freedom of Movement",IF(AND($P$20="Mountain",Q12&gt;=7),"Stone Shape",IF(AND($P$20="Grassland",Q12&gt;=7),"Divination",IF(AND($P$20="Forest",Q12&gt;=7),"Divination",IF(AND($P$20="Desert",Q12&gt;=7),"Blight",IF(AND($P$20="Coast",Q12&gt;=7),"Control Water",IF(AND($P$20="arctic",Q12&gt;=7),"Freedom of Movement",IF(AND(R15="war",Q12&gt;=7),"Freedom of Movement",IF(AND(R15="trickery",Q12&gt;=7),"Dimension Door",IF(AND(R15="tempest",Q12&gt;=7),"Control Water",IF(AND(R15="nature",Q12&gt;=7),"Dominate Beast",IF(AND(R15="light",Q12&gt;=7),"Guardian of Faith",IF(AND(R15="life",Q12&gt;=7),"Death Ward",IF(AND(R15="knowledge",Q12&gt;=7),"Arcane Eye",IF(AND(Q11="bard",AL155=4),INDEX('Spell Tables'!BT2:BT29,MATCH(O120,('Spell Tables'!BR2:BR29),0)),IF(AND(R15="arcane trickster",Q12&gt;=20),INDEX('Spell Tables'!AV141:AV159,MATCH(O120,('Spell Tables'!AT267:AT285),0)),IF(AND(R15="eldritch knight",Q12&gt;=20),INDEX('Spell Tables'!AV70:AV86,MATCH(O120,('Spell Tables'!AT70:AT86),0))," "))))))))))))))))))))))</f>
        <v xml:space="preserve"> </v>
      </c>
      <c r="AJ146" s="58" t="str">
        <f t="shared" ca="1" si="66"/>
        <v xml:space="preserve"> </v>
      </c>
      <c r="AK146" s="60">
        <f t="shared" ca="1" si="64"/>
        <v>0</v>
      </c>
      <c r="AL146" s="29" t="str">
        <f t="shared" ca="1" si="65"/>
        <v xml:space="preserve"> </v>
      </c>
    </row>
    <row r="147" spans="1:38" x14ac:dyDescent="0.3">
      <c r="B147" s="79" t="str">
        <f ca="1">IF(R15="way of the four elements","Elemental Disciplines - cost ki",IF(AND(Q11="warlock",Q12&gt;=2),"* = at will - no slot use",IF(R15="land",$P$20," ")))</f>
        <v xml:space="preserve"> </v>
      </c>
      <c r="C147" s="33"/>
      <c r="D147" s="33"/>
      <c r="E147" s="33"/>
      <c r="F147" s="33"/>
      <c r="G147" s="33"/>
      <c r="H147" s="33"/>
      <c r="I147" s="33"/>
      <c r="J147" s="33"/>
      <c r="K147" s="33"/>
      <c r="L147" s="33"/>
      <c r="M147" s="33"/>
      <c r="N147" s="33"/>
      <c r="O147" s="34">
        <v>2</v>
      </c>
      <c r="P147" s="33" t="str">
        <f ca="1">IF(Q16="pact of the tome",INDEX('Spell Tables'!$BD$19:$BD$37,MATCH(2,('Spell Tables'!$BB$19:$BB$37),0)),IF(AND(Q11="bard",AL192="c"),INDEX('Spell Tables'!$BD$2:$BD$16,MATCH(11,('Spell Tables'!$BB$2:$BB$16),0))," "))</f>
        <v xml:space="preserve"> </v>
      </c>
      <c r="Q147" s="33" t="str">
        <f ca="1">IF(COUNTIF(R18:R21,"*"&amp;"Sweeping Cinder Strike"&amp;"*"),"Burning Hands (2 ki)",IF(COUNTIF(Q18:Q22,"*"&amp;"beast speech"&amp;"*"),"Speak with Animals*",IF(R15="Oath of the Ancients","Speak with Animals",IF(R15="Oath of vengeance","Hunter's Mark",IF(R15="Oath of Devotion","Sanctuary",IF(AND(R15="war",Q12&gt;=1),"Shield of Faith",IF(AND(R15="trickery",Q12&gt;=1),"Disguise Self",IF(AND(R15="tempest",Q12&gt;=1),"Thunderwave",IF(AND(R15="Nature",Q12&gt;=1),"Speak with Animals",IF(AND(R15="light",Q12&gt;=1),"Faerie Fire",IF(R15="life","Cure Wounds",IF(R15="knowledge","Identify",IF(AND(Q11="bard",AL156=1),INDEX('Spell Tables'!$BH$2:$BH$41,MATCH(O121,('Spell Tables'!$BF$2:$BF$41),0))," ")))))))))))))</f>
        <v xml:space="preserve"> </v>
      </c>
      <c r="R147" s="33" t="str">
        <f ca="1">IF(COUNTIF(R18:R21,"*"&amp;"Gong of the Summit"&amp;"*"),"Shatter (3 ki)",IF(COUNTIF(Q18:Q22,"*"&amp;"master of myriad forms"&amp;"*"),"Alter Self*",IF(AND(R15="oath of vengeance",Q12&gt;=5),"Misty Step",IF(AND(R15="Oath of the Ancients",Q12&gt;=5),"Misty Step",IF(AND(R15="Oath of Devotion",Q12&gt;=5),"Zone of Truth",IF(R15="way of the shadow","Darkvision",IF(AND($P$20="Underdark",Q12&gt;=3),"Web",IF(AND($P$20="Swamp",Q12&gt;=3),"Melf's Acid Arrow",IF(AND($P$20="Mountain",Q12&gt;=3),"Spike Growth",IF(AND($P$20="Grassland",Q12&gt;=3),"Pass Without Trace",IF(AND($P$20="Forest",Q12&gt;=3),"Spider Climb",IF(AND($P$20="Desert",Q12&gt;=3),"Silence",IF(AND($P$20="Coast",Q12&gt;=3),"Misty Step",IF(AND($P$20="arctic",Q12&gt;=3),"Spike Growth",IF(AND(R15="war",Q12&gt;=3),"Spiritual Weapon",IF(AND(R15="trickery",Q12&gt;=3),"Pass Without Trace",IF(AND(R15="tempest",Q12&gt;=3),"Shatter",IF(AND(R15="nature",Q12&gt;=3),"Spike Growth",IF(AND(R15="light",Q12&gt;=3),"Scorching Ray",IF(AND(R15="life",Q12&gt;=3),"Spiritual Weapon",IF(AND(R15="knowledge",Q12&gt;=3),"Suggestion",IF(AND(Q11="bard",AL156=2),INDEX('Spell Tables'!$BL$2:$BL$37,MATCH(O121,('Spell Tables'!$BJ$2:$BJ$37),0))," "))))))))))))))))))))))</f>
        <v xml:space="preserve"> </v>
      </c>
      <c r="S147" s="33" t="str">
        <f ca="1">IF(COUNTIF(Q18:Q22,"*"&amp;"sign of ill omen"&amp;"*"),"Bestow Curse**",IF(AND(R15="oath of vengeance",Q12&gt;=9),"Protection from Energy",IF(AND(R15="Oath of the Ancients",Q12&gt;=9),"Protection from Energy",IF(AND(R15="Oath of Devotion",Q12&gt;=9),"Dispel Magic",IF(AND($P$20="Underdark",Q12&gt;=5),"Stinking Cloud",IF(AND($P$20="Swamp",Q12&gt;=5),"Stinking Cloud",IF(AND($P$20="Mountain",Q12&gt;=5),"Meld Into Stone",IF(AND($P$20="Grassland",Q12&gt;=5),"Haste",IF(AND($P$20="Forest",Q12&gt;=5),"Plant Growth",IF(AND($P$20="Desert",Q12&gt;=5),"Protection from Energy",IF(AND($P$20="Coast",Q12&gt;=5),"Water Walk",IF(AND($P$20="arctic",Q12&gt;=5),"Slow",IF(AND(R15="war",Q12&gt;=5),"Spirit Guardians",IF(AND(R15="trickery",Q12&gt;=5),"Dispel Magic",IF(AND(R15="Tempest",Q12&gt;=5),"Sleet Storm",IF(AND(R15="nature",Q12&gt;=5),"Wind Wall",IF(AND(R15="light",Q12&gt;=5),"Fireball",IF(AND(R15="life",Q12&gt;=5),"Revivify",IF(AND(R15="knowledge",Q12&gt;=5),"Speak with Dead",IF(AND(Q11="bard",AL156=3),INDEX('Spell Tables'!$BP$2:$BP$35,MATCH(O121,('Spell Tables'!$BN$2:$BN$35),0))," "))))))))))))))))))))</f>
        <v xml:space="preserve"> </v>
      </c>
      <c r="T147" s="72" t="str">
        <f ca="1">IF(COUNTIF(Q18:Q22,"*"&amp;"dreadful word"&amp;"*"),"Confusion**",IF(AND(R15="oath of vengeance",Q12&gt;=13),"Dimension Door",IF(AND(R15="Oath of the Ancients",Q12&gt;=13),"Stoneskin",IF(AND(R15="Oath of Devotion",Q12&gt;=13),"Guardian of Faith",IF(AND($P$20="Underdark",Q12&gt;=7),"Stone Shape",IF(AND($P$20="Swamp",Q12&gt;=7),"Locate Creature",IF(AND($P$20="Mountain",Q12&gt;=7),"Stonekin",IF(AND($P$20="Grassland",Q12&gt;=7),"Freedom of Movement",IF(AND($P$20="Forest",Q12&gt;=7),"Freedom of Movement",IF(AND($P$20="Desert",Q12&gt;=7),"Hallucinatory Terrain",IF(AND($P$20="Coast",Q12&gt;=7),"Freedom of Movement",IF(AND($P$20="arctic",Q12&gt;=7),"Ice Storm",IF(AND(R15="war",Q12&gt;=7),"Stoneskin",IF(AND(R15="trickery",Q12&gt;=7),"Polymorph",IF(AND(R15="tempest",Q12&gt;=7),"Ice Storm",IF(AND(R15="nature",Q12&gt;=7),"Grasping Vine",IF(AND(R15="light",Q12&gt;=7),"Wall of Fire",IF(AND(R15="life",Q12&gt;=7),"Guardian of Faith",IF(AND(R15="knowledge",Q12&gt;=7),"Confusion",IF(AND(Q11="bard",AL156=4),INDEX('Spell Tables'!$BT$2:$BT$29,MATCH(O121,('Spell Tables'!$BR$2:$BR$29),0))," "))))))))))))))))))))</f>
        <v xml:space="preserve"> </v>
      </c>
      <c r="AJ147" s="58" t="str">
        <f t="shared" ca="1" si="66"/>
        <v xml:space="preserve"> </v>
      </c>
      <c r="AK147" s="60">
        <f t="shared" ca="1" si="64"/>
        <v>0</v>
      </c>
      <c r="AL147" s="29" t="str">
        <f t="shared" ca="1" si="65"/>
        <v xml:space="preserve"> </v>
      </c>
    </row>
    <row r="148" spans="1:38" x14ac:dyDescent="0.3">
      <c r="B148" s="79" t="str">
        <f ca="1">IF(AND(Q11="warlock",Q12&gt;=2),"** = once per long rest - uses slot",IF(AND(Q11="paladin",Q12&gt;=3),"Free Preparation",IF(AND(R15="moon",Q12&gt;=14),"At Will",IF(R15="way of the shadow","Cost 2 Ki Points",IF(OR(R15="land",Q11="cleric"),"Free Preparation",IF(AND(Q11="bard",Q12&gt;=10),"Count Toward Known"," "))))))</f>
        <v xml:space="preserve"> </v>
      </c>
      <c r="C148" s="33"/>
      <c r="D148" s="33"/>
      <c r="E148" s="33"/>
      <c r="F148" s="33"/>
      <c r="G148" s="33"/>
      <c r="H148" s="33"/>
      <c r="I148" s="33"/>
      <c r="J148" s="33"/>
      <c r="K148" s="33"/>
      <c r="L148" s="33"/>
      <c r="M148" s="33"/>
      <c r="N148" s="33"/>
      <c r="O148" s="34">
        <v>3</v>
      </c>
      <c r="P148" s="33" t="str">
        <f ca="1">IF(Q16="pact of the tome",INDEX('Spell Tables'!$BD$19:$BD$37,MATCH(3,('Spell Tables'!$BB$19:$BB$37),0))," ")</f>
        <v xml:space="preserve"> </v>
      </c>
      <c r="Q148" s="33" t="str">
        <f ca="1">IF(COUNTIF(Q18:Q22,"*"&amp;"eldritch sight"&amp;"*"),"Detect Magic*"," ")</f>
        <v xml:space="preserve"> </v>
      </c>
      <c r="R148" s="33" t="str">
        <f ca="1">IF(COUNTIF(R18:R21,"*"&amp;"Rush of the Gale Spirits"&amp;"*"),"Gust of Wind (2 ki)",IF(R15="way of the shadow","Pass Without Trace"," "))</f>
        <v xml:space="preserve"> </v>
      </c>
      <c r="S148" s="33" t="str">
        <f ca="1">IF(COUNTIF(Q18:Q22,"*"&amp;"whispers of the grave"&amp;"*"),"Speak with Dead*"," ")</f>
        <v xml:space="preserve"> </v>
      </c>
      <c r="T148" s="72" t="str">
        <f ca="1">IF(COUNTIF(Q18:Q22,"*"&amp;"Sculptor of Flesh"&amp;"*"),"Polymorph**"," ")</f>
        <v xml:space="preserve"> </v>
      </c>
      <c r="AJ148" s="58" t="str">
        <f t="shared" ca="1" si="66"/>
        <v xml:space="preserve"> </v>
      </c>
      <c r="AK148" s="60">
        <f t="shared" ca="1" si="64"/>
        <v>0</v>
      </c>
      <c r="AL148" s="29" t="str">
        <f t="shared" ca="1" si="65"/>
        <v xml:space="preserve"> </v>
      </c>
    </row>
    <row r="149" spans="1:38" x14ac:dyDescent="0.3">
      <c r="B149" s="79"/>
      <c r="O149" s="81">
        <v>4</v>
      </c>
      <c r="Q149" s="29" t="str">
        <f ca="1">IF(COUNTIF(Q18:Q22,"*"&amp;"fiendish vigor"&amp;"*"),"False Life*"," ")</f>
        <v xml:space="preserve"> </v>
      </c>
      <c r="R149" s="29" t="str">
        <f ca="1">IF(R15="way of the shadow","Silence"," ")</f>
        <v xml:space="preserve"> </v>
      </c>
      <c r="T149" s="72" t="str">
        <f ca="1">IF(COUNTIF(Q18:Q22,"*"&amp;"visions of distant realms"&amp;"*"),"Arcane Eye*"," ")</f>
        <v xml:space="preserve"> </v>
      </c>
      <c r="AJ149" s="58" t="str">
        <f t="shared" ca="1" si="66"/>
        <v xml:space="preserve"> </v>
      </c>
      <c r="AK149" s="60">
        <f t="shared" ca="1" si="64"/>
        <v>0</v>
      </c>
      <c r="AL149" s="29" t="str">
        <f t="shared" ca="1" si="65"/>
        <v xml:space="preserve"> </v>
      </c>
    </row>
    <row r="150" spans="1:38" x14ac:dyDescent="0.3">
      <c r="B150" s="79"/>
      <c r="O150" s="81">
        <v>5</v>
      </c>
      <c r="Q150" s="29" t="str">
        <f ca="1">IF(COUNTIF(Q18:Q22,"*"&amp;"mask of many faces"&amp;"*"),"Disguise Self*","")</f>
        <v/>
      </c>
      <c r="T150" s="72"/>
    </row>
    <row r="151" spans="1:38" x14ac:dyDescent="0.3">
      <c r="B151" s="79"/>
      <c r="O151" s="81">
        <v>6</v>
      </c>
      <c r="Q151" s="29" t="str">
        <f ca="1">IF(COUNTIF(Q18:Q22,"*"&amp;"misty vision"&amp;"*"),"Silent Image*"," " )</f>
        <v xml:space="preserve"> </v>
      </c>
      <c r="T151" s="72"/>
      <c r="AJ151" s="31" t="s">
        <v>1666</v>
      </c>
    </row>
    <row r="152" spans="1:38" x14ac:dyDescent="0.3">
      <c r="B152" s="79"/>
      <c r="O152" s="81">
        <v>7</v>
      </c>
      <c r="Q152" s="29" t="str">
        <f ca="1">IF(COUNTIF(Q18:Q22,"*"&amp;"otherworldly leap"&amp;"*"),"Jump*"," ")</f>
        <v xml:space="preserve"> </v>
      </c>
      <c r="T152" s="72"/>
      <c r="AJ152" s="29">
        <v>1</v>
      </c>
      <c r="AK152" s="29">
        <v>1</v>
      </c>
    </row>
    <row r="153" spans="1:38" x14ac:dyDescent="0.3">
      <c r="B153" s="79"/>
      <c r="O153" s="81">
        <v>8</v>
      </c>
      <c r="Q153" s="29" t="str">
        <f ca="1">IF(COUNTIF(Q18:Q22,"*"&amp;"thief of five fates"&amp;"*"),"Bane**"," ")</f>
        <v xml:space="preserve"> </v>
      </c>
      <c r="T153" s="72"/>
      <c r="AJ153" s="29">
        <v>2</v>
      </c>
      <c r="AK153" s="29">
        <v>2</v>
      </c>
    </row>
    <row r="154" spans="1:38" x14ac:dyDescent="0.3">
      <c r="B154" s="79" t="str">
        <f ca="1">IF(AND(Q16="pact of the tome",COUNTIF($O$13:$O$13,"*"&amp;"book of ancient secrets"&amp;"*")),"Book of Ancient Secrets"," ")</f>
        <v xml:space="preserve"> </v>
      </c>
      <c r="O154" s="81">
        <v>9</v>
      </c>
      <c r="Q154" s="29" t="str">
        <f ca="1">IF(AND(Q16="pact of the tome",COUNTIF(Q18:Q22,"*"&amp;"book of ancient secrets"&amp;"*")),INDEX('Spell Tables'!BD40:BD46,MATCH(1,('Spell Tables'!BB40:BB46),0))," ")</f>
        <v xml:space="preserve"> </v>
      </c>
      <c r="T154" s="72"/>
      <c r="AJ154" s="29">
        <v>3</v>
      </c>
      <c r="AK154" s="29">
        <v>3</v>
      </c>
    </row>
    <row r="155" spans="1:38" ht="19.5" thickBot="1" x14ac:dyDescent="0.35">
      <c r="B155" s="80" t="str">
        <f ca="1">IF(Q16="pact of the chain",Q16,IF(OR(P155="minor illusion",S155="animate dead",T155="polymorph"),"School Spells - in Spellbook"," "))</f>
        <v xml:space="preserve"> </v>
      </c>
      <c r="C155" s="38"/>
      <c r="D155" s="38"/>
      <c r="E155" s="38"/>
      <c r="F155" s="38"/>
      <c r="G155" s="38"/>
      <c r="H155" s="38"/>
      <c r="I155" s="38"/>
      <c r="J155" s="38"/>
      <c r="K155" s="38"/>
      <c r="L155" s="38"/>
      <c r="M155" s="38"/>
      <c r="N155" s="38"/>
      <c r="O155" s="82">
        <v>10</v>
      </c>
      <c r="P155" s="38" t="str">
        <f ca="1">IF(AND(R15="school of Illusion",COUNTIF(P315:P324,"*Minor Illusion*"))," ",IF(R15="school of illusion","Minor Illusion"," "))</f>
        <v xml:space="preserve"> </v>
      </c>
      <c r="Q155" s="38" t="str">
        <f ca="1">IF(AND(Q16="pact of the tome",COUNTIF(Q18:Q22,"*"&amp;"book of ancient secrets"&amp;"*")),INDEX('Spell Tables'!BD40:BD46,MATCH(2,('Spell Tables'!BB40:BB46),0)),IF(Q16="pact of the chain","Find Familiar (as ritual)"," "))</f>
        <v xml:space="preserve"> </v>
      </c>
      <c r="R155" s="38"/>
      <c r="S155" s="38" t="str">
        <f ca="1">IF(AND(R15="school of necromancy",Q12&gt;=6,COUNTIF(S315:S324,"*"&amp;"Animate Dead"&amp;"*"))," ",IF(AND(R15="school of necromancy",Q12&gt;=6),"Animate Dead"," "))</f>
        <v xml:space="preserve"> </v>
      </c>
      <c r="T155" s="73" t="str">
        <f ca="1">IF(AND(R15="school of transmutation",Q12&gt;=10,COUNTIF(T315:T324,"*"&amp;"Polymorph"&amp;"*"))," ",IF(AND(R15="school of transmutation",Q12&gt;=6),"Polymorph"," "))</f>
        <v xml:space="preserve"> </v>
      </c>
      <c r="AJ155" s="29">
        <v>4</v>
      </c>
      <c r="AK155" s="29">
        <v>3</v>
      </c>
      <c r="AL155" s="29" t="str">
        <f ca="1">IF(AND(O11="bard",O12&gt;=10),VLOOKUP(RANDBETWEEN(1,10),Table21934445880085791433038771[],2),IF(AND(Q11="bard",Q12&gt;=10),VLOOKUP(RANDBETWEEN(1,10),Table21934445880085791433038771[],2)," "))</f>
        <v xml:space="preserve"> </v>
      </c>
    </row>
    <row r="156" spans="1:38" ht="19.5" thickBot="1" x14ac:dyDescent="0.35">
      <c r="B156" s="27"/>
      <c r="O156" s="99"/>
      <c r="AJ156" s="29">
        <v>5</v>
      </c>
      <c r="AK156" s="29">
        <v>4</v>
      </c>
      <c r="AL156" s="29" t="str">
        <f ca="1">IF(AND(O11="bard",O12&gt;=10),VLOOKUP(RANDBETWEEN(1,10),Table21934445880085791433038771[],2),IF(AND(Q11="bard",Q12&gt;=10),VLOOKUP(RANDBETWEEN(1,10),Table21934445880085791433038771[],2)," "))</f>
        <v xml:space="preserve"> </v>
      </c>
    </row>
    <row r="157" spans="1:38" x14ac:dyDescent="0.3">
      <c r="A157" s="33"/>
      <c r="B157" s="72"/>
      <c r="P157" s="76" t="s">
        <v>1169</v>
      </c>
      <c r="Q157" s="76" t="s">
        <v>1170</v>
      </c>
      <c r="R157" s="76" t="s">
        <v>1171</v>
      </c>
      <c r="S157" s="76" t="s">
        <v>677</v>
      </c>
      <c r="T157" s="104" t="s">
        <v>1172</v>
      </c>
      <c r="AJ157" s="29">
        <v>6</v>
      </c>
      <c r="AK157" s="29">
        <v>4</v>
      </c>
    </row>
    <row r="158" spans="1:38" x14ac:dyDescent="0.3">
      <c r="A158" s="33"/>
      <c r="B158" s="72"/>
      <c r="O158" s="83">
        <v>1</v>
      </c>
      <c r="P158" s="65" t="str">
        <f ca="1">IF(COUNTIF(Q18:Q22,"*"&amp;"chains of carceri"&amp;"*"),"Hold Monster**(c,f,e only)",IF(AND(R15="oath of vengeance",Q12&gt;=17),"Hold Monster",IF(AND(R15="Oath of the Ancients",Q12&gt;=17),"Commune with Nature",IF(AND(R15="Oath of Devotion",Q12&gt;=17),"Commune",IF(AND($P$20="Underdark",Q12&gt;=9),"Cloudkill",IF(AND($P$20="Swamp",Q12&gt;=9),"Insect Plague",IF(AND($P$20="Mountain",Q12&gt;=9),"Passwall",IF(AND($P$20="Grassland",Q12&gt;=9),"Dream",IF(AND($P$20="Forest",Q12&gt;=9),"Commune with Nature",IF(AND($P$20="Desert",Q12&gt;=9),"Insect Plague",IF(AND($P$20="Coast",Q12&gt;=9),"Conjure Elemental",IF(AND($P$20="arctic",Q12&gt;=9),"Commune with Nature",IF(AND(R15="war",Q12&gt;=9),"Flame Strike",IF(AND(R15="trickery",Q12&gt;=9),"Dominate Person",IF(AND(R15="tempest",Q12&gt;=9),"Destructive Wave",IF(AND(R15="nature",Q12&gt;=9),"Insect Plague",IF(AND(R15="light",Q12&gt;=9),"Flame Strike",IF(AND(R15="life",Q12&gt;=9),"Mass Cure Wounds",IF(AND(R15="knowledge",Q12&gt;=9),"Legend Lore",IF(AND(Q11="bard",AL155=5),INDEX('Spell Tables'!BX2:BX24,MATCH(O120,('Spell Tables'!BV2:BV24),0)),IF(AND(R15="path of the totem warrior",Q12&gt;=10),"Commune with Nature (as ritual)"," ")))))))))))))))))))))</f>
        <v xml:space="preserve"> </v>
      </c>
      <c r="Q158" s="65" t="str">
        <f ca="1">IF(AND(Q11="bard",AL167=6),INDEX('Spell Tables'!CB2:CB27,MATCH(O120,('Spell Tables'!BZ2:BZ27),0)),IF(AND(Q11="warlock",Q12&gt;=11),INDEX('Spell Tables'!AN194:AN201,MATCH(1,('Spell Tables'!AL194:AL201),0))," "))</f>
        <v xml:space="preserve"> </v>
      </c>
      <c r="R158" s="65" t="str">
        <f ca="1">IF(AND(Q11="bard",AL167=7),INDEX('Spell Tables'!CF2:CF11,MATCH(O120,('Spell Tables'!CD2:CD11),0)),IF(AND(Q11="warlock",Q12&gt;=13),INDEX('Spell Tables'!AR194:AR197,MATCH(1,('Spell Tables'!AP194:AP197),0))," "))</f>
        <v xml:space="preserve"> </v>
      </c>
      <c r="S158" s="65" t="str">
        <f ca="1">IF(AND(Q11="bard",AL179=8),INDEX('Spell Tables'!CJ2:CJ14,MATCH(O120,('Spell Tables'!CH2:CH14),0)),IF(AND(Q11="warlock",Q12&gt;=15),INDEX('Spell Tables'!AV194:AV198,MATCH(1,('Spell Tables'!AT295:AT299),0))," "))</f>
        <v xml:space="preserve"> </v>
      </c>
      <c r="T158" s="66" t="str">
        <f ca="1">IF(AND(Q11="bard",AL179=9),INDEX('Spell Tables'!CN2:CN11,MATCH(O120,('Spell Tables'!CL2:CL11),0)),IF(AND(Q11="warlock",Q12&gt;=17),INDEX('Spell Tables'!AZ194:AZ198,MATCH(1,('Spell Tables'!AX194:AX198),0))," "))</f>
        <v xml:space="preserve"> </v>
      </c>
      <c r="AJ158" s="29">
        <v>7</v>
      </c>
      <c r="AK158" s="29">
        <v>4</v>
      </c>
    </row>
    <row r="159" spans="1:38" x14ac:dyDescent="0.3">
      <c r="A159" s="33"/>
      <c r="B159" s="72"/>
      <c r="O159" s="84">
        <v>2</v>
      </c>
      <c r="P159" s="60" t="str">
        <f ca="1">IF(COUNTIF(Q18:Q22,"*"&amp;"minions of chaos"&amp;"*"),"Conjure Elemental**",IF(AND(R15="oath of vengeance",Q12&gt;=17),"Scrying",IF(AND(R15="Oath of the Ancients",Q12&gt;=17),"Tree Stride",IF(AND(R15="Oath of Devotion",Q12&gt;=17),"Flame Strike",IF(AND($P$20="Underdark",Q12&gt;=9),"Insect Plague",IF(AND($P$20="Swamp",Q12&gt;=9),"Scrying",IF(AND($P$20="Mountain",Q12&gt;=9),"Wall of Stone",IF(AND($P$20="Grassland",Q12&gt;=9),"Insect Plague",IF(AND($P$20="Forest",Q12&gt;=9),"Tree Stride",IF(AND($P$20="Desert",Q12&gt;=9),"Wall of Stone",IF(AND($P$20="Coast",Q12&gt;=9),"Scrying",IF(AND($P$20="arctic",Q12&gt;=9),"Cone of Cold",IF(AND(R15="war",Q12&gt;=9),"Hold Monster",IF(AND(R15="trickery",Q12&gt;=9),"Modify Memory",IF(AND(R15="tempest",Q12&gt;=9),"Insect Plague",IF(AND(R15="nature",Q12&gt;=9),"Tree Stride",IF(AND(R15="light",Q12&gt;=9),"Scrying",IF(AND(R15="life",Q12&gt;=9),"Raise Dead",IF(AND(R15="knowledge",Q12&gt;=9),"Scrying",IF(AND(Q11="bard",AL156=5),INDEX('Spell Tables'!$BX$2:$BX$24,MATCH(O121,('Spell Tables'!$BV$2:$BV$24),0))," "))))))))))))))))))))</f>
        <v xml:space="preserve"> </v>
      </c>
      <c r="Q159" s="60" t="str">
        <f ca="1">IF(AND(Q11="bard",AL168=6),INDEX('Spell Tables'!CB2:CB27,MATCH(O121,('Spell Tables'!BZ2:BZ27),0))," ")</f>
        <v xml:space="preserve"> </v>
      </c>
      <c r="R159" s="60" t="str">
        <f ca="1">IF(AND(Q11="bard",AL168=7),INDEX('Spell Tables'!CF2:CF11,MATCH(O121,('Spell Tables'!CD2:CD11),0))," ")</f>
        <v xml:space="preserve"> </v>
      </c>
      <c r="S159" s="60" t="str">
        <f ca="1">IF(AND(Q11="bard",AL180=8),INDEX('Spell Tables'!CJ2:CJ14,MATCH(O121,('Spell Tables'!CH2:CH14),0))," ")</f>
        <v xml:space="preserve"> </v>
      </c>
      <c r="T159" s="63" t="str">
        <f ca="1">IF(AND(Q11="bard",AL180=9),INDEX('Spell Tables'!CN2:CN11,MATCH(O121,('Spell Tables'!CL2:CL11),0))," ")</f>
        <v xml:space="preserve"> </v>
      </c>
      <c r="AJ159" s="29">
        <v>8</v>
      </c>
      <c r="AK159" s="29">
        <v>5</v>
      </c>
    </row>
    <row r="160" spans="1:38" x14ac:dyDescent="0.3">
      <c r="A160" s="33"/>
      <c r="B160" s="72"/>
      <c r="O160" s="83">
        <v>3</v>
      </c>
      <c r="P160" s="65"/>
      <c r="Q160" s="65"/>
      <c r="R160" s="65"/>
      <c r="S160" s="65"/>
      <c r="T160" s="66"/>
      <c r="AJ160" s="29">
        <v>9</v>
      </c>
      <c r="AK160" s="29">
        <v>5</v>
      </c>
    </row>
    <row r="161" spans="1:38" x14ac:dyDescent="0.3">
      <c r="A161" s="33"/>
      <c r="B161" s="72"/>
      <c r="O161" s="84">
        <v>4</v>
      </c>
      <c r="P161" s="60"/>
      <c r="Q161" s="60"/>
      <c r="R161" s="60"/>
      <c r="S161" s="60"/>
      <c r="T161" s="63"/>
      <c r="AJ161" s="29">
        <v>10</v>
      </c>
      <c r="AK161" s="29">
        <v>5</v>
      </c>
    </row>
    <row r="162" spans="1:38" x14ac:dyDescent="0.3">
      <c r="A162" s="33"/>
      <c r="B162" s="72"/>
      <c r="O162" s="83">
        <v>5</v>
      </c>
      <c r="P162" s="65"/>
      <c r="Q162" s="65"/>
      <c r="R162" s="65"/>
      <c r="S162" s="65"/>
      <c r="T162" s="66"/>
    </row>
    <row r="163" spans="1:38" x14ac:dyDescent="0.3">
      <c r="A163" s="33"/>
      <c r="B163" s="72"/>
      <c r="O163" s="84">
        <v>6</v>
      </c>
      <c r="P163" s="60"/>
      <c r="Q163" s="60"/>
      <c r="R163" s="60"/>
      <c r="S163" s="60"/>
      <c r="T163" s="63"/>
      <c r="AJ163" s="31" t="s">
        <v>1667</v>
      </c>
    </row>
    <row r="164" spans="1:38" x14ac:dyDescent="0.3">
      <c r="A164" s="33"/>
      <c r="B164" s="72"/>
      <c r="O164" s="83">
        <v>7</v>
      </c>
      <c r="P164" s="65"/>
      <c r="Q164" s="65"/>
      <c r="R164" s="65"/>
      <c r="S164" s="65"/>
      <c r="T164" s="66"/>
      <c r="AJ164" s="29">
        <v>1</v>
      </c>
      <c r="AK164" s="29">
        <v>6</v>
      </c>
    </row>
    <row r="165" spans="1:38" x14ac:dyDescent="0.3">
      <c r="A165" s="33"/>
      <c r="B165" s="72"/>
      <c r="O165" s="84">
        <v>8</v>
      </c>
      <c r="P165" s="60"/>
      <c r="Q165" s="60"/>
      <c r="R165" s="60"/>
      <c r="S165" s="60"/>
      <c r="T165" s="63"/>
      <c r="AJ165" s="29">
        <v>2</v>
      </c>
      <c r="AK165" s="29">
        <v>6</v>
      </c>
    </row>
    <row r="166" spans="1:38" x14ac:dyDescent="0.3">
      <c r="A166" s="33"/>
      <c r="B166" s="72"/>
      <c r="O166" s="83">
        <v>9</v>
      </c>
      <c r="P166" s="65"/>
      <c r="Q166" s="65"/>
      <c r="R166" s="65"/>
      <c r="S166" s="65"/>
      <c r="T166" s="66"/>
      <c r="U166" s="57"/>
      <c r="V166" s="57"/>
      <c r="W166" s="57"/>
      <c r="X166" s="57"/>
      <c r="AJ166" s="29">
        <v>3</v>
      </c>
      <c r="AK166" s="29">
        <v>6</v>
      </c>
    </row>
    <row r="167" spans="1:38" ht="19.5" thickBot="1" x14ac:dyDescent="0.35">
      <c r="A167" s="33"/>
      <c r="B167" s="72"/>
      <c r="O167" s="85">
        <v>10</v>
      </c>
      <c r="P167" s="67"/>
      <c r="Q167" s="67"/>
      <c r="R167" s="67"/>
      <c r="S167" s="67"/>
      <c r="T167" s="68"/>
      <c r="AJ167" s="29">
        <v>4</v>
      </c>
      <c r="AK167" s="29">
        <v>6</v>
      </c>
      <c r="AL167" s="29" t="str">
        <f ca="1">IF(AND(O11="bard",O12&gt;=14),VLOOKUP(RANDBETWEEN(1,10),Table22034545980185891533138873[],2)," ")</f>
        <v xml:space="preserve"> </v>
      </c>
    </row>
    <row r="168" spans="1:38" ht="19.5" thickBot="1" x14ac:dyDescent="0.35">
      <c r="AJ168" s="29">
        <v>5</v>
      </c>
      <c r="AK168" s="29">
        <v>7</v>
      </c>
      <c r="AL168" s="29" t="str">
        <f ca="1">IF(AND(O11="bard",O12&gt;=14),VLOOKUP(RANDBETWEEN(1,10),Table22034545980185891533138873[],2)," ")</f>
        <v xml:space="preserve"> </v>
      </c>
    </row>
    <row r="169" spans="1:38" ht="30.75" thickBot="1" x14ac:dyDescent="0.45">
      <c r="B169" s="105" t="s">
        <v>1243</v>
      </c>
      <c r="AJ169" s="29">
        <v>6</v>
      </c>
      <c r="AK169" s="29">
        <v>7</v>
      </c>
    </row>
    <row r="170" spans="1:38" ht="19.5" thickBot="1" x14ac:dyDescent="0.35">
      <c r="B170" s="79"/>
      <c r="C170" s="27"/>
      <c r="D170" s="27"/>
      <c r="E170" s="27"/>
      <c r="F170" s="27"/>
      <c r="G170" s="27"/>
      <c r="H170" s="27"/>
      <c r="I170" s="27"/>
      <c r="J170" s="27"/>
      <c r="K170" s="27"/>
      <c r="L170" s="27"/>
      <c r="M170" s="27"/>
      <c r="N170" s="27"/>
      <c r="O170" s="27"/>
      <c r="P170" s="87" t="s">
        <v>1341</v>
      </c>
      <c r="Q170" s="88" t="str">
        <f ca="1">IF($O$11="warlock",INDEX('Spell Tables'!$D$194:$D$213,MATCH($O$12,('Spell Tables'!$A$194:$A$213),0))," ")</f>
        <v xml:space="preserve"> </v>
      </c>
      <c r="R170" s="89" t="s">
        <v>1340</v>
      </c>
      <c r="S170" s="90" t="str">
        <f ca="1">IF($O$11="warlock",INDEX('Spell Tables'!$E$194:$E$213,MATCH($O$12,('Spell Tables'!$A$194:$A$213),0))," ")</f>
        <v xml:space="preserve"> </v>
      </c>
      <c r="T170" s="91"/>
      <c r="AJ170" s="29">
        <v>7</v>
      </c>
      <c r="AK170" s="29">
        <v>7</v>
      </c>
    </row>
    <row r="171" spans="1:38" x14ac:dyDescent="0.3">
      <c r="B171" s="112"/>
      <c r="C171" s="33"/>
      <c r="D171" s="33"/>
      <c r="E171" s="33"/>
      <c r="F171" s="33"/>
      <c r="G171" s="33"/>
      <c r="H171" s="33"/>
      <c r="I171" s="33"/>
      <c r="J171" s="33"/>
      <c r="K171" s="33"/>
      <c r="L171" s="33"/>
      <c r="M171" s="33"/>
      <c r="N171" s="33"/>
      <c r="O171" s="33"/>
      <c r="P171" s="92" t="s">
        <v>1342</v>
      </c>
      <c r="Q171" s="33" t="str">
        <f ca="1">IF(AND(AF14=2,OR(O11="monk",O11="barbarian",O11="warlock"),OR(Q11="fighter",Q11="rogue"),OR(P15&lt;&gt;"arcane trickster",R15&lt;&gt;"arcane trickster",P15&lt;&gt;"eldritch knight",R15&lt;&gt;"eldritch knight")),0,IF(AND(AF14=2,OR(O11="monk",O11="barbarian",O11="warlock"),OR(Q11="monk",Q11="barbarian",Q11="warlock")),0,IF(AND(AF14=2,OR(O11="monk",O11="barbarian",O11="warlock",Q11="monk",Q11="barbarian",Q11="warlock"),OR(P15="arcane trickster",R15="arcane trickster",P15="eldritch knight",R15="eldritch knight")),INDEX('Spell Tables'!D141:D160,MATCH(AF18,('Spell Tables'!A141:A160),0)),IF(AND(AF14=2,OR(O11="monk",O11="barbarian",O11="warlock",Q11="monk",Q11="barbarian",Q11="warlock"),OR(O11="paladin",Q11="paladin",O11="ranger",Q11="ranger")),INDEX('Spell Tables'!D119:D138,MATCH(AF18,('Spell Tables'!B119:B138),0)),IF(AF14=2,INDEX('Spell Tables'!D242:D261,MATCH(AF18,('Spell Tables'!B242:B261),0)),IF(AND(AF14=1,$P$15="arcane trickster"),INDEX('Spell Tables'!$D$141:$D$161,MATCH($O$12,('Spell Tables'!$A$141:$A$160),0)),IF(AND(AF14=1,(OR($O$11="bard",$O$11="cleric",$O$11="druid",$O$11="sorcerer",$O$11="wizard"))),INDEX('Spell Tables'!$D$2:$D$21,MATCH($O$12,('Spell Tables'!$A$2:$A$21),0)),IF(AND(AF14=1,$P$15)="Eldritch Knight",INDEX('Spell Tables'!$D$70:$D$89,MATCH($O$12,('Spell Tables'!$A$70:$A$89),0))," "))))))))</f>
        <v xml:space="preserve"> </v>
      </c>
      <c r="R171" s="33" t="str">
        <f ca="1">IF(AND(AF14=2,OR(O11="monk",O11="barbarian",O11="warlock"),OR(Q11="fighter",Q11="rogue"),OR(P15&lt;&gt;"arcane trickster",R15&lt;&gt;"arcane trickster",P15&lt;&gt;"eldritch knight",R15&lt;&gt;"eldritch knight")),0,IF(AND(AF14=2,OR(O11="monk",O11="barbarian",O11="warlock"),OR(Q11="monk",Q11="barbarian",Q11="warlock")),0,IF(AND(AF14=2,OR(O11="monk",O11="barbarian",O11="warlock",Q11="monk",Q11="barbarian",Q11="warlock"),OR(P15="arcane trickster",R15="arcane trickster",P15="eldritch knight",R15="eldritch knight")),INDEX('Spell Tables'!E141:E160,MATCH(AF18,('Spell Tables'!A141:A160),0)),IF(AND(AF14=2,OR(O11="monk",O11="barbarian",O11="warlock",Q11="monk",Q11="barbarian",Q11="warlock"),OR(O11="paladin",Q11="paladin",O11="ranger",Q11="ranger")),INDEX('Spell Tables'!E119:E138,MATCH(AF18,('Spell Tables'!B119:B138),0)),IF(AF14=2,INDEX('Spell Tables'!E242:E261,MATCH(AF18,('Spell Tables'!B242:B261),0)),IF($P$15="arcane trickster",INDEX('Spell Tables'!$E$141:$E$161,MATCH($O$12,('Spell Tables'!$A$141:$A$160),0)),IF(OR($O$11="bard",$O$11="cleric",$O$11="druid",O11="sorcerer",O11="wizard"),INDEX('Spell Tables'!E$2:E$21,MATCH($O$12,('Spell Tables'!$A$2:$A$21),0)),IF($P$15="Eldritch Knight",INDEX('Spell Tables'!E70:E89,MATCH($O$12,('Spell Tables'!$A$70:$A$89),0))," "))))))))</f>
        <v xml:space="preserve"> </v>
      </c>
      <c r="S171" s="33" t="str">
        <f ca="1">IF(AND(AF14=2,OR(O11="monk",O11="barbarian",O11="warlock"),OR(Q11="fighter",Q11="rogue"),OR(P15&lt;&gt;"arcane trickster",R15&lt;&gt;"arcane trickster",P15&lt;&gt;"eldritch knight",R15&lt;&gt;"eldritch knight")),0,IF(AND(AF14=2,OR(O11="monk",O11="barbarian",O11="warlock"),OR(Q11="monk",Q11="barbarian",Q11="warlock")),0,IF(AND(AF14=2,OR(O11="monk",O11="barbarian",O11="warlock",Q11="monk",Q11="barbarian",Q11="warlock"),OR(P15="arcane trickster",R15="arcane trickster",P15="eldritch knight",R15="eldritch knight")),INDEX('Spell Tables'!F141:F160,MATCH(AF18,('Spell Tables'!A141:A160),0)),IF(AND(AF14=2,OR(O11="monk",O11="barbarian",O11="warlock",Q11="monk",Q11="barbarian",Q11="warlock"),OR(O11="paladin",Q11="paladin",O11="ranger",Q11="ranger")),INDEX('Spell Tables'!F119:F1383,MATCH(AF18,('Spell Tables'!B119:B138),0)),IF(AF14=2,INDEX('Spell Tables'!F242:F261,MATCH(AF18,('Spell Tables'!B242:B261),0)),IF($P$15="arcane trickster",INDEX('Spell Tables'!$F$141:$F$161,MATCH($O$12,('Spell Tables'!$A$141:$A$160),0)),IF(OR($O$11="bard",$O$11="cleric",$O$11="druid",O11="sorcerer",O11="wizard"),INDEX('Spell Tables'!F$2:F$21,MATCH($O$12,('Spell Tables'!$A$2:$A$21),0)),IF($P$15="Eldritch Knight",INDEX('Spell Tables'!F70:F89,MATCH($O$12,('Spell Tables'!$A$70:$A$89),0))," "))))))))</f>
        <v xml:space="preserve"> </v>
      </c>
      <c r="T171" s="72" t="str">
        <f ca="1">IF(AND(AF14=2,OR(O11="monk",O11="barbarian",O11="warlock"),OR(Q11="fighter",Q11="rogue"),OR(P15&lt;&gt;"arcane trickster",R15&lt;&gt;"arcane trickster",P15&lt;&gt;"eldritch knight",R15&lt;&gt;"eldritch knight")),0,IF(AND(AF14=2,OR(O11="monk",O11="barbarian",O11="warlock"),OR(Q11="monk",Q11="barbarian",Q11="warlock")),0,IF(AND(AF14=2,OR(O11="monk",O11="barbarian",O11="warlock",Q11="monk",Q11="barbarian",Q11="warlock"),OR(P15="arcane trickster",R15="arcane trickster",P15="eldritch knight",R15="eldritch knight")),INDEX('Spell Tables'!G141:G160,MATCH(AF18,('Spell Tables'!A141:A160),0)),IF(AND(AF14=2,OR(O11="monk",O11="barbarian",O11="warlock",Q11="monk",Q11="barbarian",Q11="warlock"),OR(O11="paladin",Q11="paladin",O11="ranger",Q11="ranger")),INDEX('Spell Tables'!G119:G138,MATCH(AF18,('Spell Tables'!B119:B138),0)),IF(AF14=2,INDEX('Spell Tables'!G242:G261,MATCH(AF18,('Spell Tables'!B242:B261),0)),IF($P$15="arcane trickster",INDEX('Spell Tables'!$G$141:$G$161,MATCH($O$12,('Spell Tables'!$A$141:$A$160),0)),IF(OR($O$11="bard",$O$11="cleric",$O$11="druid",O11="sorcerer",O11="wizard"),INDEX('Spell Tables'!G$2:G$21,MATCH($O$12,('Spell Tables'!$A$2:$A$21),0)),IF($P$15="Eldritch Knight",INDEX('Spell Tables'!G70:G89,MATCH($O$12,('Spell Tables'!$A$70:$A$89),0))," "))))))))</f>
        <v xml:space="preserve"> </v>
      </c>
      <c r="AJ171" s="29">
        <v>8</v>
      </c>
      <c r="AK171" s="29">
        <v>7</v>
      </c>
    </row>
    <row r="172" spans="1:38" hidden="1" x14ac:dyDescent="0.3">
      <c r="B172" s="112" t="s">
        <v>1270</v>
      </c>
      <c r="C172" s="33"/>
      <c r="D172" s="33"/>
      <c r="E172" s="33"/>
      <c r="F172" s="33"/>
      <c r="G172" s="33"/>
      <c r="H172" s="33"/>
      <c r="I172" s="33"/>
      <c r="J172" s="33"/>
      <c r="K172" s="33"/>
      <c r="L172" s="33"/>
      <c r="M172" s="33"/>
      <c r="N172" s="33"/>
      <c r="O172" s="33" t="s">
        <v>530</v>
      </c>
      <c r="P172" s="92" t="s">
        <v>530</v>
      </c>
      <c r="Q172" s="33" t="str">
        <f ca="1">IF(AND(O11="wizard",O12&gt;=3),"x",IF(O11="wizard","xx"," "))</f>
        <v xml:space="preserve"> </v>
      </c>
      <c r="R172" s="33" t="str">
        <f ca="1">IF(AND(O11="wizard",O12&gt;=5),"x",IF(AND($O$11="wizard",$O$12&gt;3),"xx",IF(AND(O11="wizard",O12=3),"xxx"," ")))</f>
        <v xml:space="preserve"> </v>
      </c>
      <c r="S172" s="33" t="str">
        <f ca="1">IF(AND(O11="Wizard",O12&gt;=7),"x",IF(AND($O$11="wizard",$O$12&gt;5),"xx",IF(AND(O11="wizard",O12=5),"xxx"," ")))</f>
        <v xml:space="preserve"> </v>
      </c>
      <c r="T172" s="33" t="str">
        <f ca="1">IF(AND(O11="wizard",O12&gt;=9),"x",IF(AND($O$11="wizard",$O$12&gt;7),"xx",IF(AND(O11="wizard",O12=7),"xxx"," ")))</f>
        <v xml:space="preserve"> </v>
      </c>
      <c r="AJ172" s="29">
        <v>9</v>
      </c>
      <c r="AK172" s="29">
        <v>7</v>
      </c>
    </row>
    <row r="173" spans="1:38" hidden="1" x14ac:dyDescent="0.3">
      <c r="B173" s="112" t="s">
        <v>1272</v>
      </c>
      <c r="C173" s="33"/>
      <c r="D173" s="33"/>
      <c r="E173" s="33"/>
      <c r="F173" s="33"/>
      <c r="G173" s="33"/>
      <c r="H173" s="33"/>
      <c r="I173" s="33"/>
      <c r="J173" s="33"/>
      <c r="K173" s="33"/>
      <c r="L173" s="33"/>
      <c r="M173" s="33"/>
      <c r="N173" s="33"/>
      <c r="O173" s="33" t="str">
        <f ca="1">IF(O11="wizard",P41+O12," ")</f>
        <v xml:space="preserve"> </v>
      </c>
      <c r="P173" s="92">
        <f ca="1">IF(O11="wizard",INDEX('Spell Tables'!C242:C261,MATCH(O12,('Spell Tables'!B242:B261),0)),0)</f>
        <v>0</v>
      </c>
      <c r="Q173" s="33">
        <f ca="1">IF($Q172="x",RANDBETWEEN(1,2),IF($Q172="xx",$O$173,0))</f>
        <v>0</v>
      </c>
      <c r="R173" s="33">
        <f ca="1">IF(R172="x",RANDBETWEEN(1,2),IF(R172="xx",$O$173-Q173,0))</f>
        <v>0</v>
      </c>
      <c r="S173" s="33">
        <f ca="1">IF(S172="x",O173-SUM(Q173:R173,U122:X122),IF(S172="xx",$O$173-SUM(Q173:R173),0))</f>
        <v>0</v>
      </c>
      <c r="T173" s="33">
        <f ca="1">IF(T172="x",RANDBETWEEN(1,2),IF(T172="xx",RANDBETWEEN(2,3),IF(T172="xxx",RANDBETWEEN(1,2),0)))</f>
        <v>0</v>
      </c>
      <c r="AJ173" s="29">
        <v>10</v>
      </c>
      <c r="AK173" s="29">
        <v>7</v>
      </c>
    </row>
    <row r="174" spans="1:38" hidden="1" x14ac:dyDescent="0.3">
      <c r="B174" s="112" t="s">
        <v>1269</v>
      </c>
      <c r="C174" s="33"/>
      <c r="D174" s="33"/>
      <c r="E174" s="33"/>
      <c r="F174" s="33"/>
      <c r="G174" s="33"/>
      <c r="H174" s="33"/>
      <c r="I174" s="33"/>
      <c r="J174" s="33"/>
      <c r="K174" s="33"/>
      <c r="L174" s="33"/>
      <c r="M174" s="33"/>
      <c r="N174" s="33"/>
      <c r="O174" s="33" t="s">
        <v>530</v>
      </c>
      <c r="P174" s="92" t="s">
        <v>530</v>
      </c>
      <c r="Q174" s="33" t="str">
        <f ca="1">IF(AND($O$11="warlock",$O$12&gt;=3),"x",IF(O11="warlock","xx"," "))</f>
        <v xml:space="preserve"> </v>
      </c>
      <c r="R174" s="33" t="str">
        <f ca="1">IF(AND($O$11="warlock",$O$12&gt;=5),"x",IF(AND($O$11="warlock",$O$12&gt;=3),"xx"," "))</f>
        <v xml:space="preserve"> </v>
      </c>
      <c r="S174" s="33" t="str">
        <f ca="1">IF(AND($O$11="warlock",$O$12&gt;=7),"x",IF(AND($O$11="warlock",$O$12&gt;=5),"xx"," "))</f>
        <v xml:space="preserve"> </v>
      </c>
      <c r="T174" s="33" t="str">
        <f ca="1">IF(AND($O$11="warlock",$O$12&gt;=9),"x",IF(AND($O$11="warlock",$O$12&gt;=7),"xx"," "))</f>
        <v xml:space="preserve"> </v>
      </c>
    </row>
    <row r="175" spans="1:38" hidden="1" x14ac:dyDescent="0.3">
      <c r="B175" s="112" t="s">
        <v>1268</v>
      </c>
      <c r="C175" s="33"/>
      <c r="D175" s="33"/>
      <c r="E175" s="33"/>
      <c r="F175" s="33"/>
      <c r="G175" s="33"/>
      <c r="H175" s="33"/>
      <c r="I175" s="33"/>
      <c r="J175" s="33"/>
      <c r="K175" s="33"/>
      <c r="L175" s="33"/>
      <c r="M175" s="33"/>
      <c r="N175" s="33"/>
      <c r="O175" s="33" t="str">
        <f ca="1">IF(O11="warlock",INDEX('Spell Tables'!C194:C213,MATCH($O$12,('Spell Tables'!A194:A213),0))," ")</f>
        <v xml:space="preserve"> </v>
      </c>
      <c r="P175" s="92">
        <f ca="1">IF($O$11="warlock",INDEX('Spell Tables'!B194:B213,MATCH($O$12,('Spell Tables'!A194:A213),0)),0)</f>
        <v>0</v>
      </c>
      <c r="Q175" s="33">
        <f ca="1">IF($Q174="x",RANDBETWEEN(1,2),IF($Q174="xx",$O$175,0))</f>
        <v>0</v>
      </c>
      <c r="R175" s="33">
        <f ca="1">IF(R174="x",RANDBETWEEN(1,2),IF(R174="xx",$O$175-Q175,0))</f>
        <v>0</v>
      </c>
      <c r="S175" s="33">
        <f ca="1">IF(S174="x",O175-SUM(Q175:R175,U124:X124),IF(S174="xx",$O$175-SUM(Q175:R175),0))</f>
        <v>0</v>
      </c>
      <c r="T175" s="33">
        <f ca="1">IF(T174="x",RANDBETWEEN(1,2),IF(T174="xx",RANDBETWEEN(2,3),0))</f>
        <v>0</v>
      </c>
      <c r="AJ175" s="31" t="s">
        <v>1668</v>
      </c>
    </row>
    <row r="176" spans="1:38" hidden="1" x14ac:dyDescent="0.3">
      <c r="B176" s="112" t="s">
        <v>1267</v>
      </c>
      <c r="C176" s="33"/>
      <c r="D176" s="33"/>
      <c r="E176" s="33"/>
      <c r="F176" s="33"/>
      <c r="G176" s="33"/>
      <c r="H176" s="33"/>
      <c r="I176" s="33"/>
      <c r="J176" s="33"/>
      <c r="K176" s="33"/>
      <c r="L176" s="33"/>
      <c r="M176" s="33"/>
      <c r="N176" s="33"/>
      <c r="O176" s="33" t="s">
        <v>530</v>
      </c>
      <c r="P176" s="92" t="s">
        <v>530</v>
      </c>
      <c r="Q176" s="33" t="str">
        <f ca="1">IF(AND($O$11="sorcerer",$O$12&gt;=3),"x",IF($O$11="sorcerer","xx"," "))</f>
        <v xml:space="preserve"> </v>
      </c>
      <c r="R176" s="33" t="str">
        <f ca="1">IF(AND($O$11="sorcerer",$O$12&gt;=5),"x",IF(AND($O$11="sorcerer",$O$12&gt;=3),"xx"," "))</f>
        <v xml:space="preserve"> </v>
      </c>
      <c r="S176" s="33" t="str">
        <f ca="1">IF(AND($O$11="sorcerer",$O$12&gt;=7),"x",IF(AND($O$11="sorcerer",$O$12&gt;=5),"xx"," "))</f>
        <v xml:space="preserve"> </v>
      </c>
      <c r="T176" s="33" t="str">
        <f ca="1">IF(AND($O$11="sorcerer",$O$12&gt;=9),"x",IF(AND($O$11="sorcerer",$O$12&gt;=7),"xx"," "))</f>
        <v xml:space="preserve"> </v>
      </c>
      <c r="AJ176" s="29">
        <v>1</v>
      </c>
      <c r="AK176" s="29">
        <v>8</v>
      </c>
    </row>
    <row r="177" spans="2:38" hidden="1" x14ac:dyDescent="0.3">
      <c r="B177" s="112" t="s">
        <v>1266</v>
      </c>
      <c r="C177" s="33"/>
      <c r="D177" s="33"/>
      <c r="E177" s="33"/>
      <c r="F177" s="33"/>
      <c r="G177" s="33"/>
      <c r="H177" s="33"/>
      <c r="I177" s="33"/>
      <c r="J177" s="33"/>
      <c r="K177" s="33"/>
      <c r="L177" s="33"/>
      <c r="M177" s="33"/>
      <c r="N177" s="33"/>
      <c r="O177" s="33" t="str">
        <f ca="1">IF(O11="sorcerer",INDEX('Spell Tables'!C168:C187,MATCH($O$12,('Spell Tables'!A168:A187),0))," ")</f>
        <v xml:space="preserve"> </v>
      </c>
      <c r="P177" s="92">
        <f ca="1">IF($O$11="sorcerer",INDEX('Spell Tables'!B168:B187,MATCH($O$12,('Spell Tables'!A168:A187),0)),0)</f>
        <v>0</v>
      </c>
      <c r="Q177" s="33">
        <f ca="1">IF($Q176="x",RANDBETWEEN(1,2),IF($Q176="xx",$O$177,0))</f>
        <v>0</v>
      </c>
      <c r="R177" s="33">
        <f ca="1">IF(R176="x",RANDBETWEEN(1,2),IF(R176="xx",$O$177-Q177,0))</f>
        <v>0</v>
      </c>
      <c r="S177" s="33">
        <f ca="1">IF(S176="x",O177-SUM(Q177:R177,U126:X126),IF(S176="xx",$O$177-SUM(Q177:R177),0))</f>
        <v>0</v>
      </c>
      <c r="T177" s="33">
        <f ca="1">IF(T176="x",RANDBETWEEN(1,2),IF(T176="xx",RANDBETWEEN(2,3),0))</f>
        <v>0</v>
      </c>
      <c r="AJ177" s="29">
        <v>2</v>
      </c>
      <c r="AK177" s="29">
        <v>8</v>
      </c>
    </row>
    <row r="178" spans="2:38" hidden="1" x14ac:dyDescent="0.3">
      <c r="B178" s="112" t="s">
        <v>1254</v>
      </c>
      <c r="C178" s="33"/>
      <c r="D178" s="33"/>
      <c r="E178" s="33"/>
      <c r="F178" s="33"/>
      <c r="G178" s="33"/>
      <c r="H178" s="33"/>
      <c r="I178" s="33"/>
      <c r="J178" s="33"/>
      <c r="K178" s="33"/>
      <c r="L178" s="33"/>
      <c r="M178" s="33"/>
      <c r="N178" s="33"/>
      <c r="O178" s="33" t="s">
        <v>530</v>
      </c>
      <c r="P178" s="92" t="s">
        <v>530</v>
      </c>
      <c r="Q178" s="33" t="str">
        <f ca="1">IF(AND(P15="arcane trickster",O12&gt;=7),"x",IF(P15="arcane trickster","xx"," "))</f>
        <v xml:space="preserve"> </v>
      </c>
      <c r="R178" s="33" t="str">
        <f ca="1">IF(AND(P15="arcane trickster",O12=13),"x",IF(AND(P15="arcane trickster",$O$12&gt;=7),"xx"," "))</f>
        <v xml:space="preserve"> </v>
      </c>
      <c r="S178" s="33" t="str">
        <f ca="1">IF(AND(P15="arcane trickster",O12&gt;=19),"x",IF(AND(P15="arcane trickster",$O$12&gt;=13),"xx"," "))</f>
        <v xml:space="preserve"> </v>
      </c>
      <c r="T178" s="33" t="str">
        <f ca="1">IF(AND(P15="arcane trickster",$O$12&gt;=19),"xx"," ")</f>
        <v xml:space="preserve"> </v>
      </c>
      <c r="AJ178" s="29">
        <v>3</v>
      </c>
      <c r="AK178" s="29">
        <v>8</v>
      </c>
    </row>
    <row r="179" spans="2:38" hidden="1" x14ac:dyDescent="0.3">
      <c r="B179" s="112" t="s">
        <v>1253</v>
      </c>
      <c r="C179" s="33"/>
      <c r="D179" s="33"/>
      <c r="E179" s="33"/>
      <c r="F179" s="33"/>
      <c r="G179" s="33"/>
      <c r="H179" s="33"/>
      <c r="I179" s="33"/>
      <c r="J179" s="33"/>
      <c r="K179" s="33"/>
      <c r="L179" s="33"/>
      <c r="M179" s="33"/>
      <c r="N179" s="33"/>
      <c r="O179" s="33" t="str">
        <f ca="1">IF(P15="arcane trickster",INDEX('Spell Tables'!C141:C160,MATCH($O$12,('Spell Tables'!A141:A160),0))," ")</f>
        <v xml:space="preserve"> </v>
      </c>
      <c r="P179" s="92">
        <f ca="1">IF($P$15="arcane trickster",INDEX('Spell Tables'!B141:B160,MATCH($O$12,('Spell Tables'!A141:A160),0)),0)</f>
        <v>0</v>
      </c>
      <c r="Q179" s="33">
        <f ca="1">IF($Q178="x",RANDBETWEEN(2,3),IF($Q178="xx",$O$179,0))</f>
        <v>0</v>
      </c>
      <c r="R179" s="33">
        <f ca="1">IF(R178="x",RANDBETWEEN(2,3),IF(R178="xx",$O$179-Q179,0))</f>
        <v>0</v>
      </c>
      <c r="S179" s="33">
        <f ca="1">IF(S178="x",O179-SUM(Q179:R179,U128:X128),IF(S178="xx",$O$179-SUM(Q179:R179),0))</f>
        <v>0</v>
      </c>
      <c r="T179" s="33">
        <f ca="1">IF(T178="x",RANDBETWEEN(1,2),IF(T178="xx",RANDBETWEEN(2,3),0))</f>
        <v>0</v>
      </c>
      <c r="AJ179" s="29">
        <v>4</v>
      </c>
      <c r="AK179" s="29">
        <v>8</v>
      </c>
      <c r="AL179" s="29" t="str">
        <f ca="1">IF(AND(O11="bard",O12&gt;=18),VLOOKUP(RANDBETWEEN(1,10),Table22234646080285991633238982[],2)," ")</f>
        <v xml:space="preserve"> </v>
      </c>
    </row>
    <row r="180" spans="2:38" hidden="1" x14ac:dyDescent="0.3">
      <c r="B180" s="112" t="s">
        <v>1247</v>
      </c>
      <c r="C180" s="33"/>
      <c r="D180" s="33"/>
      <c r="E180" s="33"/>
      <c r="F180" s="33"/>
      <c r="G180" s="33"/>
      <c r="H180" s="33"/>
      <c r="I180" s="33"/>
      <c r="J180" s="33"/>
      <c r="K180" s="33"/>
      <c r="L180" s="33"/>
      <c r="M180" s="33"/>
      <c r="N180" s="33"/>
      <c r="O180" s="33" t="s">
        <v>530</v>
      </c>
      <c r="P180" s="92" t="s">
        <v>1324</v>
      </c>
      <c r="Q180" s="33" t="str">
        <f ca="1">IF(AND($O$11="ranger",$O$12&gt;=5),"x",IF(AND(O11="ranger",O12&gt;=2),"xx"," "))</f>
        <v xml:space="preserve"> </v>
      </c>
      <c r="R180" s="33" t="str">
        <f ca="1">IF(AND($O$11="ranger",$O$12&gt;=9),"x",IF(AND($O$11="ranger",$O$12&gt;=5),"xx"," "))</f>
        <v xml:space="preserve"> </v>
      </c>
      <c r="S180" s="33" t="str">
        <f ca="1">IF(AND($O$11="ranger",$O$12&gt;=13),"x",IF(AND($O$11="ranger",$O$12&gt;=9),"xx"," "))</f>
        <v xml:space="preserve"> </v>
      </c>
      <c r="T180" s="33" t="str">
        <f ca="1">IF(AND($O$11="ranger",$O$12&gt;=17),"x",IF(AND($O$11="ranger",$O$12&gt;=13),"xx"," "))</f>
        <v xml:space="preserve"> </v>
      </c>
      <c r="AJ180" s="29">
        <v>5</v>
      </c>
      <c r="AK180" s="29">
        <v>9</v>
      </c>
      <c r="AL180" s="29" t="str">
        <f ca="1">IF(AND(O11="bard",O12&gt;=18),VLOOKUP(RANDBETWEEN(1,10),Table22234646080285991633238982[],2)," ")</f>
        <v xml:space="preserve"> </v>
      </c>
    </row>
    <row r="181" spans="2:38" hidden="1" x14ac:dyDescent="0.3">
      <c r="B181" s="112" t="s">
        <v>1246</v>
      </c>
      <c r="C181" s="33"/>
      <c r="D181" s="33"/>
      <c r="E181" s="33"/>
      <c r="F181" s="33"/>
      <c r="G181" s="33"/>
      <c r="H181" s="33"/>
      <c r="I181" s="33"/>
      <c r="J181" s="33"/>
      <c r="K181" s="33"/>
      <c r="L181" s="33"/>
      <c r="M181" s="33"/>
      <c r="N181" s="33"/>
      <c r="O181" s="33" t="str">
        <f ca="1">IF($O$11="ranger",INDEX('Spell Tables'!C119:C138,MATCH($O$12,('Spell Tables'!B119:B138),0))," ")</f>
        <v xml:space="preserve"> </v>
      </c>
      <c r="P181" s="92" t="s">
        <v>1324</v>
      </c>
      <c r="Q181" s="33">
        <f ca="1">IF($Q180="x",RANDBETWEEN(1,2),IF($Q180="xx",$O$181,0))</f>
        <v>0</v>
      </c>
      <c r="R181" s="33">
        <f ca="1">IF(R180="x",RANDBETWEEN(1,2),IF(R180="xx",$O$181-Q181,0))</f>
        <v>0</v>
      </c>
      <c r="S181" s="33">
        <f ca="1">IF(S180="x",O181-SUM(Q181:R181,T130:X130),IF(S180="xx",$O$181-SUM(Q181:R181),0))</f>
        <v>0</v>
      </c>
      <c r="T181" s="33">
        <f ca="1">IF(T180="x",RANDBETWEEN(1,2),IF(T180="xx",RANDBETWEEN(2,3),0))</f>
        <v>0</v>
      </c>
      <c r="AJ181" s="29">
        <v>6</v>
      </c>
      <c r="AK181" s="29">
        <v>9</v>
      </c>
    </row>
    <row r="182" spans="2:38" hidden="1" x14ac:dyDescent="0.3">
      <c r="B182" s="112" t="s">
        <v>1245</v>
      </c>
      <c r="C182" s="33"/>
      <c r="D182" s="33"/>
      <c r="E182" s="33"/>
      <c r="F182" s="33"/>
      <c r="G182" s="33"/>
      <c r="H182" s="33"/>
      <c r="I182" s="33"/>
      <c r="J182" s="33"/>
      <c r="K182" s="33"/>
      <c r="L182" s="33"/>
      <c r="M182" s="33"/>
      <c r="N182" s="33"/>
      <c r="O182" s="33" t="s">
        <v>530</v>
      </c>
      <c r="P182" s="92" t="s">
        <v>1324</v>
      </c>
      <c r="Q182" s="33" t="str">
        <f ca="1">IF(AND($O$11="paladin",$O$12&gt;=5),"x",IF($O$11="paladin","xx"," "))</f>
        <v xml:space="preserve"> </v>
      </c>
      <c r="R182" s="33" t="str">
        <f ca="1">IF(AND(O11="paladin",O12&gt;=9),"x",IF(AND($O$11="paladin",$O$12&gt;=5),"xx"," "))</f>
        <v xml:space="preserve"> </v>
      </c>
      <c r="S182" s="33" t="str">
        <f ca="1">IF(AND(O11="paladin",O12&gt;=13),"x",IF(AND($O$11="paladin",$O$12&gt;=9),"xx"," "))</f>
        <v xml:space="preserve"> </v>
      </c>
      <c r="T182" s="33" t="str">
        <f ca="1">IF(AND(O11="paladin",O12&gt;=17),"x",IF(AND($O$11="paladin",$O$12&gt;=13),"xx"," "))</f>
        <v xml:space="preserve"> </v>
      </c>
      <c r="AJ182" s="29">
        <v>7</v>
      </c>
      <c r="AK182" s="29">
        <v>9</v>
      </c>
    </row>
    <row r="183" spans="2:38" hidden="1" x14ac:dyDescent="0.3">
      <c r="B183" s="112" t="s">
        <v>1244</v>
      </c>
      <c r="C183" s="33"/>
      <c r="D183" s="33"/>
      <c r="E183" s="33"/>
      <c r="F183" s="33"/>
      <c r="G183" s="33"/>
      <c r="H183" s="33"/>
      <c r="I183" s="33"/>
      <c r="J183" s="33"/>
      <c r="K183" s="33"/>
      <c r="L183" s="33"/>
      <c r="M183" s="33"/>
      <c r="N183" s="33"/>
      <c r="O183" s="33" t="str">
        <f ca="1">IF(O11="paladin",ROUNDDOWN(P43+(O12*0.5),0)," ")</f>
        <v xml:space="preserve"> </v>
      </c>
      <c r="P183" s="92" t="s">
        <v>1324</v>
      </c>
      <c r="Q183" s="33">
        <f ca="1">IF($Q182="x",RANDBETWEEN(1,2),IF($Q182="xx",$O$183,0))</f>
        <v>0</v>
      </c>
      <c r="R183" s="33">
        <f ca="1">IF(R182="x",RANDBETWEEN(1,2),IF(R182="xx",$O$183-Q183,0))</f>
        <v>0</v>
      </c>
      <c r="S183" s="33">
        <f ca="1">IF(S182="x",O183-SUM(Q183:R183,U132:X132),IF(S182="xx",$O$183-SUM(Q183:R183),0))</f>
        <v>0</v>
      </c>
      <c r="T183" s="33">
        <f ca="1">IF(T182="x",RANDBETWEEN(1,2),IF(T182="xx",RANDBETWEEN(2,3),0))</f>
        <v>0</v>
      </c>
      <c r="AJ183" s="29">
        <v>8</v>
      </c>
      <c r="AK183" s="29">
        <v>9</v>
      </c>
    </row>
    <row r="184" spans="2:38" hidden="1" x14ac:dyDescent="0.3">
      <c r="B184" s="112" t="s">
        <v>1226</v>
      </c>
      <c r="C184" s="33"/>
      <c r="D184" s="33"/>
      <c r="E184" s="33"/>
      <c r="F184" s="33"/>
      <c r="G184" s="33"/>
      <c r="H184" s="33"/>
      <c r="I184" s="33"/>
      <c r="J184" s="33"/>
      <c r="K184" s="33"/>
      <c r="L184" s="33"/>
      <c r="M184" s="33"/>
      <c r="N184" s="33"/>
      <c r="O184" s="33" t="s">
        <v>530</v>
      </c>
      <c r="P184" s="92" t="s">
        <v>530</v>
      </c>
      <c r="Q184" s="33" t="str">
        <f ca="1">IF(AND(P15="eldritch knight",O12&gt;=7),"x",IF(P15="eldritch knight","xx"," "))</f>
        <v xml:space="preserve"> </v>
      </c>
      <c r="R184" s="33" t="str">
        <f ca="1">IF(AND(P15="eldritch knight",O12&gt;=13),"x",IF(AND(P15="eldritch knight",$O$12&gt;=7),"xx"," "))</f>
        <v xml:space="preserve"> </v>
      </c>
      <c r="S184" s="33" t="str">
        <f ca="1">IF(AND(P15="eldritch knight",O12&gt;=19),"x",IF(AND(P15="eldritch knight",$O$12&gt;=13),"xx"," "))</f>
        <v xml:space="preserve"> </v>
      </c>
      <c r="T184" s="33" t="str">
        <f ca="1">IF(AND(P15="eldritch knight",$O$12&gt;=19),"xx"," ")</f>
        <v xml:space="preserve"> </v>
      </c>
      <c r="AJ184" s="29">
        <v>9</v>
      </c>
      <c r="AK184" s="29">
        <v>9</v>
      </c>
    </row>
    <row r="185" spans="2:38" hidden="1" x14ac:dyDescent="0.3">
      <c r="B185" s="112" t="s">
        <v>1222</v>
      </c>
      <c r="C185" s="33"/>
      <c r="D185" s="33"/>
      <c r="E185" s="33"/>
      <c r="F185" s="33"/>
      <c r="G185" s="33"/>
      <c r="H185" s="33"/>
      <c r="I185" s="33"/>
      <c r="J185" s="33"/>
      <c r="K185" s="33"/>
      <c r="L185" s="33"/>
      <c r="M185" s="33"/>
      <c r="N185" s="33"/>
      <c r="O185" s="33" t="str">
        <f ca="1">IF($P$15="eldritch knight",INDEX('Spell Tables'!C70:C89,MATCH($O$12,('Spell Tables'!$A$70:$A$89),0))," ")</f>
        <v xml:space="preserve"> </v>
      </c>
      <c r="P185" s="92">
        <f ca="1">IF($P$15="eldritch knight",INDEX('Spell Tables'!B70:B89,MATCH($O$12,('Spell Tables'!A70:A89),0)),0)</f>
        <v>0</v>
      </c>
      <c r="Q185" s="33">
        <f ca="1">IF($Q184="x",RANDBETWEEN(2,3),IF($Q184="xx",$O$185,0))</f>
        <v>0</v>
      </c>
      <c r="R185" s="33">
        <f ca="1">IF(R184="x",RANDBETWEEN(2,3),IF(R184="xx",$O$185-Q185,0))</f>
        <v>0</v>
      </c>
      <c r="S185" s="33">
        <f ca="1">IF(S184="x",O185-SUM(Q185:R185,U134:X134),IF(S184="xx",$O$185-SUM(Q185:R185),0))</f>
        <v>0</v>
      </c>
      <c r="T185" s="33">
        <f ca="1">IF(T184="x",RANDBETWEEN(1,2),IF(T184="xx",RANDBETWEEN(2,3),0))</f>
        <v>0</v>
      </c>
      <c r="AJ185" s="29">
        <v>10</v>
      </c>
      <c r="AK185" s="29">
        <v>9</v>
      </c>
    </row>
    <row r="186" spans="2:38" hidden="1" x14ac:dyDescent="0.3">
      <c r="B186" s="112" t="s">
        <v>1219</v>
      </c>
      <c r="C186" s="33"/>
      <c r="D186" s="33"/>
      <c r="E186" s="33"/>
      <c r="F186" s="33"/>
      <c r="G186" s="33"/>
      <c r="H186" s="33"/>
      <c r="I186" s="33"/>
      <c r="J186" s="33"/>
      <c r="K186" s="33"/>
      <c r="L186" s="33"/>
      <c r="M186" s="33"/>
      <c r="N186" s="33"/>
      <c r="O186" s="33" t="s">
        <v>530</v>
      </c>
      <c r="P186" s="92" t="s">
        <v>530</v>
      </c>
      <c r="Q186" s="33" t="str">
        <f ca="1">IF(AND($O$11="druid",$O$12&gt;=3),"x",IF($O$11="druid","xx"," "))</f>
        <v xml:space="preserve"> </v>
      </c>
      <c r="R186" s="33" t="str">
        <f ca="1">IF(AND($O$11="druid",$O$12&gt;=5),"x",IF(AND($O$11="druid",$O$12&gt;=3),"xx"," "))</f>
        <v xml:space="preserve"> </v>
      </c>
      <c r="S186" s="33" t="str">
        <f ca="1">IF(AND($O$11="druid",$O$12&gt;=7),"x",IF(AND($O$11="druid",$O$12&gt;=5),"xx"," "))</f>
        <v xml:space="preserve"> </v>
      </c>
      <c r="T186" s="33" t="str">
        <f ca="1">IF(AND($O$11="druid",$O$12&gt;=9),"x",IF(AND($O$11="druid",$O$12&gt;=7),"xx"," "))</f>
        <v xml:space="preserve"> </v>
      </c>
    </row>
    <row r="187" spans="2:38" hidden="1" x14ac:dyDescent="0.3">
      <c r="B187" s="112" t="s">
        <v>1220</v>
      </c>
      <c r="C187" s="33"/>
      <c r="D187" s="33"/>
      <c r="E187" s="33"/>
      <c r="F187" s="33"/>
      <c r="G187" s="33"/>
      <c r="H187" s="33"/>
      <c r="I187" s="33"/>
      <c r="J187" s="33"/>
      <c r="K187" s="33"/>
      <c r="L187" s="33"/>
      <c r="M187" s="33"/>
      <c r="N187" s="33"/>
      <c r="O187" s="33" t="str">
        <f ca="1">IF(O11="druid",O12+P42," ")</f>
        <v xml:space="preserve"> </v>
      </c>
      <c r="P187" s="92">
        <f ca="1">IF($O$11="druid",INDEX('Spell Tables'!C48:C67,MATCH($O$12,('Spell Tables'!B48:B67),0)),0)</f>
        <v>0</v>
      </c>
      <c r="Q187" s="33">
        <f ca="1">IF($Q186="x",RANDBETWEEN(1,2),IF($Q186="xx",$O$187,0))</f>
        <v>0</v>
      </c>
      <c r="R187" s="33">
        <f ca="1">IF(R186="x",RANDBETWEEN(1,2),IF(R186="xx",$O$187-Q187,0))</f>
        <v>0</v>
      </c>
      <c r="S187" s="33">
        <f ca="1">IF(S186="x",O187-SUM(Q187:R187,U136:X136),IF(S186="xx",$O$187-SUM(Q187:R187),0))</f>
        <v>0</v>
      </c>
      <c r="T187" s="33">
        <f ca="1">IF(T186="x",RANDBETWEEN(1,2),IF(T186="xx",RANDBETWEEN(2,3),0))</f>
        <v>0</v>
      </c>
      <c r="AJ187" s="31" t="s">
        <v>1670</v>
      </c>
    </row>
    <row r="188" spans="2:38" hidden="1" x14ac:dyDescent="0.3">
      <c r="B188" s="112" t="s">
        <v>1143</v>
      </c>
      <c r="C188" s="33"/>
      <c r="D188" s="33"/>
      <c r="E188" s="33"/>
      <c r="F188" s="33"/>
      <c r="G188" s="33"/>
      <c r="H188" s="33"/>
      <c r="I188" s="33"/>
      <c r="J188" s="33"/>
      <c r="K188" s="33"/>
      <c r="L188" s="33"/>
      <c r="M188" s="33"/>
      <c r="N188" s="33"/>
      <c r="O188" s="33" t="s">
        <v>530</v>
      </c>
      <c r="P188" s="92" t="s">
        <v>530</v>
      </c>
      <c r="Q188" s="33" t="str">
        <f ca="1">IF(AND(O11="cleric",O12&gt;=3),"x",IF(O11="cleric","xx"," "))</f>
        <v xml:space="preserve"> </v>
      </c>
      <c r="R188" s="33" t="str">
        <f ca="1">IF(AND(O11="cleric",O12&gt;=5),"x",IF(AND($O$11="cleric",$O$12&gt;=3),"xx"," "))</f>
        <v xml:space="preserve"> </v>
      </c>
      <c r="S188" s="33" t="str">
        <f ca="1">IF(AND(O11="cleric",O12&gt;=7),"x",IF(AND($O$11="cleric",$O$12&gt;=5),"xx"," "))</f>
        <v xml:space="preserve"> </v>
      </c>
      <c r="T188" s="33" t="str">
        <f ca="1">IF(AND(O11="cleric",O12&gt;=9),"x",IF(AND($O$11="cleric",$O$12&gt;=7),"xx"," "))</f>
        <v xml:space="preserve"> </v>
      </c>
      <c r="AJ188" s="29">
        <v>1</v>
      </c>
      <c r="AK188" s="29" t="s">
        <v>1671</v>
      </c>
    </row>
    <row r="189" spans="2:38" hidden="1" x14ac:dyDescent="0.3">
      <c r="B189" s="112" t="s">
        <v>1142</v>
      </c>
      <c r="C189" s="33"/>
      <c r="D189" s="33"/>
      <c r="E189" s="33"/>
      <c r="F189" s="33"/>
      <c r="G189" s="33"/>
      <c r="H189" s="33"/>
      <c r="I189" s="33"/>
      <c r="J189" s="33"/>
      <c r="K189" s="33"/>
      <c r="L189" s="33"/>
      <c r="M189" s="33"/>
      <c r="N189" s="33"/>
      <c r="O189" s="33" t="str">
        <f ca="1">IF(O11="cleric",O12+P42," ")</f>
        <v xml:space="preserve"> </v>
      </c>
      <c r="P189" s="92">
        <f ca="1">IF($O$11="cleric",INDEX('Spell Tables'!C26:C45,MATCH($O$12,('Spell Tables'!B26:B45),0)),0)</f>
        <v>0</v>
      </c>
      <c r="Q189" s="33">
        <f ca="1">IF($Q188="x",RANDBETWEEN(1,2),IF($Q188="xx",$O$189,0))</f>
        <v>0</v>
      </c>
      <c r="R189" s="33">
        <f ca="1">IF(R188="x",RANDBETWEEN(1,2),IF(R188="xx",$O$189-Q189,0))</f>
        <v>0</v>
      </c>
      <c r="S189" s="33">
        <f ca="1">IF(S188="x",O189-SUM(Q189:R189,U138:X138),IF(S188="xx",$O$189-SUM(Q189:R189),0))</f>
        <v>0</v>
      </c>
      <c r="T189" s="33">
        <f ca="1">IF(T188="x",RANDBETWEEN(1,2),IF(T188="xx",RANDBETWEEN(2,3),0))</f>
        <v>0</v>
      </c>
      <c r="AJ189" s="29">
        <v>2</v>
      </c>
      <c r="AK189" s="29">
        <v>1</v>
      </c>
    </row>
    <row r="190" spans="2:38" hidden="1" x14ac:dyDescent="0.3">
      <c r="B190" s="112" t="s">
        <v>1248</v>
      </c>
      <c r="C190" s="33"/>
      <c r="D190" s="33"/>
      <c r="E190" s="33"/>
      <c r="F190" s="33"/>
      <c r="G190" s="33"/>
      <c r="H190" s="33"/>
      <c r="I190" s="33"/>
      <c r="J190" s="33"/>
      <c r="K190" s="33"/>
      <c r="L190" s="33"/>
      <c r="M190" s="33"/>
      <c r="N190" s="33"/>
      <c r="O190" s="33" t="s">
        <v>530</v>
      </c>
      <c r="P190" s="92" t="s">
        <v>530</v>
      </c>
      <c r="Q190" s="33" t="str">
        <f ca="1">IF(AND($O$11="bard",$O$12&gt;=3),"x",IF($O$11="bard","xx"," "))</f>
        <v xml:space="preserve"> </v>
      </c>
      <c r="R190" s="33" t="str">
        <f ca="1">IF(AND($O$11="bard",$O$12&gt;=5),"x",IF(AND($O$11="bard",$O$12&gt;=3),"xx"," "))</f>
        <v xml:space="preserve"> </v>
      </c>
      <c r="S190" s="33" t="str">
        <f ca="1">IF(AND($O$11="bard",$O$12&gt;=7),"x",IF(AND($O$11="bard",$O$12&gt;=5),"xx"," "))</f>
        <v xml:space="preserve"> </v>
      </c>
      <c r="T190" s="33" t="str">
        <f ca="1">IF(AND($O$11="bard",$O$12&gt;=9),"x",IF(AND($O$11="bard",$O$12&gt;=7),"xx"," "))</f>
        <v xml:space="preserve"> </v>
      </c>
      <c r="AJ190" s="29">
        <v>3</v>
      </c>
      <c r="AK190" s="29">
        <v>1</v>
      </c>
    </row>
    <row r="191" spans="2:38" hidden="1" x14ac:dyDescent="0.3">
      <c r="B191" s="112" t="s">
        <v>1141</v>
      </c>
      <c r="C191" s="33"/>
      <c r="D191" s="33"/>
      <c r="E191" s="33"/>
      <c r="F191" s="33"/>
      <c r="G191" s="33"/>
      <c r="H191" s="33"/>
      <c r="I191" s="33"/>
      <c r="J191" s="33"/>
      <c r="K191" s="33"/>
      <c r="L191" s="33"/>
      <c r="M191" s="33"/>
      <c r="N191" s="33"/>
      <c r="O191" s="33" t="str">
        <f ca="1">IF($O$11="bard",INDEX('Spell Tables'!C$2:C$21,MATCH($O$12,('Spell Tables'!$A$2:$A$21),0))," ")</f>
        <v xml:space="preserve"> </v>
      </c>
      <c r="P191" s="92">
        <f ca="1">IF($O$11="bard",INDEX('Spell Tables'!B2:B21,MATCH($O$12,('Spell Tables'!A2:A21),0)),0)</f>
        <v>0</v>
      </c>
      <c r="Q191" s="33">
        <f ca="1">IF($Q190="x",RANDBETWEEN(1,2),IF($Q190="xx",$O$191,0))</f>
        <v>0</v>
      </c>
      <c r="R191" s="33">
        <f ca="1">IF(R190="x",RANDBETWEEN(1,2),IF(R190="xx",$O$191-Q191,0))</f>
        <v>0</v>
      </c>
      <c r="S191" s="33">
        <f ca="1">IF(S190="x",O191-SUM(Q191:R191,U140:X140),IF(S190="xx",$O$191-SUM(Q191:R191),0))</f>
        <v>0</v>
      </c>
      <c r="T191" s="33">
        <f ca="1">IF(T190="x",RANDBETWEEN(1,2),IF(T190="xx",RANDBETWEEN(2,3),0))</f>
        <v>0</v>
      </c>
      <c r="AJ191" s="29">
        <v>4</v>
      </c>
      <c r="AK191" s="29">
        <v>2</v>
      </c>
      <c r="AL191" s="29" t="str">
        <f ca="1">IF(AND(P15="college of lore",O12&gt;=6),VLOOKUP(RANDBETWEEN(1,10),Table250347461803860917333390239[],2),IF(AND(R15="college of lore",Q12&gt;=6),VLOOKUP(RANDBETWEEN(1,10),Table250347461803860917333390239[],2)," "))</f>
        <v xml:space="preserve"> </v>
      </c>
    </row>
    <row r="192" spans="2:38" x14ac:dyDescent="0.3">
      <c r="B192" s="112" t="s">
        <v>1122</v>
      </c>
      <c r="C192" s="33"/>
      <c r="D192" s="33"/>
      <c r="E192" s="33"/>
      <c r="F192" s="33"/>
      <c r="G192" s="33"/>
      <c r="H192" s="33"/>
      <c r="I192" s="33"/>
      <c r="J192" s="33"/>
      <c r="K192" s="33"/>
      <c r="L192" s="33"/>
      <c r="M192" s="33"/>
      <c r="N192" s="33"/>
      <c r="O192" s="33"/>
      <c r="P192" s="92" t="s">
        <v>1124</v>
      </c>
      <c r="Q192" s="92" t="s">
        <v>1326</v>
      </c>
      <c r="R192" s="92" t="s">
        <v>1167</v>
      </c>
      <c r="S192" s="92" t="s">
        <v>1168</v>
      </c>
      <c r="T192" s="92" t="s">
        <v>676</v>
      </c>
      <c r="AJ192" s="29">
        <v>5</v>
      </c>
      <c r="AK192" s="29">
        <v>2</v>
      </c>
      <c r="AL192" s="29" t="str">
        <f ca="1">IF(AND(P15="college of lore",O12&gt;=6),VLOOKUP(RANDBETWEEN(1,10),Table250347461803860917333390239[],2),IF(AND(R15="college of lore",Q12&gt;=6),VLOOKUP(RANDBETWEEN(1,10),Table250347461803860917333390239[],2)," "))</f>
        <v xml:space="preserve"> </v>
      </c>
    </row>
    <row r="193" spans="2:37" x14ac:dyDescent="0.3">
      <c r="B193" s="79" t="str">
        <f ca="1">IF(OR(O11="bard",O11="paladin",O11="sorcerer",O11="warlock"),8+$P$8+$P$43,IF(OR(O11="druid",O11="cleric",O11="ranger"),8+P8+P42,IF(OR(P15="eldritch knight",P15="arcane trickster",O11="wizard"),8+P8+P41," ")))</f>
        <v xml:space="preserve"> </v>
      </c>
      <c r="C193" s="33"/>
      <c r="D193" s="33"/>
      <c r="E193" s="33"/>
      <c r="F193" s="33"/>
      <c r="G193" s="33"/>
      <c r="H193" s="33"/>
      <c r="I193" s="33"/>
      <c r="J193" s="33"/>
      <c r="K193" s="33"/>
      <c r="L193" s="33"/>
      <c r="M193" s="33"/>
      <c r="N193" s="33"/>
      <c r="O193" s="34">
        <v>1</v>
      </c>
      <c r="P193" s="33" t="str">
        <f ca="1">IF(P$173&gt;=O193,INDEX('Spell Tables'!$P$242:$P$257,MATCH(O193,('Spell Tables'!$N$242:$N$257),0)),IF(P$175&gt;=O193,INDEX('Spell Tables'!$P$194:$P$201,MATCH(O193,('Spell Tables'!$N$194:$N$201),0)),IF(P$177&gt;=O193,INDEX('Spell Tables'!$P$168:$P$183,MATCH(O193,('Spell Tables'!$N$168:$N$183),0)),IF(P$179&gt;=O193,INDEX('Spell Tables'!$P$141:$P$156,MATCH(O193,('Spell Tables'!$N$141:$N$157),0)),IF(P$185&gt;=O193,INDEX('Spell Tables'!$P$70:$P$83,MATCH(O193,('Spell Tables'!$N$70:$N$83),0)),IF(P$187&gt;=O193,INDEX('Spell Tables'!$P$48:$P$55,MATCH(O193,('Spell Tables'!$N$48:$N$55),0)),IF(P$189&gt;=O193,INDEX('Spell Tables'!$P$26:$P$32,MATCH(O193,('Spell Tables'!$N$26:$N$32),0)),IF(P$191&gt;=O193,INDEX('Spell Tables'!$P$2:$P$12,MATCH(O193,('Spell Tables'!$N$2:$N$12),0))," "))))))))</f>
        <v xml:space="preserve"> </v>
      </c>
      <c r="Q193" s="33" t="str">
        <f ca="1">IF(AND($O$15="Otherworldly patron - great old one",Q$175&gt;=O193),INDEX('Spell Tables'!$T$226:$T$238,MATCH(O193,('Spell Tables'!$R$226:$R$238),0)),IF(AND($O$15="Otherworldly patron - fiend",Q$175&gt;=O193),INDEX('Spell Tables'!$T$210:$T$222,MATCH(O193,('Spell Tables'!$R$210:$R$222),0)),IF(Q$173&gt;=O193,INDEX($AL$44:$AL$53,MATCH(O193,($AJ$44:$AJ$53),0)),IF(AND($O$15="Otherworldly patron - archfey",Q$175&gt;=O193),INDEX('Spell Tables'!$T$194:$T$206,MATCH(O193,('Spell Tables'!$R$194:$R$206),0)),IF(Q$177&gt;=O193,INDEX('Spell Tables'!$T$168:$T$187,MATCH(O193,('Spell Tables'!$R$168:$R$187),0)),IF(Q$179&gt;=O193,INDEX('Spell Tables'!$T$141:$T$147,MATCH(O193,('Spell Tables'!$R$141:$R$147),0)),IF(Q$181&gt;=O193,INDEX('Spell Tables'!$P$119:$P$131,MATCH(O193,('Spell Tables'!$N$119:$N$131),0)),IF(Q$183&gt;=O193,INDEX('Spell Tables'!$P$97:$P$111,MATCH(O193,('Spell Tables'!$N$97:$N$111),0)),IF(Q$185&gt;=O193,INDEX('Spell Tables'!$T$70:$T$78,MATCH(O193,('Spell Tables'!$R$70:$R$78),0)),IF(Q$187&gt;=O193,INDEX('Spell Tables'!$T$48:$T$63,MATCH(O193,('Spell Tables'!$R$48:$R$63),0)),IF(Q$189&gt;=O193,INDEX('Spell Tables'!$T$26:$T$40,MATCH(O193,('Spell Tables'!$R$26:$R$40),0)),IF(Q$191&gt;=O193,INDEX('Spell Tables'!$T$2:$T$22,MATCH(O193,('Spell Tables'!$R$2:$R$22),0))," "))))))))))))</f>
        <v xml:space="preserve"> </v>
      </c>
      <c r="R193" s="33" t="str">
        <f ca="1">IF(AND($O$15="Otherworldly patron - great old one",R$175&gt;=O193),INDEX('Spell Tables'!$X$226:$X$239,MATCH(O193,('Spell Tables'!$V$226:$V$239),0)),IF(AND($O$15="Otherworldly patron - fiend",R$175&gt;=O193),INDEX('Spell Tables'!$X$210:$X$223,MATCH(O193,('Spell Tables'!$V$210:$V$223),0)),IF(AND($O$15="Otherworldly patron - archfey",R$175&gt;=O193),INDEX('Spell Tables'!$X$194:$X$207,MATCH(O193,('Spell Tables'!$V$194:$V$207),0)),IF($R$173&gt;=O193,INDEX($AL$56:$AL$65,MATCH(O193,($AJ$56:$AJ$65),0)),IF($R$177&gt;=O193,INDEX('Spell Tables'!$X$168:$X$191,MATCH(O193,('Spell Tables'!$V$168:$V$191),0)),IF($R$179&gt;=O193,INDEX('Spell Tables'!$AB$141:$AB$149,MATCH(O193,('Spell Tables'!$Z$141:$Z$149),0)),IF($R$181&gt;=O193,INDEX('Spell Tables'!$T$119:$T$131,MATCH(O193,('Spell Tables'!$R$119:$R$131),0)),IF($R$183&gt;=O193,INDEX('Spell Tables'!$T$97:$T$104,MATCH(O193,('Spell Tables'!$R$97:$R$104),0)),IF($R$185&gt;=O193,INDEX('Spell Tables'!$AB$70:$AB$75,MATCH(O193,('Spell Tables'!$Z$70:$Z$75),0)),IF($R$187&gt;=O193,INDEX('Spell Tables'!$X$48:$X$65,MATCH(O193,('Spell Tables'!$V$48:$V$65),0)),IF($R$189&gt;=O193,INDEX('Spell Tables'!$X$26:$X$42,MATCH(O193,('Spell Tables'!$V$26:$V$42),0)),IF($R$191&gt;=O193,INDEX('Spell Tables'!$X$2:$X$23,MATCH(O193,('Spell Tables'!$V$2:$V$23),0))," "))))))))))))</f>
        <v xml:space="preserve"> </v>
      </c>
      <c r="S193" s="33" t="str">
        <f ca="1">IF(AND($O$15="Otherworldly patron - great old one",S$175&gt;=O193),INDEX('Spell Tables'!$AB$226:$AB$238,MATCH(O193,('Spell Tables'!$Z$226:$Z$238),0)),IF(AND($O$15="Otherworldly patron - fiend",S$175&gt;=O193),INDEX('Spell Tables'!$AB$210:$AB$222,MATCH(O193,('Spell Tables'!$Z$210:$Z$222),0)),IF(AND($O$15="Otherworldly patron - archfey",S$175&gt;=O193),INDEX('Spell Tables'!$AB$194:$AB$206,MATCH(O193,('Spell Tables'!$Z$194:$Z$206),0)),IF($S$173&gt;=O193,INDEX($AL$68:$AL$77,MATCH(O193,($AJ$68:$AJ$77),0)),IF($S$177&gt;=O193,INDEX('Spell Tables'!$AB$168:$AB$187,MATCH(O193,('Spell Tables'!$Z$168:$Z$187),0)),IF($S$179&gt;=O193,INDEX('Spell Tables'!$AJ$141:$AJ$144,MATCH(O193,('Spell Tables'!$AH$141:$AH$144),0)),IF($S$181&gt;=O193,INDEX('Spell Tables'!$X$119:$X$129,MATCH(O193,('Spell Tables'!$V$119:$V$129),0)),IF($S$183&gt;=O193,INDEX('Spell Tables'!$X$97:$X$106,MATCH(O193,('Spell Tables'!$V$97:$V$106),0)),IF($S$185&gt;=O193,INDEX('Spell Tables'!$AJ$70:$AJ$79,MATCH(O193,('Spell Tables'!$AH$70:$AH$79),0)),IF($S$187&gt;=O193,INDEX('Spell Tables'!$AB$48:$AB$60,MATCH(O193,('Spell Tables'!$Z$48:$Z$60),0)),IF($S$189&gt;=O193,INDEX('Spell Tables'!$AB$26:$AB$45,MATCH(O193,('Spell Tables'!$Z$26:$Z$45),0)),IF($S$191&gt;=O193,INDEX('Spell Tables'!$AB$2:$AB$17,MATCH(O193,('Spell Tables'!$Z$2:$Z$17),0))," "))))))))))))</f>
        <v xml:space="preserve"> </v>
      </c>
      <c r="T193" s="33" t="str">
        <f ca="1">IF(AND($O$15="Otherworldly patron - great old one",T$175&gt;=O193),INDEX('Spell Tables'!$AF$226:$AF$231,MATCH(O193,('Spell Tables'!$AD$226:$AD$231),0)),IF(AND($O$15="Otherworldly patron - fiend",T$175&gt;=O193),INDEX('Spell Tables'!$AF$210:$AF$215,MATCH(O193,('Spell Tables'!$AD$210:$AD$215),0)),IF(AND($O$15="Otherworldly patron - archfey",T$175&gt;=O193),INDEX('Spell Tables'!$AF$194:$AF$199,MATCH(O193,('Spell Tables'!$AD$194:$AD$199),0)),IF($T$173&gt;=O193,INDEX($AL$80:$AL$89,MATCH(O193,($AJ$80:$AJ$89),0)),IF($T$177&gt;=O193,INDEX('Spell Tables'!$AF$168:$AF$177,MATCH(O193,('Spell Tables'!$AD$168:$AD$177),0)),IF($T$179&gt;=O193,INDEX('Spell Tables'!$AR$141:$AR$144,MATCH(O193,('Spell Tables'!$AP$141:$AP$144),0)),IF($T$181&gt;=O193,INDEX('Spell Tables'!$AB$119:$AB$123,MATCH(O193,('Spell Tables'!$Z$119:$Z$123),0)),IF($T$183&gt;=O193,INDEX('Spell Tables'!$AB$97:$AB$102,MATCH(O193,('Spell Tables'!$Z$97:$Z$102),0)),IF($T$185&gt;=O193,INDEX('Spell Tables'!$AR$70:$AR$75,MATCH(O193,('Spell Tables'!$AP$70:$AP$75),0)),IF($T$187&gt;=O193,INDEX('Spell Tables'!$AF$48:$AF$63,MATCH(O193,('Spell Tables'!$AD$48:$AD$63),0)),IF($T$189&gt;=O193,INDEX('Spell Tables'!$AF$26:$AF$33,MATCH(O193,('Spell Tables'!$AD$26:$AD$33),0)),IF($T$191&gt;=O193,INDEX('Spell Tables'!$AF$2:$AF$9,MATCH(O193,('Spell Tables'!$AD$2:$AD$9),0))," "))))))))))))</f>
        <v xml:space="preserve"> </v>
      </c>
      <c r="AJ193" s="29">
        <v>6</v>
      </c>
      <c r="AK193" s="29">
        <v>2</v>
      </c>
    </row>
    <row r="194" spans="2:37" x14ac:dyDescent="0.3">
      <c r="B194" s="112" t="s">
        <v>1123</v>
      </c>
      <c r="C194" s="33"/>
      <c r="D194" s="33"/>
      <c r="E194" s="33"/>
      <c r="F194" s="33"/>
      <c r="G194" s="33"/>
      <c r="H194" s="33"/>
      <c r="I194" s="33"/>
      <c r="J194" s="33"/>
      <c r="K194" s="33"/>
      <c r="L194" s="33"/>
      <c r="M194" s="33"/>
      <c r="N194" s="33"/>
      <c r="O194" s="34">
        <v>2</v>
      </c>
      <c r="P194" s="33" t="str">
        <f ca="1">IF(P$173&gt;=O194,INDEX('Spell Tables'!$P$242:$P$257,MATCH(O194,('Spell Tables'!$N$242:$N$257),0)),IF(P$175&gt;=O194,INDEX('Spell Tables'!$P$194:$P$201,MATCH(O194,('Spell Tables'!$N$194:$N$201),0)),IF(P$177&gt;=O194,INDEX('Spell Tables'!$P$168:$P$183,MATCH(O194,('Spell Tables'!$N$168:$N$183),0)),IF(P$179&gt;=O194,INDEX('Spell Tables'!$P$141:$P$156,MATCH(O194,('Spell Tables'!$N$141:$N$157),0)),IF(P$185&gt;=O194,INDEX('Spell Tables'!$P$70:$P$83,MATCH(O194,('Spell Tables'!$N$70:$N$83),0)),IF(P$187&gt;=O194,INDEX('Spell Tables'!$P$48:$P$55,MATCH(O194,('Spell Tables'!$N$48:$N$55),0)),IF(P$189&gt;=O194,INDEX('Spell Tables'!$P$26:$P$32,MATCH(O194,('Spell Tables'!$N$26:$N$32),0)),IF(P$191&gt;=O194,INDEX('Spell Tables'!$P$2:$P$12,MATCH(O194,('Spell Tables'!$N$2:$N$12),0))," "))))))))</f>
        <v xml:space="preserve"> </v>
      </c>
      <c r="Q194" s="33" t="str">
        <f ca="1">IF(AND($O$15="Otherworldly patron - great old one",Q$175&gt;=O194),INDEX('Spell Tables'!$T$226:$T$238,MATCH(O194,('Spell Tables'!$R$226:$R$238),0)),IF(AND($O$15="Otherworldly patron - fiend",Q$175&gt;=O194),INDEX('Spell Tables'!$T$210:$T$222,MATCH(O194,('Spell Tables'!$R$210:$R$222),0)),IF(Q$173&gt;=O194,INDEX($AL$44:$AL$53,MATCH(O194,($AJ$44:$AJ$53),0)),IF(AND($O$15="Otherworldly patron - archfey",Q$175&gt;=O194),INDEX('Spell Tables'!$T$194:$T$206,MATCH(O194,('Spell Tables'!$R$194:$R$206),0)),IF(Q$177&gt;=O194,INDEX('Spell Tables'!$T$168:$T$187,MATCH(O194,('Spell Tables'!$R$168:$R$187),0)),IF(Q$179&gt;=O194,INDEX('Spell Tables'!$T$141:$T$147,MATCH(O194,('Spell Tables'!$R$141:$R$147),0)),IF(Q$181&gt;=O194,INDEX('Spell Tables'!$P$119:$P$131,MATCH(O194,('Spell Tables'!$N$119:$N$131),0)),IF(Q$183&gt;=O194,INDEX('Spell Tables'!$P$97:$P$111,MATCH(O194,('Spell Tables'!$N$97:$N$111),0)),IF(Q$185&gt;=O194,INDEX('Spell Tables'!$T$70:$T$78,MATCH(O194,('Spell Tables'!$R$70:$R$78),0)),IF(Q$187&gt;=O194,INDEX('Spell Tables'!$T$48:$T$63,MATCH(O194,('Spell Tables'!$R$48:$R$63),0)),IF(Q$189&gt;=O194,INDEX('Spell Tables'!$T$26:$T$40,MATCH(O194,('Spell Tables'!$R$26:$R$40),0)),IF(Q$191&gt;=O194,INDEX('Spell Tables'!$T$2:$T$22,MATCH(O194,('Spell Tables'!$R$2:$R$22),0))," "))))))))))))</f>
        <v xml:space="preserve"> </v>
      </c>
      <c r="R194" s="33" t="str">
        <f ca="1">IF(AND($O$15="Otherworldly patron - great old one",R$175&gt;=O194),INDEX('Spell Tables'!$X$226:$X$239,MATCH(O194,('Spell Tables'!$V$226:$V$239),0)),IF(AND($O$15="Otherworldly patron - fiend",R$175&gt;=O194),INDEX('Spell Tables'!$X$210:$X$223,MATCH(O194,('Spell Tables'!$V$210:$V$223),0)),IF(AND($O$15="Otherworldly patron - archfey",R$175&gt;=O194),INDEX('Spell Tables'!$X$194:$X$207,MATCH(O194,('Spell Tables'!$V$194:$V$207),0)),IF($R$173&gt;=O194,INDEX($AL$56:$AL$65,MATCH(O194,($AJ$56:$AJ$65),0)),IF($R$177&gt;=O194,INDEX('Spell Tables'!$X$168:$X$191,MATCH(O194,('Spell Tables'!$V$168:$V$191),0)),IF($R$179&gt;=O194,INDEX('Spell Tables'!$AB$141:$AB$149,MATCH(O194,('Spell Tables'!$Z$141:$Z$149),0)),IF($R$181&gt;=O194,INDEX('Spell Tables'!$T$119:$T$131,MATCH(O194,('Spell Tables'!$R$119:$R$131),0)),IF($R$183&gt;=O194,INDEX('Spell Tables'!$T$97:$T$104,MATCH(O194,('Spell Tables'!$R$97:$R$104),0)),IF($R$185&gt;=O194,INDEX('Spell Tables'!$AB$70:$AB$75,MATCH(O194,('Spell Tables'!$Z$70:$Z$75),0)),IF($R$187&gt;=O194,INDEX('Spell Tables'!$X$48:$X$65,MATCH(O194,('Spell Tables'!$V$48:$V$65),0)),IF($R$189&gt;=O194,INDEX('Spell Tables'!$X$26:$X$42,MATCH(O194,('Spell Tables'!$V$26:$V$42),0)),IF($R$191&gt;=O194,INDEX('Spell Tables'!$X$2:$X$23,MATCH(O194,('Spell Tables'!$V$2:$V$23),0))," "))))))))))))</f>
        <v xml:space="preserve"> </v>
      </c>
      <c r="S194" s="33" t="str">
        <f ca="1">IF(AND($O$15="Otherworldly patron - great old one",S$175&gt;=O194),INDEX('Spell Tables'!$AB$226:$AB$238,MATCH(O194,('Spell Tables'!$Z$226:$Z$238),0)),IF(AND($O$15="Otherworldly patron - fiend",S$175&gt;=O194),INDEX('Spell Tables'!$AB$210:$AB$222,MATCH(O194,('Spell Tables'!$Z$210:$Z$222),0)),IF(AND($O$15="Otherworldly patron - archfey",S$175&gt;=O194),INDEX('Spell Tables'!$AB$194:$AB$206,MATCH(O194,('Spell Tables'!$Z$194:$Z$206),0)),IF($S$173&gt;=O194,INDEX($AL$68:$AL$77,MATCH(O194,($AJ$68:$AJ$77),0)),IF($S$177&gt;=O194,INDEX('Spell Tables'!$AB$168:$AB$187,MATCH(O194,('Spell Tables'!$Z$168:$Z$187),0)),IF($S$179&gt;=O194,INDEX('Spell Tables'!$AJ$141:$AJ$144,MATCH(O194,('Spell Tables'!$AH$141:$AH$144),0)),IF($S$181&gt;=O194,INDEX('Spell Tables'!$X$119:$X$129,MATCH(O194,('Spell Tables'!$V$119:$V$129),0)),IF($S$183&gt;=O194,INDEX('Spell Tables'!$X$97:$X$106,MATCH(O194,('Spell Tables'!$V$97:$V$106),0)),IF($S$185&gt;=O194,INDEX('Spell Tables'!$AJ$70:$AJ$79,MATCH(O194,('Spell Tables'!$AH$70:$AH$79),0)),IF($S$187&gt;=O194,INDEX('Spell Tables'!$AB$48:$AB$60,MATCH(O194,('Spell Tables'!$Z$48:$Z$60),0)),IF($S$189&gt;=O194,INDEX('Spell Tables'!$AB$26:$AB$45,MATCH(O194,('Spell Tables'!$Z$26:$Z$45),0)),IF($S$191&gt;=O194,INDEX('Spell Tables'!$AB$2:$AB$17,MATCH(O194,('Spell Tables'!$Z$2:$Z$17),0))," "))))))))))))</f>
        <v xml:space="preserve"> </v>
      </c>
      <c r="T194" s="33" t="str">
        <f ca="1">IF(AND($O$15="Otherworldly patron - great old one",T$175&gt;=O194),INDEX('Spell Tables'!$AF$226:$AF$231,MATCH(O194,('Spell Tables'!$AD$226:$AD$231),0)),IF(AND($O$15="Otherworldly patron - fiend",T$175&gt;=O194),INDEX('Spell Tables'!$AF$210:$AF$215,MATCH(O194,('Spell Tables'!$AD$210:$AD$215),0)),IF(AND($O$15="Otherworldly patron - archfey",T$175&gt;=O194),INDEX('Spell Tables'!$AF$194:$AF$199,MATCH(O194,('Spell Tables'!$AD$194:$AD$199),0)),IF($T$173&gt;=O194,INDEX($AL$80:$AL$89,MATCH(O194,($AJ$80:$AJ$89),0)),IF($T$177&gt;=O194,INDEX('Spell Tables'!$AF$168:$AF$177,MATCH(O194,('Spell Tables'!$AD$168:$AD$177),0)),IF($T$179&gt;=O194,INDEX('Spell Tables'!$AR$141:$AR$144,MATCH(O194,('Spell Tables'!$AP$141:$AP$144),0)),IF($T$181&gt;=O194,INDEX('Spell Tables'!$AB$119:$AB$123,MATCH(O194,('Spell Tables'!$Z$119:$Z$123),0)),IF($T$183&gt;=O194,INDEX('Spell Tables'!$AB$97:$AB$102,MATCH(O194,('Spell Tables'!$Z$97:$Z$102),0)),IF($T$185&gt;=O194,INDEX('Spell Tables'!$AR$70:$AR$75,MATCH(O194,('Spell Tables'!$AP$70:$AP$75),0)),IF($T$187&gt;=O194,INDEX('Spell Tables'!$AF$48:$AF$63,MATCH(O194,('Spell Tables'!$AD$48:$AD$63),0)),IF($T$189&gt;=O194,INDEX('Spell Tables'!$AF$26:$AF$33,MATCH(O194,('Spell Tables'!$AD$26:$AD$33),0)),IF($T$191&gt;=O194,INDEX('Spell Tables'!$AF$2:$AF$9,MATCH(O194,('Spell Tables'!$AD$2:$AD$9),0))," "))))))))))))</f>
        <v xml:space="preserve"> </v>
      </c>
      <c r="AJ194" s="29">
        <v>7</v>
      </c>
      <c r="AK194" s="29">
        <v>3</v>
      </c>
    </row>
    <row r="195" spans="2:37" x14ac:dyDescent="0.3">
      <c r="B195" s="79" t="str">
        <f ca="1">IF(OR(O11="bard",O11="paladin",O11="sorcerer",O11="warlock"),P8+$P$43,IF(OR(O11="druid",O11="cleric",O11="ranger"),P8+P42,IF(OR(P15="eldritch knight",P15="arcane trickster",O11="wizard"),P8+P41," ")))</f>
        <v xml:space="preserve"> </v>
      </c>
      <c r="C195" s="33"/>
      <c r="D195" s="33"/>
      <c r="E195" s="33"/>
      <c r="F195" s="33"/>
      <c r="G195" s="33"/>
      <c r="H195" s="33"/>
      <c r="I195" s="33"/>
      <c r="J195" s="33"/>
      <c r="K195" s="33"/>
      <c r="L195" s="33"/>
      <c r="M195" s="33"/>
      <c r="N195" s="33"/>
      <c r="O195" s="34">
        <v>3</v>
      </c>
      <c r="P195" s="33" t="str">
        <f ca="1">IF(P$173&gt;=O195,INDEX('Spell Tables'!$P$242:$P$257,MATCH(O195,('Spell Tables'!$N$242:$N$257),0)),IF(P$175&gt;=O195,INDEX('Spell Tables'!$P$194:$P$201,MATCH(O195,('Spell Tables'!$N$194:$N$201),0)),IF(P$177&gt;=O195,INDEX('Spell Tables'!$P$168:$P$183,MATCH(O195,('Spell Tables'!$N$168:$N$183),0)),IF(P$179&gt;=O195,INDEX('Spell Tables'!$P$141:$P$156,MATCH(O195,('Spell Tables'!$N$141:$N$157),0)),IF(P$185&gt;=O195,INDEX('Spell Tables'!$P$70:$P$83,MATCH(O195,('Spell Tables'!$N$70:$N$83),0)),IF(P$187&gt;=O195,INDEX('Spell Tables'!$P$48:$P$55,MATCH(O195,('Spell Tables'!$N$48:$N$55),0)),IF(P$189&gt;=O195,INDEX('Spell Tables'!$P$26:$P$32,MATCH(O195,('Spell Tables'!$N$26:$N$32),0)),IF(P$191&gt;=O195,INDEX('Spell Tables'!$P$2:$P$12,MATCH(O195,('Spell Tables'!$N$2:$N$12),0))," "))))))))</f>
        <v xml:space="preserve"> </v>
      </c>
      <c r="Q195" s="33" t="str">
        <f ca="1">IF(AND($O$15="Otherworldly patron - great old one",Q$175&gt;=O195),INDEX('Spell Tables'!$T$226:$T$238,MATCH(O195,('Spell Tables'!$R$226:$R$238),0)),IF(AND($O$15="Otherworldly patron - fiend",Q$175&gt;=O195),INDEX('Spell Tables'!$T$210:$T$222,MATCH(O195,('Spell Tables'!$R$210:$R$222),0)),IF(Q$173&gt;=O195,INDEX($AL$44:$AL$53,MATCH(O195,($AJ$44:$AJ$53),0)),IF(AND($O$15="Otherworldly patron - archfey",Q$175&gt;=O195),INDEX('Spell Tables'!$T$194:$T$206,MATCH(O195,('Spell Tables'!$R$194:$R$206),0)),IF(Q$177&gt;=O195,INDEX('Spell Tables'!$T$168:$T$187,MATCH(O195,('Spell Tables'!$R$168:$R$187),0)),IF(Q$179&gt;=O195,INDEX('Spell Tables'!$T$141:$T$147,MATCH(O195,('Spell Tables'!$R$141:$R$147),0)),IF(Q$181&gt;=O195,INDEX('Spell Tables'!$P$119:$P$131,MATCH(O195,('Spell Tables'!$N$119:$N$131),0)),IF(Q$183&gt;=O195,INDEX('Spell Tables'!$P$97:$P$111,MATCH(O195,('Spell Tables'!$N$97:$N$111),0)),IF(Q$185&gt;=O195,INDEX('Spell Tables'!$T$70:$T$78,MATCH(O195,('Spell Tables'!$R$70:$R$78),0)),IF(Q$187&gt;=O195,INDEX('Spell Tables'!$T$48:$T$63,MATCH(O195,('Spell Tables'!$R$48:$R$63),0)),IF(Q$189&gt;=O195,INDEX('Spell Tables'!$T$26:$T$40,MATCH(O195,('Spell Tables'!$R$26:$R$40),0)),IF(Q$191&gt;=O195,INDEX('Spell Tables'!$T$2:$T$22,MATCH(O195,('Spell Tables'!$R$2:$R$22),0))," "))))))))))))</f>
        <v xml:space="preserve"> </v>
      </c>
      <c r="R195" s="33" t="str">
        <f ca="1">IF(AND($O$15="Otherworldly patron - great old one",R$175&gt;=O195),INDEX('Spell Tables'!$X$226:$X$239,MATCH(O195,('Spell Tables'!$V$226:$V$239),0)),IF(AND($O$15="Otherworldly patron - fiend",R$175&gt;=O195),INDEX('Spell Tables'!$X$210:$X$223,MATCH(O195,('Spell Tables'!$V$210:$V$223),0)),IF(AND($O$15="Otherworldly patron - archfey",R$175&gt;=O195),INDEX('Spell Tables'!$X$194:$X$207,MATCH(O195,('Spell Tables'!$V$194:$V$207),0)),IF($R$173&gt;=O195,INDEX($AL$56:$AL$65,MATCH(O195,($AJ$56:$AJ$65),0)),IF($R$177&gt;=O195,INDEX('Spell Tables'!$X$168:$X$191,MATCH(O195,('Spell Tables'!$V$168:$V$191),0)),IF($R$179&gt;=O195,INDEX('Spell Tables'!$AB$141:$AB$149,MATCH(O195,('Spell Tables'!$Z$141:$Z$149),0)),IF($R$181&gt;=O195,INDEX('Spell Tables'!$T$119:$T$131,MATCH(O195,('Spell Tables'!$R$119:$R$131),0)),IF($R$183&gt;=O195,INDEX('Spell Tables'!$T$97:$T$104,MATCH(O195,('Spell Tables'!$R$97:$R$104),0)),IF($R$185&gt;=O195,INDEX('Spell Tables'!$AB$70:$AB$75,MATCH(O195,('Spell Tables'!$Z$70:$Z$75),0)),IF($R$187&gt;=O195,INDEX('Spell Tables'!$X$48:$X$65,MATCH(O195,('Spell Tables'!$V$48:$V$65),0)),IF($R$189&gt;=O195,INDEX('Spell Tables'!$X$26:$X$42,MATCH(O195,('Spell Tables'!$V$26:$V$42),0)),IF($R$191&gt;=O195,INDEX('Spell Tables'!$X$2:$X$23,MATCH(O195,('Spell Tables'!$V$2:$V$23),0))," "))))))))))))</f>
        <v xml:space="preserve"> </v>
      </c>
      <c r="S195" s="33" t="str">
        <f ca="1">IF(AND($O$15="Otherworldly patron - great old one",S$175&gt;=O195),INDEX('Spell Tables'!$AB$226:$AB$238,MATCH(O195,('Spell Tables'!$Z$226:$Z$238),0)),IF(AND($O$15="Otherworldly patron - fiend",S$175&gt;=O195),INDEX('Spell Tables'!$AB$210:$AB$222,MATCH(O195,('Spell Tables'!$Z$210:$Z$222),0)),IF(AND($O$15="Otherworldly patron - archfey",S$175&gt;=O195),INDEX('Spell Tables'!$AB$194:$AB$206,MATCH(O195,('Spell Tables'!$Z$194:$Z$206),0)),IF($S$173&gt;=O197,INDEX($AL$68:$AL$77,MATCH(O195,($AJ$68:$AJ$77),0)),IF($S$177&gt;=O195,INDEX('Spell Tables'!$AB$168:$AB$187,MATCH(O195,('Spell Tables'!$Z$168:$Z$187),0)),IF($S$179&gt;=O195,INDEX('Spell Tables'!$AJ$141:$AJ$144,MATCH(O195,('Spell Tables'!$AH$141:$AH$144),0)),IF($S$181&gt;=O195,INDEX('Spell Tables'!$X$119:$X$129,MATCH(O195,('Spell Tables'!$V$119:$V$129),0)),IF($S$183&gt;=O195,INDEX('Spell Tables'!$X$97:$X$106,MATCH(O195,('Spell Tables'!$V$97:$V$106),0)),IF($S$185&gt;=O195,INDEX('Spell Tables'!$AJ$70:$AJ$79,MATCH(O195,('Spell Tables'!$AH$70:$AH$79),0)),IF($S$187&gt;=O195,INDEX('Spell Tables'!$AB$48:$AB$60,MATCH(O195,('Spell Tables'!$Z$48:$Z$60),0)),IF($S$189&gt;=O195,INDEX('Spell Tables'!$AB$26:$AB$45,MATCH(O195,('Spell Tables'!$Z$26:$Z$45),0)),IF($S$191&gt;=O195,INDEX('Spell Tables'!$AB$2:$AB$17,MATCH(O195,('Spell Tables'!$Z$2:$Z$17),0))," "))))))))))))</f>
        <v xml:space="preserve"> </v>
      </c>
      <c r="T195" s="33" t="str">
        <f ca="1">IF(AND($O$15="Otherworldly patron - great old one",T$175&gt;=O195),INDEX('Spell Tables'!$AF$226:$AF$231,MATCH(O195,('Spell Tables'!$AD$226:$AD$231),0)),IF(AND($O$15="Otherworldly patron - fiend",T$175&gt;=O195),INDEX('Spell Tables'!$AF$210:$AF$215,MATCH(O195,('Spell Tables'!$AD$210:$AD$215),0)),IF(AND($O$15="Otherworldly patron - archfey",T$175&gt;=O195),INDEX('Spell Tables'!$AF$194:$AF$199,MATCH(O195,('Spell Tables'!$AD$194:$AD$199),0)),IF($T$173&gt;=O195,INDEX($AL$80:$AL$89,MATCH(O195,($AJ$80:$AJ$89),0)),IF($T$177&gt;=O195,INDEX('Spell Tables'!$AF$168:$AF$177,MATCH(O195,('Spell Tables'!$AD$168:$AD$177),0)),IF($T$179&gt;=O195,INDEX('Spell Tables'!$AR$141:$AR$144,MATCH(O195,('Spell Tables'!$AP$141:$AP$144),0)),IF($T$181&gt;=O195,INDEX('Spell Tables'!$AB$119:$AB$123,MATCH(O195,('Spell Tables'!$Z$119:$Z$123),0)),IF($T$183&gt;=O195,INDEX('Spell Tables'!$AB$97:$AB$102,MATCH(O195,('Spell Tables'!$Z$97:$Z$102),0)),IF($T$185&gt;=O195,INDEX('Spell Tables'!$AR$70:$AR$75,MATCH(O195,('Spell Tables'!$AP$70:$AP$75),0)),IF($T$187&gt;=O195,INDEX('Spell Tables'!$AF$48:$AF$63,MATCH(O195,('Spell Tables'!$AD$48:$AD$63),0)),IF($T$189&gt;=O195,INDEX('Spell Tables'!$AF$26:$AF$33,MATCH(O195,('Spell Tables'!$AD$26:$AD$33),0)),IF($T$191&gt;=O195,INDEX('Spell Tables'!$AF$2:$AF$9,MATCH(O195,('Spell Tables'!$AD$2:$AD$9),0))," "))))))))))))</f>
        <v xml:space="preserve"> </v>
      </c>
      <c r="AJ195" s="29">
        <v>8</v>
      </c>
      <c r="AK195" s="29">
        <v>3</v>
      </c>
    </row>
    <row r="196" spans="2:37" x14ac:dyDescent="0.3">
      <c r="B196" s="79"/>
      <c r="C196" s="33"/>
      <c r="D196" s="33"/>
      <c r="E196" s="33"/>
      <c r="F196" s="33"/>
      <c r="G196" s="33"/>
      <c r="H196" s="33"/>
      <c r="I196" s="33"/>
      <c r="J196" s="33"/>
      <c r="K196" s="33"/>
      <c r="L196" s="33"/>
      <c r="M196" s="33"/>
      <c r="N196" s="33"/>
      <c r="O196" s="34">
        <v>4</v>
      </c>
      <c r="P196" s="33" t="str">
        <f ca="1">IF(P$173&gt;=O196,INDEX('Spell Tables'!$P$242:$P$257,MATCH(O196,('Spell Tables'!$N$242:$N$257),0)),IF(P$175&gt;=O196,INDEX('Spell Tables'!$P$194:$P$201,MATCH(O196,('Spell Tables'!$N$194:$N$201),0)),IF(P$177&gt;=O196,INDEX('Spell Tables'!$P$168:$P$183,MATCH(O196,('Spell Tables'!$N$168:$N$183),0)),IF(P$179&gt;=O196,INDEX('Spell Tables'!$P$141:$P$156,MATCH(O196,('Spell Tables'!$N$141:$N$157),0)),IF(P$185&gt;=O196,INDEX('Spell Tables'!$P$70:$P$83,MATCH(O196,('Spell Tables'!$N$70:$N$83),0)),IF(P$187&gt;=O196,INDEX('Spell Tables'!$P$48:$P$55,MATCH(O196,('Spell Tables'!$N$48:$N$55),0)),IF(P$189&gt;=O196,INDEX('Spell Tables'!$P$26:$P$32,MATCH(O196,('Spell Tables'!$N$26:$N$32),0)),IF(P$191&gt;=O196,INDEX('Spell Tables'!$P$2:$P$12,MATCH(O196,('Spell Tables'!$N$2:$N$12),0))," "))))))))</f>
        <v xml:space="preserve"> </v>
      </c>
      <c r="Q196" s="33" t="str">
        <f ca="1">IF(AND($O$15="Otherworldly patron - great old one",Q$175&gt;=O196),INDEX('Spell Tables'!$T$226:$T$238,MATCH(O196,('Spell Tables'!$R$226:$R$238),0)),IF(AND($O$15="Otherworldly patron - fiend",Q$175&gt;=O196),INDEX('Spell Tables'!$T$210:$T$222,MATCH(O196,('Spell Tables'!$R$210:$R$222),0)),IF(Q$173&gt;=O196,INDEX($AL$44:$AL$53,MATCH(O196,($AJ$44:$AJ$53),0)),IF(AND($O$15="Otherworldly patron - archfey",Q$175&gt;=O196),INDEX('Spell Tables'!$T$194:$T$206,MATCH(O196,('Spell Tables'!$R$194:$R$206),0)),IF(Q$177&gt;=O196,INDEX('Spell Tables'!$T$168:$T$187,MATCH(O196,('Spell Tables'!$R$168:$R$187),0)),IF(Q$179&gt;=O196,INDEX('Spell Tables'!$T$141:$T$147,MATCH(O196,('Spell Tables'!$R$141:$R$147),0)),IF(Q$181&gt;=O196,INDEX('Spell Tables'!$P$119:$P$131,MATCH(O196,('Spell Tables'!$N$119:$N$131),0)),IF(Q$183&gt;=O196,INDEX('Spell Tables'!$P$97:$P$111,MATCH(O196,('Spell Tables'!$N$97:$N$111),0)),IF(Q$185&gt;=O196,INDEX('Spell Tables'!$T$70:$T$78,MATCH(O196,('Spell Tables'!$R$70:$R$78),0)),IF(Q$187&gt;=O196,INDEX('Spell Tables'!$T$48:$T$63,MATCH(O196,('Spell Tables'!$R$48:$R$63),0)),IF(Q$189&gt;=O196,INDEX('Spell Tables'!$T$26:$T$40,MATCH(O196,('Spell Tables'!$R$26:$R$40),0)),IF(Q$191&gt;=O196,INDEX('Spell Tables'!$T$2:$T$22,MATCH(O196,('Spell Tables'!$R$2:$R$22),0))," "))))))))))))</f>
        <v xml:space="preserve"> </v>
      </c>
      <c r="R196" s="33" t="str">
        <f ca="1">IF(AND($O$15="Otherworldly patron - great old one",R$175&gt;=O196),INDEX('Spell Tables'!$X$226:$X$239,MATCH(O196,('Spell Tables'!$V$226:$V$239),0)),IF(AND($O$15="Otherworldly patron - fiend",R$175&gt;=O196),INDEX('Spell Tables'!$X$210:$X$223,MATCH(O196,('Spell Tables'!$V$210:$V$223),0)),IF(AND($O$15="Otherworldly patron - archfey",R$175&gt;=O196),INDEX('Spell Tables'!$X$194:$X$207,MATCH(O196,('Spell Tables'!$V$194:$V$207),0)),IF($R$173&gt;=O196,INDEX($AL$56:$AL$65,MATCH(O196,($AJ$56:$AJ$65),0)),IF($R$177&gt;=O196,INDEX('Spell Tables'!$X$168:$X$191,MATCH(O196,('Spell Tables'!$V$168:$V$191),0)),IF($R$179&gt;=O196,INDEX('Spell Tables'!$AB$141:$AB$149,MATCH(O196,('Spell Tables'!$Z$141:$Z$149),0)),IF($R$181&gt;=O196,INDEX('Spell Tables'!$T$119:$T$131,MATCH(O196,('Spell Tables'!$R$119:$R$131),0)),IF($R$183&gt;=O196,INDEX('Spell Tables'!$T$97:$T$104,MATCH(O196,('Spell Tables'!$R$97:$R$104),0)),IF($R$185&gt;=O196,INDEX('Spell Tables'!$AB$70:$AB$75,MATCH(O196,('Spell Tables'!$Z$70:$Z$75),0)),IF($R$187&gt;=O196,INDEX('Spell Tables'!$X$48:$X$65,MATCH(O196,('Spell Tables'!$V$48:$V$65),0)),IF($R$189&gt;=O196,INDEX('Spell Tables'!$X$26:$X$42,MATCH(O196,('Spell Tables'!$V$26:$V$42),0)),IF($R$191&gt;=O196,INDEX('Spell Tables'!$X$2:$X$23,MATCH(O196,('Spell Tables'!$V$2:$V$23),0))," "))))))))))))</f>
        <v xml:space="preserve"> </v>
      </c>
      <c r="S196" s="33" t="str">
        <f ca="1">IF(AND($O$15="Otherworldly patron - great old one",S$175&gt;=O196),INDEX('Spell Tables'!$AB$226:$AB$238,MATCH(O196,('Spell Tables'!$Z$226:$Z$238),0)),IF(AND($O$15="Otherworldly patron - fiend",S$175&gt;=O196),INDEX('Spell Tables'!$AB$210:$AB$222,MATCH(O196,('Spell Tables'!$Z$210:$Z$222),0)),IF(AND($O$15="Otherworldly patron - archfey",S$175&gt;=O196),INDEX('Spell Tables'!$AB$194:$AB$206,MATCH(O196,('Spell Tables'!$Z$194:$Z$206),0)),IF($S$173&gt;=O196,INDEX($AL$68:$AL$77,MATCH(O196,($AJ$68:$AJ$77),0)),IF($S$177&gt;=O196,INDEX('Spell Tables'!$AB$168:$AB$187,MATCH(O196,('Spell Tables'!$Z$168:$Z$187),0)),IF($S$179&gt;=O196,INDEX('Spell Tables'!$AJ$141:$AJ$144,MATCH(O196,('Spell Tables'!$AH$141:$AH$144),0)),IF($S$181&gt;=O196,INDEX('Spell Tables'!$X$119:$X$129,MATCH(O196,('Spell Tables'!$V$119:$V$129),0)),IF($S$183&gt;=O196,INDEX('Spell Tables'!$X$97:$X$106,MATCH(O196,('Spell Tables'!$V$97:$V$106),0)),IF($S$185&gt;=O196,INDEX('Spell Tables'!$AJ$70:$AJ$79,MATCH(O196,('Spell Tables'!$AH$70:$AH$79),0)),IF($S$187&gt;=O196,INDEX('Spell Tables'!$AB$48:$AB$60,MATCH(O196,('Spell Tables'!$Z$48:$Z$60),0)),IF($S$189&gt;=O196,INDEX('Spell Tables'!$AB$26:$AB$45,MATCH(O196,('Spell Tables'!$Z$26:$Z$45),0)),IF($S$191&gt;=O196,INDEX('Spell Tables'!$AB$2:$AB$17,MATCH(O196,('Spell Tables'!$Z$2:$Z$17),0))," "))))))))))))</f>
        <v xml:space="preserve"> </v>
      </c>
      <c r="T196" s="33" t="str">
        <f ca="1">IF(AND($O$15="Otherworldly patron - great old one",T$175&gt;=O196),INDEX('Spell Tables'!$AF$226:$AF$231,MATCH(O196,('Spell Tables'!$AD$226:$AD$231),0)),IF(AND($O$15="Otherworldly patron - fiend",T$175&gt;=O196),INDEX('Spell Tables'!$AF$210:$AF$215,MATCH(O196,('Spell Tables'!$AD$210:$AD$215),0)),IF(AND($O$15="Otherworldly patron - archfey",T$175&gt;=O196),INDEX('Spell Tables'!$AF$194:$AF$199,MATCH(O196,('Spell Tables'!$AD$194:$AD$199),0)),IF($T$173&gt;=O196,INDEX($AL$80:$AL$89,MATCH(O196,($AJ$80:$AJ$89),0)),IF($T$177&gt;=O196,INDEX('Spell Tables'!$AF$168:$AF$177,MATCH(O196,('Spell Tables'!$AD$168:$AD$177),0)),IF($T$179&gt;=O196,INDEX('Spell Tables'!$AR$141:$AR$144,MATCH(O196,('Spell Tables'!$AP$141:$AP$144),0)),IF($T$181&gt;=O196,INDEX('Spell Tables'!$AB$119:$AB$123,MATCH(O196,('Spell Tables'!$Z$119:$Z$123),0)),IF($T$183&gt;=O196,INDEX('Spell Tables'!$AB$97:$AB$102,MATCH(O196,('Spell Tables'!$Z$97:$Z$102),0)),IF($T$185&gt;=O196,INDEX('Spell Tables'!$AR$70:$AR$75,MATCH(O196,('Spell Tables'!$AP$70:$AP$75),0)),IF($T$187&gt;=O196,INDEX('Spell Tables'!$AF$48:$AF$63,MATCH(O196,('Spell Tables'!$AD$48:$AD$63),0)),IF($T$189&gt;=O196,INDEX('Spell Tables'!$AF$26:$AF$33,MATCH(O196,('Spell Tables'!$AD$26:$AD$33),0)),IF($T$191&gt;=O196,INDEX('Spell Tables'!$AF$2:$AF$9,MATCH(O196,('Spell Tables'!$AD$2:$AD$9),0))," "))))))))))))</f>
        <v xml:space="preserve"> </v>
      </c>
      <c r="AJ196" s="29">
        <v>9</v>
      </c>
      <c r="AK196" s="29">
        <v>3</v>
      </c>
    </row>
    <row r="197" spans="2:37" x14ac:dyDescent="0.3">
      <c r="B197" s="79"/>
      <c r="C197" s="33"/>
      <c r="D197" s="33"/>
      <c r="E197" s="33"/>
      <c r="F197" s="33"/>
      <c r="G197" s="33"/>
      <c r="H197" s="33"/>
      <c r="I197" s="33"/>
      <c r="J197" s="33"/>
      <c r="K197" s="33"/>
      <c r="L197" s="33"/>
      <c r="M197" s="33"/>
      <c r="N197" s="33"/>
      <c r="O197" s="34">
        <v>5</v>
      </c>
      <c r="P197" s="33" t="str">
        <f ca="1">IF(P$173&gt;=O197,INDEX('Spell Tables'!$P$242:$P$257,MATCH(O197,('Spell Tables'!$N$242:$N$257),0)),IF(P$175&gt;=O197,INDEX('Spell Tables'!$P$194:$P$201,MATCH(O197,('Spell Tables'!$N$194:$N$201),0)),IF(P$177&gt;=O197,INDEX('Spell Tables'!$P$168:$P$183,MATCH(O197,('Spell Tables'!$N$168:$N$183),0)),IF(P$179&gt;=O197,INDEX('Spell Tables'!$P$141:$P$156,MATCH(O197,('Spell Tables'!$N$141:$N$157),0)),IF(P$185&gt;=O197,INDEX('Spell Tables'!$P$70:$P$83,MATCH(O197,('Spell Tables'!$N$70:$N$83),0)),IF(P$187&gt;=O197,INDEX('Spell Tables'!$P$48:$P$55,MATCH(O197,('Spell Tables'!$N$48:$N$55),0)),IF(P$189&gt;=O197,INDEX('Spell Tables'!$P$26:$P$32,MATCH(O197,('Spell Tables'!$N$26:$N$32),0)),IF(P$191&gt;=O197,INDEX('Spell Tables'!$P$2:$P$12,MATCH(O197,('Spell Tables'!$N$2:$N$12),0))," "))))))))</f>
        <v xml:space="preserve"> </v>
      </c>
      <c r="Q197" s="33" t="str">
        <f ca="1">IF(AND($O$15="Otherworldly patron - great old one",Q$175&gt;=O197),INDEX('Spell Tables'!$T$226:$T$238,MATCH(O197,('Spell Tables'!$R$226:$R$238),0)),IF(AND($O$15="Otherworldly patron - fiend",Q$175&gt;=O197),INDEX('Spell Tables'!$T$210:$T$222,MATCH(O197,('Spell Tables'!$R$210:$R$222),0)),IF(Q$173&gt;=O197,INDEX($AL$44:$AL$53,MATCH(O197,($AJ$44:$AJ$53),0)),IF(AND($O$15="Otherworldly patron - archfey",Q$175&gt;=O197),INDEX('Spell Tables'!$T$194:$T$206,MATCH(O197,('Spell Tables'!$R$194:$R$206),0)),IF(Q$177&gt;=O197,INDEX('Spell Tables'!$T$168:$T$187,MATCH(O197,('Spell Tables'!$R$168:$R$187),0)),IF(Q$179&gt;=O197,INDEX('Spell Tables'!$T$141:$T$147,MATCH(O197,('Spell Tables'!$R$141:$R$147),0)),IF(Q$181&gt;=O197,INDEX('Spell Tables'!$P$119:$P$131,MATCH(O197,('Spell Tables'!$N$119:$N$131),0)),IF(Q$183&gt;=O197,INDEX('Spell Tables'!$P$97:$P$111,MATCH(O197,('Spell Tables'!$N$97:$N$111),0)),IF(Q$185&gt;=O197,INDEX('Spell Tables'!$T$70:$T$78,MATCH(O197,('Spell Tables'!$R$70:$R$78),0)),IF(Q$187&gt;=O197,INDEX('Spell Tables'!$T$48:$T$63,MATCH(O197,('Spell Tables'!$R$48:$R$63),0)),IF(Q$189&gt;=O197,INDEX('Spell Tables'!$T$26:$T$40,MATCH(O197,('Spell Tables'!$R$26:$R$40),0)),IF(Q$191&gt;=O197,INDEX('Spell Tables'!$T$2:$T$22,MATCH(O197,('Spell Tables'!$R$2:$R$22),0))," "))))))))))))</f>
        <v xml:space="preserve"> </v>
      </c>
      <c r="R197" s="33" t="str">
        <f ca="1">IF(AND($O$15="Otherworldly patron - great old one",R$175&gt;=O197),INDEX('Spell Tables'!$X$226:$X$239,MATCH(O197,('Spell Tables'!$V$226:$V$239),0)),IF(AND($O$15="Otherworldly patron - fiend",R$175&gt;=O197),INDEX('Spell Tables'!$X$210:$X$223,MATCH(O197,('Spell Tables'!$V$210:$V$223),0)),IF(AND($O$15="Otherworldly patron - archfey",R$175&gt;=O197),INDEX('Spell Tables'!$X$194:$X$207,MATCH(O197,('Spell Tables'!$V$194:$V$207),0)),IF($R$173&gt;=O197,INDEX($AL$56:$AL$65,MATCH(O197,($AJ$56:$AJ$65),0)),IF($R$177&gt;=O197,INDEX('Spell Tables'!$X$168:$X$191,MATCH(O197,('Spell Tables'!$V$168:$V$191),0)),IF($R$179&gt;=O197,INDEX('Spell Tables'!$AB$141:$AB$149,MATCH(O197,('Spell Tables'!$Z$141:$Z$149),0)),IF($R$181&gt;=O197,INDEX('Spell Tables'!$T$119:$T$131,MATCH(O197,('Spell Tables'!$R$119:$R$131),0)),IF($R$183&gt;=O197,INDEX('Spell Tables'!$T$97:$T$104,MATCH(O197,('Spell Tables'!$R$97:$R$104),0)),IF($R$185&gt;=O197,INDEX('Spell Tables'!$AB$70:$AB$75,MATCH(O197,('Spell Tables'!$Z$70:$Z$75),0)),IF($R$187&gt;=O197,INDEX('Spell Tables'!$X$48:$X$65,MATCH(O197,('Spell Tables'!$V$48:$V$65),0)),IF($R$189&gt;=O197,INDEX('Spell Tables'!$X$26:$X$42,MATCH(O197,('Spell Tables'!$V$26:$V$42),0)),IF($R$191&gt;=O197,INDEX('Spell Tables'!$X$2:$X$23,MATCH(O197,('Spell Tables'!$V$2:$V$23),0))," "))))))))))))</f>
        <v xml:space="preserve"> </v>
      </c>
      <c r="S197" s="33" t="str">
        <f ca="1">IF(AND($O$15="Otherworldly patron - great old one",S$175&gt;=O197),INDEX('Spell Tables'!$AB$226:$AB$238,MATCH(O197,('Spell Tables'!$Z$226:$Z$238),0)),IF(AND($O$15="Otherworldly patron - fiend",S$175&gt;=O197),INDEX('Spell Tables'!$AB$210:$AB$222,MATCH(O197,('Spell Tables'!$Z$210:$Z$222),0)),IF(AND($O$15="Otherworldly patron - archfey",S$175&gt;=O197),INDEX('Spell Tables'!$AB$194:$AB$206,MATCH(O197,('Spell Tables'!$Z$194:$Z$206),0)),IF($S$173&gt;=O197,INDEX($AL$68:$AL$77,MATCH(O197,($AJ$68:$AJ$77),0)),IF($S$177&gt;=O197,INDEX('Spell Tables'!$AB$168:$AB$187,MATCH(O197,('Spell Tables'!$Z$168:$Z$187),0)),IF($S$179&gt;=O197,INDEX('Spell Tables'!$AJ$141:$AJ$144,MATCH(O197,('Spell Tables'!$AH$141:$AH$144),0)),IF($S$181&gt;=O197,INDEX('Spell Tables'!$X$119:$X$129,MATCH(O197,('Spell Tables'!$V$119:$V$129),0)),IF($S$183&gt;=O197,INDEX('Spell Tables'!$X$97:$X$106,MATCH(O197,('Spell Tables'!$V$97:$V$106),0)),IF($S$185&gt;=O197,INDEX('Spell Tables'!$AJ$70:$AJ$79,MATCH(O197,('Spell Tables'!$AH$70:$AH$79),0)),IF($S$187&gt;=O197,INDEX('Spell Tables'!$AB$48:$AB$60,MATCH(O197,('Spell Tables'!$Z$48:$Z$60),0)),IF($S$189&gt;=O197,INDEX('Spell Tables'!$AB$26:$AB$45,MATCH(O197,('Spell Tables'!$Z$26:$Z$45),0)),IF($S$191&gt;=O197,INDEX('Spell Tables'!$AB$2:$AB$17,MATCH(O197,('Spell Tables'!$Z$2:$Z$17),0))," "))))))))))))</f>
        <v xml:space="preserve"> </v>
      </c>
      <c r="T197" s="33" t="str">
        <f ca="1">IF(AND($O$15="Otherworldly patron - great old one",T$175&gt;=O197),INDEX('Spell Tables'!$AF$226:$AF$231,MATCH(O197,('Spell Tables'!$AD$226:$AD$231),0)),IF(AND($O$15="Otherworldly patron - fiend",T$175&gt;=O197),INDEX('Spell Tables'!$AF$210:$AF$215,MATCH(O197,('Spell Tables'!$AD$210:$AD$215),0)),IF(AND($O$15="Otherworldly patron - archfey",T$175&gt;=O197),INDEX('Spell Tables'!$AF$194:$AF$199,MATCH(O197,('Spell Tables'!$AD$194:$AD$199),0)),IF($T$173&gt;=O197,INDEX($AL$80:$AL$89,MATCH(O197,($AJ$80:$AJ$89),0)),IF($T$177&gt;=O197,INDEX('Spell Tables'!$AF$168:$AF$177,MATCH(O197,('Spell Tables'!$AD$168:$AD$177),0)),IF($T$179&gt;=O197,INDEX('Spell Tables'!$AR$141:$AR$144,MATCH(O197,('Spell Tables'!$AP$141:$AP$144),0)),IF($T$181&gt;=O197,INDEX('Spell Tables'!$AB$119:$AB$123,MATCH(O197,('Spell Tables'!$Z$119:$Z$123),0)),IF($T$183&gt;=O197,INDEX('Spell Tables'!$AB$97:$AB$102,MATCH(O197,('Spell Tables'!$Z$97:$Z$102),0)),IF($T$185&gt;=O197,INDEX('Spell Tables'!$AR$70:$AR$75,MATCH(O197,('Spell Tables'!$AP$70:$AP$75),0)),IF($T$187&gt;=O197,INDEX('Spell Tables'!$AF$48:$AF$63,MATCH(O197,('Spell Tables'!$AD$48:$AD$63),0)),IF($T$189&gt;=O197,INDEX('Spell Tables'!$AF$26:$AF$33,MATCH(O197,('Spell Tables'!$AD$26:$AD$33),0)),IF($T$191&gt;=O197,INDEX('Spell Tables'!$AF$2:$AF$9,MATCH(O197,('Spell Tables'!$AD$2:$AD$9),0))," "))))))))))))</f>
        <v xml:space="preserve"> </v>
      </c>
      <c r="AJ197" s="29">
        <v>10</v>
      </c>
      <c r="AK197" s="29">
        <v>3</v>
      </c>
    </row>
    <row r="198" spans="2:37" x14ac:dyDescent="0.3">
      <c r="B198" s="33"/>
      <c r="C198" s="33"/>
      <c r="D198" s="33"/>
      <c r="E198" s="33"/>
      <c r="F198" s="33"/>
      <c r="G198" s="33"/>
      <c r="H198" s="33"/>
      <c r="I198" s="33"/>
      <c r="J198" s="33"/>
      <c r="K198" s="33"/>
      <c r="L198" s="33"/>
      <c r="M198" s="33"/>
      <c r="N198" s="33"/>
      <c r="O198" s="34">
        <v>6</v>
      </c>
      <c r="P198" s="33" t="str">
        <f ca="1">IF(P$173&gt;=O198,INDEX('Spell Tables'!$P$242:$P$257,MATCH(O198,('Spell Tables'!$N$242:$N$257),0)),IF(P$175&gt;=O198,INDEX('Spell Tables'!$P$194:$P$201,MATCH(O198,('Spell Tables'!$N$194:$N$201),0)),IF(P$177&gt;=O198,INDEX('Spell Tables'!$P$168:$P$183,MATCH(O198,('Spell Tables'!$N$168:$N$183),0)),IF(P$179&gt;=O198,INDEX('Spell Tables'!$P$141:$P$156,MATCH(O198,('Spell Tables'!$N$141:$N$157),0)),IF(P$185&gt;=O198,INDEX('Spell Tables'!$P$70:$P$83,MATCH(O198,('Spell Tables'!$N$70:$N$83),0)),IF(P$187&gt;=O198,INDEX('Spell Tables'!$P$48:$P$55,MATCH(O198,('Spell Tables'!$N$48:$N$55),0)),IF(P$189&gt;=O198,INDEX('Spell Tables'!$P$26:$P$32,MATCH(O198,('Spell Tables'!$N$26:$N$32),0)),IF(P$191&gt;=O198,INDEX('Spell Tables'!$P$2:$P$12,MATCH(O198,('Spell Tables'!$N$2:$N$12),0))," "))))))))</f>
        <v xml:space="preserve"> </v>
      </c>
      <c r="Q198" s="33" t="str">
        <f ca="1">IF(AND($O$15="Otherworldly patron - great old one",Q$175&gt;=O198),INDEX('Spell Tables'!$T$226:$T$238,MATCH(O198,('Spell Tables'!$R$226:$R$238),0)),IF(AND($O$15="Otherworldly patron - fiend",Q$175&gt;=O198),INDEX('Spell Tables'!$T$210:$T$222,MATCH(O198,('Spell Tables'!$R$210:$R$222),0)),IF(Q$173&gt;=O198,INDEX($AL$44:$AL$53,MATCH(O198,($AJ$44:$AJ$53),0)),IF(AND($O$15="Otherworldly patron - archfey",Q$175&gt;=O198),INDEX('Spell Tables'!$T$194:$T$206,MATCH(O198,('Spell Tables'!$R$194:$R$206),0)),IF(Q$177&gt;=O198,INDEX('Spell Tables'!$T$168:$T$187,MATCH(O198,('Spell Tables'!$R$168:$R$187),0)),IF(Q$179&gt;=O198,INDEX('Spell Tables'!$T$141:$T$147,MATCH(O198,('Spell Tables'!$R$141:$R$147),0)),IF(Q$181&gt;=O198,INDEX('Spell Tables'!$P$119:$P$131,MATCH(O198,('Spell Tables'!$N$119:$N$131),0)),IF(Q$183&gt;=O198,INDEX('Spell Tables'!$P$97:$P$111,MATCH(O198,('Spell Tables'!$N$97:$N$111),0)),IF(Q$185&gt;=O198,INDEX('Spell Tables'!$T$70:$T$78,MATCH(O198,('Spell Tables'!$R$70:$R$78),0)),IF(Q$187&gt;=O198,INDEX('Spell Tables'!$T$48:$T$63,MATCH(O198,('Spell Tables'!$R$48:$R$63),0)),IF(Q$189&gt;=O198,INDEX('Spell Tables'!$T$26:$T$40,MATCH(O198,('Spell Tables'!$R$26:$R$40),0)),IF(Q$191&gt;=O198,INDEX('Spell Tables'!$T$2:$T$22,MATCH(O198,('Spell Tables'!$R$2:$R$22),0))," "))))))))))))</f>
        <v xml:space="preserve"> </v>
      </c>
      <c r="R198" s="33" t="str">
        <f ca="1">IF(AND($O$15="Otherworldly patron - great old one",R$175&gt;=O198),INDEX('Spell Tables'!$X$226:$X$239,MATCH(O198,('Spell Tables'!$V$226:$V$239),0)),IF(AND($O$15="Otherworldly patron - fiend",R$175&gt;=O198),INDEX('Spell Tables'!$X$210:$X$223,MATCH(O198,('Spell Tables'!$V$210:$V$223),0)),IF(AND($O$15="Otherworldly patron - archfey",R$175&gt;=O198),INDEX('Spell Tables'!$X$194:$X$207,MATCH(O198,('Spell Tables'!$V$194:$V$207),0)),IF($R$173&gt;=O198,INDEX($AL$56:$AL$65,MATCH(O198,($AJ$56:$AJ$65),0)),IF($R$177&gt;=O198,INDEX('Spell Tables'!$X$168:$X$191,MATCH(O198,('Spell Tables'!$V$168:$V$191),0)),IF($R$179&gt;=O198,INDEX('Spell Tables'!$AB$141:$AB$149,MATCH(O198,('Spell Tables'!$Z$141:$Z$149),0)),IF($R$181&gt;=O198,INDEX('Spell Tables'!$T$119:$T$131,MATCH(O198,('Spell Tables'!$R$119:$R$131),0)),IF($R$183&gt;=O198,INDEX('Spell Tables'!$T$97:$T$104,MATCH(O198,('Spell Tables'!$R$97:$R$104),0)),IF($R$185&gt;=O198,INDEX('Spell Tables'!$AB$70:$AB$75,MATCH(O198,('Spell Tables'!$Z$70:$Z$75),0)),IF($R$187&gt;=O198,INDEX('Spell Tables'!$X$48:$X$65,MATCH(O198,('Spell Tables'!$V$48:$V$65),0)),IF($R$189&gt;=O198,INDEX('Spell Tables'!$X$26:$X$42,MATCH(O198,('Spell Tables'!$V$26:$V$42),0)),IF($R$191&gt;=O198,INDEX('Spell Tables'!$X$2:$X$23,MATCH(O198,('Spell Tables'!$V$2:$V$23),0))," "))))))))))))</f>
        <v xml:space="preserve"> </v>
      </c>
      <c r="S198" s="33" t="str">
        <f ca="1">IF(AND($O$15="Otherworldly patron - great old one",S$175&gt;=O198),INDEX('Spell Tables'!$AB$226:$AB$238,MATCH(O198,('Spell Tables'!$Z$226:$Z$238),0)),IF(AND($O$15="Otherworldly patron - fiend",S$175&gt;=O198),INDEX('Spell Tables'!$AB$210:$AB$222,MATCH(O198,('Spell Tables'!$Z$210:$Z$222),0)),IF(AND($O$15="Otherworldly patron - archfey",S$175&gt;=O198),INDEX('Spell Tables'!$AB$194:$AB$206,MATCH(O198,('Spell Tables'!$Z$194:$Z$206),0)),IF($S$173&gt;=O198,INDEX($AL$68:$AL$77,MATCH(O198,($AJ$68:$AJ$77),0)),IF($S$177&gt;=O198,INDEX('Spell Tables'!$AB$168:$AB$187,MATCH(O198,('Spell Tables'!$Z$168:$Z$187),0)),IF($S$179&gt;=O198,INDEX('Spell Tables'!$AJ$141:$AJ$144,MATCH(O198,('Spell Tables'!$AH$141:$AH$144),0)),IF($S$181&gt;=O198,INDEX('Spell Tables'!$X$119:$X$129,MATCH(O198,('Spell Tables'!$V$119:$V$129),0)),IF($S$183&gt;=O198,INDEX('Spell Tables'!$X$97:$X$106,MATCH(O198,('Spell Tables'!$V$97:$V$106),0)),IF($S$185&gt;=O198,INDEX('Spell Tables'!$AJ$70:$AJ$79,MATCH(O198,('Spell Tables'!$AH$70:$AH$79),0)),IF($S$187&gt;=O198,INDEX('Spell Tables'!$AB$48:$AB$60,MATCH(O198,('Spell Tables'!$Z$48:$Z$60),0)),IF($S$189&gt;=O198,INDEX('Spell Tables'!$AB$26:$AB$45,MATCH(O198,('Spell Tables'!$Z$26:$Z$45),0)),IF($S$191&gt;=O198,INDEX('Spell Tables'!$AB$2:$AB$17,MATCH(O198,('Spell Tables'!$Z$2:$Z$17),0))," "))))))))))))</f>
        <v xml:space="preserve"> </v>
      </c>
      <c r="T198" s="33" t="str">
        <f ca="1">IF(AND($O$15="Otherworldly patron - great old one",T$175&gt;=O198),INDEX('Spell Tables'!$AF$226:$AF$231,MATCH(O198,('Spell Tables'!$AD$226:$AD$231),0)),IF(AND($O$15="Otherworldly patron - fiend",T$175&gt;=O198),INDEX('Spell Tables'!$AF$210:$AF$215,MATCH(O198,('Spell Tables'!$AD$210:$AD$215),0)),IF(AND($O$15="Otherworldly patron - archfey",T$175&gt;=O198),INDEX('Spell Tables'!$AF$194:$AF$199,MATCH(O198,('Spell Tables'!$AD$194:$AD$199),0)),IF($T$173&gt;=O198,INDEX($AL$80:$AL$89,MATCH(O198,($AJ$80:$AJ$89),0)),IF($T$177&gt;=O198,INDEX('Spell Tables'!$AF$168:$AF$177,MATCH(O198,('Spell Tables'!$AD$168:$AD$177),0)),IF($T$179&gt;=O198,INDEX('Spell Tables'!$AR$141:$AR$144,MATCH(O198,('Spell Tables'!$AP$141:$AP$144),0)),IF($T$181&gt;=O198,INDEX('Spell Tables'!$AB$119:$AB$123,MATCH(O198,('Spell Tables'!$Z$119:$Z$123),0)),IF($T$183&gt;=O198,INDEX('Spell Tables'!$AB$97:$AB$102,MATCH(O198,('Spell Tables'!$Z$97:$Z$102),0)),IF($T$185&gt;=O198,INDEX('Spell Tables'!$AR$70:$AR$75,MATCH(O198,('Spell Tables'!$AP$70:$AP$75),0)),IF($T$187&gt;=O198,INDEX('Spell Tables'!$AF$48:$AF$63,MATCH(O198,('Spell Tables'!$AD$48:$AD$63),0)),IF($T$189&gt;=O198,INDEX('Spell Tables'!$AF$26:$AF$33,MATCH(O198,('Spell Tables'!$AD$26:$AD$33),0)),IF($T$191&gt;=O198,INDEX('Spell Tables'!$AF$2:$AF$9,MATCH(O198,('Spell Tables'!$AD$2:$AD$9),0))," "))))))))))))</f>
        <v xml:space="preserve"> </v>
      </c>
    </row>
    <row r="199" spans="2:37" x14ac:dyDescent="0.3">
      <c r="B199" s="33"/>
      <c r="C199" s="33"/>
      <c r="D199" s="33"/>
      <c r="E199" s="33"/>
      <c r="F199" s="33"/>
      <c r="G199" s="33"/>
      <c r="H199" s="33"/>
      <c r="I199" s="33"/>
      <c r="J199" s="33"/>
      <c r="K199" s="33"/>
      <c r="L199" s="33"/>
      <c r="M199" s="33"/>
      <c r="N199" s="33"/>
      <c r="O199" s="34">
        <v>7</v>
      </c>
      <c r="P199" s="33" t="str">
        <f ca="1">IF(P$173&gt;=O199,INDEX('Spell Tables'!$P$242:$P$257,MATCH(O199,('Spell Tables'!$N$242:$N$257),0)),IF(P$175&gt;=O199,INDEX('Spell Tables'!$P$194:$P$201,MATCH(O199,('Spell Tables'!$N$194:$N$201),0)),IF(P$177&gt;=O199,INDEX('Spell Tables'!$P$168:$P$183,MATCH(O199,('Spell Tables'!$N$168:$N$183),0)),IF(P$179&gt;=O199,INDEX('Spell Tables'!$P$141:$P$156,MATCH(O199,('Spell Tables'!$N$141:$N$157),0)),IF(P$185&gt;=O199,INDEX('Spell Tables'!$P$70:$P$83,MATCH(O199,('Spell Tables'!$N$70:$N$83),0)),IF(P$187&gt;=O199,INDEX('Spell Tables'!$P$48:$P$55,MATCH(O199,('Spell Tables'!$N$48:$N$55),0)),IF(P$189&gt;=O199,INDEX('Spell Tables'!$P$26:$P$32,MATCH(O199,('Spell Tables'!$N$26:$N$32),0)),IF(P$191&gt;=O199,INDEX('Spell Tables'!$P$2:$P$12,MATCH(O199,('Spell Tables'!$N$2:$N$12),0))," "))))))))</f>
        <v xml:space="preserve"> </v>
      </c>
      <c r="Q199" s="33" t="str">
        <f ca="1">IF(AND($O$15="Otherworldly patron - great old one",Q$175&gt;=O199),INDEX('Spell Tables'!$T$226:$T$238,MATCH(O199,('Spell Tables'!$R$226:$R$238),0)),IF(AND($O$15="Otherworldly patron - fiend",Q$175&gt;=O199),INDEX('Spell Tables'!$T$210:$T$222,MATCH(O199,('Spell Tables'!$R$210:$R$222),0)),IF(Q$173&gt;=O199,INDEX($AL$44:$AL$53,MATCH(O199,($AJ$44:$AJ$53),0)),IF(AND($O$15="Otherworldly patron - archfey",Q$175&gt;=O199),INDEX('Spell Tables'!$T$194:$T$206,MATCH(O199,('Spell Tables'!$R$194:$R$206),0)),IF(Q$177&gt;=O199,INDEX('Spell Tables'!$T$168:$T$187,MATCH(O199,('Spell Tables'!$R$168:$R$187),0)),IF(Q$179&gt;=O199,INDEX('Spell Tables'!$T$141:$T$147,MATCH(O199,('Spell Tables'!$R$141:$R$147),0)),IF(Q$181&gt;=O199,INDEX('Spell Tables'!$P$119:$P$131,MATCH(O199,('Spell Tables'!$N$119:$N$131),0)),IF(Q$183&gt;=O199,INDEX('Spell Tables'!$P$97:$P$111,MATCH(O199,('Spell Tables'!$N$97:$N$111),0)),IF(Q$185&gt;=O199,INDEX('Spell Tables'!$T$70:$T$78,MATCH(O199,('Spell Tables'!$R$70:$R$78),0)),IF(Q$187&gt;=O199,INDEX('Spell Tables'!$T$48:$T$63,MATCH(O199,('Spell Tables'!$R$48:$R$63),0)),IF(Q$189&gt;=O199,INDEX('Spell Tables'!$T$26:$T$40,MATCH(O199,('Spell Tables'!$R$26:$R$40),0)),IF(Q$191&gt;=O199,INDEX('Spell Tables'!$T$2:$T$22,MATCH(O199,('Spell Tables'!$R$2:$R$22),0))," "))))))))))))</f>
        <v xml:space="preserve"> </v>
      </c>
      <c r="R199" s="33" t="str">
        <f ca="1">IF(AND($O$15="Otherworldly patron - great old one",R$175&gt;=O199),INDEX('Spell Tables'!$X$226:$X$239,MATCH(O199,('Spell Tables'!$V$226:$V$239),0)),IF(AND($O$15="Otherworldly patron - fiend",R$175&gt;=O199),INDEX('Spell Tables'!$X$210:$X$223,MATCH(O199,('Spell Tables'!$V$210:$V$223),0)),IF(AND($O$15="Otherworldly patron - archfey",R$175&gt;=O199),INDEX('Spell Tables'!$X$194:$X$207,MATCH(O199,('Spell Tables'!$V$194:$V$207),0)),IF($R$173&gt;=O199,INDEX($AL$56:$AL$65,MATCH(O199,($AJ$56:$AJ$65),0)),IF($R$177&gt;=O199,INDEX('Spell Tables'!$X$168:$X$191,MATCH(O199,('Spell Tables'!$V$168:$V$191),0)),IF($R$179&gt;=O199,INDEX('Spell Tables'!$AB$141:$AB$149,MATCH(O199,('Spell Tables'!$Z$141:$Z$149),0)),IF($R$181&gt;=O199,INDEX('Spell Tables'!$T$119:$T$131,MATCH(O199,('Spell Tables'!$R$119:$R$131),0)),IF($R$183&gt;=O199,INDEX('Spell Tables'!$T$97:$T$104,MATCH(O199,('Spell Tables'!$R$97:$R$104),0)),IF($R$185&gt;=O199,INDEX('Spell Tables'!$AB$70:$AB$75,MATCH(O199,('Spell Tables'!$Z$70:$Z$75),0)),IF($R$187&gt;=O199,INDEX('Spell Tables'!$X$48:$X$65,MATCH(O199,('Spell Tables'!$V$48:$V$65),0)),IF($R$189&gt;=O199,INDEX('Spell Tables'!$X$26:$X$42,MATCH(O199,('Spell Tables'!$V$26:$V$42),0)),IF($R$191&gt;=O199,INDEX('Spell Tables'!$X$2:$X$23,MATCH(O199,('Spell Tables'!$V$2:$V$23),0))," "))))))))))))</f>
        <v xml:space="preserve"> </v>
      </c>
      <c r="S199" s="33" t="str">
        <f ca="1">IF(AND($O$15="Otherworldly patron - great old one",S$175&gt;=O199),INDEX('Spell Tables'!$AB$226:$AB$238,MATCH(O199,('Spell Tables'!$Z$226:$Z$238),0)),IF(AND($O$15="Otherworldly patron - fiend",S$175&gt;=O199),INDEX('Spell Tables'!$AB$210:$AB$222,MATCH(O199,('Spell Tables'!$Z$210:$Z$222),0)),IF(AND($O$15="Otherworldly patron - archfey",S$175&gt;=O199),INDEX('Spell Tables'!$AB$194:$AB$206,MATCH(O199,('Spell Tables'!$Z$194:$Z$206),0)),IF($S$173&gt;=O199,INDEX($AL$68:$AL$77,MATCH(O199,($AJ$68:$AJ$77),0)),IF($S$177&gt;=O199,INDEX('Spell Tables'!$AB$168:$AB$187,MATCH(O199,('Spell Tables'!$Z$168:$Z$187),0)),IF($S$179&gt;=O199,INDEX('Spell Tables'!$AJ$141:$AJ$144,MATCH(O199,('Spell Tables'!$AH$141:$AH$144),0)),IF($S$181&gt;=O199,INDEX('Spell Tables'!$X$119:$X$129,MATCH(O199,('Spell Tables'!$V$119:$V$129),0)),IF($S$183&gt;=O199,INDEX('Spell Tables'!$X$97:$X$106,MATCH(O199,('Spell Tables'!$V$97:$V$106),0)),IF($S$185&gt;=O199,INDEX('Spell Tables'!$AJ$70:$AJ$79,MATCH(O199,('Spell Tables'!$AH$70:$AH$79),0)),IF($S$187&gt;=O199,INDEX('Spell Tables'!$AB$48:$AB$60,MATCH(O199,('Spell Tables'!$Z$48:$Z$60),0)),IF($S$189&gt;=O199,INDEX('Spell Tables'!$AB$26:$AB$45,MATCH(O199,('Spell Tables'!$Z$26:$Z$45),0)),IF($S$191&gt;=O199,INDEX('Spell Tables'!$AB$2:$AB$17,MATCH(O199,('Spell Tables'!$Z$2:$Z$17),0))," "))))))))))))</f>
        <v xml:space="preserve"> </v>
      </c>
      <c r="T199" s="33" t="str">
        <f ca="1">IF(AND($O$15="Otherworldly patron - great old one",T$175&gt;=O199),INDEX('Spell Tables'!$AF$226:$AF$231,MATCH(O199,('Spell Tables'!$AD$226:$AD$231),0)),IF(AND($O$15="Otherworldly patron - fiend",T$175&gt;=O199),INDEX('Spell Tables'!$AF$210:$AF$215,MATCH(O199,('Spell Tables'!$AD$210:$AD$215),0)),IF(AND($O$15="Otherworldly patron - archfey",T$175&gt;=O199),INDEX('Spell Tables'!$AF$194:$AF$199,MATCH(O199,('Spell Tables'!$AD$194:$AD$199),0)),IF($T$173&gt;=O199,INDEX($AL$80:$AL$89,MATCH(O199,($AJ$80:$AJ$89),0)),IF($T$177&gt;=O199,INDEX('Spell Tables'!$AF$168:$AF$177,MATCH(O199,('Spell Tables'!$AD$168:$AD$177),0)),IF($T$179&gt;=O199,INDEX('Spell Tables'!$AR$141:$AR$144,MATCH(O199,('Spell Tables'!$AP$141:$AP$144),0)),IF($T$181&gt;=O199,INDEX('Spell Tables'!$AB$119:$AB$123,MATCH(O199,('Spell Tables'!$Z$119:$Z$123),0)),IF($T$183&gt;=O199,INDEX('Spell Tables'!$AB$97:$AB$102,MATCH(O199,('Spell Tables'!$Z$97:$Z$102),0)),IF($T$185&gt;=O199,INDEX('Spell Tables'!$AR$70:$AR$75,MATCH(O199,('Spell Tables'!$AP$70:$AP$75),0)),IF($T$187&gt;=O199,INDEX('Spell Tables'!$AF$48:$AF$63,MATCH(O199,('Spell Tables'!$AD$48:$AD$63),0)),IF($T$189&gt;=O199,INDEX('Spell Tables'!$AF$26:$AF$33,MATCH(O199,('Spell Tables'!$AD$26:$AD$33),0)),IF($T$191&gt;=O199,INDEX('Spell Tables'!$AF$2:$AF$9,MATCH(O199,('Spell Tables'!$AD$2:$AD$9),0))," "))))))))))))</f>
        <v xml:space="preserve"> </v>
      </c>
    </row>
    <row r="200" spans="2:37" x14ac:dyDescent="0.3">
      <c r="B200" s="33"/>
      <c r="C200" s="33"/>
      <c r="D200" s="33"/>
      <c r="E200" s="33"/>
      <c r="F200" s="33"/>
      <c r="G200" s="33"/>
      <c r="H200" s="33"/>
      <c r="I200" s="33"/>
      <c r="J200" s="33"/>
      <c r="K200" s="33"/>
      <c r="L200" s="33"/>
      <c r="M200" s="33"/>
      <c r="N200" s="33"/>
      <c r="O200" s="34">
        <v>8</v>
      </c>
      <c r="P200" s="33" t="str">
        <f ca="1">IF(P$173&gt;=O200,INDEX('Spell Tables'!$P$242:$P$257,MATCH(O200,('Spell Tables'!$N$242:$N$257),0)),IF(P$175&gt;=O200,INDEX('Spell Tables'!$P$194:$P$201,MATCH(O200,('Spell Tables'!$N$194:$N$201),0)),IF(P$177&gt;=O200,INDEX('Spell Tables'!$P$168:$P$183,MATCH(O200,('Spell Tables'!$N$168:$N$183),0)),IF(P$179&gt;=O200,INDEX('Spell Tables'!$P$141:$P$156,MATCH(O200,('Spell Tables'!$N$141:$N$157),0)),IF(P$185&gt;=O200,INDEX('Spell Tables'!$P$70:$P$83,MATCH(O200,('Spell Tables'!$N$70:$N$83),0)),IF(P$187&gt;=O200,INDEX('Spell Tables'!$P$48:$P$55,MATCH(O200,('Spell Tables'!$N$48:$N$55),0)),IF(P$189&gt;=O200,INDEX('Spell Tables'!$P$26:$P$32,MATCH(O200,('Spell Tables'!$N$26:$N$32),0)),IF(P$191&gt;=O200,INDEX('Spell Tables'!$P$2:$P$12,MATCH(O200,('Spell Tables'!$N$2:$N$12),0))," "))))))))</f>
        <v xml:space="preserve"> </v>
      </c>
      <c r="Q200" s="33" t="str">
        <f ca="1">IF(AND($O$15="Otherworldly patron - great old one",Q$175&gt;=O200),INDEX('Spell Tables'!$T$226:$T$238,MATCH(O200,('Spell Tables'!$R$226:$R$238),0)),IF(AND($O$15="Otherworldly patron - fiend",Q$175&gt;=O200),INDEX('Spell Tables'!$T$210:$T$222,MATCH(O200,('Spell Tables'!$R$210:$R$222),0)),IF(Q$173&gt;=O200,INDEX($AL$44:$AL$53,MATCH(O200,($AJ$44:$AJ$53),0)),IF(AND($O$15="Otherworldly patron - archfey",Q$175&gt;=O200),INDEX('Spell Tables'!$T$194:$T$206,MATCH(O200,('Spell Tables'!$R$194:$R$206),0)),IF(Q$177&gt;=O200,INDEX('Spell Tables'!$T$168:$T$187,MATCH(O200,('Spell Tables'!$R$168:$R$187),0)),IF(Q$179&gt;=O200,INDEX('Spell Tables'!$T$141:$T$147,MATCH(O200,('Spell Tables'!$R$141:$R$147),0)),IF(Q$181&gt;=O200,INDEX('Spell Tables'!$P$119:$P$131,MATCH(O200,('Spell Tables'!$N$119:$N$131),0)),IF(Q$183&gt;=O200,INDEX('Spell Tables'!$P$97:$P$111,MATCH(O200,('Spell Tables'!$N$97:$N$111),0)),IF(Q$185&gt;=O200,INDEX('Spell Tables'!$T$70:$T$78,MATCH(O200,('Spell Tables'!$R$70:$R$78),0)),IF(Q$187&gt;=O200,INDEX('Spell Tables'!$T$48:$T$63,MATCH(O200,('Spell Tables'!$R$48:$R$63),0)),IF(Q$189&gt;=O200,INDEX('Spell Tables'!$T$26:$T$40,MATCH(O200,('Spell Tables'!$R$26:$R$40),0)),IF(Q$191&gt;=O200,INDEX('Spell Tables'!$T$2:$T$22,MATCH(O200,('Spell Tables'!$R$2:$R$22),0))," "))))))))))))</f>
        <v xml:space="preserve"> </v>
      </c>
      <c r="R200" s="33" t="str">
        <f ca="1">IF(AND($O$15="Otherworldly patron - great old one",R$175&gt;=O200),INDEX('Spell Tables'!$X$226:$X$239,MATCH(O200,('Spell Tables'!$V$226:$V$239),0)),IF(AND($O$15="Otherworldly patron - fiend",R$175&gt;=O200),INDEX('Spell Tables'!$X$210:$X$223,MATCH(O200,('Spell Tables'!$V$210:$V$223),0)),IF(AND($O$15="Otherworldly patron - archfey",R$175&gt;=O200),INDEX('Spell Tables'!$X$194:$X$207,MATCH(O200,('Spell Tables'!$V$194:$V$207),0)),IF($R$173&gt;=O200,INDEX($AL$56:$AL$65,MATCH(O200,($AJ$56:$AJ$65),0)),IF($R$177&gt;=O200,INDEX('Spell Tables'!$X$168:$X$191,MATCH(O200,('Spell Tables'!$V$168:$V$191),0)),IF($R$179&gt;=O200,INDEX('Spell Tables'!$AB$141:$AB$149,MATCH(O200,('Spell Tables'!$Z$141:$Z$149),0)),IF($R$181&gt;=O200,INDEX('Spell Tables'!$T$119:$T$131,MATCH(O200,('Spell Tables'!$R$119:$R$131),0)),IF($R$183&gt;=O200,INDEX('Spell Tables'!$T$97:$T$104,MATCH(O200,('Spell Tables'!$R$97:$R$104),0)),IF($R$185&gt;=O200,INDEX('Spell Tables'!$AB$70:$AB$75,MATCH(O200,('Spell Tables'!$Z$70:$Z$75),0)),IF($R$187&gt;=O200,INDEX('Spell Tables'!$X$48:$X$65,MATCH(O200,('Spell Tables'!$V$48:$V$65),0)),IF($R$189&gt;=O200,INDEX('Spell Tables'!$X$26:$X$42,MATCH(O200,('Spell Tables'!$V$26:$V$42),0)),IF($R$191&gt;=O200,INDEX('Spell Tables'!$X$2:$X$23,MATCH(O200,('Spell Tables'!$V$2:$V$23),0))," "))))))))))))</f>
        <v xml:space="preserve"> </v>
      </c>
      <c r="S200" s="33" t="str">
        <f ca="1">IF(AND($O$15="Otherworldly patron - great old one",S$175&gt;=O200),INDEX('Spell Tables'!$AB$226:$AB$238,MATCH(O200,('Spell Tables'!$Z$226:$Z$238),0)),IF(AND($O$15="Otherworldly patron - fiend",S$175&gt;=O200),INDEX('Spell Tables'!$AB$210:$AB$222,MATCH(O200,('Spell Tables'!$Z$210:$Z$222),0)),IF(AND($O$15="Otherworldly patron - archfey",S$175&gt;=O200),INDEX('Spell Tables'!$AB$194:$AB$206,MATCH(O200,('Spell Tables'!$Z$194:$Z$206),0)),IF($S$173&gt;=O200,INDEX($AL$68:$AL$77,MATCH(O200,($AJ$68:$AJ$77),0)),IF($S$177&gt;=O200,INDEX('Spell Tables'!$AB$168:$AB$187,MATCH(O200,('Spell Tables'!$Z$168:$Z$187),0)),IF($S$179&gt;=O200,INDEX('Spell Tables'!$AJ$141:$AJ$144,MATCH(O200,('Spell Tables'!$AH$141:$AH$144),0)),IF($S$181&gt;=O200,INDEX('Spell Tables'!$X$119:$X$129,MATCH(O200,('Spell Tables'!$V$119:$V$129),0)),IF($S$183&gt;=O200,INDEX('Spell Tables'!$X$97:$X$106,MATCH(O200,('Spell Tables'!$V$97:$V$106),0)),IF($S$185&gt;=O200,INDEX('Spell Tables'!$AJ$70:$AJ$79,MATCH(O200,('Spell Tables'!$AH$70:$AH$79),0)),IF($S$187&gt;=O200,INDEX('Spell Tables'!$AB$48:$AB$60,MATCH(O200,('Spell Tables'!$Z$48:$Z$60),0)),IF($S$189&gt;=O200,INDEX('Spell Tables'!$AB$26:$AB$45,MATCH(O200,('Spell Tables'!$Z$26:$Z$45),0)),IF($S$191&gt;=O200,INDEX('Spell Tables'!$AB$2:$AB$17,MATCH(O200,('Spell Tables'!$Z$2:$Z$17),0))," "))))))))))))</f>
        <v xml:space="preserve"> </v>
      </c>
      <c r="T200" s="33" t="str">
        <f ca="1">IF(AND($O$15="Otherworldly patron - great old one",T$175&gt;=O200),INDEX('Spell Tables'!$AF$226:$AF$231,MATCH(O200,('Spell Tables'!$AD$226:$AD$231),0)),IF(AND($O$15="Otherworldly patron - fiend",T$175&gt;=O200),INDEX('Spell Tables'!$AF$210:$AF$215,MATCH(O200,('Spell Tables'!$AD$210:$AD$215),0)),IF(AND($O$15="Otherworldly patron - archfey",T$175&gt;=O200),INDEX('Spell Tables'!$AF$194:$AF$199,MATCH(O200,('Spell Tables'!$AD$194:$AD$199),0)),IF($T$173&gt;=O200,INDEX($AL$80:$AL$89,MATCH(O200,($AJ$80:$AJ$89),0)),IF($T$177&gt;=O200,INDEX('Spell Tables'!$AF$168:$AF$177,MATCH(O200,('Spell Tables'!$AD$168:$AD$177),0)),IF($T$179&gt;=O200,INDEX('Spell Tables'!$AR$141:$AR$144,MATCH(O200,('Spell Tables'!$AP$141:$AP$144),0)),IF($T$181&gt;=O200,INDEX('Spell Tables'!$AB$119:$AB$123,MATCH(O200,('Spell Tables'!$Z$119:$Z$123),0)),IF($T$183&gt;=O200,INDEX('Spell Tables'!$AB$97:$AB$102,MATCH(O200,('Spell Tables'!$Z$97:$Z$102),0)),IF($T$185&gt;=O200,INDEX('Spell Tables'!$AR$70:$AR$75,MATCH(O200,('Spell Tables'!$AP$70:$AP$75),0)),IF($T$187&gt;=O200,INDEX('Spell Tables'!$AF$48:$AF$63,MATCH(O200,('Spell Tables'!$AD$48:$AD$63),0)),IF($T$189&gt;=O200,INDEX('Spell Tables'!$AF$26:$AF$33,MATCH(O200,('Spell Tables'!$AD$26:$AD$33),0)),IF($T$191&gt;=O200,INDEX('Spell Tables'!$AF$2:$AF$9,MATCH(O200,('Spell Tables'!$AD$2:$AD$9),0))," "))))))))))))</f>
        <v xml:space="preserve"> </v>
      </c>
    </row>
    <row r="201" spans="2:37" x14ac:dyDescent="0.3">
      <c r="B201" s="33"/>
      <c r="C201" s="33"/>
      <c r="D201" s="33"/>
      <c r="E201" s="33"/>
      <c r="F201" s="33"/>
      <c r="G201" s="33"/>
      <c r="H201" s="33"/>
      <c r="I201" s="33"/>
      <c r="J201" s="33"/>
      <c r="K201" s="33"/>
      <c r="L201" s="33"/>
      <c r="M201" s="33"/>
      <c r="N201" s="33"/>
      <c r="O201" s="34">
        <v>9</v>
      </c>
      <c r="P201" s="33" t="str">
        <f ca="1">IF(P$173&gt;=O201,INDEX('Spell Tables'!$P$242:$P$257,MATCH(O201,('Spell Tables'!$N$242:$N$257),0)),IF(P$175&gt;=O201,INDEX('Spell Tables'!$P$194:$P$201,MATCH(O201,('Spell Tables'!$N$194:$N$201),0)),IF(P$177&gt;=O201,INDEX('Spell Tables'!$P$168:$P$183,MATCH(O201,('Spell Tables'!$N$168:$N$183),0)),IF(P$179&gt;=O201,INDEX('Spell Tables'!$P$141:$P$156,MATCH(O201,('Spell Tables'!$N$141:$N$157),0)),IF(P$185&gt;=O201,INDEX('Spell Tables'!$P$70:$P$83,MATCH(O201,('Spell Tables'!$N$70:$N$83),0)),IF(P$187&gt;=O201,INDEX('Spell Tables'!$P$48:$P$55,MATCH(O201,('Spell Tables'!$N$48:$N$55),0)),IF(P$189&gt;=O201,INDEX('Spell Tables'!$P$26:$P$32,MATCH(O201,('Spell Tables'!$N$26:$N$32),0)),IF(P$191&gt;=O201,INDEX('Spell Tables'!$P$2:$P$12,MATCH(O201,('Spell Tables'!$N$2:$N$12),0))," "))))))))</f>
        <v xml:space="preserve"> </v>
      </c>
      <c r="Q201" s="33" t="str">
        <f ca="1">IF(AND($O$15="Otherworldly patron - great old one",Q$175&gt;=O201),INDEX('Spell Tables'!$T$226:$T$238,MATCH(O201,('Spell Tables'!$R$226:$R$238),0)),IF(AND($O$15="Otherworldly patron - fiend",Q$175&gt;=O201),INDEX('Spell Tables'!$T$210:$T$222,MATCH(O201,('Spell Tables'!$R$210:$R$222),0)),IF(Q$173&gt;=O201,INDEX($AL$44:$AL$53,MATCH(O201,($AJ$44:$AJ$53),0)),IF(AND($O$15="Otherworldly patron - archfey",Q$175&gt;=O201),INDEX('Spell Tables'!$T$194:$T$206,MATCH(O201,('Spell Tables'!$R$194:$R$206),0)),IF(Q$177&gt;=O201,INDEX('Spell Tables'!$T$168:$T$187,MATCH(O201,('Spell Tables'!$R$168:$R$187),0)),IF(Q$179&gt;=O201,INDEX('Spell Tables'!$T$141:$T$147,MATCH(O201,('Spell Tables'!$R$141:$R$147),0)),IF(Q$181&gt;=O201,INDEX('Spell Tables'!$P$119:$P$131,MATCH(O201,('Spell Tables'!$N$119:$N$131),0)),IF(Q$183&gt;=O201,INDEX('Spell Tables'!$P$97:$P$111,MATCH(O201,('Spell Tables'!$N$97:$N$111),0)),IF(Q$185&gt;=O201,INDEX('Spell Tables'!$T$70:$T$78,MATCH(O201,('Spell Tables'!$R$70:$R$78),0)),IF(Q$187&gt;=O201,INDEX('Spell Tables'!$T$48:$T$63,MATCH(O201,('Spell Tables'!$R$48:$R$63),0)),IF(Q$189&gt;=O201,INDEX('Spell Tables'!$T$26:$T$40,MATCH(O201,('Spell Tables'!$R$26:$R$40),0)),IF(Q$191&gt;=O201,INDEX('Spell Tables'!$T$2:$T$22,MATCH(O201,('Spell Tables'!$R$2:$R$22),0))," "))))))))))))</f>
        <v xml:space="preserve"> </v>
      </c>
      <c r="R201" s="33" t="str">
        <f ca="1">IF(AND($O$15="Otherworldly patron - great old one",R$175&gt;=O201),INDEX('Spell Tables'!$X$226:$X$239,MATCH(O201,('Spell Tables'!$V$226:$V$239),0)),IF(AND($O$15="Otherworldly patron - fiend",R$175&gt;=O201),INDEX('Spell Tables'!$X$210:$X$223,MATCH(O201,('Spell Tables'!$V$210:$V$223),0)),IF(AND($O$15="Otherworldly patron - archfey",R$175&gt;=O201),INDEX('Spell Tables'!$X$194:$X$207,MATCH(O201,('Spell Tables'!$V$194:$V$207),0)),IF($R$173&gt;=O201,INDEX($AL$56:$AL$65,MATCH(O201,($AJ$56:$AJ$65),0)),IF($R$177&gt;=O201,INDEX('Spell Tables'!$X$168:$X$191,MATCH(O201,('Spell Tables'!$V$168:$V$191),0)),IF($R$179&gt;=O201,INDEX('Spell Tables'!$AB$141:$AB$149,MATCH(O201,('Spell Tables'!$Z$141:$Z$149),0)),IF($R$181&gt;=O201,INDEX('Spell Tables'!$T$119:$T$131,MATCH(O201,('Spell Tables'!$R$119:$R$131),0)),IF($R$183&gt;=O201,INDEX('Spell Tables'!$T$97:$T$104,MATCH(O201,('Spell Tables'!$R$97:$R$104),0)),IF($R$185&gt;=O201,INDEX('Spell Tables'!$AB$70:$AB$75,MATCH(O201,('Spell Tables'!$Z$70:$Z$75),0)),IF($R$187&gt;=O201,INDEX('Spell Tables'!$X$48:$X$65,MATCH(O201,('Spell Tables'!$V$48:$V$65),0)),IF($R$189&gt;=O201,INDEX('Spell Tables'!$X$26:$X$42,MATCH(O201,('Spell Tables'!$V$26:$V$42),0)),IF($R$191&gt;=O201,INDEX('Spell Tables'!$X$2:$X$23,MATCH(O201,('Spell Tables'!$V$2:$V$23),0))," "))))))))))))</f>
        <v xml:space="preserve"> </v>
      </c>
      <c r="S201" s="33" t="str">
        <f ca="1">IF(AND($O$15="Otherworldly patron - great old one",S$175&gt;=O201),INDEX('Spell Tables'!$AB$226:$AB$238,MATCH(O201,('Spell Tables'!$Z$226:$Z$238),0)),IF(AND($O$15="Otherworldly patron - fiend",S$175&gt;=O201),INDEX('Spell Tables'!$AB$210:$AB$222,MATCH(O201,('Spell Tables'!$Z$210:$Z$222),0)),IF(AND($O$15="Otherworldly patron - archfey",S$175&gt;=O201),INDEX('Spell Tables'!$AB$194:$AB$206,MATCH(O201,('Spell Tables'!$Z$194:$Z$206),0)),IF($S$173&gt;=O201,INDEX($AL$68:$AL$77,MATCH(O201,($AJ$68:$AJ$77),0)),IF($S$177&gt;=O201,INDEX('Spell Tables'!$AB$168:$AB$187,MATCH(O201,('Spell Tables'!$Z$168:$Z$187),0)),IF($S$179&gt;=O201,INDEX('Spell Tables'!$AJ$141:$AJ$144,MATCH(O201,('Spell Tables'!$AH$141:$AH$144),0)),IF($S$181&gt;=O201,INDEX('Spell Tables'!$X$119:$X$129,MATCH(O201,('Spell Tables'!$V$119:$V$129),0)),IF($S$183&gt;=O201,INDEX('Spell Tables'!$X$97:$X$106,MATCH(O201,('Spell Tables'!$V$97:$V$106),0)),IF($S$185&gt;=O201,INDEX('Spell Tables'!$AJ$70:$AJ$79,MATCH(O201,('Spell Tables'!$AH$70:$AH$79),0)),IF($S$187&gt;=O201,INDEX('Spell Tables'!$AB$48:$AB$60,MATCH(O201,('Spell Tables'!$Z$48:$Z$60),0)),IF($S$189&gt;=O201,INDEX('Spell Tables'!$AB$26:$AB$45,MATCH(O201,('Spell Tables'!$Z$26:$Z$45),0)),IF($S$191&gt;=O201,INDEX('Spell Tables'!$AB$2:$AB$17,MATCH(O201,('Spell Tables'!$Z$2:$Z$17),0))," "))))))))))))</f>
        <v xml:space="preserve"> </v>
      </c>
      <c r="T201" s="33" t="str">
        <f ca="1">IF(AND($O$15="Otherworldly patron - great old one",T$175&gt;=O201),INDEX('Spell Tables'!$AF$226:$AF$231,MATCH(O201,('Spell Tables'!$AD$226:$AD$231),0)),IF(AND($O$15="Otherworldly patron - fiend",T$175&gt;=O201),INDEX('Spell Tables'!$AF$210:$AF$215,MATCH(O201,('Spell Tables'!$AD$210:$AD$215),0)),IF(AND($O$15="Otherworldly patron - archfey",T$175&gt;=O201),INDEX('Spell Tables'!$AF$194:$AF$199,MATCH(O201,('Spell Tables'!$AD$194:$AD$199),0)),IF($T$173&gt;=O201,INDEX($AL$80:$AL$89,MATCH(O201,($AJ$80:$AJ$89),0)),IF($T$177&gt;=O201,INDEX('Spell Tables'!$AF$168:$AF$177,MATCH(O201,('Spell Tables'!$AD$168:$AD$177),0)),IF($T$179&gt;=O201,INDEX('Spell Tables'!$AR$141:$AR$144,MATCH(O201,('Spell Tables'!$AP$141:$AP$144),0)),IF($T$181&gt;=O201,INDEX('Spell Tables'!$AB$119:$AB$123,MATCH(O201,('Spell Tables'!$Z$119:$Z$123),0)),IF($T$183&gt;=O201,INDEX('Spell Tables'!$AB$97:$AB$102,MATCH(O201,('Spell Tables'!$Z$97:$Z$102),0)),IF($T$185&gt;=O201,INDEX('Spell Tables'!$AR$70:$AR$75,MATCH(O201,('Spell Tables'!$AP$70:$AP$75),0)),IF($T$187&gt;=O201,INDEX('Spell Tables'!$AF$48:$AF$63,MATCH(O201,('Spell Tables'!$AD$48:$AD$63),0)),IF($T$189&gt;=O201,INDEX('Spell Tables'!$AF$26:$AF$33,MATCH(O201,('Spell Tables'!$AD$26:$AD$33),0)),IF($T$191&gt;=O201,INDEX('Spell Tables'!$AF$2:$AF$9,MATCH(O201,('Spell Tables'!$AD$2:$AD$9),0))," "))))))))))))</f>
        <v xml:space="preserve"> </v>
      </c>
    </row>
    <row r="202" spans="2:37" x14ac:dyDescent="0.3">
      <c r="B202" s="33"/>
      <c r="C202" s="33"/>
      <c r="D202" s="33"/>
      <c r="E202" s="33"/>
      <c r="F202" s="33"/>
      <c r="G202" s="33"/>
      <c r="H202" s="33"/>
      <c r="I202" s="33"/>
      <c r="J202" s="33"/>
      <c r="K202" s="33"/>
      <c r="L202" s="33"/>
      <c r="M202" s="33"/>
      <c r="N202" s="33"/>
      <c r="O202" s="34">
        <v>10</v>
      </c>
      <c r="P202" s="33" t="str">
        <f ca="1">IF(P$173&gt;=O202,INDEX('Spell Tables'!$P$242:$P$257,MATCH(O202,('Spell Tables'!$N$242:$N$257),0)),IF(P$175&gt;=O202,INDEX('Spell Tables'!$P$194:$P$201,MATCH(O202,('Spell Tables'!$N$194:$N$201),0)),IF(P$177&gt;=O202,INDEX('Spell Tables'!$P$168:$P$183,MATCH(O202,('Spell Tables'!$N$168:$N$183),0)),IF(P$179&gt;=O202,INDEX('Spell Tables'!$P$141:$P$156,MATCH(O202,('Spell Tables'!$N$141:$N$157),0)),IF(P$185&gt;=O202,INDEX('Spell Tables'!$P$70:$P$83,MATCH(O202,('Spell Tables'!$N$70:$N$83),0)),IF(P$187&gt;=O202,INDEX('Spell Tables'!$P$48:$P$55,MATCH(O202,('Spell Tables'!$N$48:$N$55),0)),IF(P$189&gt;=O202,INDEX('Spell Tables'!$P$26:$P$32,MATCH(O202,('Spell Tables'!$N$26:$N$32),0)),IF(P$191&gt;=O202,INDEX('Spell Tables'!$P$2:$P$12,MATCH(O202,('Spell Tables'!$N$2:$N$12),0))," "))))))))</f>
        <v xml:space="preserve"> </v>
      </c>
      <c r="Q202" s="33" t="str">
        <f ca="1">IF(AND($O$15="Otherworldly patron - great old one",Q$175&gt;=O202),INDEX('Spell Tables'!$T$226:$T$238,MATCH(O202,('Spell Tables'!$R$226:$R$238),0)),IF(AND($O$15="Otherworldly patron - fiend",Q$175&gt;=O202),INDEX('Spell Tables'!$T$210:$T$222,MATCH(O202,('Spell Tables'!$R$210:$R$222),0)),IF(Q$173&gt;=O202,INDEX($AL$44:$AL$53,MATCH(O202,($AJ$44:$AJ$53),0)),IF(AND($O$15="Otherworldly patron - archfey",Q$175&gt;=O202),INDEX('Spell Tables'!$T$194:$T$206,MATCH(O202,('Spell Tables'!$R$194:$R$206),0)),IF(Q$177&gt;=O202,INDEX('Spell Tables'!$T$168:$T$187,MATCH(O202,('Spell Tables'!$R$168:$R$187),0)),IF(Q$179&gt;=O202,INDEX('Spell Tables'!$T$141:$T$147,MATCH(O202,('Spell Tables'!$R$141:$R$147),0)),IF(Q$181&gt;=O202,INDEX('Spell Tables'!$P$119:$P$131,MATCH(O202,('Spell Tables'!$N$119:$N$131),0)),IF(Q$183&gt;=O202,INDEX('Spell Tables'!$P$97:$P$111,MATCH(O202,('Spell Tables'!$N$97:$N$111),0)),IF(Q$185&gt;=O202,INDEX('Spell Tables'!$T$70:$T$78,MATCH(O202,('Spell Tables'!$R$70:$R$78),0)),IF(Q$187&gt;=O202,INDEX('Spell Tables'!$T$48:$T$63,MATCH(O202,('Spell Tables'!$R$48:$R$63),0)),IF(Q$189&gt;=O202,INDEX('Spell Tables'!$T$26:$T$40,MATCH(O202,('Spell Tables'!$R$26:$R$40),0)),IF(Q$191&gt;=O202,INDEX('Spell Tables'!$T$2:$T$22,MATCH(O202,('Spell Tables'!$R$2:$R$22),0))," "))))))))))))</f>
        <v xml:space="preserve"> </v>
      </c>
      <c r="R202" s="33" t="str">
        <f ca="1">IF(AND($O$15="Otherworldly patron - great old one",R$175&gt;=O202),INDEX('Spell Tables'!$X$226:$X$239,MATCH(O202,('Spell Tables'!$V$226:$V$239),0)),IF(AND($O$15="Otherworldly patron - fiend",R$175&gt;=O202),INDEX('Spell Tables'!$X$210:$X$223,MATCH(O202,('Spell Tables'!$V$210:$V$223),0)),IF(AND($O$15="Otherworldly patron - archfey",R$175&gt;=O202),INDEX('Spell Tables'!$X$194:$X$207,MATCH(O202,('Spell Tables'!$V$194:$V$207),0)),IF($R$173&gt;=O202,INDEX($AL$56:$AL$65,MATCH(O202,($AJ$56:$AJ$65),0)),IF($R$177&gt;=O202,INDEX('Spell Tables'!$X$168:$X$191,MATCH(O202,('Spell Tables'!$V$168:$V$191),0)),IF($R$179&gt;=O202,INDEX('Spell Tables'!$AB$141:$AB$149,MATCH(O202,('Spell Tables'!$Z$141:$Z$149),0)),IF($R$181&gt;=O202,INDEX('Spell Tables'!$T$119:$T$131,MATCH(O202,('Spell Tables'!$R$119:$R$131),0)),IF($R$183&gt;=O202,INDEX('Spell Tables'!$T$97:$T$104,MATCH(O202,('Spell Tables'!$R$97:$R$104),0)),IF($R$185&gt;=O202,INDEX('Spell Tables'!$AB$70:$AB$75,MATCH(O202,('Spell Tables'!$Z$70:$Z$75),0)),IF($R$187&gt;=O202,INDEX('Spell Tables'!$X$48:$X$65,MATCH(O202,('Spell Tables'!$V$48:$V$65),0)),IF($R$189&gt;=O202,INDEX('Spell Tables'!$X$26:$X$42,MATCH(O202,('Spell Tables'!$V$26:$V$42),0)),IF($R$191&gt;=O202,INDEX('Spell Tables'!$X$2:$X$23,MATCH(O202,('Spell Tables'!$V$2:$V$23),0))," "))))))))))))</f>
        <v xml:space="preserve"> </v>
      </c>
      <c r="S202" s="33" t="str">
        <f ca="1">IF(AND($O$15="Otherworldly patron - great old one",S$175&gt;=O202),INDEX('Spell Tables'!$AB$226:$AB$238,MATCH(O202,('Spell Tables'!$Z$226:$Z$238),0)),IF(AND($O$15="Otherworldly patron - fiend",S$175&gt;=O202),INDEX('Spell Tables'!$AB$210:$AB$222,MATCH(O202,('Spell Tables'!$Z$210:$Z$222),0)),IF(AND($O$15="Otherworldly patron - archfey",S$175&gt;=O202),INDEX('Spell Tables'!$AB$194:$AB$206,MATCH(O202,('Spell Tables'!$Z$194:$Z$206),0)),IF($S$173&gt;=O202,INDEX($AL$68:$AL$77,MATCH(O202,($AJ$68:$AJ$77),0)),IF($S$177&gt;=O202,INDEX('Spell Tables'!$AB$168:$AB$187,MATCH(O202,('Spell Tables'!$Z$168:$Z$187),0)),IF($S$179&gt;=O202,INDEX('Spell Tables'!$AJ$141:$AJ$144,MATCH(O202,('Spell Tables'!$AH$141:$AH$144),0)),IF($S$181&gt;=O202,INDEX('Spell Tables'!$X$119:$X$129,MATCH(O202,('Spell Tables'!$V$119:$V$129),0)),IF($S$183&gt;=O202,INDEX('Spell Tables'!$X$97:$X$106,MATCH(O202,('Spell Tables'!$V$97:$V$106),0)),IF($S$185&gt;=O202,INDEX('Spell Tables'!$AJ$70:$AJ$79,MATCH(O202,('Spell Tables'!$AH$70:$AH$79),0)),IF($S$187&gt;=O202,INDEX('Spell Tables'!$AB$48:$AB$60,MATCH(O202,('Spell Tables'!$Z$48:$Z$60),0)),IF($S$189&gt;=O202,INDEX('Spell Tables'!$AB$26:$AB$45,MATCH(O202,('Spell Tables'!$Z$26:$Z$45),0)),IF($S$191&gt;=O202,INDEX('Spell Tables'!$AB$2:$AB$17,MATCH(O202,('Spell Tables'!$Z$2:$Z$17),0))," "))))))))))))</f>
        <v xml:space="preserve"> </v>
      </c>
      <c r="T202" s="33" t="str">
        <f ca="1">IF(AND($O$15="Otherworldly patron - great old one",T$175&gt;=O202),INDEX('Spell Tables'!$AF$226:$AF$231,MATCH(O202,('Spell Tables'!$AD$226:$AD$231),0)),IF(AND($O$15="Otherworldly patron - fiend",T$175&gt;=O202),INDEX('Spell Tables'!$AF$210:$AF$215,MATCH(O202,('Spell Tables'!$AD$210:$AD$215),0)),IF(AND($O$15="Otherworldly patron - archfey",T$175&gt;=O202),INDEX('Spell Tables'!$AF$194:$AF$199,MATCH(O202,('Spell Tables'!$AD$194:$AD$199),0)),IF($T$173&gt;=O202,INDEX('Spell Tables'!$AF$242:$AF$264,MATCH(O202,('Spell Tables'!$AD$242:$AD$264),0)),IF($T$177&gt;=O202,INDEX('Spell Tables'!$AF$168:$AF$177,MATCH(O202,('Spell Tables'!$AD$168:$AD$177),0)),IF($T$179&gt;=O202,INDEX('Spell Tables'!$AR$141:$AR$144,MATCH(O202,('Spell Tables'!$AP$141:$AP$144),0)),IF($T$181&gt;=O202,INDEX('Spell Tables'!$AB$119:$AB$123,MATCH(O202,('Spell Tables'!$Z$119:$Z$123),0)),IF($T$183&gt;=O202,INDEX('Spell Tables'!$AB$97:$AB$102,MATCH(O202,('Spell Tables'!$Z$97:$Z$102),0)),IF($T$185&gt;=O202,INDEX('Spell Tables'!$AR$70:$AR$75,MATCH(O202,('Spell Tables'!$AP$70:$AP$75),0)),IF($T$187&gt;=O202,INDEX('Spell Tables'!$AF$48:$AF$63,MATCH(O202,('Spell Tables'!$AD$48:$AD$63),0)),IF($T$189&gt;=O202,INDEX('Spell Tables'!$AF$26:$AF$33,MATCH(O202,('Spell Tables'!$AD$26:$AD$33),0)),IF($T$191&gt;=O202,INDEX('Spell Tables'!$AF$2:$AF$9,MATCH(O202,('Spell Tables'!$AD$2:$AD$9),0))," "))))))))))))</f>
        <v xml:space="preserve"> </v>
      </c>
    </row>
    <row r="204" spans="2:37" ht="19.5" thickBot="1" x14ac:dyDescent="0.35">
      <c r="C204" s="38"/>
      <c r="D204" s="38"/>
      <c r="E204" s="38"/>
      <c r="F204" s="38"/>
      <c r="G204" s="38"/>
      <c r="H204" s="38"/>
      <c r="I204" s="38"/>
      <c r="J204" s="38"/>
      <c r="K204" s="38"/>
      <c r="L204" s="38"/>
      <c r="M204" s="38"/>
      <c r="O204" s="38"/>
      <c r="P204" s="38"/>
      <c r="Q204" s="38"/>
      <c r="R204" s="38"/>
      <c r="S204" s="38"/>
      <c r="T204" s="38"/>
    </row>
    <row r="205" spans="2:37" hidden="1" x14ac:dyDescent="0.3">
      <c r="N205" s="72"/>
      <c r="P205" s="27"/>
      <c r="Q205" s="27"/>
      <c r="R205" s="27"/>
      <c r="S205" s="91"/>
    </row>
    <row r="206" spans="2:37" x14ac:dyDescent="0.3">
      <c r="N206" s="72"/>
      <c r="O206" s="135" t="s">
        <v>1342</v>
      </c>
      <c r="P206" s="65" t="str">
        <f ca="1">IF(AND(AF14=2,OR(O11="monk",O11="barbarian",O11="warlock"),OR(Q11="fighter",Q11="rogue"),OR(P15&lt;&gt;"arcane trickster",R15&lt;&gt;"arcane trickster",P15&lt;&gt;"eldritch knight",R15&lt;&gt;"eldritch knight")),0,IF(AND(AF14=2,OR(O11="monk",O11="barbarian",O11="warlock"),OR(Q11="monk",Q11="barbarian",Q11="warlock")),0,IF(AND(AF14=2,OR(O11="monk",O11="barbarian",O11="warlock",Q11="monk",Q11="barbarian",Q11="warlock"),OR(O11="paladin",Q11="paladin",O11="ranger",Q11="ranger")),INDEX('Spell Tables'!H119:H138,MATCH(AF18,('Spell Tables'!B119:B138),0)),IF(AF14=2,INDEX('Spell Tables'!H242:H261,MATCH(AF18,('Spell Tables'!B242:B261),0)),IF(OR($O$11="bard",$O$11="cleric",$O$11="druid",O11="sorcerer",O11="wizard"),INDEX('Spell Tables'!H$2:H$21,MATCH($O$12,('Spell Tables'!$A$2:$A$21),0))," ")))))</f>
        <v xml:space="preserve"> </v>
      </c>
      <c r="Q206" s="65" t="str">
        <f ca="1">IF(AND(AF14=2,OR(O11="monk",O11="barbarian",O11="warlock"),OR(Q11="fighter",Q11="rogue"),OR(P15&lt;&gt;"arcane trickster",R15&lt;&gt;"arcane trickster",P15&lt;&gt;"eldritch knight",R15&lt;&gt;"eldritch knight")),0,IF(AND(AF14=2,OR(O11="monk",O11="barbarian",O11="warlock"),OR(Q11="monk",Q11="barbarian",Q11="warlock")),0,IF(AF14=2,INDEX('Spell Tables'!I242:I261,MATCH(AF18,('Spell Tables'!B242:B261),0)),IF(OR($O$11="bard",$O$11="cleric",$O$11="druid",O11="sorcerer",O11="wizard"),INDEX('Spell Tables'!I$2:I$21,MATCH($O$12,('Spell Tables'!$A$2:$A$21),0))," "))))</f>
        <v xml:space="preserve"> </v>
      </c>
      <c r="R206" s="65" t="str">
        <f ca="1">IF(AND(AF14=2,OR(O11="monk",O11="barbarian",O11="warlock"),OR(Q11="fighter",Q11="rogue"),OR(P15&lt;&gt;"arcane trickster",R15&lt;&gt;"arcane trickster",P15&lt;&gt;"eldritch knight",R15&lt;&gt;"eldritch knight")),0,IF(AND(AF14=2,OR(O11="monk",O11="barbarian",O11="warlock"),OR(Q11="monk",Q11="barbarian",Q11="warlock")),0,IF(AF14=2,INDEX('Spell Tables'!J242:J261,MATCH(AF18,('Spell Tables'!B242:B261),0)),IF(OR($O$11="bard",$O$11="cleric",$O$11="druid",O11="sorcerer",O11="wizard"),INDEX('Spell Tables'!J$2:J$21,MATCH($O$12,('Spell Tables'!$A$2:$A$21),0))," "))))</f>
        <v xml:space="preserve"> </v>
      </c>
      <c r="S206" s="65" t="str">
        <f ca="1">IF(AND(AF14=2,OR(O11="monk",O11="barbarian",O11="warlock"),OR(Q11="fighter",Q11="rogue"),OR(P15&lt;&gt;"arcane trickster",R15&lt;&gt;"arcane trickster",P15&lt;&gt;"eldritch knight",R15&lt;&gt;"eldritch knight")),0,IF(AND(AF14=2,OR(O11="monk",O11="barbarian",O11="warlock"),OR(Q11="monk",Q11="barbarian",Q11="warlock")),0,IF(AF14=2,INDEX('Spell Tables'!K242:K261,MATCH(AF18,('Spell Tables'!B242:B261),0)),IF(OR($O$11="bard",$O$11="cleric",$O$11="druid",O11="sorcerer",O11="wizard"),INDEX('Spell Tables'!K$2:K$21,MATCH($O$12,('Spell Tables'!$A$2:$A$21),0))," "))))</f>
        <v xml:space="preserve"> </v>
      </c>
      <c r="T206" s="66" t="str">
        <f ca="1">IF(AND(AF14=2,OR(O11="monk",O11="barbarian",O11="warlock"),OR(Q11="fighter",Q11="rogue"),OR(P15&lt;&gt;"arcane trickster",R15&lt;&gt;"arcane trickster",P15&lt;&gt;"eldritch knight",R15&lt;&gt;"eldritch knight")),0,IF(AND(AF14=2,OR(O11="monk",O11="barbarian",O11="warlock"),OR(Q11="monk",Q11="barbarian",Q11="warlock")),0,IF(AF14=2,INDEX('Spell Tables'!L242:L261,MATCH(AF18,('Spell Tables'!B242:B261),0)),IF(OR($O$11="bard",$O$11="cleric",$O$11="druid",O11="sorcerer",O11="wizard"),INDEX('Spell Tables'!L$2:L$21,MATCH($O$12,('Spell Tables'!$A$2:$A$21),0))," "))))</f>
        <v xml:space="preserve"> </v>
      </c>
    </row>
    <row r="207" spans="2:37" hidden="1" x14ac:dyDescent="0.3">
      <c r="N207" s="72"/>
      <c r="O207" s="79"/>
      <c r="P207" s="29" t="str">
        <f ca="1">IF(AND(O11="wizard",O12&gt;=11),"x",IF(AND($O$11="wizard",$O$12&gt;9),"xx",IF(AND(O11="wizard",O12=9),"xxx"," ")))</f>
        <v xml:space="preserve"> </v>
      </c>
      <c r="Q207" s="29" t="str">
        <f ca="1">IF(AND(O11="wizard",O12&gt;=13),"x",IF(AND($O$11="wizard",$O$12&gt;11),"xx",IF(AND(O11="wizard",O12=11),"xxx"," ")))</f>
        <v xml:space="preserve"> </v>
      </c>
      <c r="R207" s="29" t="str">
        <f ca="1">IF(AND(O11="wizard",O12&gt;=15),"x",IF(AND($O$11="wizard",$O$12&gt;13),"xx",IF(AND(O11="wizard",O12=13),"xxx"," ")))</f>
        <v xml:space="preserve"> </v>
      </c>
      <c r="S207" s="29" t="str">
        <f ca="1">IF(AND(O11="wizard",O12&gt;=17),"x",IF(AND($O$11="wizard",$O$12&gt;15),"xx",IF(AND(O11="wizard",O12=15),"xxx"," ")))</f>
        <v xml:space="preserve"> </v>
      </c>
      <c r="T207" s="72" t="str">
        <f ca="1">IF(AND($O$11="wizard",$O$12&gt;17),"xx",IF(AND(O11="wizard",O12=17),"xxx"," "))</f>
        <v xml:space="preserve"> </v>
      </c>
    </row>
    <row r="208" spans="2:37" hidden="1" x14ac:dyDescent="0.3">
      <c r="N208" s="72"/>
      <c r="O208" s="79"/>
      <c r="P208" s="29">
        <f ca="1">IF(P207="x",RANDBETWEEN(2,3),IF(P207="xx",RANDBETWEEN(2,3),IF(P207="xxx",RANDBETWEEN(1,2),0)))</f>
        <v>0</v>
      </c>
      <c r="Q208" s="29">
        <f ca="1">IF(Q207="x",RANDBETWEEN(2,3),IF(Q207="xx",RANDBETWEEN(2,3),IF(Q207="xxx",RANDBETWEEN(1,2),0)))</f>
        <v>0</v>
      </c>
      <c r="R208" s="29">
        <f ca="1">IF(R207="x",RANDBETWEEN(1,2),IF(R207="xx",RANDBETWEEN(1,2),IF(R207="xxx",RANDBETWEEN(1,2),0)))</f>
        <v>0</v>
      </c>
      <c r="S208" s="29">
        <f ca="1">IF(OR(S207="x",S207="xx"),RANDBETWEEN(1,2),IF(S207="xxx",RANDBETWEEN(1,2),0))</f>
        <v>0</v>
      </c>
      <c r="T208" s="72">
        <f ca="1">IF(T207="xx",RANDBETWEEN(1,2),IF(T207="xxx",RANDBETWEEN(1,2),0))</f>
        <v>0</v>
      </c>
    </row>
    <row r="209" spans="14:20" hidden="1" x14ac:dyDescent="0.3">
      <c r="N209" s="72"/>
      <c r="O209" s="79"/>
      <c r="P209" s="29" t="str">
        <f ca="1">IF(AND($O$11="warlock",$O$12&gt;=9),"xx"," ")</f>
        <v xml:space="preserve"> </v>
      </c>
      <c r="T209" s="72"/>
    </row>
    <row r="210" spans="14:20" hidden="1" x14ac:dyDescent="0.3">
      <c r="N210" s="72"/>
      <c r="O210" s="79"/>
      <c r="P210" s="29">
        <f ca="1">IF(P209="x",RANDBETWEEN(2,3),IF(P209="xx",RANDBETWEEN(2,3),0))</f>
        <v>0</v>
      </c>
      <c r="T210" s="72"/>
    </row>
    <row r="211" spans="14:20" hidden="1" x14ac:dyDescent="0.3">
      <c r="N211" s="72"/>
      <c r="O211" s="79"/>
      <c r="P211" s="29" t="str">
        <f ca="1">IF(AND($O$11="sorcerer",$O$12&gt;=11),"x",IF(AND($O$11="sorcerer",$O$12&gt;=9),"xx"," "))</f>
        <v xml:space="preserve"> </v>
      </c>
      <c r="Q211" s="29" t="str">
        <f ca="1">IF(AND($O$11="sorcerer",$O$12&gt;=13),"x",IF(AND($O$11="sorcerer",$O$12&gt;=11),"xx"," "))</f>
        <v xml:space="preserve"> </v>
      </c>
      <c r="R211" s="29" t="str">
        <f ca="1">IF(AND($O$11="sorcerer",$O$12&gt;=15),"x",IF(AND($O$11="sorcerer",$O$12&gt;=13),"xx"," "))</f>
        <v xml:space="preserve"> </v>
      </c>
      <c r="S211" s="29" t="str">
        <f ca="1">IF(AND($O$11="sorcerer",$O$12&gt;=17),"x",IF(AND($O$11="sorcerer",$O$12&gt;15),"xx"," "))</f>
        <v xml:space="preserve"> </v>
      </c>
      <c r="T211" s="72" t="str">
        <f ca="1">IF(AND($O$11="sorcerer",$O$12&gt;=17),"xx"," ")</f>
        <v xml:space="preserve"> </v>
      </c>
    </row>
    <row r="212" spans="14:20" hidden="1" x14ac:dyDescent="0.3">
      <c r="N212" s="72"/>
      <c r="O212" s="79"/>
      <c r="P212" s="29">
        <f ca="1">IF(P211="x",RANDBETWEEN(2,3),IF(P211="xx",RANDBETWEEN(2,3),0))</f>
        <v>0</v>
      </c>
      <c r="Q212" s="29">
        <f ca="1">IF(Q211="x",RANDBETWEEN(2,3),IF(Q211="xx",RANDBETWEEN(2,3),0))</f>
        <v>0</v>
      </c>
      <c r="R212" s="29">
        <f ca="1">IF(R211="x",RANDBETWEEN(1,2),IF(R211="xx",RANDBETWEEN(1,2),0))</f>
        <v>0</v>
      </c>
      <c r="S212" s="29">
        <f ca="1">IF(OR(S211="x",S211="xx"),RANDBETWEEN(1,2),0)</f>
        <v>0</v>
      </c>
      <c r="T212" s="72">
        <f ca="1">IF(T211="xx",RANDBETWEEN(1,2),0)</f>
        <v>0</v>
      </c>
    </row>
    <row r="213" spans="14:20" hidden="1" x14ac:dyDescent="0.3">
      <c r="N213" s="72"/>
      <c r="O213" s="79"/>
      <c r="T213" s="72"/>
    </row>
    <row r="214" spans="14:20" hidden="1" x14ac:dyDescent="0.3">
      <c r="N214" s="72"/>
      <c r="O214" s="79"/>
      <c r="T214" s="72"/>
    </row>
    <row r="215" spans="14:20" hidden="1" x14ac:dyDescent="0.3">
      <c r="N215" s="72"/>
      <c r="O215" s="79"/>
      <c r="P215" s="29" t="str">
        <f ca="1">IF(AND($O$11="ranger",$O$12&gt;=17),"xx"," ")</f>
        <v xml:space="preserve"> </v>
      </c>
      <c r="T215" s="72"/>
    </row>
    <row r="216" spans="14:20" hidden="1" x14ac:dyDescent="0.3">
      <c r="N216" s="72"/>
      <c r="O216" s="79"/>
      <c r="P216" s="29">
        <f ca="1">IF(P215="x",RANDBETWEEN(2,3),IF(P215="xx",RANDBETWEEN(2,3),0))</f>
        <v>0</v>
      </c>
      <c r="T216" s="72"/>
    </row>
    <row r="217" spans="14:20" hidden="1" x14ac:dyDescent="0.3">
      <c r="N217" s="72"/>
      <c r="O217" s="79"/>
      <c r="P217" s="29" t="str">
        <f ca="1">IF(AND(O11="paladin",O12&gt;=17),"xx"," ")</f>
        <v xml:space="preserve"> </v>
      </c>
      <c r="T217" s="72"/>
    </row>
    <row r="218" spans="14:20" hidden="1" x14ac:dyDescent="0.3">
      <c r="N218" s="72"/>
      <c r="O218" s="79"/>
      <c r="P218" s="29">
        <f ca="1">IF(P217="x",RANDBETWEEN(2,3),IF(P217="xx",RANDBETWEEN(2,3),0))</f>
        <v>0</v>
      </c>
      <c r="T218" s="72"/>
    </row>
    <row r="219" spans="14:20" hidden="1" x14ac:dyDescent="0.3">
      <c r="N219" s="72"/>
      <c r="O219" s="79"/>
      <c r="T219" s="72"/>
    </row>
    <row r="220" spans="14:20" hidden="1" x14ac:dyDescent="0.3">
      <c r="N220" s="72"/>
      <c r="O220" s="79"/>
      <c r="T220" s="72"/>
    </row>
    <row r="221" spans="14:20" hidden="1" x14ac:dyDescent="0.3">
      <c r="N221" s="72"/>
      <c r="O221" s="79"/>
      <c r="P221" s="29" t="str">
        <f ca="1">IF(AND($O$11="druid",$O$12&gt;=11),"x",IF(AND($O$11="druid",$O$12&gt;=9),"xx"," "))</f>
        <v xml:space="preserve"> </v>
      </c>
      <c r="Q221" s="29" t="str">
        <f ca="1">IF(AND($O$11="druid",$O$12&gt;=13),"x",IF(AND($O$11="druid",$O$12&gt;=11),"xx"," "))</f>
        <v xml:space="preserve"> </v>
      </c>
      <c r="R221" s="29" t="str">
        <f ca="1">IF(AND($O$11="druid",$O$12&gt;=15),"x",IF(AND($O$11="druid",$O$12&gt;=13),"xx"," "))</f>
        <v xml:space="preserve"> </v>
      </c>
      <c r="S221" s="29" t="str">
        <f ca="1">IF(AND($O$11="druid",$O$12&gt;=17),"x",IF(AND($O$11="druid",$O$12&gt;15),"xx"," "))</f>
        <v xml:space="preserve"> </v>
      </c>
      <c r="T221" s="72" t="str">
        <f ca="1">IF(AND($O$11="druid",$O$12&gt;=17),"xx"," ")</f>
        <v xml:space="preserve"> </v>
      </c>
    </row>
    <row r="222" spans="14:20" hidden="1" x14ac:dyDescent="0.3">
      <c r="N222" s="72"/>
      <c r="O222" s="79"/>
      <c r="P222" s="29">
        <f ca="1">IF(P221="x",RANDBETWEEN(2,3),IF(P221="xx",RANDBETWEEN(2,3),0))</f>
        <v>0</v>
      </c>
      <c r="Q222" s="29">
        <f ca="1">IF(Q221="x",RANDBETWEEN(2,3),IF(Q221="xx",RANDBETWEEN(2,3),0))</f>
        <v>0</v>
      </c>
      <c r="R222" s="29">
        <f ca="1">IF(R221="x",RANDBETWEEN(1,2),IF(R221="xx",RANDBETWEEN(1,2),0))</f>
        <v>0</v>
      </c>
      <c r="S222" s="29">
        <f ca="1">IF(OR(S221="x",S221="xx"),RANDBETWEEN(1,2),0)</f>
        <v>0</v>
      </c>
      <c r="T222" s="72">
        <f ca="1">IF(T221="xx",RANDBETWEEN(1,2),0)</f>
        <v>0</v>
      </c>
    </row>
    <row r="223" spans="14:20" hidden="1" x14ac:dyDescent="0.3">
      <c r="N223" s="72"/>
      <c r="O223" s="79"/>
      <c r="P223" s="29" t="str">
        <f ca="1">IF(AND(O11="cleric",O12&gt;=11),"x",IF(AND($O$11="cleric",$O$12&gt;=9),"xx"," "))</f>
        <v xml:space="preserve"> </v>
      </c>
      <c r="Q223" s="29" t="str">
        <f ca="1">IF(AND(O11="cleric",O12&gt;=13),"x",IF(AND($O$11="cleric",$O$12&gt;=11),"xx"," "))</f>
        <v xml:space="preserve"> </v>
      </c>
      <c r="R223" s="29" t="str">
        <f ca="1">IF(AND(O11="cleric",O12&gt;=15),"x",IF(AND($O$11="cleric",$O$12&gt;=13),"xx"," "))</f>
        <v xml:space="preserve"> </v>
      </c>
      <c r="S223" s="29" t="str">
        <f ca="1">IF(AND(O11="cleric",O12&gt;=17),"x",IF(AND($O$11="cleric",$O$12&gt;15),"xx"," "))</f>
        <v xml:space="preserve"> </v>
      </c>
      <c r="T223" s="72" t="str">
        <f ca="1">IF(AND($O$11="cleric",$O$12&gt;=17),"xx"," ")</f>
        <v xml:space="preserve"> </v>
      </c>
    </row>
    <row r="224" spans="14:20" hidden="1" x14ac:dyDescent="0.3">
      <c r="N224" s="72"/>
      <c r="O224" s="79"/>
      <c r="P224" s="29">
        <f ca="1">IF(P223="x",RANDBETWEEN(2,3),IF(P223="xx",RANDBETWEEN(2,3),0))</f>
        <v>0</v>
      </c>
      <c r="Q224" s="29">
        <f ca="1">IF(Q223="x",RANDBETWEEN(2,3),IF(Q223="xx",RANDBETWEEN(2,3),0))</f>
        <v>0</v>
      </c>
      <c r="R224" s="29">
        <f ca="1">IF(R223="x",RANDBETWEEN(1,2),IF(R223="xx",RANDBETWEEN(1,2),0))</f>
        <v>0</v>
      </c>
      <c r="S224" s="29">
        <f ca="1">IF(OR(S223="x",S223="xx"),RANDBETWEEN(1,2),0)</f>
        <v>0</v>
      </c>
      <c r="T224" s="72">
        <f ca="1">IF(T223="xx",RANDBETWEEN(1,2),0)</f>
        <v>0</v>
      </c>
    </row>
    <row r="225" spans="2:20" hidden="1" x14ac:dyDescent="0.3">
      <c r="N225" s="72"/>
      <c r="O225" s="79"/>
      <c r="P225" s="29" t="str">
        <f ca="1">IF(AND($O$11="bard",$O$12&gt;=11),"x",IF(AND($O$11="bard",$O$12&gt;=9),"xx"," "))</f>
        <v xml:space="preserve"> </v>
      </c>
      <c r="Q225" s="29" t="str">
        <f ca="1">IF(AND($O$11="bard",$O$12&gt;=13),"x",IF(AND($O$11="bard",$O$12&gt;=11),"xx"," "))</f>
        <v xml:space="preserve"> </v>
      </c>
      <c r="R225" s="29" t="str">
        <f ca="1">IF(AND($O$11="bard",$O$12&gt;=15),"x",IF(AND($O$11="bard",$O$12&gt;=13),"xx"," "))</f>
        <v xml:space="preserve"> </v>
      </c>
      <c r="S225" s="29" t="str">
        <f ca="1">IF(AND($O$11="bard",$O$12&gt;=17),"x",IF(AND($O$11="bard",$O$12&gt;15),"xx"," "))</f>
        <v xml:space="preserve"> </v>
      </c>
      <c r="T225" s="72" t="str">
        <f ca="1">IF(AND($O$11="bard",$O$12&gt;=17),"xx"," ")</f>
        <v xml:space="preserve"> </v>
      </c>
    </row>
    <row r="226" spans="2:20" hidden="1" x14ac:dyDescent="0.3">
      <c r="N226" s="72"/>
      <c r="O226" s="79"/>
      <c r="P226" s="29">
        <f ca="1">IF(P225="x",RANDBETWEEN(2,3),IF(P225="xx",RANDBETWEEN(2,3),0))</f>
        <v>0</v>
      </c>
      <c r="Q226" s="29">
        <f ca="1">IF(Q225="x",RANDBETWEEN(2,3),IF(Q225="xx",RANDBETWEEN(2,3),0))</f>
        <v>0</v>
      </c>
      <c r="R226" s="29">
        <f ca="1">IF(R225="x",RANDBETWEEN(1,2),IF(R225="xx",RANDBETWEEN(1,2),0))</f>
        <v>0</v>
      </c>
      <c r="S226" s="29">
        <f ca="1">IF(OR(S225="x",S225="xx"),RANDBETWEEN(1,2),0)</f>
        <v>0</v>
      </c>
      <c r="T226" s="72">
        <f ca="1">IF(T225="xx",RANDBETWEEN(1,2),0)</f>
        <v>0</v>
      </c>
    </row>
    <row r="227" spans="2:20" x14ac:dyDescent="0.3">
      <c r="N227" s="72"/>
      <c r="O227" s="79"/>
      <c r="P227" s="107" t="s">
        <v>1169</v>
      </c>
      <c r="Q227" s="107" t="s">
        <v>1170</v>
      </c>
      <c r="R227" s="107" t="s">
        <v>1171</v>
      </c>
      <c r="S227" s="107" t="s">
        <v>677</v>
      </c>
      <c r="T227" s="93" t="s">
        <v>1172</v>
      </c>
    </row>
    <row r="228" spans="2:20" x14ac:dyDescent="0.3">
      <c r="N228" s="72"/>
      <c r="O228" s="86">
        <v>1</v>
      </c>
      <c r="P228" s="65" t="str">
        <f ca="1">IF(AND($O$15="Otherworldly patron - great old one",P$210&gt;=O193),INDEX('Spell Tables'!$AJ$226:$AJ$231,MATCH(O193,('Spell Tables'!$AH$226:$AH$231),0)),IF(AND($O$15="Otherworldly patron - fiend",P$210&gt;=O193),INDEX('Spell Tables'!$AJ$210:$AJ$215,MATCH(O193,('Spell Tables'!$AH$210:$AH$215),0)),IF(AND($O$15="Otherworldly patron - archfey",P$210&gt;=O193),INDEX('Spell Tables'!$AJ$194:$AJ$199,MATCH(O193,('Spell Tables'!$AH$194:$AH$199),0)),IF($P$208&gt;=O193,INDEX($AL$92:$AL$101,MATCH(O193,($AJ$92:$AJ$101),0)),IF($P$212&gt;=O193,INDEX('Spell Tables'!$AJ$168:$AJ$178,MATCH(O193,('Spell Tables'!$AH$168:$AH$178),0)),IF($P$216&gt;=O193,INDEX('Spell Tables'!$AF$119:$AF$122,MATCH(O193,('Spell Tables'!$AD$119:$AD$122),0)),IF($P$218&gt;=O193,INDEX('Spell Tables'!$AF$97:$AF$102,MATCH(O193,('Spell Tables'!$AD$97:$AD$102),0)),IF($P$222&gt;=O193,INDEX('Spell Tables'!$AJ$48:$AJ$61,MATCH(O193,('Spell Tables'!$AH$48:$AH$61),0)),IF($P$224&gt;=O193,INDEX('Spell Tables'!$AJ$26:$AJ$38,MATCH(O193,('Spell Tables'!$AH$26:$AH$38),0)),IF($P$226&gt;=O193,INDEX('Spell Tables'!$AJ$2:$AJ$17,MATCH(O193,('Spell Tables'!$AH$2:$AH$17),0))," "))))))))))</f>
        <v xml:space="preserve"> </v>
      </c>
      <c r="Q228" s="65" t="str">
        <f ca="1">IF($Q$208&gt;=O193,INDEX($AL$104:$AL$113,MATCH(O193,($AJ$104:$AJ$113),0)),IF($Q$212&gt;=O193,INDEX('Spell Tables'!$AN$168:$AN$177,MATCH(O193,('Spell Tables'!$AL$168:$AL$177),0)),IF($Q$222&gt;=O193,INDEX('Spell Tables'!$AN$48:$AN$56,MATCH(O193,('Spell Tables'!$AL$48:$AL$56),0)),IF($Q$224&gt;=O193,INDEX('Spell Tables'!$AN$26:$AN$35,MATCH(O193,('Spell Tables'!$AL$26:$AL$35),0)),IF($Q$226&gt;=O193,INDEX('Spell Tables'!$AN$2:$AN$8,MATCH(O193,('Spell Tables'!$AL$2:$AL$8),0))," ")))))</f>
        <v xml:space="preserve"> </v>
      </c>
      <c r="R228" s="65" t="str">
        <f ca="1">IF($R$208&gt;=O193,INDEX($AL$116:$AL$125,MATCH(O193,($AJ$116:$AJ$125),0)),IF($R$212&gt;=O193,INDEX('Spell Tables'!$AR$168:$AR$175,MATCH(O193,('Spell Tables'!$AP$168:$AP$175),0)),IF($R$222&gt;=O193,INDEX('Spell Tables'!$AR$48:$AR$52,MATCH(O193,('Spell Tables'!$AP$48:$AP$52),0)),IF($R$224&gt;=O193,INDEX('Spell Tables'!$AR$26:$AR$33,MATCH(O193,('Spell Tables'!$AP$26:$AP$33),0)),IF($R$226&gt;=O193,INDEX('Spell Tables'!$AR$2:$AR$11,MATCH(O193,('Spell Tables'!$AL$2:$AL$11),0))," ")))))</f>
        <v xml:space="preserve"> </v>
      </c>
      <c r="S228" s="65" t="str">
        <f ca="1">IF($S$208&gt;=O193,INDEX($AL$128:$AL$137,MATCH(O193,($AJ$128:$AJ$137),0)),IF($S$212&gt;=O193,INDEX('Spell Tables'!$AV$168:$AV$172,MATCH(O193,('Spell Tables'!$AT$168:$AT$172),0)),IF($S$222&gt;=O193,INDEX('Spell Tables'!$AV$48:$AV$54,MATCH(O193,('Spell Tables'!$AT$48:$AT$54),0)),IF($S$224&gt;=O193,INDEX('Spell Tables'!$AV$26:$AV$29,MATCH(O193,('Spell Tables'!$AT$26:$AT$29),0)),IF($S$226&gt;=O193,INDEX('Spell Tables'!$AV$2:$AV$6,MATCH(O193,('Spell Tables'!$AT$2:$AT$6),0))," ")))))</f>
        <v xml:space="preserve"> </v>
      </c>
      <c r="T228" s="66" t="str">
        <f ca="1">IF($T$222&gt;=O193,INDEX('Spell Tables'!$AZ$48:$AZ$51,MATCH(O193,('Spell Tables'!$AX$48:$AX$51),0)),IF($T$208&gt;=O193,INDEX($AL$140:$AL$149,MATCH(O193,($AJ$140:$AJ$149),0)),IF($T$212&gt;=O193,INDEX('Spell Tables'!$AZ$168:$AZ$172,MATCH(O193,('Spell Tables'!$AX$168:$AX$172),0)),IF($T$224&gt;=O193,INDEX('Spell Tables'!$AZ$26:$AZ$29,MATCH(O193,('Spell Tables'!$AX$26:$AX$29),0)),IF($T$226&gt;=O193,INDEX('Spell Tables'!$AZ$2:$AZ$5,MATCH(O193,('Spell Tables'!$AX$2:$AX$5),0))," ")))))</f>
        <v xml:space="preserve"> </v>
      </c>
    </row>
    <row r="229" spans="2:20" x14ac:dyDescent="0.3">
      <c r="N229" s="72"/>
      <c r="O229" s="133">
        <v>2</v>
      </c>
      <c r="P229" s="60" t="str">
        <f ca="1">IF(AND($O$15="Otherworldly patron - great old one",P$210&gt;=O194),INDEX('Spell Tables'!$AJ$226:$AJ$231,MATCH(O194,('Spell Tables'!$AH$226:$AH$231),0)),IF(AND($O$15="Otherworldly patron - fiend",P$210&gt;=O194),INDEX('Spell Tables'!$AJ$210:$AJ$215,MATCH(O194,('Spell Tables'!$AH$210:$AH$215),0)),IF(AND($O$15="Otherworldly patron - archfey",P$210&gt;=O194),INDEX('Spell Tables'!$AJ$194:$AJ$199,MATCH(O194,('Spell Tables'!$AH$194:$AH$199),0)),IF($P$208&gt;=O194,INDEX($AL$92:$AL$101,MATCH(O194,($AJ$92:$AJ$101),0)),IF($P$212&gt;=O194,INDEX('Spell Tables'!$AJ$168:$AJ$178,MATCH(O194,('Spell Tables'!$AH$168:$AH$178),0)),IF($P$216&gt;=O194,INDEX('Spell Tables'!$AF$119:$AF$122,MATCH(O194,('Spell Tables'!$AD$119:$AD$122),0)),IF($P$218&gt;=O194,INDEX('Spell Tables'!$AF$97:$AF$102,MATCH(O194,('Spell Tables'!$AD$97:$AD$102),0)),IF($P$222&gt;=O194,INDEX('Spell Tables'!$AJ$48:$AJ$61,MATCH(O194,('Spell Tables'!$AH$48:$AH$61),0)),IF($P$224&gt;=O194,INDEX('Spell Tables'!$AJ$26:$AJ$38,MATCH(O194,('Spell Tables'!$AH$26:$AH$38),0)),IF($P$226&gt;=O194,INDEX('Spell Tables'!$AJ$2:$AJ$17,MATCH(O194,('Spell Tables'!$AH$2:$AH$17),0))," "))))))))))</f>
        <v xml:space="preserve"> </v>
      </c>
      <c r="Q229" s="60" t="str">
        <f ca="1">IF($Q$208&gt;=O194,INDEX($AL$104:$AL$113,MATCH(O194,($AJ$104:$AJ$113),0)),IF($Q$212&gt;=O194,INDEX('Spell Tables'!$AN$168:$AN$177,MATCH(O194,('Spell Tables'!$AL$168:$AL$177),0)),IF($Q$222&gt;=O194,INDEX('Spell Tables'!$AN$48:$AN$56,MATCH(O194,('Spell Tables'!$AL$48:$AL$56),0)),IF($Q$224&gt;=O194,INDEX('Spell Tables'!$AN$26:$AN$35,MATCH(O194,('Spell Tables'!$AL$26:$AL$35),0)),IF($Q$226&gt;=O194,INDEX('Spell Tables'!$AN$2:$AN$8,MATCH(O194,('Spell Tables'!$AL$2:$AL$8),0))," ")))))</f>
        <v xml:space="preserve"> </v>
      </c>
      <c r="R229" s="60" t="str">
        <f ca="1">IF($R$208&gt;=O194,INDEX($AL$116:$AL$125,MATCH(O194,($AJ$116:$AJ$125),0)),IF($R$212&gt;=O194,INDEX('Spell Tables'!$AR$168:$AR$175,MATCH(O194,('Spell Tables'!$AP$168:$AP$175),0)),IF($R$222&gt;=O194,INDEX('Spell Tables'!$AR$48:$AR$52,MATCH(O194,('Spell Tables'!$AP$48:$AP$52),0)),IF($R$224&gt;=O194,INDEX('Spell Tables'!$AR$26:$AR$33,MATCH(O194,('Spell Tables'!$AP$26:$AP$33),0)),IF($R$226&gt;=O194,INDEX('Spell Tables'!$AR$2:$AR$11,MATCH(O194,('Spell Tables'!$AL$2:$AL$11),0))," ")))))</f>
        <v xml:space="preserve"> </v>
      </c>
      <c r="S229" s="60" t="str">
        <f ca="1">IF($S$208&gt;=O194,INDEX($AL$128:$AL$137,MATCH(O194,($AJ$128:$AJ$137),0)),IF($S$212&gt;=O194,INDEX('Spell Tables'!$AV$168:$AV$172,MATCH(O194,('Spell Tables'!$AT$168:$AT$172),0)),IF($S$222&gt;=O194,INDEX('Spell Tables'!$AV$48:$AV$54,MATCH(O194,('Spell Tables'!$AT$48:$AT$54),0)),IF($S$224&gt;=O194,INDEX('Spell Tables'!$AV$26:$AV$29,MATCH(O194,('Spell Tables'!$AT$26:$AT$29),0)),IF($S$226&gt;=O194,INDEX('Spell Tables'!$AV$2:$AV$6,MATCH(O194,('Spell Tables'!$AT$2:$AT$6),0))," ")))))</f>
        <v xml:space="preserve"> </v>
      </c>
      <c r="T229" s="63" t="str">
        <f ca="1">IF($T$222&gt;=O194,INDEX('Spell Tables'!$AZ$48:$AZ$51,MATCH(O194,('Spell Tables'!$AX$48:$AX$51),0)),IF($T$208&gt;=O194,INDEX($AL$140:$AL$149,MATCH(O194,($AJ$140:$AJ$149),0)),IF($T$212&gt;=O194,INDEX('Spell Tables'!$AZ$168:$AZ$172,MATCH(O194,('Spell Tables'!$AX$168:$AX$172),0)),IF($T$224&gt;=O194,INDEX('Spell Tables'!$AZ$26:$AZ$29,MATCH(O194,('Spell Tables'!$AX$26:$AX$29),0)),IF($T$226&gt;=O194,INDEX('Spell Tables'!$AZ$2:$AZ$5,MATCH(O194,('Spell Tables'!$AX$2:$AX$5),0))," ")))))</f>
        <v xml:space="preserve"> </v>
      </c>
    </row>
    <row r="230" spans="2:20" x14ac:dyDescent="0.3">
      <c r="N230" s="72"/>
      <c r="O230" s="86">
        <v>3</v>
      </c>
      <c r="P230" s="65" t="str">
        <f ca="1">IF(AND($O$15="Otherworldly patron - great old one",P$210&gt;=O195),INDEX('Spell Tables'!$AJ$226:$AJ$231,MATCH(O195,('Spell Tables'!$AH$226:$AH$231),0)),IF(AND($O$15="Otherworldly patron - fiend",P$210&gt;=O195),INDEX('Spell Tables'!$AJ$210:$AJ$215,MATCH(O195,('Spell Tables'!$AH$210:$AH$215),0)),IF(AND($O$15="Otherworldly patron - archfey",P$210&gt;=O195),INDEX('Spell Tables'!$AJ$194:$AJ$199,MATCH(O195,('Spell Tables'!$AH$194:$AH$199),0)),IF($P$208&gt;=O195,INDEX($AL$92:$AL$101,MATCH(O195,($AJ$92:$AJ$101),0)),IF($P$212&gt;=O195,INDEX('Spell Tables'!$AJ$168:$AJ$178,MATCH(O195,('Spell Tables'!$AH$168:$AH$178),0)),IF($P$216&gt;=O195,INDEX('Spell Tables'!$AF$119:$AF$122,MATCH(O195,('Spell Tables'!$AD$119:$AD$122),0)),IF($P$218&gt;=O195,INDEX('Spell Tables'!$AF$97:$AF$102,MATCH(O195,('Spell Tables'!$AD$97:$AD$102),0)),IF($P$222&gt;=O195,INDEX('Spell Tables'!$AJ$48:$AJ$61,MATCH(O195,('Spell Tables'!$AH$48:$AH$61),0)),IF($P$224&gt;=O195,INDEX('Spell Tables'!$AJ$26:$AJ$38,MATCH(O195,('Spell Tables'!$AH$26:$AH$38),0)),IF($P$226&gt;=O195,INDEX('Spell Tables'!$AJ$2:$AJ$17,MATCH(O195,('Spell Tables'!$AH$2:$AH$17),0))," "))))))))))</f>
        <v xml:space="preserve"> </v>
      </c>
      <c r="Q230" s="65" t="str">
        <f ca="1">IF($Q$208&gt;=O195,INDEX($AL$104:$AL$113,MATCH(O195,($AJ$104:$AJ$113),0)),IF($Q$212&gt;=O195,INDEX('Spell Tables'!$AN$168:$AN$177,MATCH(O195,('Spell Tables'!$AL$168:$AL$177),0)),IF($Q$222&gt;=O195,INDEX('Spell Tables'!$AN$48:$AN$56,MATCH(O195,('Spell Tables'!$AL$48:$AL$56),0)),IF($Q$224&gt;=O195,INDEX('Spell Tables'!$AN$26:$AN$35,MATCH(O195,('Spell Tables'!$AL$26:$AL$35),0)),IF($Q$226&gt;=O195,INDEX('Spell Tables'!$AN$2:$AN$8,MATCH(O195,('Spell Tables'!$AL$2:$AL$8),0))," ")))))</f>
        <v xml:space="preserve"> </v>
      </c>
      <c r="R230" s="65" t="str">
        <f ca="1">IF($R$208&gt;=O195,INDEX($AL$116:$AL$125,MATCH(O195,($AJ$116:$AJ$125),0)),IF($R$212&gt;=O195,INDEX('Spell Tables'!$AR$168:$AR$175,MATCH(O195,('Spell Tables'!$AP$168:$AP$175),0)),IF($R$222&gt;=O195,INDEX('Spell Tables'!$AR$48:$AR$52,MATCH(O195,('Spell Tables'!$AP$48:$AP$52),0)),IF($R$224&gt;=O195,INDEX('Spell Tables'!$AR$26:$AR$33,MATCH(O195,('Spell Tables'!$AP$26:$AP$33),0)),IF($R$226&gt;=O195,INDEX('Spell Tables'!$AR$2:$AR$11,MATCH(O195,('Spell Tables'!$AL$2:$AL$11),0))," ")))))</f>
        <v xml:space="preserve"> </v>
      </c>
      <c r="S230" s="65" t="str">
        <f ca="1">IF($S$208&gt;=O195,INDEX($AL$128:$AL$137,MATCH(O195,($AJ$128:$AJ$137),0)),IF($S$212&gt;=O195,INDEX('Spell Tables'!$AV$168:$AV$172,MATCH(O195,('Spell Tables'!$AT$168:$AT$172),0)),IF($S$222&gt;=O195,INDEX('Spell Tables'!$AV$48:$AV$54,MATCH(O195,('Spell Tables'!$AT$48:$AT$54),0)),IF($S$224&gt;=O195,INDEX('Spell Tables'!$AV$26:$AV$29,MATCH(O195,('Spell Tables'!$AT$26:$AT$29),0)),IF($S$226&gt;=O195,INDEX('Spell Tables'!$AV$2:$AV$6,MATCH(O195,('Spell Tables'!$AT$2:$AT$6),0))," ")))))</f>
        <v xml:space="preserve"> </v>
      </c>
      <c r="T230" s="66" t="str">
        <f ca="1">IF($T$222&gt;=O195,INDEX('Spell Tables'!$AZ$48:$AZ$51,MATCH(O195,('Spell Tables'!$AX$48:$AX$51),0)),IF($T$208&gt;=O195,INDEX($AL$140:$AL$149,MATCH(O195,($AJ$140:$AJ$149),0)),IF($T$212&gt;=O195,INDEX('Spell Tables'!$AZ$168:$AZ$172,MATCH(O195,('Spell Tables'!$AX$168:$AX$172),0)),IF($T$224&gt;=O195,INDEX('Spell Tables'!$AZ$26:$AZ$29,MATCH(O195,('Spell Tables'!$AX$26:$AX$29),0)),IF($T$226&gt;=O195,INDEX('Spell Tables'!$AZ$2:$AZ$5,MATCH(O195,('Spell Tables'!$AX$2:$AX$5),0))," ")))))</f>
        <v xml:space="preserve"> </v>
      </c>
    </row>
    <row r="231" spans="2:20" x14ac:dyDescent="0.3">
      <c r="N231" s="72"/>
      <c r="O231" s="133">
        <v>4</v>
      </c>
      <c r="P231" s="60" t="str">
        <f ca="1">IF(AND($O$15="Otherworldly patron - great old one",P$210&gt;=O196),INDEX('Spell Tables'!$AJ$226:$AJ$231,MATCH(O196,('Spell Tables'!$AH$226:$AH$231),0)),IF(AND($O$15="Otherworldly patron - fiend",P$210&gt;=O196),INDEX('Spell Tables'!$AJ$210:$AJ$215,MATCH(O196,('Spell Tables'!$AH$210:$AH$215),0)),IF(AND($O$15="Otherworldly patron - archfey",P$210&gt;=O196),INDEX('Spell Tables'!$AJ$194:$AJ$199,MATCH(O196,('Spell Tables'!$AH$194:$AH$199),0)),IF($P$208&gt;=O196,INDEX($AL$92:$AL$101,MATCH(O196,($AJ$92:$AJ$101),0)),IF($P$212&gt;=O196,INDEX('Spell Tables'!$AJ$168:$AJ$178,MATCH(O196,('Spell Tables'!$AH$168:$AH$178),0)),IF($P$216&gt;=O196,INDEX('Spell Tables'!$AF$119:$AF$122,MATCH(O196,('Spell Tables'!$AD$119:$AD$122),0)),IF($P$218&gt;=O196,INDEX('Spell Tables'!$AF$97:$AF$102,MATCH(O196,('Spell Tables'!$AD$97:$AD$102),0)),IF($P$222&gt;=O196,INDEX('Spell Tables'!$AJ$48:$AJ$61,MATCH(O196,('Spell Tables'!$AH$48:$AH$61),0)),IF($P$224&gt;=O196,INDEX('Spell Tables'!$AJ$26:$AJ$38,MATCH(O196,('Spell Tables'!$AH$26:$AH$38),0)),IF($P$226&gt;=O196,INDEX('Spell Tables'!$AJ$2:$AJ$17,MATCH(O196,('Spell Tables'!$AH$2:$AH$17),0))," "))))))))))</f>
        <v xml:space="preserve"> </v>
      </c>
      <c r="Q231" s="60" t="str">
        <f ca="1">IF($Q$208&gt;=O196,INDEX($AL$104:$AL$113,MATCH(O196,($AJ$104:$AJ$113),0)),IF($Q$212&gt;=O196,INDEX('Spell Tables'!$AN$168:$AN$177,MATCH(O196,('Spell Tables'!$AL$168:$AL$177),0)),IF($Q$222&gt;=O196,INDEX('Spell Tables'!$AN$48:$AN$56,MATCH(O196,('Spell Tables'!$AL$48:$AL$56),0)),IF($Q$224&gt;=O196,INDEX('Spell Tables'!$AN$26:$AN$35,MATCH(O196,('Spell Tables'!$AL$26:$AL$35),0)),IF($Q$226&gt;=O196,INDEX('Spell Tables'!$AN$2:$AN$8,MATCH(O196,('Spell Tables'!$AL$2:$AL$8),0))," ")))))</f>
        <v xml:space="preserve"> </v>
      </c>
      <c r="R231" s="60" t="str">
        <f ca="1">IF($R$208&gt;=O196,INDEX($AL$116:$AL$125,MATCH(O196,($AJ$116:$AJ$125),0)),IF($R$212&gt;=O196,INDEX('Spell Tables'!$AR$168:$AR$175,MATCH(O196,('Spell Tables'!$AP$168:$AP$175),0)),IF($R$222&gt;=O196,INDEX('Spell Tables'!$AR$48:$AR$52,MATCH(O196,('Spell Tables'!$AP$48:$AP$52),0)),IF($R$224&gt;=O196,INDEX('Spell Tables'!$AR$26:$AR$33,MATCH(O196,('Spell Tables'!$AP$26:$AP$33),0)),IF($R$226&gt;=O196,INDEX('Spell Tables'!$AR$2:$AR$11,MATCH(O196,('Spell Tables'!$AL$2:$AL$11),0))," ")))))</f>
        <v xml:space="preserve"> </v>
      </c>
      <c r="S231" s="60" t="str">
        <f ca="1">IF($S$208&gt;=O196,INDEX($AL$128:$AL$137,MATCH(O196,($AJ$128:$AJ$137),0)),IF($S$212&gt;=O196,INDEX('Spell Tables'!$AV$168:$AV$172,MATCH(O196,('Spell Tables'!$AT$168:$AT$172),0)),IF($S$222&gt;=O196,INDEX('Spell Tables'!$AV$48:$AV$54,MATCH(O196,('Spell Tables'!$AT$48:$AT$54),0)),IF($S$224&gt;=O196,INDEX('Spell Tables'!$AV$26:$AV$29,MATCH(O196,('Spell Tables'!$AT$26:$AT$29),0)),IF($S$226&gt;=O196,INDEX('Spell Tables'!$AV$2:$AV$6,MATCH(O196,('Spell Tables'!$AT$2:$AT$6),0))," ")))))</f>
        <v xml:space="preserve"> </v>
      </c>
      <c r="T231" s="63" t="str">
        <f ca="1">IF($T$222&gt;=O196,INDEX('Spell Tables'!$AZ$48:$AZ$51,MATCH(O196,('Spell Tables'!$AX$48:$AX$51),0)),IF($T$208&gt;=O196,INDEX($AL$140:$AL$149,MATCH(O196,($AJ$140:$AJ$149),0)),IF($T$212&gt;=O196,INDEX('Spell Tables'!$AZ$168:$AZ$172,MATCH(O196,('Spell Tables'!$AX$168:$AX$172),0)),IF($T$224&gt;=O196,INDEX('Spell Tables'!$AZ$26:$AZ$29,MATCH(O196,('Spell Tables'!$AX$26:$AX$29),0)),IF($T$226&gt;=O196,INDEX('Spell Tables'!$AZ$2:$AZ$5,MATCH(O196,('Spell Tables'!$AX$2:$AX$5),0))," ")))))</f>
        <v xml:space="preserve"> </v>
      </c>
    </row>
    <row r="232" spans="2:20" x14ac:dyDescent="0.3">
      <c r="N232" s="72"/>
      <c r="O232" s="86">
        <v>5</v>
      </c>
      <c r="P232" s="65" t="str">
        <f ca="1">IF(AND($O$15="Otherworldly patron - great old one",P$210&gt;=O197),INDEX('Spell Tables'!$AJ$226:$AJ$231,MATCH(O197,('Spell Tables'!$AH$226:$AH$231),0)),IF(AND($O$15="Otherworldly patron - fiend",P$210&gt;=O197),INDEX('Spell Tables'!$AJ$210:$AJ$215,MATCH(O197,('Spell Tables'!$AH$210:$AH$215),0)),IF(AND($O$15="Otherworldly patron - archfey",P$210&gt;=O197),INDEX('Spell Tables'!$AJ$194:$AJ$199,MATCH(O197,('Spell Tables'!$AH$194:$AH$199),0)),IF($P$208&gt;=O197,INDEX($AL$92:$AL$101,MATCH(O197,($AJ$92:$AJ$101),0)),IF($P$212&gt;=O197,INDEX('Spell Tables'!$AJ$168:$AJ$178,MATCH(O197,('Spell Tables'!$AH$168:$AH$178),0)),IF($P$216&gt;=O197,INDEX('Spell Tables'!$AF$119:$AF$122,MATCH(O197,('Spell Tables'!$AD$119:$AD$122),0)),IF($P$218&gt;=O197,INDEX('Spell Tables'!$AF$97:$AF$102,MATCH(O197,('Spell Tables'!$AD$97:$AD$102),0)),IF($P$222&gt;=O197,INDEX('Spell Tables'!$AJ$48:$AJ$61,MATCH(O197,('Spell Tables'!$AH$48:$AH$61),0)),IF($P$224&gt;=O197,INDEX('Spell Tables'!$AJ$26:$AJ$38,MATCH(O197,('Spell Tables'!$AH$26:$AH$38),0)),IF($P$226&gt;=O197,INDEX('Spell Tables'!$AJ$2:$AJ$17,MATCH(O197,('Spell Tables'!$AH$2:$AH$17),0))," "))))))))))</f>
        <v xml:space="preserve"> </v>
      </c>
      <c r="Q232" s="65" t="str">
        <f ca="1">IF($Q$208&gt;=O197,INDEX($AL$104:$AL$113,MATCH(O197,($AJ$104:$AJ$113),0)),IF($Q$212&gt;=O197,INDEX('Spell Tables'!$AN$168:$AN$177,MATCH(O197,('Spell Tables'!$AL$168:$AL$177),0)),IF($Q$222&gt;=O197,INDEX('Spell Tables'!$AN$48:$AN$56,MATCH(O197,('Spell Tables'!$AL$48:$AL$56),0)),IF($Q$224&gt;=O197,INDEX('Spell Tables'!$AN$26:$AN$35,MATCH(O197,('Spell Tables'!$AL$26:$AL$35),0)),IF($Q$226&gt;=O197,INDEX('Spell Tables'!$AN$2:$AN$8,MATCH(O197,('Spell Tables'!$AL$2:$AL$8),0))," ")))))</f>
        <v xml:space="preserve"> </v>
      </c>
      <c r="R232" s="65" t="str">
        <f ca="1">IF($R$208&gt;=O197,INDEX($AL$116:$AL$125,MATCH(O197,($AJ$116:$AJ$125),0)),IF($R$212&gt;=O197,INDEX('Spell Tables'!$AR$168:$AR$175,MATCH(O197,('Spell Tables'!$AP$168:$AP$175),0)),IF($R$222&gt;=O197,INDEX('Spell Tables'!$AR$48:$AR$52,MATCH(O197,('Spell Tables'!$AP$48:$AP$52),0)),IF($R$224&gt;=O197,INDEX('Spell Tables'!$AR$26:$AR$33,MATCH(O197,('Spell Tables'!$AP$26:$AP$33),0)),IF($R$226&gt;=O197,INDEX('Spell Tables'!$AR$2:$AR$11,MATCH(O197,('Spell Tables'!$AL$2:$AL$11),0))," ")))))</f>
        <v xml:space="preserve"> </v>
      </c>
      <c r="S232" s="65" t="str">
        <f ca="1">IF($S$208&gt;=O197,INDEX($AL$128:$AL$137,MATCH(O197,($AJ$128:$AJ$137),0)),IF($S$212&gt;=O197,INDEX('Spell Tables'!$AV$168:$AV$172,MATCH(O197,('Spell Tables'!$AT$168:$AT$172),0)),IF($S$222&gt;=O197,INDEX('Spell Tables'!$AV$48:$AV$54,MATCH(O197,('Spell Tables'!$AT$48:$AT$54),0)),IF($S$224&gt;=O197,INDEX('Spell Tables'!$AV$26:$AV$29,MATCH(O197,('Spell Tables'!$AT$26:$AT$29),0)),IF($S$226&gt;=O197,INDEX('Spell Tables'!$AV$2:$AV$6,MATCH(O197,('Spell Tables'!$AT$2:$AT$6),0))," ")))))</f>
        <v xml:space="preserve"> </v>
      </c>
      <c r="T232" s="66" t="str">
        <f ca="1">IF($T$222&gt;=O197,INDEX('Spell Tables'!$AZ$48:$AZ$51,MATCH(O197,('Spell Tables'!$AX$48:$AX$51),0)),IF($T$208&gt;=O197,INDEX($AL$140:$AL$149,MATCH(O197,($AJ$140:$AJ$149),0)),IF($T$212&gt;=O197,INDEX('Spell Tables'!$AZ$168:$AZ$172,MATCH(O197,('Spell Tables'!$AX$168:$AX$172),0)),IF($T$224&gt;=O197,INDEX('Spell Tables'!$AZ$26:$AZ$29,MATCH(O197,('Spell Tables'!$AX$26:$AX$29),0)),IF($T$226&gt;=O197,INDEX('Spell Tables'!$AZ$2:$AZ$5,MATCH(O197,('Spell Tables'!$AX$2:$AX$5),0))," ")))))</f>
        <v xml:space="preserve"> </v>
      </c>
    </row>
    <row r="233" spans="2:20" x14ac:dyDescent="0.3">
      <c r="N233" s="72"/>
      <c r="O233" s="133">
        <v>6</v>
      </c>
      <c r="P233" s="60" t="str">
        <f ca="1">IF(AND($O$15="Otherworldly patron - great old one",P$210&gt;=O198),INDEX('Spell Tables'!$AJ$226:$AJ$231,MATCH(O198,('Spell Tables'!$AH$226:$AH$231),0)),IF(AND($O$15="Otherworldly patron - fiend",P$210&gt;=O198),INDEX('Spell Tables'!$AJ$210:$AJ$215,MATCH(O198,('Spell Tables'!$AH$210:$AH$215),0)),IF(AND($O$15="Otherworldly patron - archfey",P$210&gt;=O198),INDEX('Spell Tables'!$AJ$194:$AJ$199,MATCH(O198,('Spell Tables'!$AH$194:$AH$199),0)),IF($P$208&gt;=O198,INDEX($AL$92:$AL$101,MATCH(O198,($AJ$92:$AJ$101),0)),IF($P$212&gt;=O198,INDEX('Spell Tables'!$AJ$168:$AJ$178,MATCH(O198,('Spell Tables'!$AH$168:$AH$178),0)),IF($P$216&gt;=O198,INDEX('Spell Tables'!$AF$119:$AF$122,MATCH(O198,('Spell Tables'!$AD$119:$AD$122),0)),IF($P$218&gt;=O198,INDEX('Spell Tables'!$AF$97:$AF$102,MATCH(O198,('Spell Tables'!$AD$97:$AD$102),0)),IF($P$222&gt;=O198,INDEX('Spell Tables'!$AJ$48:$AJ$61,MATCH(O198,('Spell Tables'!$AH$48:$AH$61),0)),IF($P$224&gt;=O198,INDEX('Spell Tables'!$AJ$26:$AJ$38,MATCH(O198,('Spell Tables'!$AH$26:$AH$38),0)),IF($P$226&gt;=O198,INDEX('Spell Tables'!$AJ$2:$AJ$17,MATCH(O198,('Spell Tables'!$AH$2:$AH$17),0))," "))))))))))</f>
        <v xml:space="preserve"> </v>
      </c>
      <c r="Q233" s="60" t="str">
        <f ca="1">IF($Q$208&gt;=O198,INDEX($AL$104:$AL$113,MATCH(O198,($AJ$104:$AJ$113),0)),IF($Q$212&gt;=O198,INDEX('Spell Tables'!$AN$168:$AN$177,MATCH(O198,('Spell Tables'!$AL$168:$AL$177),0)),IF($Q$222&gt;=O198,INDEX('Spell Tables'!$AN$48:$AN$56,MATCH(O198,('Spell Tables'!$AL$48:$AL$56),0)),IF($Q$224&gt;=O198,INDEX('Spell Tables'!$AN$26:$AN$35,MATCH(O198,('Spell Tables'!$AL$26:$AL$35),0)),IF($Q$226&gt;=O198,INDEX('Spell Tables'!$AN$2:$AN$8,MATCH(O198,('Spell Tables'!$AL$2:$AL$8),0))," ")))))</f>
        <v xml:space="preserve"> </v>
      </c>
      <c r="R233" s="60" t="str">
        <f ca="1">IF($R$208&gt;=O198,INDEX($AL$116:$AL$125,MATCH(O198,($AJ$116:$AJ$125),0)),IF($R$212&gt;=O198,INDEX('Spell Tables'!$AR$168:$AR$175,MATCH(O198,('Spell Tables'!$AP$168:$AP$175),0)),IF($R$222&gt;=O198,INDEX('Spell Tables'!$AR$48:$AR$52,MATCH(O198,('Spell Tables'!$AP$48:$AP$52),0)),IF($R$224&gt;=O198,INDEX('Spell Tables'!$AR$26:$AR$33,MATCH(O198,('Spell Tables'!$AP$26:$AP$33),0)),IF($R$226&gt;=O198,INDEX('Spell Tables'!$AR$2:$AR$11,MATCH(O198,('Spell Tables'!$AL$2:$AL$11),0))," ")))))</f>
        <v xml:space="preserve"> </v>
      </c>
      <c r="S233" s="60" t="str">
        <f ca="1">IF($S$208&gt;=O198,INDEX($AL$128:$AL$137,MATCH(O198,($AJ$128:$AJ$137),0)),IF($S$212&gt;=O198,INDEX('Spell Tables'!$AV$168:$AV$172,MATCH(O198,('Spell Tables'!$AT$168:$AT$172),0)),IF($S$222&gt;=O198,INDEX('Spell Tables'!$AV$48:$AV$54,MATCH(O198,('Spell Tables'!$AT$48:$AT$54),0)),IF($S$224&gt;=O198,INDEX('Spell Tables'!$AV$26:$AV$29,MATCH(O198,('Spell Tables'!$AT$26:$AT$29),0)),IF($S$226&gt;=O198,INDEX('Spell Tables'!$AV$2:$AV$6,MATCH(O198,('Spell Tables'!$AT$2:$AT$6),0))," ")))))</f>
        <v xml:space="preserve"> </v>
      </c>
      <c r="T233" s="63" t="str">
        <f ca="1">IF($T$222&gt;=O198,INDEX('Spell Tables'!$AZ$48:$AZ$51,MATCH(O198,('Spell Tables'!$AX$48:$AX$51),0)),IF($T$208&gt;=O198,INDEX($AL$140:$AL$149,MATCH(O198,($AJ$140:$AJ$149),0)),IF($T$212&gt;=O198,INDEX('Spell Tables'!$AZ$168:$AZ$172,MATCH(O198,('Spell Tables'!$AX$168:$AX$172),0)),IF($T$224&gt;=O198,INDEX('Spell Tables'!$AZ$26:$AZ$29,MATCH(O198,('Spell Tables'!$AX$26:$AX$29),0)),IF($T$226&gt;=O198,INDEX('Spell Tables'!$AZ$2:$AZ$5,MATCH(O198,('Spell Tables'!$AX$2:$AX$5),0))," ")))))</f>
        <v xml:space="preserve"> </v>
      </c>
    </row>
    <row r="234" spans="2:20" x14ac:dyDescent="0.3">
      <c r="N234" s="72"/>
      <c r="O234" s="86">
        <v>7</v>
      </c>
      <c r="P234" s="65" t="str">
        <f ca="1">IF(AND($O$15="Otherworldly patron - great old one",P$210&gt;=O199),INDEX('Spell Tables'!$AJ$226:$AJ$231,MATCH(O199,('Spell Tables'!$AH$226:$AH$231),0)),IF(AND($O$15="Otherworldly patron - fiend",P$210&gt;=O199),INDEX('Spell Tables'!$AJ$210:$AJ$215,MATCH(O199,('Spell Tables'!$AH$210:$AH$215),0)),IF(AND($O$15="Otherworldly patron - archfey",P$210&gt;=O199),INDEX('Spell Tables'!$AJ$194:$AJ$199,MATCH(O199,('Spell Tables'!$AH$194:$AH$199),0)),IF($P$208&gt;=O199,INDEX($AL$92:$AL$101,MATCH(O199,($AJ$92:$AJ$101),0)),IF($P$212&gt;=O199,INDEX('Spell Tables'!$AJ$168:$AJ$178,MATCH(O199,('Spell Tables'!$AH$168:$AH$178),0)),IF($P$216&gt;=O199,INDEX('Spell Tables'!$AF$119:$AF$122,MATCH(O199,('Spell Tables'!$AD$119:$AD$122),0)),IF($P$218&gt;=O199,INDEX('Spell Tables'!$AF$97:$AF$102,MATCH(O199,('Spell Tables'!$AD$97:$AD$102),0)),IF($P$222&gt;=O199,INDEX('Spell Tables'!$AJ$48:$AJ$61,MATCH(O199,('Spell Tables'!$AH$48:$AH$61),0)),IF($P$224&gt;=O199,INDEX('Spell Tables'!$AJ$26:$AJ$38,MATCH(O199,('Spell Tables'!$AH$26:$AH$38),0)),IF($P$226&gt;=O199,INDEX('Spell Tables'!$AJ$2:$AJ$17,MATCH(O199,('Spell Tables'!$AH$2:$AH$17),0))," "))))))))))</f>
        <v xml:space="preserve"> </v>
      </c>
      <c r="Q234" s="65" t="str">
        <f ca="1">IF($Q$208&gt;=O199,INDEX($AL$104:$AL$113,MATCH(O199,($AJ$104:$AJ$113),0)),IF($Q$212&gt;=O199,INDEX('Spell Tables'!$AN$168:$AN$177,MATCH(O199,('Spell Tables'!$AL$168:$AL$177),0)),IF($Q$222&gt;=O199,INDEX('Spell Tables'!$AN$48:$AN$56,MATCH(O199,('Spell Tables'!$AL$48:$AL$56),0)),IF($Q$224&gt;=O199,INDEX('Spell Tables'!$AN$26:$AN$35,MATCH(O199,('Spell Tables'!$AL$26:$AL$35),0)),IF($Q$226&gt;=O199,INDEX('Spell Tables'!$AN$2:$AN$8,MATCH(O199,('Spell Tables'!$AL$2:$AL$8),0))," ")))))</f>
        <v xml:space="preserve"> </v>
      </c>
      <c r="R234" s="65" t="str">
        <f ca="1">IF($R$208&gt;=O199,INDEX($AL$116:$AL$125,MATCH(O199,($AJ$116:$AJ$125),0)),IF($R$212&gt;=O199,INDEX('Spell Tables'!$AR$168:$AR$175,MATCH(O199,('Spell Tables'!$AP$168:$AP$175),0)),IF($R$222&gt;=O199,INDEX('Spell Tables'!$AR$48:$AR$52,MATCH(O199,('Spell Tables'!$AP$48:$AP$52),0)),IF($R$224&gt;=O199,INDEX('Spell Tables'!$AR$26:$AR$33,MATCH(O199,('Spell Tables'!$AP$26:$AP$33),0)),IF($R$226&gt;=O199,INDEX('Spell Tables'!$AR$2:$AR$11,MATCH(O199,('Spell Tables'!$AL$2:$AL$11),0))," ")))))</f>
        <v xml:space="preserve"> </v>
      </c>
      <c r="S234" s="65" t="str">
        <f ca="1">IF($S$208&gt;=O199,INDEX($AL$128:$AL$137,MATCH(O199,($AJ$128:$AJ$137),0)),IF($S$212&gt;=O199,INDEX('Spell Tables'!$AV$168:$AV$172,MATCH(O199,('Spell Tables'!$AT$168:$AT$172),0)),IF($S$222&gt;=O199,INDEX('Spell Tables'!$AV$48:$AV$54,MATCH(O199,('Spell Tables'!$AT$48:$AT$54),0)),IF($S$224&gt;=O199,INDEX('Spell Tables'!$AV$26:$AV$29,MATCH(O199,('Spell Tables'!$AT$26:$AT$29),0)),IF($S$226&gt;=O199,INDEX('Spell Tables'!$AV$2:$AV$6,MATCH(O199,('Spell Tables'!$AT$2:$AT$6),0))," ")))))</f>
        <v xml:space="preserve"> </v>
      </c>
      <c r="T234" s="66" t="str">
        <f ca="1">IF($T$222&gt;=O199,INDEX('Spell Tables'!$AZ$48:$AZ$51,MATCH(O199,('Spell Tables'!$AX$48:$AX$51),0)),IF($T$208&gt;=O199,INDEX($AL$140:$AL$149,MATCH(O199,($AJ$140:$AJ$149),0)),IF($T$212&gt;=O199,INDEX('Spell Tables'!$AZ$168:$AZ$172,MATCH(O199,('Spell Tables'!$AX$168:$AX$172),0)),IF($T$224&gt;=O199,INDEX('Spell Tables'!$AZ$26:$AZ$29,MATCH(O199,('Spell Tables'!$AX$26:$AX$29),0)),IF($T$226&gt;=O199,INDEX('Spell Tables'!$AZ$2:$AZ$5,MATCH(O199,('Spell Tables'!$AX$2:$AX$5),0))," ")))))</f>
        <v xml:space="preserve"> </v>
      </c>
    </row>
    <row r="235" spans="2:20" x14ac:dyDescent="0.3">
      <c r="N235" s="72"/>
      <c r="O235" s="133">
        <v>8</v>
      </c>
      <c r="P235" s="60" t="str">
        <f ca="1">IF(AND($O$15="Otherworldly patron - great old one",P$210&gt;=O200),INDEX('Spell Tables'!$AJ$226:$AJ$231,MATCH(O200,('Spell Tables'!$AH$226:$AH$231),0)),IF(AND($O$15="Otherworldly patron - fiend",P$210&gt;=O200),INDEX('Spell Tables'!$AJ$210:$AJ$215,MATCH(O200,('Spell Tables'!$AH$210:$AH$215),0)),IF(AND($O$15="Otherworldly patron - archfey",P$210&gt;=O200),INDEX('Spell Tables'!$AJ$194:$AJ$199,MATCH(O200,('Spell Tables'!$AH$194:$AH$199),0)),IF($P$208&gt;=O200,INDEX($AL$92:$AL$101,MATCH(O200,($AJ$92:$AJ$101),0)),IF($P$212&gt;=O200,INDEX('Spell Tables'!$AJ$168:$AJ$178,MATCH(O200,('Spell Tables'!$AH$168:$AH$178),0)),IF($P$216&gt;=O200,INDEX('Spell Tables'!$AF$119:$AF$122,MATCH(O200,('Spell Tables'!$AD$119:$AD$122),0)),IF($P$218&gt;=O200,INDEX('Spell Tables'!$AF$97:$AF$102,MATCH(O200,('Spell Tables'!$AD$97:$AD$102),0)),IF($P$222&gt;=O200,INDEX('Spell Tables'!$AJ$48:$AJ$61,MATCH(O200,('Spell Tables'!$AH$48:$AH$61),0)),IF($P$224&gt;=O200,INDEX('Spell Tables'!$AJ$26:$AJ$38,MATCH(O200,('Spell Tables'!$AH$26:$AH$38),0)),IF($P$226&gt;=O200,INDEX('Spell Tables'!$AJ$2:$AJ$17,MATCH(O200,('Spell Tables'!$AH$2:$AH$17),0))," "))))))))))</f>
        <v xml:space="preserve"> </v>
      </c>
      <c r="Q235" s="60" t="str">
        <f ca="1">IF($Q$208&gt;=O200,INDEX($AL$104:$AL$113,MATCH(O200,($AJ$104:$AJ$113),0)),IF($Q$212&gt;=O200,INDEX('Spell Tables'!$AN$168:$AN$177,MATCH(O200,('Spell Tables'!$AL$168:$AL$177),0)),IF($Q$222&gt;=O200,INDEX('Spell Tables'!$AN$48:$AN$56,MATCH(O200,('Spell Tables'!$AL$48:$AL$56),0)),IF($Q$224&gt;=O200,INDEX('Spell Tables'!$AN$26:$AN$35,MATCH(O200,('Spell Tables'!$AL$26:$AL$35),0)),IF($Q$226&gt;=O200,INDEX('Spell Tables'!$AN$2:$AN$8,MATCH(O200,('Spell Tables'!$AL$2:$AL$8),0))," ")))))</f>
        <v xml:space="preserve"> </v>
      </c>
      <c r="R235" s="60" t="str">
        <f ca="1">IF($R$208&gt;=O200,INDEX($AL$116:$AL$125,MATCH(O200,($AJ$116:$AJ$125),0)),IF($R$212&gt;=O200,INDEX('Spell Tables'!$AR$168:$AR$175,MATCH(O200,('Spell Tables'!$AP$168:$AP$175),0)),IF($R$222&gt;=O200,INDEX('Spell Tables'!$AR$48:$AR$52,MATCH(O200,('Spell Tables'!$AP$48:$AP$52),0)),IF($R$224&gt;=O200,INDEX('Spell Tables'!$AR$26:$AR$33,MATCH(O200,('Spell Tables'!$AP$26:$AP$33),0)),IF($R$226&gt;=O200,INDEX('Spell Tables'!$AR$2:$AR$11,MATCH(O200,('Spell Tables'!$AL$2:$AL$11),0))," ")))))</f>
        <v xml:space="preserve"> </v>
      </c>
      <c r="S235" s="60" t="str">
        <f ca="1">IF($S$208&gt;=O200,INDEX($AL$128:$AL$137,MATCH(O200,($AJ$128:$AJ$137),0)),IF($S$212&gt;=O200,INDEX('Spell Tables'!$AV$168:$AV$172,MATCH(O200,('Spell Tables'!$AT$168:$AT$172),0)),IF($S$222&gt;=O200,INDEX('Spell Tables'!$AV$48:$AV$54,MATCH(O200,('Spell Tables'!$AT$48:$AT$54),0)),IF($S$224&gt;=O200,INDEX('Spell Tables'!$AV$26:$AV$29,MATCH(O200,('Spell Tables'!$AT$26:$AT$29),0)),IF($S$226&gt;=O200,INDEX('Spell Tables'!$AV$2:$AV$6,MATCH(O200,('Spell Tables'!$AT$2:$AT$6),0))," ")))))</f>
        <v xml:space="preserve"> </v>
      </c>
      <c r="T235" s="63" t="str">
        <f ca="1">IF($T$222&gt;=O200,INDEX('Spell Tables'!$AZ$48:$AZ$51,MATCH(O200,('Spell Tables'!$AX$48:$AX$51),0)),IF($T$208&gt;=O200,INDEX($AL$140:$AL$149,MATCH(O200,($AJ$140:$AJ$149),0)),IF($T$212&gt;=O200,INDEX('Spell Tables'!$AZ$168:$AZ$172,MATCH(O200,('Spell Tables'!$AX$168:$AX$172),0)),IF($T$224&gt;=O200,INDEX('Spell Tables'!$AZ$26:$AZ$29,MATCH(O200,('Spell Tables'!$AX$26:$AX$29),0)),IF($T$226&gt;=O200,INDEX('Spell Tables'!$AZ$2:$AZ$5,MATCH(O200,('Spell Tables'!$AX$2:$AX$5),0))," ")))))</f>
        <v xml:space="preserve"> </v>
      </c>
    </row>
    <row r="236" spans="2:20" x14ac:dyDescent="0.3">
      <c r="N236" s="72"/>
      <c r="O236" s="86">
        <v>9</v>
      </c>
      <c r="P236" s="65" t="str">
        <f ca="1">IF(AND($O$15="Otherworldly patron - great old one",P$210&gt;=O201),INDEX('Spell Tables'!$AJ$226:$AJ$231,MATCH(O201,('Spell Tables'!$AH$226:$AH$231),0)),IF(AND($O$15="Otherworldly patron - fiend",P$210&gt;=O201),INDEX('Spell Tables'!$AJ$210:$AJ$215,MATCH(O201,('Spell Tables'!$AH$210:$AH$215),0)),IF(AND($O$15="Otherworldly patron - archfey",P$210&gt;=O201),INDEX('Spell Tables'!$AJ$194:$AJ$199,MATCH(O201,('Spell Tables'!$AH$194:$AH$199),0)),IF($P$208&gt;=O201,INDEX($AL$92:$AL$101,MATCH(O201,($AJ$92:$AJ$101),0)),IF($P$212&gt;=O201,INDEX('Spell Tables'!$AJ$168:$AJ$178,MATCH(O201,('Spell Tables'!$AH$168:$AH$178),0)),IF($P$216&gt;=O201,INDEX('Spell Tables'!$AF$119:$AF$122,MATCH(O201,('Spell Tables'!$AD$119:$AD$122),0)),IF($P$218&gt;=O201,INDEX('Spell Tables'!$AF$97:$AF$102,MATCH(O201,('Spell Tables'!$AD$97:$AD$102),0)),IF($P$222&gt;=O201,INDEX('Spell Tables'!$AJ$48:$AJ$61,MATCH(O201,('Spell Tables'!$AH$48:$AH$61),0)),IF($P$224&gt;=O201,INDEX('Spell Tables'!$AJ$26:$AJ$38,MATCH(O201,('Spell Tables'!$AH$26:$AH$38),0)),IF($P$226&gt;=O201,INDEX('Spell Tables'!$AJ$2:$AJ$17,MATCH(O201,('Spell Tables'!$AH$2:$AH$17),0))," "))))))))))</f>
        <v xml:space="preserve"> </v>
      </c>
      <c r="Q236" s="65" t="str">
        <f ca="1">IF($Q$208&gt;=O201,INDEX($AL$104:$AL$113,MATCH(O201,($AJ$104:$AJ$113),0)),IF($Q$212&gt;=O201,INDEX('Spell Tables'!$AN$168:$AN$177,MATCH(O201,('Spell Tables'!$AL$168:$AL$177),0)),IF($Q$222&gt;=O201,INDEX('Spell Tables'!$AN$48:$AN$56,MATCH(O201,('Spell Tables'!$AL$48:$AL$56),0)),IF($Q$224&gt;=O201,INDEX('Spell Tables'!$AN$26:$AN$35,MATCH(O201,('Spell Tables'!$AL$26:$AL$35),0)),IF($Q$226&gt;=O201,INDEX('Spell Tables'!$AN$2:$AN$8,MATCH(O201,('Spell Tables'!$AL$2:$AL$8),0))," ")))))</f>
        <v xml:space="preserve"> </v>
      </c>
      <c r="R236" s="65" t="str">
        <f ca="1">IF($R$208&gt;=O201,INDEX($AL$116:$AL$125,MATCH(O201,($AJ$116:$AJ$125),0)),IF($R$212&gt;=O201,INDEX('Spell Tables'!$AR$168:$AR$175,MATCH(O201,('Spell Tables'!$AP$168:$AP$175),0)),IF($R$222&gt;=O201,INDEX('Spell Tables'!$AR$48:$AR$52,MATCH(O201,('Spell Tables'!$AP$48:$AP$52),0)),IF($R$224&gt;=O201,INDEX('Spell Tables'!$AR$26:$AR$33,MATCH(O201,('Spell Tables'!$AP$26:$AP$33),0)),IF($R$226&gt;=O201,INDEX('Spell Tables'!$AR$2:$AR$11,MATCH(O201,('Spell Tables'!$AL$2:$AL$11),0))," ")))))</f>
        <v xml:space="preserve"> </v>
      </c>
      <c r="S236" s="65" t="str">
        <f ca="1">IF($S$208&gt;=O201,INDEX($AL$128:$AL$137,MATCH(O201,($AJ$128:$AJ$137),0)),IF($S$212&gt;=O201,INDEX('Spell Tables'!$AV$168:$AV$172,MATCH(O201,('Spell Tables'!$AT$168:$AT$172),0)),IF($S$222&gt;=O201,INDEX('Spell Tables'!$AV$48:$AV$54,MATCH(O201,('Spell Tables'!$AT$48:$AT$54),0)),IF($S$224&gt;=O201,INDEX('Spell Tables'!$AV$26:$AV$29,MATCH(O201,('Spell Tables'!$AT$26:$AT$29),0)),IF($S$226&gt;=O201,INDEX('Spell Tables'!$AV$2:$AV$6,MATCH(O201,('Spell Tables'!$AT$2:$AT$6),0))," ")))))</f>
        <v xml:space="preserve"> </v>
      </c>
      <c r="T236" s="66" t="str">
        <f ca="1">IF($T$222&gt;=O201,INDEX('Spell Tables'!$AZ$48:$AZ$51,MATCH(O201,('Spell Tables'!$AX$48:$AX$51),0)),IF($T$208&gt;=O201,INDEX($AL$140:$AL$149,MATCH(O201,($AJ$140:$AJ$149),0)),IF($T$212&gt;=O201,INDEX('Spell Tables'!$AZ$168:$AZ$172,MATCH(O201,('Spell Tables'!$AX$168:$AX$172),0)),IF($T$224&gt;=O201,INDEX('Spell Tables'!$AZ$26:$AZ$29,MATCH(O201,('Spell Tables'!$AX$26:$AX$29),0)),IF($T$226&gt;=O201,INDEX('Spell Tables'!$AZ$2:$AZ$5,MATCH(O201,('Spell Tables'!$AX$2:$AX$5),0))," ")))))</f>
        <v xml:space="preserve"> </v>
      </c>
    </row>
    <row r="237" spans="2:20" ht="19.5" thickBot="1" x14ac:dyDescent="0.35">
      <c r="N237" s="72"/>
      <c r="O237" s="134">
        <v>10</v>
      </c>
      <c r="P237" s="67" t="str">
        <f ca="1">IF(AND($O$15="Otherworldly patron - great old one",P$210&gt;=O202),INDEX('Spell Tables'!$AJ$226:$AJ$231,MATCH(O202,('Spell Tables'!$AH$226:$AH$231),0)),IF(AND($O$15="Otherworldly patron - fiend",P$210&gt;=O202),INDEX('Spell Tables'!$AJ$210:$AJ$215,MATCH(O202,('Spell Tables'!$AH$210:$AH$215),0)),IF(AND($O$15="Otherworldly patron - archfey",P$210&gt;=O202),INDEX('Spell Tables'!$AJ$194:$AJ$199,MATCH(O202,('Spell Tables'!$AH$194:$AH$199),0)),IF($P$208&gt;=O202,INDEX($AL$92:$AL$101,MATCH(O202,($AJ$92:$AJ$101),0)),IF($P$212&gt;=O202,INDEX('Spell Tables'!$AJ$168:$AJ$178,MATCH(O202,('Spell Tables'!$AH$168:$AH$178),0)),IF($P$216&gt;=O202,INDEX('Spell Tables'!$AF$119:$AF$122,MATCH(O202,('Spell Tables'!$AD$119:$AD$122),0)),IF($P$218&gt;=O202,INDEX('Spell Tables'!$AF$97:$AF$102,MATCH(O202,('Spell Tables'!$AD$97:$AD$102),0)),IF($P$222&gt;=O202,INDEX('Spell Tables'!$AJ$48:$AJ$61,MATCH(O202,('Spell Tables'!$AH$48:$AH$61),0)),IF($P$224&gt;=O202,INDEX('Spell Tables'!$AJ$26:$AJ$38,MATCH(O202,('Spell Tables'!$AH$26:$AH$38),0)),IF($P$226&gt;=O202,INDEX('Spell Tables'!$AJ$2:$AJ$17,MATCH(O202,('Spell Tables'!$AH$2:$AH$17),0))," "))))))))))</f>
        <v xml:space="preserve"> </v>
      </c>
      <c r="Q237" s="67" t="str">
        <f ca="1">IF($Q$208&gt;=O202,INDEX($AL$104:$AL$113,MATCH(O202,($AJ$104:$AJ$113),0)),IF($Q$212&gt;=O202,INDEX('Spell Tables'!$AN$168:$AN$177,MATCH(O202,('Spell Tables'!$AL$168:$AL$177),0)),IF($Q$222&gt;=O202,INDEX('Spell Tables'!$AN$48:$AN$56,MATCH(O202,('Spell Tables'!$AL$48:$AL$56),0)),IF($Q$224&gt;=O202,INDEX('Spell Tables'!$AN$26:$AN$35,MATCH(O202,('Spell Tables'!$AL$26:$AL$35),0)),IF($Q$226&gt;=O202,INDEX('Spell Tables'!$AN$2:$AN$8,MATCH(O202,('Spell Tables'!$AL$2:$AL$8),0))," ")))))</f>
        <v xml:space="preserve"> </v>
      </c>
      <c r="R237" s="67" t="str">
        <f ca="1">IF($R$208&gt;=O202,INDEX($AL$116:$AL$125,MATCH(O202,($AJ$116:$AJ$125),0)),IF($R$212&gt;=O202,INDEX('Spell Tables'!$AR$168:$AR$175,MATCH(O202,('Spell Tables'!$AP$168:$AP$175),0)),IF($R$222&gt;=O202,INDEX('Spell Tables'!$AR$48:$AR$52,MATCH(O202,('Spell Tables'!$AP$48:$AP$52),0)),IF($R$224&gt;=O202,INDEX('Spell Tables'!$AR$26:$AR$33,MATCH(O202,('Spell Tables'!$AP$26:$AP$33),0)),IF($R$226&gt;=O202,INDEX('Spell Tables'!$AR$2:$AR$11,MATCH(O202,('Spell Tables'!$AL$2:$AL$11),0))," ")))))</f>
        <v xml:space="preserve"> </v>
      </c>
      <c r="S237" s="67" t="str">
        <f ca="1">IF($S$208&gt;=O202,INDEX($AL$128:$AL$137,MATCH(O202,($AJ$128:$AJ$137),0)),IF($S$212&gt;=O202,INDEX('Spell Tables'!$AV$168:$AV$172,MATCH(O202,('Spell Tables'!$AT$168:$AT$172),0)),IF($S$222&gt;=O202,INDEX('Spell Tables'!$AV$48:$AV$54,MATCH(O202,('Spell Tables'!$AT$48:$AT$54),0)),IF($S$224&gt;=O202,INDEX('Spell Tables'!$AV$26:$AV$29,MATCH(O202,('Spell Tables'!$AT$26:$AT$29),0)),IF($S$226&gt;=O202,INDEX('Spell Tables'!$AV$2:$AV$6,MATCH(O202,('Spell Tables'!$AT$2:$AT$6),0))," ")))))</f>
        <v xml:space="preserve"> </v>
      </c>
      <c r="T237" s="68" t="str">
        <f ca="1">IF($T$222&gt;=O202,INDEX('Spell Tables'!$AZ$48:$AZ$51,MATCH(O202,('Spell Tables'!$AX$48:$AX$51),0)),IF($T$208&gt;=O202,INDEX($AL$140:$AL$149,MATCH(O202,($AJ$140:$AJ$149),0)),IF($T$212&gt;=O202,INDEX('Spell Tables'!$AZ$168:$AZ$172,MATCH(O202,('Spell Tables'!$AX$168:$AX$172),0)),IF($T$224&gt;=O202,INDEX('Spell Tables'!$AZ$26:$AZ$29,MATCH(O202,('Spell Tables'!$AX$26:$AX$29),0)),IF($T$226&gt;=O202,INDEX('Spell Tables'!$AZ$2:$AZ$5,MATCH(O202,('Spell Tables'!$AX$2:$AX$5),0))," ")))))</f>
        <v xml:space="preserve"> </v>
      </c>
    </row>
    <row r="238" spans="2:20" ht="19.5" thickBot="1" x14ac:dyDescent="0.35"/>
    <row r="239" spans="2:20" ht="30.75" thickBot="1" x14ac:dyDescent="0.45">
      <c r="B239" s="105" t="s">
        <v>1323</v>
      </c>
      <c r="C239" s="57"/>
      <c r="D239" s="57"/>
      <c r="E239" s="57"/>
      <c r="F239" s="57"/>
      <c r="G239" s="57"/>
      <c r="H239" s="57"/>
      <c r="I239" s="57"/>
      <c r="J239" s="57"/>
      <c r="K239" s="57"/>
      <c r="L239" s="57"/>
      <c r="M239" s="57"/>
      <c r="N239" s="57"/>
      <c r="O239" s="57"/>
      <c r="P239" s="57"/>
      <c r="Q239" s="57"/>
      <c r="R239" s="57"/>
      <c r="S239" s="57"/>
    </row>
    <row r="240" spans="2:20" ht="19.5" thickBot="1" x14ac:dyDescent="0.35">
      <c r="B240" s="33"/>
      <c r="C240" s="27"/>
      <c r="D240" s="27"/>
      <c r="E240" s="27"/>
      <c r="F240" s="27"/>
      <c r="G240" s="27"/>
      <c r="H240" s="27"/>
      <c r="I240" s="27"/>
      <c r="J240" s="27"/>
      <c r="K240" s="27"/>
      <c r="L240" s="27"/>
      <c r="M240" s="27"/>
      <c r="O240" s="27"/>
      <c r="P240" s="87" t="s">
        <v>1341</v>
      </c>
      <c r="Q240" s="94" t="str">
        <f ca="1">IF($Q$11="warlock",INDEX('Spell Tables'!$D$194:$D$213,MATCH($Q$12,('Spell Tables'!$A$194:$A$213),0))," ")</f>
        <v xml:space="preserve"> </v>
      </c>
      <c r="R240" s="89" t="s">
        <v>1340</v>
      </c>
      <c r="S240" s="90" t="str">
        <f ca="1">IF($Q$11="warlock",INDEX('Spell Tables'!$E$194:$E$213,MATCH($Q$12,('Spell Tables'!$A$194:$A$213),0))," ")</f>
        <v xml:space="preserve"> </v>
      </c>
      <c r="T240" s="27"/>
    </row>
    <row r="241" spans="2:20" hidden="1" x14ac:dyDescent="0.3">
      <c r="B241" s="92" t="s">
        <v>1270</v>
      </c>
      <c r="C241" s="33"/>
      <c r="D241" s="33"/>
      <c r="E241" s="33"/>
      <c r="F241" s="33"/>
      <c r="G241" s="33"/>
      <c r="H241" s="33"/>
      <c r="I241" s="33"/>
      <c r="J241" s="33"/>
      <c r="K241" s="33"/>
      <c r="L241" s="33"/>
      <c r="M241" s="33"/>
      <c r="O241" s="33" t="s">
        <v>530</v>
      </c>
      <c r="P241" s="33" t="s">
        <v>530</v>
      </c>
      <c r="Q241" s="114" t="str">
        <f ca="1">IF(AND(Q11="wizard",Q12&gt;=3),"x",IF(Q11="wizard","xx"," "))</f>
        <v xml:space="preserve"> </v>
      </c>
      <c r="R241" s="114" t="str">
        <f ca="1">IF(AND(Q11="wizard",Q12&gt;=5),"x",IF(AND($Q$11="wizard",$Q$12&gt;=3),"xx"," "))</f>
        <v xml:space="preserve"> </v>
      </c>
      <c r="S241" s="114" t="str">
        <f ca="1">IF(AND(Q11="Wizard",Q12&gt;=7),"x",IF(AND($Q$11="wizard",$Q$12&gt;5),"xx",IF(AND(Q11="wizard",Q12=5),"xxx"," ")))</f>
        <v xml:space="preserve"> </v>
      </c>
      <c r="T241" s="114" t="str">
        <f ca="1">IF(AND(Q11="wizard",Q12&gt;=9),"x",IF(AND($Q$11="wizard",$Q$12&gt;7),"xx",IF(AND(Q11="wizard",Q12=7),"xxx"," ")))</f>
        <v xml:space="preserve"> </v>
      </c>
    </row>
    <row r="242" spans="2:20" hidden="1" x14ac:dyDescent="0.3">
      <c r="B242" s="92" t="s">
        <v>1272</v>
      </c>
      <c r="C242" s="33"/>
      <c r="D242" s="33"/>
      <c r="E242" s="33"/>
      <c r="F242" s="33"/>
      <c r="G242" s="33"/>
      <c r="H242" s="33"/>
      <c r="I242" s="33"/>
      <c r="J242" s="33"/>
      <c r="K242" s="33"/>
      <c r="L242" s="33"/>
      <c r="M242" s="33"/>
      <c r="O242" s="33" t="str">
        <f ca="1">IF(Q11="wizard",N41+Q12," ")</f>
        <v xml:space="preserve"> </v>
      </c>
      <c r="P242" s="33">
        <f ca="1">IF(Q11="wizard",INDEX('Spell Tables'!C242:C261,MATCH(Q12,('Spell Tables'!B242:B261),0)),0)</f>
        <v>0</v>
      </c>
      <c r="Q242" s="114">
        <f ca="1">IF($Q241="x",RANDBETWEEN(1,2),IF($Q241="xx",$O$242,0))</f>
        <v>0</v>
      </c>
      <c r="R242" s="114">
        <f ca="1">IF(R241="x",RANDBETWEEN(1,2),IF(R241="xx",$O$242-Q242,0))</f>
        <v>0</v>
      </c>
      <c r="S242" s="114">
        <f ca="1">IF(S241="x",O242-SUM(Q242:R242,U169:X169),IF(S241="xx",$O$242-SUM(Q242:R242),0))</f>
        <v>0</v>
      </c>
      <c r="T242" s="114">
        <f ca="1">IF(T241="x",RANDBETWEEN(1,2),IF(T241="xx",RANDBETWEEN(2,3),IF(T241="xxx",RANDBETWEEN(1,2),0)))</f>
        <v>0</v>
      </c>
    </row>
    <row r="243" spans="2:20" hidden="1" x14ac:dyDescent="0.3">
      <c r="B243" s="92" t="s">
        <v>1269</v>
      </c>
      <c r="C243" s="33"/>
      <c r="D243" s="33"/>
      <c r="E243" s="33"/>
      <c r="F243" s="33"/>
      <c r="G243" s="33"/>
      <c r="H243" s="33"/>
      <c r="I243" s="33"/>
      <c r="J243" s="33"/>
      <c r="K243" s="33"/>
      <c r="L243" s="33"/>
      <c r="M243" s="33"/>
      <c r="O243" s="33" t="s">
        <v>530</v>
      </c>
      <c r="P243" s="33" t="s">
        <v>530</v>
      </c>
      <c r="Q243" s="114" t="str">
        <f ca="1">IF(AND($Q$11="warlock",$Q$12&gt;=3),"x",IF(Q11="warlock","xx"," "))</f>
        <v xml:space="preserve"> </v>
      </c>
      <c r="R243" s="114" t="str">
        <f ca="1">IF(AND($Q$11="warlock",$Q$12&gt;=5),"x",IF(AND($Q$11="warlock",$Q$12&gt;=3),"xx"," "))</f>
        <v xml:space="preserve"> </v>
      </c>
      <c r="S243" s="114" t="str">
        <f ca="1">IF(AND($Q$11="warlock",$Q$12&gt;=7),"x",IF(AND($Q$11="warlock",$Q$12&gt;=5),"xx"," "))</f>
        <v xml:space="preserve"> </v>
      </c>
      <c r="T243" s="114" t="str">
        <f ca="1">IF(AND($Q$11="warlock",$Q$12&gt;=9),"x",IF(AND($Q$11="warlock",$Q$12&gt;=7),"xx"," "))</f>
        <v xml:space="preserve"> </v>
      </c>
    </row>
    <row r="244" spans="2:20" hidden="1" x14ac:dyDescent="0.3">
      <c r="B244" s="92" t="s">
        <v>1268</v>
      </c>
      <c r="C244" s="33"/>
      <c r="D244" s="33"/>
      <c r="E244" s="33"/>
      <c r="F244" s="33"/>
      <c r="G244" s="33"/>
      <c r="H244" s="33"/>
      <c r="I244" s="33"/>
      <c r="J244" s="33"/>
      <c r="K244" s="33"/>
      <c r="L244" s="33"/>
      <c r="M244" s="33"/>
      <c r="O244" s="33" t="str">
        <f ca="1">IF(Q11="warlock",INDEX('Spell Tables'!C194:C213,MATCH($Q$12,('Spell Tables'!A194:A213),0))," ")</f>
        <v xml:space="preserve"> </v>
      </c>
      <c r="P244" s="33">
        <f ca="1">IF($Q$11="warlock",INDEX('Spell Tables'!B194:B213,MATCH($Q$12,('Spell Tables'!A194:A213),0)),0)</f>
        <v>0</v>
      </c>
      <c r="Q244" s="114">
        <f ca="1">IF($Q243="x",RANDBETWEEN(1,2),IF($Q243="xx",$O$244,0))</f>
        <v>0</v>
      </c>
      <c r="R244" s="114">
        <f ca="1">IF(R243="x",RANDBETWEEN(1,2),IF(R243="xx",$O$244-Q244,0))</f>
        <v>0</v>
      </c>
      <c r="S244" s="114">
        <f ca="1">IF(S243="x",O244-SUM(Q244:R244,U171:X171),IF(S243="xx",$O$244-SUM(Q244:R244),0))</f>
        <v>0</v>
      </c>
      <c r="T244" s="114">
        <f ca="1">IF(T243="x",RANDBETWEEN(1,2),IF(T243="xx",RANDBETWEEN(2,3),0))</f>
        <v>0</v>
      </c>
    </row>
    <row r="245" spans="2:20" hidden="1" x14ac:dyDescent="0.3">
      <c r="B245" s="92" t="s">
        <v>1267</v>
      </c>
      <c r="C245" s="33"/>
      <c r="D245" s="33"/>
      <c r="E245" s="33"/>
      <c r="F245" s="33"/>
      <c r="G245" s="33"/>
      <c r="H245" s="33"/>
      <c r="I245" s="33"/>
      <c r="J245" s="33"/>
      <c r="K245" s="33"/>
      <c r="L245" s="33"/>
      <c r="M245" s="33"/>
      <c r="O245" s="33" t="s">
        <v>530</v>
      </c>
      <c r="P245" s="33" t="s">
        <v>530</v>
      </c>
      <c r="Q245" s="114" t="str">
        <f ca="1">IF(AND($Q$11="sorcerer",$Q$12&gt;=3),"x",IF($Q$11="sorcerer","xx"," "))</f>
        <v xml:space="preserve"> </v>
      </c>
      <c r="R245" s="114" t="str">
        <f ca="1">IF(AND($Q$11="sorcerer",$Q$12&gt;=5),"x",IF(AND($Q$11="sorcerer",$Q$12&gt;=3),"xx"," "))</f>
        <v xml:space="preserve"> </v>
      </c>
      <c r="S245" s="114" t="str">
        <f ca="1">IF(AND($Q$11="sorcerer",$Q$12&gt;=7),"x",IF(AND($Q$11="sorcerer",$Q$12&gt;=5),"xx"," "))</f>
        <v xml:space="preserve"> </v>
      </c>
      <c r="T245" s="114" t="str">
        <f ca="1">IF(AND($Q$11="sorcerer",$Q$12&gt;=9),"x",IF(AND($Q$11="sorcerer",$Q$12&gt;=7),"xx"," "))</f>
        <v xml:space="preserve"> </v>
      </c>
    </row>
    <row r="246" spans="2:20" hidden="1" x14ac:dyDescent="0.3">
      <c r="B246" s="92" t="s">
        <v>1266</v>
      </c>
      <c r="C246" s="33"/>
      <c r="D246" s="33"/>
      <c r="E246" s="33"/>
      <c r="F246" s="33"/>
      <c r="G246" s="33"/>
      <c r="H246" s="33"/>
      <c r="I246" s="33"/>
      <c r="J246" s="33"/>
      <c r="K246" s="33"/>
      <c r="L246" s="33"/>
      <c r="M246" s="33"/>
      <c r="O246" s="33" t="str">
        <f ca="1">IF(Q11="sorcerer",INDEX('Spell Tables'!C168:C187,MATCH($Q$12,('Spell Tables'!A168:A187),0))," ")</f>
        <v xml:space="preserve"> </v>
      </c>
      <c r="P246" s="33">
        <f ca="1">IF($Q$11="sorcerer",INDEX('Spell Tables'!B168:B187,MATCH($Q$12,('Spell Tables'!A168:A187),0)),0)</f>
        <v>0</v>
      </c>
      <c r="Q246" s="114">
        <f ca="1">IF($Q245="x",RANDBETWEEN(1,2),IF($Q245="xx",$O$246,0))</f>
        <v>0</v>
      </c>
      <c r="R246" s="114">
        <f ca="1">IF(R245="x",RANDBETWEEN(1,2),IF(R245="xx",$O$246-Q246,0))</f>
        <v>0</v>
      </c>
      <c r="S246" s="114">
        <f ca="1">IF(S245="x",O246-SUM(Q246:R246,U173:X173),IF(S245="xx",$O$246-SUM(Q246:R246),0))</f>
        <v>0</v>
      </c>
      <c r="T246" s="114">
        <f ca="1">IF(T245="x",RANDBETWEEN(1,2),IF(T245="xx",RANDBETWEEN(2,3),0))</f>
        <v>0</v>
      </c>
    </row>
    <row r="247" spans="2:20" hidden="1" x14ac:dyDescent="0.3">
      <c r="B247" s="92" t="s">
        <v>1254</v>
      </c>
      <c r="C247" s="33"/>
      <c r="D247" s="33"/>
      <c r="E247" s="33"/>
      <c r="F247" s="33"/>
      <c r="G247" s="33"/>
      <c r="H247" s="33"/>
      <c r="I247" s="33"/>
      <c r="J247" s="33"/>
      <c r="K247" s="33"/>
      <c r="L247" s="33"/>
      <c r="M247" s="33"/>
      <c r="O247" s="33" t="s">
        <v>530</v>
      </c>
      <c r="P247" s="33" t="s">
        <v>530</v>
      </c>
      <c r="Q247" s="114" t="str">
        <f ca="1">IF(AND(R15="arcane trickster",Q12&gt;=7),"x",IF(R15="arcane trickster","xx"," "))</f>
        <v xml:space="preserve"> </v>
      </c>
      <c r="R247" s="114" t="str">
        <f ca="1">IF(AND(R15="arcane trickster",Q12=13),"x",IF(AND(R15="arcane trickster",$Q$12&gt;=7),"xx"," "))</f>
        <v xml:space="preserve"> </v>
      </c>
      <c r="S247" s="114" t="str">
        <f ca="1">IF(AND(R15="arcane trickster",Q12&gt;=19),"x",IF(AND(R15="arcane trickster",$Q$12&gt;=13),"xx"," "))</f>
        <v xml:space="preserve"> </v>
      </c>
      <c r="T247" s="114" t="str">
        <f ca="1">IF(AND(R15="arcane trickster",$Q$12&gt;=19),"xx"," ")</f>
        <v xml:space="preserve"> </v>
      </c>
    </row>
    <row r="248" spans="2:20" hidden="1" x14ac:dyDescent="0.3">
      <c r="B248" s="92" t="s">
        <v>1253</v>
      </c>
      <c r="C248" s="33"/>
      <c r="D248" s="33"/>
      <c r="E248" s="33"/>
      <c r="F248" s="33"/>
      <c r="G248" s="33"/>
      <c r="H248" s="33"/>
      <c r="I248" s="33"/>
      <c r="J248" s="33"/>
      <c r="K248" s="33"/>
      <c r="L248" s="33"/>
      <c r="M248" s="33"/>
      <c r="O248" s="33" t="str">
        <f ca="1">IF(R15="arcane trickster",INDEX('Spell Tables'!C141:C160,MATCH($Q$12,('Spell Tables'!A141:A160),0))," ")</f>
        <v xml:space="preserve"> </v>
      </c>
      <c r="P248" s="33">
        <f ca="1">IF($R$15="arcane trickster",INDEX('Spell Tables'!B141:B160,MATCH($Q$12,('Spell Tables'!A141:A160),0)),0)</f>
        <v>0</v>
      </c>
      <c r="Q248" s="114">
        <f ca="1">IF($Q247="x",RANDBETWEEN(2,3),IF($Q247="xx",$O$248,0))</f>
        <v>0</v>
      </c>
      <c r="R248" s="114">
        <f ca="1">IF(R247="x",RANDBETWEEN(2,3),IF(R247="xx",$O$248-Q248,0))</f>
        <v>0</v>
      </c>
      <c r="S248" s="114">
        <f ca="1">IF(S247="x",O248-SUM(Q248:R248,U175:X175),IF(S247="xx",$O$248-SUM(Q248:R248),0))</f>
        <v>0</v>
      </c>
      <c r="T248" s="114">
        <f ca="1">IF(T247="x",RANDBETWEEN(1,2),IF(T247="xx",RANDBETWEEN(2,3),0))</f>
        <v>0</v>
      </c>
    </row>
    <row r="249" spans="2:20" hidden="1" x14ac:dyDescent="0.3">
      <c r="B249" s="92" t="s">
        <v>1247</v>
      </c>
      <c r="C249" s="33"/>
      <c r="D249" s="33"/>
      <c r="E249" s="33"/>
      <c r="F249" s="33"/>
      <c r="G249" s="33"/>
      <c r="H249" s="33"/>
      <c r="I249" s="33"/>
      <c r="J249" s="33"/>
      <c r="K249" s="33"/>
      <c r="L249" s="33"/>
      <c r="M249" s="33"/>
      <c r="O249" s="33" t="s">
        <v>530</v>
      </c>
      <c r="P249" s="33" t="s">
        <v>1324</v>
      </c>
      <c r="Q249" s="114" t="str">
        <f ca="1">IF(AND($Q$11="ranger",$Q$12&gt;=5),"x",IF(AND(Q11="ranger",Q12&gt;=2),"xx"," "))</f>
        <v xml:space="preserve"> </v>
      </c>
      <c r="R249" s="114" t="str">
        <f ca="1">IF(AND($Q$11="ranger",$Q$12&gt;=9),"x",IF(AND($Q$11="ranger",$Q$12&gt;=5),"xx"," "))</f>
        <v xml:space="preserve"> </v>
      </c>
      <c r="S249" s="114" t="str">
        <f ca="1">IF(AND($Q$11="ranger",$Q$12&gt;=13),"x",IF(AND($Q$11="ranger",$Q$12&gt;=9),"xx"," "))</f>
        <v xml:space="preserve"> </v>
      </c>
      <c r="T249" s="114" t="str">
        <f ca="1">IF(AND($Q$11="ranger",$Q$12&gt;=17),"x",IF(AND($Q$11="ranger",$Q$12&gt;=13),"xx"," "))</f>
        <v xml:space="preserve"> </v>
      </c>
    </row>
    <row r="250" spans="2:20" hidden="1" x14ac:dyDescent="0.3">
      <c r="B250" s="92" t="s">
        <v>1246</v>
      </c>
      <c r="C250" s="33"/>
      <c r="D250" s="33"/>
      <c r="E250" s="33"/>
      <c r="F250" s="33"/>
      <c r="G250" s="33"/>
      <c r="H250" s="33"/>
      <c r="I250" s="33"/>
      <c r="J250" s="33"/>
      <c r="K250" s="33"/>
      <c r="L250" s="33"/>
      <c r="M250" s="33"/>
      <c r="O250" s="33" t="str">
        <f ca="1">IF($Q$11="ranger",INDEX('Spell Tables'!C119:C138,MATCH($Q$12,('Spell Tables'!B119:B138),0))," ")</f>
        <v xml:space="preserve"> </v>
      </c>
      <c r="P250" s="33" t="s">
        <v>1324</v>
      </c>
      <c r="Q250" s="114">
        <f ca="1">IF($Q249="x",RANDBETWEEN(1,2),IF($Q249="xx",$O$250,0))</f>
        <v>0</v>
      </c>
      <c r="R250" s="114">
        <f ca="1">IF(R249="x",RANDBETWEEN(1,2),IF(R249="xx",$O$250-Q250,0))</f>
        <v>0</v>
      </c>
      <c r="S250" s="114">
        <f ca="1">IF(S249="x",O250-SUM(Q250:R250,U177:X177),IF(S249="xx",$O$250-SUM(Q250:R250),0))</f>
        <v>0</v>
      </c>
      <c r="T250" s="114">
        <f ca="1">IF(T249="x",RANDBETWEEN(1,2),IF(T249="xx",RANDBETWEEN(2,3),0))</f>
        <v>0</v>
      </c>
    </row>
    <row r="251" spans="2:20" hidden="1" x14ac:dyDescent="0.3">
      <c r="B251" s="92" t="s">
        <v>1245</v>
      </c>
      <c r="C251" s="33"/>
      <c r="D251" s="33"/>
      <c r="E251" s="33"/>
      <c r="F251" s="33"/>
      <c r="G251" s="33"/>
      <c r="H251" s="33"/>
      <c r="I251" s="33"/>
      <c r="J251" s="33"/>
      <c r="K251" s="33"/>
      <c r="L251" s="33"/>
      <c r="M251" s="33"/>
      <c r="O251" s="33" t="s">
        <v>530</v>
      </c>
      <c r="P251" s="33" t="s">
        <v>1324</v>
      </c>
      <c r="Q251" s="114" t="str">
        <f ca="1">IF(AND($Q$11="paladin",$Q$12&gt;=5),"x",IF($Q$11="paladin","xx"," "))</f>
        <v xml:space="preserve"> </v>
      </c>
      <c r="R251" s="114" t="str">
        <f ca="1">IF(AND(Q11="paladin",Q12&gt;=9),"x",IF(AND($Q$11="paladin",$Q$12&gt;=5),"xx"," "))</f>
        <v xml:space="preserve"> </v>
      </c>
      <c r="S251" s="114" t="str">
        <f ca="1">IF(AND(Q11="paladin",Q12&gt;=13),"x",IF(AND($Q$11="paladin",$Q$12&gt;=9),"xx"," "))</f>
        <v xml:space="preserve"> </v>
      </c>
      <c r="T251" s="114" t="str">
        <f ca="1">IF(AND(Q11="paladin",Q12&gt;=17),"x",IF(AND($Q$11="paladin",$Q$12&gt;=13),"xx"," "))</f>
        <v xml:space="preserve"> </v>
      </c>
    </row>
    <row r="252" spans="2:20" hidden="1" x14ac:dyDescent="0.3">
      <c r="B252" s="92" t="s">
        <v>1244</v>
      </c>
      <c r="C252" s="33"/>
      <c r="D252" s="33"/>
      <c r="E252" s="33"/>
      <c r="F252" s="33"/>
      <c r="G252" s="33"/>
      <c r="H252" s="33"/>
      <c r="I252" s="33"/>
      <c r="J252" s="33"/>
      <c r="K252" s="33"/>
      <c r="L252" s="33"/>
      <c r="M252" s="33"/>
      <c r="O252" s="33" t="str">
        <f ca="1">IF(Q11="paladin",ROUNDDOWN(N43+(Q12*0.5),0)," ")</f>
        <v xml:space="preserve"> </v>
      </c>
      <c r="P252" s="33" t="s">
        <v>1324</v>
      </c>
      <c r="Q252" s="114">
        <f ca="1">IF($Q251="x",RANDBETWEEN(1,2),IF($Q251="xx",$O$252,0))</f>
        <v>0</v>
      </c>
      <c r="R252" s="114">
        <f ca="1">IF(R251="x",RANDBETWEEN(1,2),IF(R251="xx",$O$252-Q252,0))</f>
        <v>0</v>
      </c>
      <c r="S252" s="114">
        <f ca="1">IF(S251="x",O252-SUM(Q252:R252,U179:X179),IF(S251="xx",$O$252-SUM(Q252:R252),0))</f>
        <v>0</v>
      </c>
      <c r="T252" s="114">
        <f ca="1">IF(T251="x",RANDBETWEEN(1,2),IF(T251="xx",RANDBETWEEN(2,3),0))</f>
        <v>0</v>
      </c>
    </row>
    <row r="253" spans="2:20" hidden="1" x14ac:dyDescent="0.3">
      <c r="B253" s="92" t="s">
        <v>1226</v>
      </c>
      <c r="C253" s="33"/>
      <c r="D253" s="33"/>
      <c r="E253" s="33"/>
      <c r="F253" s="33"/>
      <c r="G253" s="33"/>
      <c r="H253" s="33"/>
      <c r="I253" s="33"/>
      <c r="J253" s="33"/>
      <c r="K253" s="33"/>
      <c r="L253" s="33"/>
      <c r="M253" s="33"/>
      <c r="O253" s="33" t="s">
        <v>530</v>
      </c>
      <c r="P253" s="33" t="s">
        <v>530</v>
      </c>
      <c r="Q253" s="114" t="str">
        <f ca="1">IF(AND(R15="eldritch knight",Q12&gt;=7),"x",IF(R15="eldritch knight","xx"," "))</f>
        <v xml:space="preserve"> </v>
      </c>
      <c r="R253" s="114" t="str">
        <f ca="1">IF(AND(R15="eldritch knight",Q12&gt;=13),"x",IF(AND(R15="eldritch knight",$Q$12&gt;=7),"xx"," "))</f>
        <v xml:space="preserve"> </v>
      </c>
      <c r="S253" s="114" t="str">
        <f ca="1">IF(AND(R15="eldritch knight",Q12&gt;=19),"x",IF(AND(R15="eldritch knight",$Q$12&gt;=13),"xx"," "))</f>
        <v xml:space="preserve"> </v>
      </c>
      <c r="T253" s="114" t="str">
        <f ca="1">IF(AND(R15="eldritch knight",$Q$12&gt;=19),"xx"," ")</f>
        <v xml:space="preserve"> </v>
      </c>
    </row>
    <row r="254" spans="2:20" hidden="1" x14ac:dyDescent="0.3">
      <c r="B254" s="92" t="s">
        <v>1222</v>
      </c>
      <c r="C254" s="33"/>
      <c r="D254" s="33"/>
      <c r="E254" s="33"/>
      <c r="F254" s="33"/>
      <c r="G254" s="33"/>
      <c r="H254" s="33"/>
      <c r="I254" s="33"/>
      <c r="J254" s="33"/>
      <c r="K254" s="33"/>
      <c r="L254" s="33"/>
      <c r="M254" s="33"/>
      <c r="O254" s="33" t="str">
        <f ca="1">IF($R$15="eldritch knight",INDEX('Spell Tables'!C70:C89,MATCH($Q$12,('Spell Tables'!A70:A89),0))," ")</f>
        <v xml:space="preserve"> </v>
      </c>
      <c r="P254" s="33">
        <f ca="1">IF($R$15="eldritch knight",INDEX('Spell Tables'!B70:B89,MATCH($Q$12,('Spell Tables'!A70:A89),0)),0)</f>
        <v>0</v>
      </c>
      <c r="Q254" s="114">
        <f ca="1">IF($Q253="x",RANDBETWEEN(2,3),IF($Q253="xx",$O$254,0))</f>
        <v>0</v>
      </c>
      <c r="R254" s="114">
        <f ca="1">IF(R253="x",RANDBETWEEN(2,3),IF(R253="xx",$O$254-Q254,0))</f>
        <v>0</v>
      </c>
      <c r="S254" s="114">
        <f ca="1">IF(S253="x",O254-SUM(Q254:R254,U181:X181),IF(S253="xx",$O$254-SUM(Q254:R254),0))</f>
        <v>0</v>
      </c>
      <c r="T254" s="114">
        <f ca="1">IF(T253="x",RANDBETWEEN(1,2),IF(T253="xx",RANDBETWEEN(2,3),0))</f>
        <v>0</v>
      </c>
    </row>
    <row r="255" spans="2:20" hidden="1" x14ac:dyDescent="0.3">
      <c r="B255" s="92" t="s">
        <v>1219</v>
      </c>
      <c r="C255" s="33"/>
      <c r="D255" s="33"/>
      <c r="E255" s="33"/>
      <c r="F255" s="33"/>
      <c r="G255" s="33"/>
      <c r="H255" s="33"/>
      <c r="I255" s="33"/>
      <c r="J255" s="33"/>
      <c r="K255" s="33"/>
      <c r="L255" s="33"/>
      <c r="M255" s="33"/>
      <c r="O255" s="33" t="s">
        <v>530</v>
      </c>
      <c r="P255" s="33" t="s">
        <v>530</v>
      </c>
      <c r="Q255" s="114" t="str">
        <f ca="1">IF(AND($Q$11="druid",$Q$12&gt;=3),"x",IF($Q$11="druid","xx"," "))</f>
        <v xml:space="preserve"> </v>
      </c>
      <c r="R255" s="114" t="str">
        <f ca="1">IF(AND($Q$11="druid",$Q$12&gt;=5),"x",IF(AND($Q$11="druid",$Q$12&gt;=3),"xx"," "))</f>
        <v xml:space="preserve"> </v>
      </c>
      <c r="S255" s="114" t="str">
        <f ca="1">IF(AND($Q$11="druid",$Q$12&gt;=7),"x",IF(AND($Q$11="druid",$Q$12&gt;=5),"xx"," "))</f>
        <v xml:space="preserve"> </v>
      </c>
      <c r="T255" s="114" t="str">
        <f ca="1">IF(AND($Q$11="druid",$Q$12&gt;=9),"x",IF(AND($Q$11="druid",$Q$12&gt;=7),"xx"," "))</f>
        <v xml:space="preserve"> </v>
      </c>
    </row>
    <row r="256" spans="2:20" hidden="1" x14ac:dyDescent="0.3">
      <c r="B256" s="92" t="s">
        <v>1220</v>
      </c>
      <c r="C256" s="33"/>
      <c r="D256" s="33"/>
      <c r="E256" s="33"/>
      <c r="F256" s="33"/>
      <c r="G256" s="33"/>
      <c r="H256" s="33"/>
      <c r="I256" s="33"/>
      <c r="J256" s="95"/>
      <c r="K256" s="95"/>
      <c r="L256" s="95"/>
      <c r="M256" s="95"/>
      <c r="O256" s="33" t="str">
        <f ca="1">IF(Q11="druid",Q12+N42," ")</f>
        <v xml:space="preserve"> </v>
      </c>
      <c r="P256" s="33">
        <f ca="1">IF($Q$11="druid",INDEX('Spell Tables'!C48:C67,MATCH($Q$12,('Spell Tables'!B48:B67),0)),0)</f>
        <v>0</v>
      </c>
      <c r="Q256" s="114">
        <f ca="1">IF($Q255="x",RANDBETWEEN(1,2),IF($Q255="xx",$O$256,0))</f>
        <v>0</v>
      </c>
      <c r="R256" s="114">
        <f ca="1">IF(R255="x",RANDBETWEEN(1,2),IF(R255="xx",$O$256-Q256,0))</f>
        <v>0</v>
      </c>
      <c r="S256" s="114">
        <f ca="1">IF(S255="x",O256-SUM(Q256:R256,U183:X183),IF(S255="xx",$O$256-SUM(Q256:R256),0))</f>
        <v>0</v>
      </c>
      <c r="T256" s="114">
        <f ca="1">IF(T255="x",RANDBETWEEN(1,2),IF(T255="xx",RANDBETWEEN(2,3),0))</f>
        <v>0</v>
      </c>
    </row>
    <row r="257" spans="2:20" hidden="1" x14ac:dyDescent="0.3">
      <c r="B257" s="92" t="s">
        <v>1143</v>
      </c>
      <c r="C257" s="33"/>
      <c r="D257" s="33"/>
      <c r="E257" s="33"/>
      <c r="F257" s="33"/>
      <c r="G257" s="33"/>
      <c r="H257" s="33"/>
      <c r="I257" s="33"/>
      <c r="J257" s="33"/>
      <c r="K257" s="33"/>
      <c r="L257" s="33"/>
      <c r="M257" s="33"/>
      <c r="O257" s="33" t="s">
        <v>530</v>
      </c>
      <c r="P257" s="33" t="s">
        <v>530</v>
      </c>
      <c r="Q257" s="114" t="str">
        <f ca="1">IF(AND(Q11="cleric",Q12&gt;=3),"x",IF(Q11="cleric","xx"," "))</f>
        <v xml:space="preserve"> </v>
      </c>
      <c r="R257" s="114" t="str">
        <f ca="1">IF(AND(Q11="cleric",Q12&gt;=5),"x",IF(AND($Q$11="cleric",$Q$12&gt;=3),"xx"," "))</f>
        <v xml:space="preserve"> </v>
      </c>
      <c r="S257" s="114" t="str">
        <f ca="1">IF(AND(Q11="cleric",Q12&gt;=7),"x",IF(AND($Q$11="cleric",$Q$12&gt;=5),"xx"," "))</f>
        <v xml:space="preserve"> </v>
      </c>
      <c r="T257" s="114" t="str">
        <f ca="1">IF(AND(Q11="cleric",Q12&gt;=9),"x",IF(AND($Q$11="cleric",$Q$12&gt;=7),"xx"," "))</f>
        <v xml:space="preserve"> </v>
      </c>
    </row>
    <row r="258" spans="2:20" hidden="1" x14ac:dyDescent="0.3">
      <c r="B258" s="92" t="s">
        <v>1142</v>
      </c>
      <c r="C258" s="33"/>
      <c r="D258" s="33"/>
      <c r="E258" s="33"/>
      <c r="F258" s="33"/>
      <c r="G258" s="33"/>
      <c r="H258" s="33"/>
      <c r="I258" s="33"/>
      <c r="J258" s="33"/>
      <c r="K258" s="33"/>
      <c r="L258" s="33"/>
      <c r="M258" s="33"/>
      <c r="O258" s="33" t="str">
        <f ca="1">IF(Q11="cleric",Q12+N42," ")</f>
        <v xml:space="preserve"> </v>
      </c>
      <c r="P258" s="33">
        <f ca="1">IF($Q$11="cleric",INDEX('Spell Tables'!C26:C45,MATCH($Q$12,('Spell Tables'!B26:B45),0)),0)</f>
        <v>0</v>
      </c>
      <c r="Q258" s="114">
        <f ca="1">IF($Q257="x",RANDBETWEEN(1,2),IF($Q257="xx",$O$258,0))</f>
        <v>0</v>
      </c>
      <c r="R258" s="114">
        <f ca="1">IF(R257="x",RANDBETWEEN(1,2),IF(R257="xx",$O$258-Q258,0))</f>
        <v>0</v>
      </c>
      <c r="S258" s="114">
        <f ca="1">IF(S257="x",O258-SUM(Q258:R258,U185:X185),IF(S257="xx",$O$258-SUM(Q258:R258),0))</f>
        <v>0</v>
      </c>
      <c r="T258" s="114">
        <f ca="1">IF(T257="x",RANDBETWEEN(1,2),IF(T257="xx",RANDBETWEEN(2,3),0))</f>
        <v>0</v>
      </c>
    </row>
    <row r="259" spans="2:20" hidden="1" x14ac:dyDescent="0.3">
      <c r="B259" s="92" t="s">
        <v>1248</v>
      </c>
      <c r="C259" s="33"/>
      <c r="D259" s="33"/>
      <c r="E259" s="33"/>
      <c r="F259" s="33"/>
      <c r="G259" s="33"/>
      <c r="H259" s="33"/>
      <c r="I259" s="33"/>
      <c r="J259" s="33"/>
      <c r="K259" s="33"/>
      <c r="L259" s="33"/>
      <c r="M259" s="33"/>
      <c r="O259" s="33" t="s">
        <v>530</v>
      </c>
      <c r="P259" s="33" t="s">
        <v>530</v>
      </c>
      <c r="Q259" s="114" t="str">
        <f ca="1">IF(AND($Q$11="bard",$Q$12&gt;=3),"x",IF($Q$11="bard","xx"," "))</f>
        <v xml:space="preserve"> </v>
      </c>
      <c r="R259" s="114" t="str">
        <f ca="1">IF(AND($Q$11="bard",$Q$12&gt;=5),"x",IF(AND($Q$11="bard",$Q$12&gt;=3),"xx"," "))</f>
        <v xml:space="preserve"> </v>
      </c>
      <c r="S259" s="114" t="str">
        <f ca="1">IF(AND($Q$11="bard",$Q$12&gt;=7),"x",IF(AND($Q$11="bard",$Q$12&gt;=5),"xx"," "))</f>
        <v xml:space="preserve"> </v>
      </c>
      <c r="T259" s="114" t="str">
        <f ca="1">IF(AND($Q$11="bard",$Q$12&gt;=9),"x",IF(AND($Q$11="bard",$Q$12&gt;=7),"xx"," "))</f>
        <v xml:space="preserve"> </v>
      </c>
    </row>
    <row r="260" spans="2:20" hidden="1" x14ac:dyDescent="0.3">
      <c r="B260" s="92" t="s">
        <v>1141</v>
      </c>
      <c r="C260" s="33"/>
      <c r="D260" s="33"/>
      <c r="E260" s="33"/>
      <c r="F260" s="33"/>
      <c r="G260" s="33"/>
      <c r="H260" s="33"/>
      <c r="I260" s="33"/>
      <c r="J260" s="33"/>
      <c r="K260" s="33"/>
      <c r="L260" s="33"/>
      <c r="M260" s="33"/>
      <c r="O260" s="33" t="str">
        <f ca="1">IF($Q$11="bard",INDEX('Spell Tables'!C$2:C$21,MATCH($Q$12,('Spell Tables'!$A$2:$A$21),0))," ")</f>
        <v xml:space="preserve"> </v>
      </c>
      <c r="P260" s="33">
        <f ca="1">IF($Q$11="bard",INDEX('Spell Tables'!B2:B21,MATCH($Q$12,('Spell Tables'!A2:A21),0)),0)</f>
        <v>0</v>
      </c>
      <c r="Q260" s="114">
        <f ca="1">IF($Q259="x",RANDBETWEEN(1,2),IF($Q259="xx",$O$260,0))</f>
        <v>0</v>
      </c>
      <c r="R260" s="114">
        <f ca="1">IF(R259="x",RANDBETWEEN(1,2),IF(R259="xx",$O$260-Q260,0))</f>
        <v>0</v>
      </c>
      <c r="S260" s="114">
        <f ca="1">IF(S259="x",O260-SUM(Q260:R260,U187:X187),IF(S259="xx",$O$260-SUM(Q260:R260),0))</f>
        <v>0</v>
      </c>
      <c r="T260" s="114">
        <f ca="1">IF(T259="x",RANDBETWEEN(1,2),IF(T259="xx",RANDBETWEEN(2,3),0))</f>
        <v>0</v>
      </c>
    </row>
    <row r="261" spans="2:20" x14ac:dyDescent="0.3">
      <c r="B261" s="92" t="s">
        <v>1122</v>
      </c>
      <c r="C261" s="33"/>
      <c r="D261" s="33"/>
      <c r="E261" s="33"/>
      <c r="F261" s="33"/>
      <c r="G261" s="33"/>
      <c r="H261" s="33"/>
      <c r="I261" s="33"/>
      <c r="J261" s="33"/>
      <c r="K261" s="33"/>
      <c r="L261" s="33"/>
      <c r="M261" s="33"/>
      <c r="O261" s="33"/>
      <c r="P261" s="92" t="s">
        <v>1124</v>
      </c>
      <c r="Q261" s="92" t="s">
        <v>746</v>
      </c>
      <c r="R261" s="92" t="s">
        <v>747</v>
      </c>
      <c r="S261" s="92" t="s">
        <v>748</v>
      </c>
      <c r="T261" s="92" t="s">
        <v>749</v>
      </c>
    </row>
    <row r="262" spans="2:20" x14ac:dyDescent="0.3">
      <c r="B262" s="33" t="str">
        <f ca="1">IF(OR(Q11="bard",Q11="paladin",Q11="sorcerer",Q11="warlock"),8+$P$8+$N$43,IF(OR(Q11="druid",Q11="cleric",Q11="ranger"),8+P8+N42,IF(OR(R15="eldritch knight",R15="arcane trickster",Q11="wizard"),8+P8+N41," ")))</f>
        <v xml:space="preserve"> </v>
      </c>
      <c r="C262" s="33"/>
      <c r="D262" s="33"/>
      <c r="E262" s="33"/>
      <c r="F262" s="33"/>
      <c r="G262" s="33"/>
      <c r="H262" s="33"/>
      <c r="I262" s="33"/>
      <c r="J262" s="33"/>
      <c r="K262" s="33"/>
      <c r="L262" s="33"/>
      <c r="M262" s="33"/>
      <c r="O262" s="34">
        <v>1</v>
      </c>
      <c r="P262" s="33" t="str">
        <f ca="1">IF(P$242&gt;=O193,INDEX('Spell Tables'!$P$242:$P$257,MATCH(O193,('Spell Tables'!$N$242:$N$257),0)),IF(P$244&gt;=O193,INDEX('Spell Tables'!$P$194:$P$201,MATCH(O193,('Spell Tables'!$N$194:$N$201),0)),IF(P$246&gt;=O193,INDEX('Spell Tables'!$P$168:$P$183,MATCH(O193,('Spell Tables'!$N$168:$N$183),0)),IF(P$248&gt;=O193,INDEX('Spell Tables'!$P$141:$P$156,MATCH(O193,('Spell Tables'!$N$141:$N$157),0)),IF(P$254&gt;=O193,INDEX('Spell Tables'!$P$70:$P$83,MATCH(O193,('Spell Tables'!$N$70:$N$83),0)),IF(P$256&gt;=O193,INDEX('Spell Tables'!$P$48:$P$55,MATCH(O193,('Spell Tables'!$N$48:$N$55),0)),IF(P$258&gt;=O193,INDEX('Spell Tables'!$P$26:$P$32,MATCH(O193,('Spell Tables'!$N$26:$N$32),0)),IF(P$260&gt;=O193,INDEX('Spell Tables'!$P$2:$P$12,MATCH(O193,('Spell Tables'!$N$2:$N$12),0))," "))))))))</f>
        <v xml:space="preserve"> </v>
      </c>
      <c r="Q262" s="33" t="str">
        <f ca="1">IF(AND($Q$15="Otherworldly patron - great old one",Q$244&gt;=O193),INDEX('Spell Tables'!$T$226:$T$238,MATCH(O193,('Spell Tables'!$R$226:$R$238),0)),IF(AND($Q$15="Otherworldly patron - fiend",Q$244&gt;=O193),INDEX('Spell Tables'!$T$210:$T$222,MATCH(O193,('Spell Tables'!$R$210:$R$222),0)),IF(Q$242&gt;=O193,INDEX($AL$44:$AL$53,MATCH(O193,($AJ$44:$AJ$53),0)),IF(AND($Q$15="Otherworldly patron - archfey",Q$244&gt;=O193),INDEX('Spell Tables'!T$206:$T294,MATCH(O193,('Spell Tables'!$R$194:$R$206),0)),IF(Q$246&gt;=O193,INDEX('Spell Tables'!T268:T287,MATCH(O193,('Spell Tables'!$R$168:$R$187),0)),IF(Q$248&gt;=O193,INDEX('Spell Tables'!T241:T247,MATCH(O193,('Spell Tables'!$R$141:$R$147),0)),IF(Q$250&gt;=O193,INDEX('Spell Tables'!$P$119:$P$131,MATCH(O193,('Spell Tables'!$N$119:$N$131),0)),IF(Q$252&gt;=O193,INDEX('Spell Tables'!$P$97:$P$111,MATCH(O193,('Spell Tables'!$N$97:$N$111),0)),IF(Q$254&gt;=O193,INDEX('Spell Tables'!$T$70:$T$78,MATCH(O193,('Spell Tables'!$R$70:$R$78),0)),IF(Q$256&gt;=O193,INDEX('Spell Tables'!$T$48:$T$63,MATCH(O193,('Spell Tables'!$R$48:$R$63),0)),IF(Q$258&gt;=O193,INDEX('Spell Tables'!$T$26:$T$40,MATCH(O193,('Spell Tables'!$R$26:$R$40),0)),IF(Q$260&gt;=O193,INDEX('Spell Tables'!$T$2:$T$22,MATCH(O193,('Spell Tables'!$R$2:$R$22),0))," "))))))))))))</f>
        <v xml:space="preserve"> </v>
      </c>
      <c r="R262" s="33" t="str">
        <f ca="1">IF(AND($Q$15="Otherworldly patron - great old one",R$244&gt;=O193),INDEX('Spell Tables'!$X$226:$X$239,MATCH(O193,('Spell Tables'!$V$226:$V$239),0)),IF(AND($Q$15="Otherworldly patron - fiend",R$244&gt;=O193),INDEX('Spell Tables'!$X$210:$X$223,MATCH(O193,('Spell Tables'!$V$210:$V$223),0)),IF(AND($Q$15="Otherworldly patron - archfey",R$244&gt;=O193),INDEX('Spell Tables'!$X$194:$X$207,MATCH(O193,('Spell Tables'!$V$194:$V$207),0)),IF($R$242&gt;=O193,INDEX($AL$56:$AL$65,MATCH(O193,($AJ$56:$AJ$65),0)),IF($R$246&gt;=O193,INDEX('Spell Tables'!$X$168:$X$191,MATCH(O193,('Spell Tables'!$V$168:$V$191),0)),IF($R$248&gt;=O193,INDEX('Spell Tables'!$AB$141:$AB$149,MATCH(O193,('Spell Tables'!$Z$141:$Z$149),0)),IF($R$250&gt;=O193,INDEX('Spell Tables'!T219:T231,MATCH(O193,('Spell Tables'!$R$119:$R$131),0)),IF($R$252&gt;=O193,INDEX('Spell Tables'!$T$97:T204,MATCH(O193,('Spell Tables'!$R$97:$R$104),0)),IF($R$254&gt;=O193,INDEX('Spell Tables'!$AB$70:$AB$75,MATCH(O193,('Spell Tables'!$Z$70:$Z$75),0)),IF($R$256&gt;=O193,INDEX('Spell Tables'!$X$48:$X$65,MATCH(O193,('Spell Tables'!$V$48:$V$65),0)),IF($R$258&gt;=O193,INDEX('Spell Tables'!$X$26:$X$42,MATCH(O193,('Spell Tables'!$V$26:$V$42),0)),IF($R$260&gt;=O193,INDEX('Spell Tables'!$X$2:$X$23,MATCH(O193,('Spell Tables'!$V$2:$V$23),0))," "))))))))))))</f>
        <v xml:space="preserve"> </v>
      </c>
      <c r="S262" s="33" t="str">
        <f ca="1">IF(AND($Q$15="Otherworldly patron - great old one",S$244&gt;=O193),INDEX('Spell Tables'!$AB$226:$AB$238,MATCH(O193,('Spell Tables'!$Z$226:$Z$238),0)),IF(AND($Q$15="Otherworldly patron - fiend",S$244&gt;=O193),INDEX('Spell Tables'!$AB$210:$AB$222,MATCH(O193,('Spell Tables'!$Z$210:$Z$222),0)),IF(AND($Q$15="Otherworldly patron - archfey",S$244&gt;=O193),INDEX('Spell Tables'!$AB$194:$AB$206,MATCH(O193,('Spell Tables'!$Z$194:$Z$206),0)),IF($S$242&gt;=O193,INDEX($AL$68:$AL$77,MATCH(O193,($AJ$68:$AJ$77),0)),IF($S$246&gt;=O193,INDEX('Spell Tables'!$AB$168:$AB$187,MATCH(O193,('Spell Tables'!$Z$168:$Z$187),0)),IF($S$248&gt;=O193,INDEX('Spell Tables'!$AJ$141:$AJ$144,MATCH(O193,('Spell Tables'!$AH$141:$AH$144),0)),IF($S$250&gt;=O193,INDEX('Spell Tables'!$X$119:$X$129,MATCH(O193,('Spell Tables'!$V$119:$V$129),0)),IF($S$252&gt;=O193,INDEX('Spell Tables'!$X$97:$X$106,MATCH(O193,('Spell Tables'!$V$97:$V$106),0)),IF($S$254&gt;=O193,INDEX('Spell Tables'!$AJ$70:$AJ$79,MATCH(O193,('Spell Tables'!$AH$70:$AH$79),0)),IF($S$256&gt;=O193,INDEX('Spell Tables'!$AB$48:$AB$60,MATCH(O193,('Spell Tables'!$Z$48:$Z$60),0)),IF($S$258&gt;=O193,INDEX('Spell Tables'!$AB$26:$AB$45,MATCH(O193,('Spell Tables'!$Z$26:$Z$45),0)),IF($S$260&gt;=O193,INDEX('Spell Tables'!$AB$2:$AB$17,MATCH(O193,('Spell Tables'!$Z$2:$Z$17),0))," "))))))))))))</f>
        <v xml:space="preserve"> </v>
      </c>
      <c r="T262" s="33" t="str">
        <f ca="1">IF(AND($Q$15="Otherworldly patron - great old one",T$244&gt;=O193),INDEX('Spell Tables'!$AF$226:$AF$231,MATCH(O193,('Spell Tables'!$AD$226:$AD$231),0)),IF(AND($Q$15="Otherworldly patron - fiend",T$244&gt;=O193),INDEX('Spell Tables'!$AF$210:$AF$215,MATCH(O193,('Spell Tables'!$AD$210:$AD$215),0)),IF(AND($Q$15="Otherworldly patron - archfey",T$244&gt;=O193),INDEX('Spell Tables'!$AF$194:$AF$199,MATCH(O193,('Spell Tables'!$AD$194:$AD$199),0)),IF($T$242&gt;=O193,INDEX($AL$80:$AL$89,MATCH(O193,($AJ$80:$AJ$89),0)),IF($T$246&gt;=O193,INDEX('Spell Tables'!$AF$168:$AF$177,MATCH(O193,('Spell Tables'!$AD$168:$AD$177),0)),IF($T$248&gt;=O193,INDEX('Spell Tables'!$AR$141:$AR$144,MATCH(O193,('Spell Tables'!$AP$141:$AP$144),0)),IF($T$250&gt;=O193,INDEX('Spell Tables'!$AB$119:$AB$123,MATCH(O193,('Spell Tables'!$Z$119:$Z$123),0)),IF($T$252&gt;=O193,INDEX('Spell Tables'!$AB$97:$AB$102,MATCH(O193,('Spell Tables'!$Z$97:$Z$102),0)),IF($T$254&gt;=O193,INDEX('Spell Tables'!$AR$70:$AR$75,MATCH(O193,('Spell Tables'!$AP$70:$AP$75),0)),IF($T$256&gt;=O193,INDEX('Spell Tables'!$AF$48:$AF$63,MATCH(O193,('Spell Tables'!$AD$48:$AD$63),0)),IF($T$258&gt;=O193,INDEX('Spell Tables'!$AF$26:$AF$33,MATCH(O193,('Spell Tables'!$AD$26:$AD$33),0)),IF($T$260&gt;=O193,INDEX('Spell Tables'!$AF$2:$AF$9,MATCH(O193,('Spell Tables'!$AD$2:$AD$9),0))," "))))))))))))</f>
        <v xml:space="preserve"> </v>
      </c>
    </row>
    <row r="263" spans="2:20" x14ac:dyDescent="0.3">
      <c r="B263" s="92" t="s">
        <v>1123</v>
      </c>
      <c r="C263" s="33"/>
      <c r="D263" s="33"/>
      <c r="E263" s="33"/>
      <c r="F263" s="33"/>
      <c r="G263" s="33"/>
      <c r="H263" s="33"/>
      <c r="I263" s="33"/>
      <c r="J263" s="33"/>
      <c r="K263" s="33"/>
      <c r="L263" s="33"/>
      <c r="M263" s="33"/>
      <c r="O263" s="34">
        <v>2</v>
      </c>
      <c r="P263" s="33" t="str">
        <f ca="1">IF(P$242&gt;=O194,INDEX('Spell Tables'!$P$242:$P$257,MATCH(O194,('Spell Tables'!$N$242:$N$257),0)),IF(P$244&gt;=O194,INDEX('Spell Tables'!$P$194:$P$201,MATCH(O194,('Spell Tables'!$N$194:$N$201),0)),IF(P$246&gt;=O194,INDEX('Spell Tables'!$P$168:$P$183,MATCH(O194,('Spell Tables'!$N$168:$N$183),0)),IF(P$248&gt;=O194,INDEX('Spell Tables'!$P$141:$P$156,MATCH(O194,('Spell Tables'!$N$141:$N$157),0)),IF(P$254&gt;=O194,INDEX('Spell Tables'!$P$70:$P$83,MATCH(O194,('Spell Tables'!$N$70:$N$83),0)),IF(P$256&gt;=O194,INDEX('Spell Tables'!$P$48:$P$55,MATCH(O194,('Spell Tables'!$N$48:$N$55),0)),IF(P$258&gt;=O194,INDEX('Spell Tables'!$P$26:$P$32,MATCH(O194,('Spell Tables'!$N$26:$N$32),0)),IF(P$260&gt;=O194,INDEX('Spell Tables'!$P$2:$P$12,MATCH(O194,('Spell Tables'!$N$2:$N$12),0))," "))))))))</f>
        <v xml:space="preserve"> </v>
      </c>
      <c r="Q263" s="33" t="str">
        <f ca="1">IF(AND($Q$15="Otherworldly patron - great old one",Q$244&gt;=O194),INDEX('Spell Tables'!$T$226:$T$238,MATCH(O194,('Spell Tables'!$R$226:$R$238),0)),IF(AND($Q$15="Otherworldly patron - fiend",Q$244&gt;=O194),INDEX('Spell Tables'!$T$210:$T$222,MATCH(O194,('Spell Tables'!$R$210:$R$222),0)),IF(Q$242&gt;=O194,INDEX($AL$44:$AL$53,MATCH(O194,($AJ$44:$AJ$53),0)),IF(AND($Q$15="Otherworldly patron - archfey",Q$244&gt;=O194),INDEX('Spell Tables'!T$206:$T295,MATCH(O194,('Spell Tables'!$R$194:$R$206),0)),IF(Q$246&gt;=O194,INDEX('Spell Tables'!T269:T288,MATCH(O194,('Spell Tables'!$R$168:$R$187),0)),IF(Q$248&gt;=O194,INDEX('Spell Tables'!T242:T248,MATCH(O194,('Spell Tables'!$R$141:$R$147),0)),IF(Q$250&gt;=O194,INDEX('Spell Tables'!$P$119:$P$131,MATCH(O194,('Spell Tables'!$N$119:$N$131),0)),IF(Q$252&gt;=O194,INDEX('Spell Tables'!$P$97:$P$111,MATCH(O194,('Spell Tables'!$N$97:$N$111),0)),IF(Q$254&gt;=O194,INDEX('Spell Tables'!$T$70:$T$78,MATCH(O194,('Spell Tables'!$R$70:$R$78),0)),IF(Q$256&gt;=O194,INDEX('Spell Tables'!$T$48:$T$63,MATCH(O194,('Spell Tables'!$R$48:$R$63),0)),IF(Q$258&gt;=O194,INDEX('Spell Tables'!$T$26:$T$40,MATCH(O194,('Spell Tables'!$R$26:$R$40),0)),IF(Q$260&gt;=O194,INDEX('Spell Tables'!$T$2:$T$22,MATCH(O194,('Spell Tables'!$R$2:$R$22),0))," "))))))))))))</f>
        <v xml:space="preserve"> </v>
      </c>
      <c r="R263" s="33" t="str">
        <f ca="1">IF(AND($Q$15="Otherworldly patron - great old one",R$244&gt;=O194),INDEX('Spell Tables'!$X$226:$X$239,MATCH(O194,('Spell Tables'!$V$226:$V$239),0)),IF(AND($Q$15="Otherworldly patron - fiend",R$244&gt;=O194),INDEX('Spell Tables'!$X$210:$X$223,MATCH(O194,('Spell Tables'!$V$210:$V$223),0)),IF(AND($Q$15="Otherworldly patron - archfey",R$244&gt;=O194),INDEX('Spell Tables'!$X$194:$X$207,MATCH(O194,('Spell Tables'!$V$194:$V$207),0)),IF($R$242&gt;=O194,INDEX($AL$56:$AL$65,MATCH(O194,($AJ$56:$AJ$65),0)),IF($R$246&gt;=O194,INDEX('Spell Tables'!$X$168:$X$191,MATCH(O194,('Spell Tables'!$V$168:$V$191),0)),IF($R$248&gt;=O194,INDEX('Spell Tables'!$AB$141:$AB$149,MATCH(O194,('Spell Tables'!$Z$141:$Z$149),0)),IF($R$250&gt;=O194,INDEX('Spell Tables'!T220:T232,MATCH(O194,('Spell Tables'!$R$119:$R$131),0)),IF($R$252&gt;=O194,INDEX('Spell Tables'!$T$97:T205,MATCH(O194,('Spell Tables'!$R$97:$R$104),0)),IF($R$254&gt;=O194,INDEX('Spell Tables'!$AB$70:$AB$75,MATCH(O194,('Spell Tables'!$Z$70:$Z$75),0)),IF($R$256&gt;=O194,INDEX('Spell Tables'!$X$48:$X$65,MATCH(O194,('Spell Tables'!$V$48:$V$65),0)),IF($R$258&gt;=O194,INDEX('Spell Tables'!$X$26:$X$42,MATCH(O194,('Spell Tables'!$V$26:$V$42),0)),IF($R$260&gt;=O194,INDEX('Spell Tables'!$X$2:$X$23,MATCH(O194,('Spell Tables'!$V$2:$V$23),0))," "))))))))))))</f>
        <v xml:space="preserve"> </v>
      </c>
      <c r="S263" s="33" t="str">
        <f ca="1">IF(AND($Q$15="Otherworldly patron - great old one",S$244&gt;=O194),INDEX('Spell Tables'!$AB$226:$AB$238,MATCH(O194,('Spell Tables'!$Z$226:$Z$238),0)),IF(AND($Q$15="Otherworldly patron - fiend",S$244&gt;=O194),INDEX('Spell Tables'!$AB$210:$AB$222,MATCH(O194,('Spell Tables'!$Z$210:$Z$222),0)),IF(AND($Q$15="Otherworldly patron - archfey",S$244&gt;=O194),INDEX('Spell Tables'!$AB$194:$AB$206,MATCH(O194,('Spell Tables'!$Z$194:$Z$206),0)),IF($S$242&gt;=O194,INDEX($AL$68:$AL$77,MATCH(O194,($AJ$68:$AJ$77),0)),IF($S$246&gt;=O194,INDEX('Spell Tables'!$AB$168:$AB$187,MATCH(O194,('Spell Tables'!$Z$168:$Z$187),0)),IF($S$248&gt;=O194,INDEX('Spell Tables'!$AJ$141:$AJ$144,MATCH(O194,('Spell Tables'!$AH$141:$AH$144),0)),IF($S$250&gt;=O194,INDEX('Spell Tables'!$X$119:$X$129,MATCH(O194,('Spell Tables'!$V$119:$V$129),0)),IF($S$252&gt;=O194,INDEX('Spell Tables'!$X$97:$X$106,MATCH(O194,('Spell Tables'!$V$97:$V$106),0)),IF($S$254&gt;=O194,INDEX('Spell Tables'!$AJ$70:$AJ$79,MATCH(O194,('Spell Tables'!$AH$70:$AH$79),0)),IF($S$256&gt;=O194,INDEX('Spell Tables'!$AB$48:$AB$60,MATCH(O194,('Spell Tables'!$Z$48:$Z$60),0)),IF($S$258&gt;=O194,INDEX('Spell Tables'!$AB$26:$AB$45,MATCH(O194,('Spell Tables'!$Z$26:$Z$45),0)),IF($S$260&gt;=O194,INDEX('Spell Tables'!$AB$2:$AB$17,MATCH(O194,('Spell Tables'!$Z$2:$Z$17),0))," "))))))))))))</f>
        <v xml:space="preserve"> </v>
      </c>
      <c r="T263" s="33" t="str">
        <f ca="1">IF(AND($Q$15="Otherworldly patron - great old one",T$244&gt;=O194),INDEX('Spell Tables'!$AF$226:$AF$231,MATCH(O194,('Spell Tables'!$AD$226:$AD$231),0)),IF(AND($Q$15="Otherworldly patron - fiend",T$244&gt;=O194),INDEX('Spell Tables'!$AF$210:$AF$215,MATCH(O194,('Spell Tables'!$AD$210:$AD$215),0)),IF(AND($Q$15="Otherworldly patron - archfey",T$244&gt;=O194),INDEX('Spell Tables'!$AF$194:$AF$199,MATCH(O194,('Spell Tables'!$AD$194:$AD$199),0)),IF($T$242&gt;=O194,INDEX($AL$80:$AL$89,MATCH(O194,($AJ$80:$AJ$89),0)),IF($T$246&gt;=O194,INDEX('Spell Tables'!$AF$168:$AF$177,MATCH(O194,('Spell Tables'!$AD$168:$AD$177),0)),IF($T$248&gt;=O194,INDEX('Spell Tables'!$AR$141:$AR$144,MATCH(O194,('Spell Tables'!$AP$141:$AP$144),0)),IF($T$250&gt;=O194,INDEX('Spell Tables'!$AB$119:$AB$123,MATCH(O194,('Spell Tables'!$Z$119:$Z$123),0)),IF($T$252&gt;=O194,INDEX('Spell Tables'!$AB$97:$AB$102,MATCH(O194,('Spell Tables'!$Z$97:$Z$102),0)),IF($T$254&gt;=O194,INDEX('Spell Tables'!$AR$70:$AR$75,MATCH(O194,('Spell Tables'!$AP$70:$AP$75),0)),IF($T$256&gt;=O194,INDEX('Spell Tables'!$AF$48:$AF$63,MATCH(O194,('Spell Tables'!$AD$48:$AD$63),0)),IF($T$258&gt;=O194,INDEX('Spell Tables'!$AF$26:$AF$33,MATCH(O194,('Spell Tables'!$AD$26:$AD$33),0)),IF($T$260&gt;=O194,INDEX('Spell Tables'!$AF$2:$AF$9,MATCH(O194,('Spell Tables'!$AD$2:$AD$9),0))," "))))))))))))</f>
        <v xml:space="preserve"> </v>
      </c>
    </row>
    <row r="264" spans="2:20" x14ac:dyDescent="0.3">
      <c r="B264" s="33" t="str">
        <f ca="1">IF(OR(Q11="bard",Q11="paladin",Q11="sorcerer",Q11="warlock"),P8+$N$43,IF(OR(Q11="druid",Q11="cleric",Q11="ranger"),P8+N42,IF(OR(R15="eldritch knight",R15="arcane trickster",Q11="wizard"),P8+N41," ")))</f>
        <v xml:space="preserve"> </v>
      </c>
      <c r="C264" s="33"/>
      <c r="D264" s="33"/>
      <c r="E264" s="33"/>
      <c r="F264" s="33"/>
      <c r="G264" s="33"/>
      <c r="H264" s="33"/>
      <c r="I264" s="33"/>
      <c r="J264" s="33"/>
      <c r="K264" s="33"/>
      <c r="L264" s="33"/>
      <c r="M264" s="33"/>
      <c r="O264" s="34">
        <v>3</v>
      </c>
      <c r="P264" s="33" t="str">
        <f ca="1">IF(P$242&gt;=O195,INDEX('Spell Tables'!$P$242:$P$257,MATCH(O195,('Spell Tables'!$N$242:$N$257),0)),IF(P$244&gt;=O195,INDEX('Spell Tables'!$P$194:$P$201,MATCH(O195,('Spell Tables'!$N$194:$N$201),0)),IF(P$246&gt;=O195,INDEX('Spell Tables'!$P$168:$P$183,MATCH(O195,('Spell Tables'!$N$168:$N$183),0)),IF(P$248&gt;=O195,INDEX('Spell Tables'!$P$141:$P$156,MATCH(O195,('Spell Tables'!$N$141:$N$157),0)),IF(P$254&gt;=O195,INDEX('Spell Tables'!$P$70:$P$83,MATCH(O195,('Spell Tables'!$N$70:$N$83),0)),IF(P$256&gt;=O195,INDEX('Spell Tables'!$P$48:$P$55,MATCH(O195,('Spell Tables'!$N$48:$N$55),0)),IF(P$258&gt;=O195,INDEX('Spell Tables'!$P$26:$P$32,MATCH(O195,('Spell Tables'!$N$26:$N$32),0)),IF(P$260&gt;=O195,INDEX('Spell Tables'!$P$2:$P$12,MATCH(O195,('Spell Tables'!$N$2:$N$12),0))," "))))))))</f>
        <v xml:space="preserve"> </v>
      </c>
      <c r="Q264" s="33" t="str">
        <f ca="1">IF(AND($Q$15="Otherworldly patron - great old one",Q$244&gt;=O195),INDEX('Spell Tables'!$T$226:$T$238,MATCH(O195,('Spell Tables'!$R$226:$R$238),0)),IF(AND($Q$15="Otherworldly patron - fiend",Q$244&gt;=O195),INDEX('Spell Tables'!$T$210:$T$222,MATCH(O195,('Spell Tables'!$R$210:$R$222),0)),IF(Q$242&gt;=O195,INDEX($AL$44:$AL$53,MATCH(O195,($AJ$44:$AJ$53),0)),IF(AND($Q$15="Otherworldly patron - archfey",Q$244&gt;=O195),INDEX('Spell Tables'!T$206:$T296,MATCH(O195,('Spell Tables'!$R$194:$R$206),0)),IF(Q$246&gt;=O195,INDEX('Spell Tables'!T270:T289,MATCH(O195,('Spell Tables'!$R$168:$R$187),0)),IF(Q$248&gt;=O195,INDEX('Spell Tables'!T243:T249,MATCH(O195,('Spell Tables'!$R$141:$R$147),0)),IF(Q$250&gt;=O195,INDEX('Spell Tables'!$P$119:$P$131,MATCH(O195,('Spell Tables'!$N$119:$N$131),0)),IF(Q$252&gt;=O195,INDEX('Spell Tables'!$P$97:$P$111,MATCH(O195,('Spell Tables'!$N$97:$N$111),0)),IF(Q$254&gt;=O195,INDEX('Spell Tables'!$T$70:$T$78,MATCH(O195,('Spell Tables'!$R$70:$R$78),0)),IF(Q$256&gt;=O195,INDEX('Spell Tables'!$T$48:$T$63,MATCH(O195,('Spell Tables'!$R$48:$R$63),0)),IF(Q$258&gt;=O195,INDEX('Spell Tables'!$T$26:$T$40,MATCH(O195,('Spell Tables'!$R$26:$R$40),0)),IF(Q$260&gt;=O195,INDEX('Spell Tables'!$T$2:$T$22,MATCH(O195,('Spell Tables'!$R$2:$R$22),0))," "))))))))))))</f>
        <v xml:space="preserve"> </v>
      </c>
      <c r="R264" s="33" t="str">
        <f ca="1">IF(AND($Q$15="Otherworldly patron - great old one",R$244&gt;=O195),INDEX('Spell Tables'!$X$226:$X$239,MATCH(O195,('Spell Tables'!$V$226:$V$239),0)),IF(AND($Q$15="Otherworldly patron - fiend",R$244&gt;=O195),INDEX('Spell Tables'!$X$210:$X$223,MATCH(O195,('Spell Tables'!$V$210:$V$223),0)),IF(AND($Q$15="Otherworldly patron - archfey",R$244&gt;=O195),INDEX('Spell Tables'!$X$194:$X$207,MATCH(O195,('Spell Tables'!$V$194:$V$207),0)),IF($R$242&gt;=O195,INDEX($AL$56:$AL$65,MATCH(O195,($AJ$56:$AJ$65),0)),IF($R$246&gt;=O195,INDEX('Spell Tables'!$X$168:$X$191,MATCH(O195,('Spell Tables'!$V$168:$V$191),0)),IF($R$248&gt;=O195,INDEX('Spell Tables'!$AB$141:$AB$149,MATCH(O195,('Spell Tables'!$Z$141:$Z$149),0)),IF($R$250&gt;=O195,INDEX('Spell Tables'!T221:T233,MATCH(O195,('Spell Tables'!$R$119:$R$131),0)),IF($R$252&gt;=O195,INDEX('Spell Tables'!$T$97:T206,MATCH(O195,('Spell Tables'!$R$97:$R$104),0)),IF($R$254&gt;=O195,INDEX('Spell Tables'!$AB$70:$AB$75,MATCH(O195,('Spell Tables'!$Z$70:$Z$75),0)),IF($R$256&gt;=O195,INDEX('Spell Tables'!$X$48:$X$65,MATCH(O195,('Spell Tables'!$V$48:$V$65),0)),IF($R$258&gt;=O195,INDEX('Spell Tables'!$X$26:$X$42,MATCH(O195,('Spell Tables'!$V$26:$V$42),0)),IF($R$260&gt;=O195,INDEX('Spell Tables'!$X$2:$X$23,MATCH(O195,('Spell Tables'!$V$2:$V$23),0))," "))))))))))))</f>
        <v xml:space="preserve"> </v>
      </c>
      <c r="S264" s="33" t="str">
        <f ca="1">IF(AND($Q$15="Otherworldly patron - great old one",S$244&gt;=O195),INDEX('Spell Tables'!$AB$226:$AB$238,MATCH(O195,('Spell Tables'!$Z$226:$Z$238),0)),IF(AND($Q$15="Otherworldly patron - fiend",S$244&gt;=O195),INDEX('Spell Tables'!$AB$210:$AB$222,MATCH(O195,('Spell Tables'!$Z$210:$Z$222),0)),IF(AND($Q$15="Otherworldly patron - archfey",S$244&gt;=O195),INDEX('Spell Tables'!$AB$194:$AB$206,MATCH(O195,('Spell Tables'!$Z$194:$Z$206),0)),IF($S$242&gt;=O195,INDEX($AL$68:$AL$77,MATCH(O195,($AJ$68:$AJ$77),0)),IF($S$246&gt;=O195,INDEX('Spell Tables'!$AB$168:$AB$187,MATCH(O195,('Spell Tables'!$Z$168:$Z$187),0)),IF($S$248&gt;=O195,INDEX('Spell Tables'!$AJ$141:$AJ$144,MATCH(O195,('Spell Tables'!$AH$141:$AH$144),0)),IF($S$250&gt;=O195,INDEX('Spell Tables'!$X$119:$X$129,MATCH(O195,('Spell Tables'!$V$119:$V$129),0)),IF($S$252&gt;=O195,INDEX('Spell Tables'!$X$97:$X$106,MATCH(O195,('Spell Tables'!$V$97:$V$106),0)),IF($S$254&gt;=O195,INDEX('Spell Tables'!$AJ$70:$AJ$79,MATCH(O195,('Spell Tables'!$AH$70:$AH$79),0)),IF($S$256&gt;=O195,INDEX('Spell Tables'!$AB$48:$AB$60,MATCH(O195,('Spell Tables'!$Z$48:$Z$60),0)),IF($S$258&gt;=O195,INDEX('Spell Tables'!$AB$26:$AB$45,MATCH(O195,('Spell Tables'!$Z$26:$Z$45),0)),IF($S$260&gt;=O195,INDEX('Spell Tables'!$AB$2:$AB$17,MATCH(O195,('Spell Tables'!$Z$2:$Z$17),0))," "))))))))))))</f>
        <v xml:space="preserve"> </v>
      </c>
      <c r="T264" s="33" t="str">
        <f ca="1">IF(AND($Q$15="Otherworldly patron - great old one",T$244&gt;=O195),INDEX('Spell Tables'!$AF$226:$AF$231,MATCH(O195,('Spell Tables'!$AD$226:$AD$231),0)),IF(AND($Q$15="Otherworldly patron - fiend",T$244&gt;=O195),INDEX('Spell Tables'!$AF$210:$AF$215,MATCH(O195,('Spell Tables'!$AD$210:$AD$215),0)),IF(AND($Q$15="Otherworldly patron - archfey",T$244&gt;=O195),INDEX('Spell Tables'!$AF$194:$AF$199,MATCH(O195,('Spell Tables'!$AD$194:$AD$199),0)),IF($T$242&gt;=O195,INDEX($AL$80:$AL$89,MATCH(O195,($AJ$80:$AJ$89),0)),IF($T$246&gt;=O195,INDEX('Spell Tables'!$AF$168:$AF$177,MATCH(O195,('Spell Tables'!$AD$168:$AD$177),0)),IF($T$248&gt;=O195,INDEX('Spell Tables'!$AR$141:$AR$144,MATCH(O195,('Spell Tables'!$AP$141:$AP$144),0)),IF($T$250&gt;=O195,INDEX('Spell Tables'!$AB$119:$AB$123,MATCH(O195,('Spell Tables'!$Z$119:$Z$123),0)),IF($T$252&gt;=O195,INDEX('Spell Tables'!$AB$97:$AB$102,MATCH(O195,('Spell Tables'!$Z$97:$Z$102),0)),IF($T$254&gt;=O195,INDEX('Spell Tables'!$AR$70:$AR$75,MATCH(O195,('Spell Tables'!$AP$70:$AP$75),0)),IF($T$256&gt;=O195,INDEX('Spell Tables'!$AF$48:$AF$63,MATCH(O195,('Spell Tables'!$AD$48:$AD$63),0)),IF($T$258&gt;=O195,INDEX('Spell Tables'!$AF$26:$AF$33,MATCH(O195,('Spell Tables'!$AD$26:$AD$33),0)),IF($T$260&gt;=O195,INDEX('Spell Tables'!$AF$2:$AF$9,MATCH(O195,('Spell Tables'!$AD$2:$AD$9),0))," "))))))))))))</f>
        <v xml:space="preserve"> </v>
      </c>
    </row>
    <row r="265" spans="2:20" x14ac:dyDescent="0.3">
      <c r="C265" s="33"/>
      <c r="D265" s="33"/>
      <c r="E265" s="33"/>
      <c r="F265" s="33"/>
      <c r="G265" s="33"/>
      <c r="H265" s="33"/>
      <c r="I265" s="33"/>
      <c r="J265" s="33"/>
      <c r="K265" s="33"/>
      <c r="L265" s="33"/>
      <c r="M265" s="33"/>
      <c r="O265" s="34">
        <v>4</v>
      </c>
      <c r="P265" s="33" t="str">
        <f ca="1">IF(P$242&gt;=O196,INDEX('Spell Tables'!$P$242:$P$257,MATCH(O196,('Spell Tables'!$N$242:$N$257),0)),IF(P$244&gt;=O196,INDEX('Spell Tables'!$P$194:$P$201,MATCH(O196,('Spell Tables'!$N$194:$N$201),0)),IF(P$246&gt;=O196,INDEX('Spell Tables'!$P$168:$P$183,MATCH(O196,('Spell Tables'!$N$168:$N$183),0)),IF(P$248&gt;=O196,INDEX('Spell Tables'!$P$141:$P$156,MATCH(O196,('Spell Tables'!$N$141:$N$157),0)),IF(P$254&gt;=O196,INDEX('Spell Tables'!$P$70:$P$83,MATCH(O196,('Spell Tables'!$N$70:$N$83),0)),IF(P$256&gt;=O196,INDEX('Spell Tables'!$P$48:$P$55,MATCH(O196,('Spell Tables'!$N$48:$N$55),0)),IF(P$258&gt;=O196,INDEX('Spell Tables'!$P$26:$P$32,MATCH(O196,('Spell Tables'!$N$26:$N$32),0)),IF(P$260&gt;=O196,INDEX('Spell Tables'!$P$2:$P$12,MATCH(O196,('Spell Tables'!$N$2:$N$12),0))," "))))))))</f>
        <v xml:space="preserve"> </v>
      </c>
      <c r="Q265" s="33" t="str">
        <f ca="1">IF(AND($Q$15="Otherworldly patron - great old one",Q$244&gt;=O196),INDEX('Spell Tables'!$T$226:$T$238,MATCH(O196,('Spell Tables'!$R$226:$R$238),0)),IF(AND($Q$15="Otherworldly patron - fiend",Q$244&gt;=O196),INDEX('Spell Tables'!$T$210:$T$222,MATCH(O196,('Spell Tables'!$R$210:$R$222),0)),IF(Q$242&gt;=O196,INDEX($AL$44:$AL$53,MATCH(O196,($AJ$44:$AJ$53),0)),IF(AND($Q$15="Otherworldly patron - archfey",Q$244&gt;=O196),INDEX('Spell Tables'!T$206:$T297,MATCH(O196,('Spell Tables'!$R$194:$R$206),0)),IF(Q$246&gt;=O196,INDEX('Spell Tables'!T271:T290,MATCH(O196,('Spell Tables'!$R$168:$R$187),0)),IF(Q$248&gt;=O196,INDEX('Spell Tables'!T244:T250,MATCH(O196,('Spell Tables'!$R$141:$R$147),0)),IF(Q$250&gt;=O196,INDEX('Spell Tables'!$P$119:$P$131,MATCH(O196,('Spell Tables'!$N$119:$N$131),0)),IF(Q$252&gt;=O196,INDEX('Spell Tables'!$P$97:$P$111,MATCH(O196,('Spell Tables'!$N$97:$N$111),0)),IF(Q$254&gt;=O196,INDEX('Spell Tables'!$T$70:$T$78,MATCH(O196,('Spell Tables'!$R$70:$R$78),0)),IF(Q$256&gt;=O196,INDEX('Spell Tables'!$T$48:$T$63,MATCH(O196,('Spell Tables'!$R$48:$R$63),0)),IF(Q$258&gt;=O196,INDEX('Spell Tables'!$T$26:$T$40,MATCH(O196,('Spell Tables'!$R$26:$R$40),0)),IF(Q$260&gt;=O196,INDEX('Spell Tables'!$T$2:$T$22,MATCH(O196,('Spell Tables'!$R$2:$R$22),0))," "))))))))))))</f>
        <v xml:space="preserve"> </v>
      </c>
      <c r="R265" s="33" t="str">
        <f ca="1">IF(AND($Q$15="Otherworldly patron - great old one",R$244&gt;=O196),INDEX('Spell Tables'!$X$226:$X$239,MATCH(O196,('Spell Tables'!$V$226:$V$239),0)),IF(AND($Q$15="Otherworldly patron - fiend",R$244&gt;=O196),INDEX('Spell Tables'!$X$210:$X$223,MATCH(O196,('Spell Tables'!$V$210:$V$223),0)),IF(AND($Q$15="Otherworldly patron - archfey",R$244&gt;=O196),INDEX('Spell Tables'!$X$194:$X$207,MATCH(O196,('Spell Tables'!$V$194:$V$207),0)),IF($R$242&gt;=O196,INDEX($AL$56:$AL$65,MATCH(O196,($AJ$56:$AJ$65),0)),IF($R$246&gt;=O196,INDEX('Spell Tables'!$X$168:$X$191,MATCH(O196,('Spell Tables'!$V$168:$V$191),0)),IF($R$248&gt;=O196,INDEX('Spell Tables'!$AB$141:$AB$149,MATCH(O196,('Spell Tables'!$Z$141:$Z$149),0)),IF($R$250&gt;=O196,INDEX('Spell Tables'!T222:T234,MATCH(O196,('Spell Tables'!$R$119:$R$131),0)),IF($R$252&gt;=O196,INDEX('Spell Tables'!$T$97:T207,MATCH(O196,('Spell Tables'!$R$97:$R$104),0)),IF($R$254&gt;=O196,INDEX('Spell Tables'!$AB$70:$AB$75,MATCH(O196,('Spell Tables'!$Z$70:$Z$75),0)),IF($R$256&gt;=O196,INDEX('Spell Tables'!$X$48:$X$65,MATCH(O196,('Spell Tables'!$V$48:$V$65),0)),IF($R$258&gt;=O196,INDEX('Spell Tables'!$X$26:$X$42,MATCH(O196,('Spell Tables'!$V$26:$V$42),0)),IF($R$260&gt;=O196,INDEX('Spell Tables'!$X$2:$X$23,MATCH(O196,('Spell Tables'!$V$2:$V$23),0))," "))))))))))))</f>
        <v xml:space="preserve"> </v>
      </c>
      <c r="S265" s="33" t="str">
        <f ca="1">IF(AND($Q$15="Otherworldly patron - great old one",S$244&gt;=O196),INDEX('Spell Tables'!$AB$226:$AB$238,MATCH(O196,('Spell Tables'!$Z$226:$Z$238),0)),IF(AND($Q$15="Otherworldly patron - fiend",S$244&gt;=O196),INDEX('Spell Tables'!$AB$210:$AB$222,MATCH(O196,('Spell Tables'!$Z$210:$Z$222),0)),IF(AND($Q$15="Otherworldly patron - archfey",S$244&gt;=O196),INDEX('Spell Tables'!$AB$194:$AB$206,MATCH(O196,('Spell Tables'!$Z$194:$Z$206),0)),IF($S$242&gt;=O196,INDEX($AL$68:$AL$77,MATCH(O196,($AJ$68:$AJ$77),0)),IF($S$246&gt;=O196,INDEX('Spell Tables'!$AB$168:$AB$187,MATCH(O196,('Spell Tables'!$Z$168:$Z$187),0)),IF($S$248&gt;=O196,INDEX('Spell Tables'!$AJ$141:$AJ$144,MATCH(O196,('Spell Tables'!$AH$141:$AH$144),0)),IF($S$250&gt;=O196,INDEX('Spell Tables'!$X$119:$X$129,MATCH(O196,('Spell Tables'!$V$119:$V$129),0)),IF($S$252&gt;=O196,INDEX('Spell Tables'!$X$97:$X$106,MATCH(O196,('Spell Tables'!$V$97:$V$106),0)),IF($S$254&gt;=O196,INDEX('Spell Tables'!$AJ$70:$AJ$79,MATCH(O196,('Spell Tables'!$AH$70:$AH$79),0)),IF($S$256&gt;=O196,INDEX('Spell Tables'!$AB$48:$AB$60,MATCH(O196,('Spell Tables'!$Z$48:$Z$60),0)),IF($S$258&gt;=O196,INDEX('Spell Tables'!$AB$26:$AB$45,MATCH(O196,('Spell Tables'!$Z$26:$Z$45),0)),IF($S$260&gt;=O196,INDEX('Spell Tables'!$AB$2:$AB$17,MATCH(O196,('Spell Tables'!$Z$2:$Z$17),0))," "))))))))))))</f>
        <v xml:space="preserve"> </v>
      </c>
      <c r="T265" s="33" t="str">
        <f ca="1">IF(AND($Q$15="Otherworldly patron - great old one",T$244&gt;=O196),INDEX('Spell Tables'!$AF$226:$AF$231,MATCH(O196,('Spell Tables'!$AD$226:$AD$231),0)),IF(AND($Q$15="Otherworldly patron - fiend",T$244&gt;=O196),INDEX('Spell Tables'!$AF$210:$AF$215,MATCH(O196,('Spell Tables'!$AD$210:$AD$215),0)),IF(AND($Q$15="Otherworldly patron - archfey",T$244&gt;=O196),INDEX('Spell Tables'!$AF$194:$AF$199,MATCH(O196,('Spell Tables'!$AD$194:$AD$199),0)),IF($T$242&gt;=O196,INDEX($AL$80:$AL$89,MATCH(O196,($AJ$80:$AJ$89),0)),IF($T$246&gt;=O196,INDEX('Spell Tables'!$AF$168:$AF$177,MATCH(O196,('Spell Tables'!$AD$168:$AD$177),0)),IF($T$248&gt;=O196,INDEX('Spell Tables'!$AR$141:$AR$144,MATCH(O196,('Spell Tables'!$AP$141:$AP$144),0)),IF($T$250&gt;=O196,INDEX('Spell Tables'!$AB$119:$AB$123,MATCH(O196,('Spell Tables'!$Z$119:$Z$123),0)),IF($T$252&gt;=O196,INDEX('Spell Tables'!$AB$97:$AB$102,MATCH(O196,('Spell Tables'!$Z$97:$Z$102),0)),IF($T$254&gt;=O196,INDEX('Spell Tables'!$AR$70:$AR$75,MATCH(O196,('Spell Tables'!$AP$70:$AP$75),0)),IF($T$256&gt;=O196,INDEX('Spell Tables'!$AF$48:$AF$63,MATCH(O196,('Spell Tables'!$AD$48:$AD$63),0)),IF($T$258&gt;=O196,INDEX('Spell Tables'!$AF$26:$AF$33,MATCH(O196,('Spell Tables'!$AD$26:$AD$33),0)),IF($T$260&gt;=O196,INDEX('Spell Tables'!$AF$2:$AF$9,MATCH(O196,('Spell Tables'!$AD$2:$AD$9),0))," "))))))))))))</f>
        <v xml:space="preserve"> </v>
      </c>
    </row>
    <row r="266" spans="2:20" x14ac:dyDescent="0.3">
      <c r="C266" s="33"/>
      <c r="D266" s="33"/>
      <c r="E266" s="33"/>
      <c r="F266" s="33"/>
      <c r="G266" s="33"/>
      <c r="H266" s="33"/>
      <c r="I266" s="33"/>
      <c r="J266" s="33"/>
      <c r="K266" s="33"/>
      <c r="L266" s="33"/>
      <c r="M266" s="33"/>
      <c r="O266" s="34">
        <v>5</v>
      </c>
      <c r="P266" s="33" t="str">
        <f ca="1">IF(P$242&gt;=O197,INDEX('Spell Tables'!$P$242:$P$257,MATCH(O197,('Spell Tables'!$N$242:$N$257),0)),IF(P$244&gt;=O197,INDEX('Spell Tables'!$P$194:$P$201,MATCH(O197,('Spell Tables'!$N$194:$N$201),0)),IF(P$246&gt;=O197,INDEX('Spell Tables'!$P$168:$P$183,MATCH(O197,('Spell Tables'!$N$168:$N$183),0)),IF(P$248&gt;=O197,INDEX('Spell Tables'!$P$141:$P$156,MATCH(O197,('Spell Tables'!$N$141:$N$157),0)),IF(P$254&gt;=O197,INDEX('Spell Tables'!$P$70:$P$83,MATCH(O197,('Spell Tables'!$N$70:$N$83),0)),IF(P$256&gt;=O197,INDEX('Spell Tables'!$P$48:$P$55,MATCH(O197,('Spell Tables'!$N$48:$N$55),0)),IF(P$258&gt;=O197,INDEX('Spell Tables'!$P$26:$P$32,MATCH(O197,('Spell Tables'!$N$26:$N$32),0)),IF(P$260&gt;=O197,INDEX('Spell Tables'!$P$2:$P$12,MATCH(O197,('Spell Tables'!$N$2:$N$12),0))," "))))))))</f>
        <v xml:space="preserve"> </v>
      </c>
      <c r="Q266" s="33" t="str">
        <f ca="1">IF(AND($Q$15="Otherworldly patron - great old one",Q$244&gt;=O197),INDEX('Spell Tables'!$T$226:$T$238,MATCH(O197,('Spell Tables'!$R$226:$R$238),0)),IF(AND($Q$15="Otherworldly patron - fiend",Q$244&gt;=O197),INDEX('Spell Tables'!$T$210:$T$222,MATCH(O197,('Spell Tables'!$R$210:$R$222),0)),IF(Q$242&gt;=O197,INDEX($AL$44:$AL$53,MATCH(O197,($AJ$44:$AJ$53),0)),IF(AND($Q$15="Otherworldly patron - archfey",Q$244&gt;=O197),INDEX('Spell Tables'!T$206:$T298,MATCH(O197,('Spell Tables'!$R$194:$R$206),0)),IF(Q$246&gt;=O197,INDEX('Spell Tables'!T272:T291,MATCH(O197,('Spell Tables'!$R$168:$R$187),0)),IF(Q$248&gt;=O197,INDEX('Spell Tables'!T245:T251,MATCH(O197,('Spell Tables'!$R$141:$R$147),0)),IF(Q$250&gt;=O197,INDEX('Spell Tables'!$P$119:$P$131,MATCH(O197,('Spell Tables'!$N$119:$N$131),0)),IF(Q$252&gt;=O197,INDEX('Spell Tables'!$P$97:$P$111,MATCH(O197,('Spell Tables'!$N$97:$N$111),0)),IF(Q$254&gt;=O197,INDEX('Spell Tables'!$T$70:$T$78,MATCH(O197,('Spell Tables'!$R$70:$R$78),0)),IF(Q$256&gt;=O197,INDEX('Spell Tables'!$T$48:$T$63,MATCH(O197,('Spell Tables'!$R$48:$R$63),0)),IF(Q$258&gt;=O197,INDEX('Spell Tables'!$T$26:$T$40,MATCH(O197,('Spell Tables'!$R$26:$R$40),0)),IF(Q$260&gt;=O197,INDEX('Spell Tables'!$T$2:$T$22,MATCH(O197,('Spell Tables'!$R$2:$R$22),0))," "))))))))))))</f>
        <v xml:space="preserve"> </v>
      </c>
      <c r="R266" s="33" t="str">
        <f ca="1">IF(AND($Q$15="Otherworldly patron - great old one",R$244&gt;=O197),INDEX('Spell Tables'!$X$226:$X$239,MATCH(O197,('Spell Tables'!$V$226:$V$239),0)),IF(AND($Q$15="Otherworldly patron - fiend",R$244&gt;=O197),INDEX('Spell Tables'!$X$210:$X$223,MATCH(O197,('Spell Tables'!$V$210:$V$223),0)),IF(AND($Q$15="Otherworldly patron - archfey",R$244&gt;=O197),INDEX('Spell Tables'!$X$194:$X$207,MATCH(O197,('Spell Tables'!$V$194:$V$207),0)),IF($R$242&gt;=O197,INDEX($AL$56:$AL$65,MATCH(O197,($AJ$56:$AJ$65),0)),IF($R$246&gt;=O197,INDEX('Spell Tables'!$X$168:$X$191,MATCH(O197,('Spell Tables'!$V$168:$V$191),0)),IF($R$248&gt;=O197,INDEX('Spell Tables'!$AB$141:$AB$149,MATCH(O197,('Spell Tables'!$Z$141:$Z$149),0)),IF($R$250&gt;=O197,INDEX('Spell Tables'!T223:T235,MATCH(O197,('Spell Tables'!$R$119:$R$131),0)),IF($R$252&gt;=O197,INDEX('Spell Tables'!$T$97:T208,MATCH(O197,('Spell Tables'!$R$97:$R$104),0)),IF($R$254&gt;=O197,INDEX('Spell Tables'!$AB$70:$AB$75,MATCH(O197,('Spell Tables'!$Z$70:$Z$75),0)),IF($R$256&gt;=O197,INDEX('Spell Tables'!$X$48:$X$65,MATCH(O197,('Spell Tables'!$V$48:$V$65),0)),IF($R$258&gt;=O197,INDEX('Spell Tables'!$X$26:$X$42,MATCH(O197,('Spell Tables'!$V$26:$V$42),0)),IF($R$260&gt;=O197,INDEX('Spell Tables'!$X$2:$X$23,MATCH(O197,('Spell Tables'!$V$2:$V$23),0))," "))))))))))))</f>
        <v xml:space="preserve"> </v>
      </c>
      <c r="S266" s="33" t="str">
        <f ca="1">IF(AND($Q$15="Otherworldly patron - great old one",S$244&gt;=O197),INDEX('Spell Tables'!$AB$226:$AB$238,MATCH(O197,('Spell Tables'!$Z$226:$Z$238),0)),IF(AND($Q$15="Otherworldly patron - fiend",S$244&gt;=O197),INDEX('Spell Tables'!$AB$210:$AB$222,MATCH(O197,('Spell Tables'!$Z$210:$Z$222),0)),IF(AND($Q$15="Otherworldly patron - archfey",S$244&gt;=O197),INDEX('Spell Tables'!$AB$194:$AB$206,MATCH(O197,('Spell Tables'!$Z$194:$Z$206),0)),IF($S$242&gt;=O197,INDEX($AL$68:$AL$77,MATCH(O197,($AJ$68:$AJ$77),0)),IF($S$246&gt;=O197,INDEX('Spell Tables'!$AB$168:$AB$187,MATCH(O197,('Spell Tables'!$Z$168:$Z$187),0)),IF($S$248&gt;=O197,INDEX('Spell Tables'!$AJ$141:$AJ$144,MATCH(O197,('Spell Tables'!$AH$141:$AH$144),0)),IF($S$250&gt;=O197,INDEX('Spell Tables'!$X$119:$X$129,MATCH(O197,('Spell Tables'!$V$119:$V$129),0)),IF($S$252&gt;=O197,INDEX('Spell Tables'!$X$97:$X$106,MATCH(O197,('Spell Tables'!$V$97:$V$106),0)),IF($S$254&gt;=O197,INDEX('Spell Tables'!$AJ$70:$AJ$79,MATCH(O197,('Spell Tables'!$AH$70:$AH$79),0)),IF($S$256&gt;=O197,INDEX('Spell Tables'!$AB$48:$AB$60,MATCH(O197,('Spell Tables'!$Z$48:$Z$60),0)),IF($S$258&gt;=O197,INDEX('Spell Tables'!$AB$26:$AB$45,MATCH(O197,('Spell Tables'!$Z$26:$Z$45),0)),IF($S$260&gt;=O197,INDEX('Spell Tables'!$AB$2:$AB$17,MATCH(O197,('Spell Tables'!$Z$2:$Z$17),0))," "))))))))))))</f>
        <v xml:space="preserve"> </v>
      </c>
      <c r="T266" s="33" t="str">
        <f ca="1">IF(AND($Q$15="Otherworldly patron - great old one",T$244&gt;=O197),INDEX('Spell Tables'!$AF$226:$AF$231,MATCH(O197,('Spell Tables'!$AD$226:$AD$231),0)),IF(AND($Q$15="Otherworldly patron - fiend",T$244&gt;=O197),INDEX('Spell Tables'!$AF$210:$AF$215,MATCH(O197,('Spell Tables'!$AD$210:$AD$215),0)),IF(AND($Q$15="Otherworldly patron - archfey",T$244&gt;=O197),INDEX('Spell Tables'!$AF$194:$AF$199,MATCH(O197,('Spell Tables'!$AD$194:$AD$199),0)),IF($T$242&gt;=O197,INDEX($AL$80:$AL$89,MATCH(O197,($AJ$80:$AJ$89),0)),IF($T$246&gt;=O197,INDEX('Spell Tables'!$AF$168:$AF$177,MATCH(O197,('Spell Tables'!$AD$168:$AD$177),0)),IF($T$248&gt;=O197,INDEX('Spell Tables'!$AR$141:$AR$144,MATCH(O197,('Spell Tables'!$AP$141:$AP$144),0)),IF($T$250&gt;=O197,INDEX('Spell Tables'!$AB$119:$AB$123,MATCH(O197,('Spell Tables'!$Z$119:$Z$123),0)),IF($T$252&gt;=O197,INDEX('Spell Tables'!$AB$97:$AB$102,MATCH(O197,('Spell Tables'!$Z$97:$Z$102),0)),IF($T$254&gt;=O197,INDEX('Spell Tables'!$AR$70:$AR$75,MATCH(O197,('Spell Tables'!$AP$70:$AP$75),0)),IF($T$256&gt;=O197,INDEX('Spell Tables'!$AF$48:$AF$63,MATCH(O197,('Spell Tables'!$AD$48:$AD$63),0)),IF($T$258&gt;=O197,INDEX('Spell Tables'!$AF$26:$AF$33,MATCH(O197,('Spell Tables'!$AD$26:$AD$33),0)),IF($T$260&gt;=O197,INDEX('Spell Tables'!$AF$2:$AF$9,MATCH(O197,('Spell Tables'!$AD$2:$AD$9),0))," "))))))))))))</f>
        <v xml:space="preserve"> </v>
      </c>
    </row>
    <row r="267" spans="2:20" x14ac:dyDescent="0.3">
      <c r="B267" s="33"/>
      <c r="C267" s="33"/>
      <c r="D267" s="33"/>
      <c r="E267" s="33"/>
      <c r="F267" s="33"/>
      <c r="G267" s="33"/>
      <c r="H267" s="33"/>
      <c r="I267" s="33"/>
      <c r="J267" s="33"/>
      <c r="K267" s="33"/>
      <c r="L267" s="33"/>
      <c r="M267" s="33"/>
      <c r="O267" s="34">
        <v>6</v>
      </c>
      <c r="P267" s="33" t="str">
        <f ca="1">IF(P$242&gt;=O198,INDEX('Spell Tables'!$P$242:$P$257,MATCH(O198,('Spell Tables'!$N$242:$N$257),0)),IF(P$244&gt;=O198,INDEX('Spell Tables'!$P$194:$P$201,MATCH(O198,('Spell Tables'!$N$194:$N$201),0)),IF(P$246&gt;=O198,INDEX('Spell Tables'!$P$168:$P$183,MATCH(O198,('Spell Tables'!$N$168:$N$183),0)),IF(P$248&gt;=O198,INDEX('Spell Tables'!$P$141:$P$156,MATCH(O198,('Spell Tables'!$N$141:$N$157),0)),IF(P$254&gt;=O198,INDEX('Spell Tables'!$P$70:$P$83,MATCH(O198,('Spell Tables'!$N$70:$N$83),0)),IF(P$256&gt;=O198,INDEX('Spell Tables'!$P$48:$P$55,MATCH(O198,('Spell Tables'!$N$48:$N$55),0)),IF(P$258&gt;=O198,INDEX('Spell Tables'!$P$26:$P$32,MATCH(O198,('Spell Tables'!$N$26:$N$32),0)),IF(P$260&gt;=O198,INDEX('Spell Tables'!$P$2:$P$12,MATCH(O198,('Spell Tables'!$N$2:$N$12),0))," "))))))))</f>
        <v xml:space="preserve"> </v>
      </c>
      <c r="Q267" s="33" t="str">
        <f ca="1">IF(AND($Q$15="Otherworldly patron - great old one",Q$244&gt;=O198),INDEX('Spell Tables'!$T$226:$T$238,MATCH(O198,('Spell Tables'!$R$226:$R$238),0)),IF(AND($Q$15="Otherworldly patron - fiend",Q$244&gt;=O198),INDEX('Spell Tables'!$T$210:$T$222,MATCH(O198,('Spell Tables'!$R$210:$R$222),0)),IF(Q$242&gt;=O198,INDEX($AL$44:$AL$53,MATCH(O198,($AJ$44:$AJ$53),0)),IF(AND($Q$15="Otherworldly patron - archfey",Q$244&gt;=O198),INDEX('Spell Tables'!T$206:$T299,MATCH(O198,('Spell Tables'!$R$194:$R$206),0)),IF(Q$246&gt;=O198,INDEX('Spell Tables'!T273:T292,MATCH(O198,('Spell Tables'!$R$168:$R$187),0)),IF(Q$248&gt;=O198,INDEX('Spell Tables'!T246:T252,MATCH(O198,('Spell Tables'!$R$141:$R$147),0)),IF(Q$250&gt;=O198,INDEX('Spell Tables'!$P$119:$P$131,MATCH(O198,('Spell Tables'!$N$119:$N$131),0)),IF(Q$252&gt;=O198,INDEX('Spell Tables'!$P$97:$P$111,MATCH(O198,('Spell Tables'!$N$97:$N$111),0)),IF(Q$254&gt;=O198,INDEX('Spell Tables'!$T$70:$T$78,MATCH(O198,('Spell Tables'!$R$70:$R$78),0)),IF(Q$256&gt;=O198,INDEX('Spell Tables'!$T$48:$T$63,MATCH(O198,('Spell Tables'!$R$48:$R$63),0)),IF(Q$258&gt;=O198,INDEX('Spell Tables'!$T$26:$T$40,MATCH(O198,('Spell Tables'!$R$26:$R$40),0)),IF(Q$260&gt;=O198,INDEX('Spell Tables'!$T$2:$T$22,MATCH(O198,('Spell Tables'!$R$2:$R$22),0))," "))))))))))))</f>
        <v xml:space="preserve"> </v>
      </c>
      <c r="R267" s="33" t="str">
        <f ca="1">IF(AND($Q$15="Otherworldly patron - great old one",R$244&gt;=O198),INDEX('Spell Tables'!$X$226:$X$239,MATCH(O198,('Spell Tables'!$V$226:$V$239),0)),IF(AND($Q$15="Otherworldly patron - fiend",R$244&gt;=O198),INDEX('Spell Tables'!$X$210:$X$223,MATCH(O198,('Spell Tables'!$V$210:$V$223),0)),IF(AND($Q$15="Otherworldly patron - archfey",R$244&gt;=O198),INDEX('Spell Tables'!$X$194:$X$207,MATCH(O198,('Spell Tables'!$V$194:$V$207),0)),IF($R$242&gt;=O198,INDEX($AL$56:$AL$65,MATCH(O198,($AJ$56:$AJ$65),0)),IF($R$246&gt;=O198,INDEX('Spell Tables'!$X$168:$X$191,MATCH(O198,('Spell Tables'!$V$168:$V$191),0)),IF($R$248&gt;=O198,INDEX('Spell Tables'!$AB$141:$AB$149,MATCH(O198,('Spell Tables'!$Z$141:$Z$149),0)),IF($R$250&gt;=O198,INDEX('Spell Tables'!T224:T236,MATCH(O198,('Spell Tables'!$R$119:$R$131),0)),IF($R$252&gt;=O198,INDEX('Spell Tables'!$T$97:T209,MATCH(O198,('Spell Tables'!$R$97:$R$104),0)),IF($R$254&gt;=O198,INDEX('Spell Tables'!$AB$70:$AB$75,MATCH(O198,('Spell Tables'!$Z$70:$Z$75),0)),IF($R$256&gt;=O198,INDEX('Spell Tables'!$X$48:$X$65,MATCH(O198,('Spell Tables'!$V$48:$V$65),0)),IF($R$258&gt;=O198,INDEX('Spell Tables'!$X$26:$X$42,MATCH(O198,('Spell Tables'!$V$26:$V$42),0)),IF($R$260&gt;=O198,INDEX('Spell Tables'!$X$2:$X$23,MATCH(O198,('Spell Tables'!$V$2:$V$23),0))," "))))))))))))</f>
        <v xml:space="preserve"> </v>
      </c>
      <c r="S267" s="33" t="str">
        <f ca="1">IF(AND($Q$15="Otherworldly patron - great old one",S$244&gt;=O198),INDEX('Spell Tables'!$AB$226:$AB$238,MATCH(O198,('Spell Tables'!$Z$226:$Z$238),0)),IF(AND($Q$15="Otherworldly patron - fiend",S$244&gt;=O198),INDEX('Spell Tables'!$AB$210:$AB$222,MATCH(O198,('Spell Tables'!$Z$210:$Z$222),0)),IF(AND($Q$15="Otherworldly patron - archfey",S$244&gt;=O198),INDEX('Spell Tables'!$AB$194:$AB$206,MATCH(O198,('Spell Tables'!$Z$194:$Z$206),0)),IF($S$242&gt;=O198,INDEX($AL$68:$AL$77,MATCH(O198,($AJ$68:$AJ$77),0)),IF($S$246&gt;=O198,INDEX('Spell Tables'!$AB$168:$AB$187,MATCH(O198,('Spell Tables'!$Z$168:$Z$187),0)),IF($S$248&gt;=O198,INDEX('Spell Tables'!$AJ$141:$AJ$144,MATCH(O198,('Spell Tables'!$AH$141:$AH$144),0)),IF($S$250&gt;=O198,INDEX('Spell Tables'!$X$119:$X$129,MATCH(O198,('Spell Tables'!$V$119:$V$129),0)),IF($S$252&gt;=O198,INDEX('Spell Tables'!$X$97:$X$106,MATCH(O198,('Spell Tables'!$V$97:$V$106),0)),IF($S$254&gt;=O198,INDEX('Spell Tables'!$AJ$70:$AJ$79,MATCH(O198,('Spell Tables'!$AH$70:$AH$79),0)),IF($S$256&gt;=O198,INDEX('Spell Tables'!$AB$48:$AB$60,MATCH(O198,('Spell Tables'!$Z$48:$Z$60),0)),IF($S$258&gt;=O198,INDEX('Spell Tables'!$AB$26:$AB$45,MATCH(O198,('Spell Tables'!$Z$26:$Z$45),0)),IF($S$260&gt;=O198,INDEX('Spell Tables'!$AB$2:$AB$17,MATCH(O198,('Spell Tables'!$Z$2:$Z$17),0))," "))))))))))))</f>
        <v xml:space="preserve"> </v>
      </c>
      <c r="T267" s="33" t="str">
        <f ca="1">IF(AND($Q$15="Otherworldly patron - great old one",T$244&gt;=O198),INDEX('Spell Tables'!$AF$226:$AF$231,MATCH(O198,('Spell Tables'!$AD$226:$AD$231),0)),IF(AND($Q$15="Otherworldly patron - fiend",T$244&gt;=O198),INDEX('Spell Tables'!$AF$210:$AF$215,MATCH(O198,('Spell Tables'!$AD$210:$AD$215),0)),IF(AND($Q$15="Otherworldly patron - archfey",T$244&gt;=O198),INDEX('Spell Tables'!$AF$194:$AF$199,MATCH(O198,('Spell Tables'!$AD$194:$AD$199),0)),IF($T$242&gt;=O198,INDEX($AL$80:$AL$89,MATCH(O198,($AJ$80:$AJ$89),0)),IF($T$246&gt;=O198,INDEX('Spell Tables'!$AF$168:$AF$177,MATCH(O198,('Spell Tables'!$AD$168:$AD$177),0)),IF($T$248&gt;=O198,INDEX('Spell Tables'!$AR$141:$AR$144,MATCH(O198,('Spell Tables'!$AP$141:$AP$144),0)),IF($T$250&gt;=O198,INDEX('Spell Tables'!$AB$119:$AB$123,MATCH(O198,('Spell Tables'!$Z$119:$Z$123),0)),IF($T$252&gt;=O198,INDEX('Spell Tables'!$AB$97:$AB$102,MATCH(O198,('Spell Tables'!$Z$97:$Z$102),0)),IF($T$254&gt;=O198,INDEX('Spell Tables'!$AR$70:$AR$75,MATCH(O198,('Spell Tables'!$AP$70:$AP$75),0)),IF($T$256&gt;=O198,INDEX('Spell Tables'!$AF$48:$AF$63,MATCH(O198,('Spell Tables'!$AD$48:$AD$63),0)),IF($T$258&gt;=O198,INDEX('Spell Tables'!$AF$26:$AF$33,MATCH(O198,('Spell Tables'!$AD$26:$AD$33),0)),IF($T$260&gt;=O198,INDEX('Spell Tables'!$AF$2:$AF$9,MATCH(O198,('Spell Tables'!$AD$2:$AD$9),0))," "))))))))))))</f>
        <v xml:space="preserve"> </v>
      </c>
    </row>
    <row r="268" spans="2:20" x14ac:dyDescent="0.3">
      <c r="B268" s="33"/>
      <c r="C268" s="33"/>
      <c r="D268" s="33"/>
      <c r="E268" s="33"/>
      <c r="F268" s="33"/>
      <c r="G268" s="33"/>
      <c r="H268" s="33"/>
      <c r="I268" s="33"/>
      <c r="J268" s="33"/>
      <c r="K268" s="33"/>
      <c r="L268" s="33"/>
      <c r="M268" s="33"/>
      <c r="O268" s="34">
        <v>7</v>
      </c>
      <c r="P268" s="33" t="str">
        <f ca="1">IF(P$242&gt;=O199,INDEX('Spell Tables'!$P$242:$P$257,MATCH(O199,('Spell Tables'!$N$242:$N$257),0)),IF(P$244&gt;=O199,INDEX('Spell Tables'!$P$194:$P$201,MATCH(O199,('Spell Tables'!$N$194:$N$201),0)),IF(P$246&gt;=O199,INDEX('Spell Tables'!$P$168:$P$183,MATCH(O199,('Spell Tables'!$N$168:$N$183),0)),IF(P$248&gt;=O199,INDEX('Spell Tables'!$P$141:$P$156,MATCH(O199,('Spell Tables'!$N$141:$N$157),0)),IF(P$254&gt;=O199,INDEX('Spell Tables'!$P$70:$P$83,MATCH(O199,('Spell Tables'!$N$70:$N$83),0)),IF(P$256&gt;=O199,INDEX('Spell Tables'!$P$48:$P$55,MATCH(O199,('Spell Tables'!$N$48:$N$55),0)),IF(P$258&gt;=O199,INDEX('Spell Tables'!$P$26:$P$32,MATCH(O199,('Spell Tables'!$N$26:$N$32),0)),IF(P$260&gt;=O199,INDEX('Spell Tables'!$P$2:$P$12,MATCH(O199,('Spell Tables'!$N$2:$N$12),0))," "))))))))</f>
        <v xml:space="preserve"> </v>
      </c>
      <c r="Q268" s="33" t="str">
        <f ca="1">IF(AND($Q$15="Otherworldly patron - great old one",Q$244&gt;=O199),INDEX('Spell Tables'!$T$226:$T$238,MATCH(O199,('Spell Tables'!$R$226:$R$238),0)),IF(AND($Q$15="Otherworldly patron - fiend",Q$244&gt;=O199),INDEX('Spell Tables'!$T$210:$T$222,MATCH(O199,('Spell Tables'!$R$210:$R$222),0)),IF(Q$242&gt;=O199,INDEX($AL$44:$AL$53,MATCH(O199,($AJ$44:$AJ$53),0)),IF(AND($Q$15="Otherworldly patron - archfey",Q$244&gt;=O199),INDEX('Spell Tables'!T$206:$T300,MATCH(O199,('Spell Tables'!$R$194:$R$206),0)),IF(Q$246&gt;=O199,INDEX('Spell Tables'!T274:T293,MATCH(O199,('Spell Tables'!$R$168:$R$187),0)),IF(Q$248&gt;=O199,INDEX('Spell Tables'!T247:T253,MATCH(O199,('Spell Tables'!$R$141:$R$147),0)),IF(Q$250&gt;=O199,INDEX('Spell Tables'!$P$119:$P$131,MATCH(O199,('Spell Tables'!$N$119:$N$131),0)),IF(Q$252&gt;=O199,INDEX('Spell Tables'!$P$97:$P$111,MATCH(O199,('Spell Tables'!$N$97:$N$111),0)),IF(Q$254&gt;=O199,INDEX('Spell Tables'!$T$70:$T$78,MATCH(O199,('Spell Tables'!$R$70:$R$78),0)),IF(Q$256&gt;=O199,INDEX('Spell Tables'!$T$48:$T$63,MATCH(O199,('Spell Tables'!$R$48:$R$63),0)),IF(Q$258&gt;=O199,INDEX('Spell Tables'!$T$26:$T$40,MATCH(O199,('Spell Tables'!$R$26:$R$40),0)),IF(Q$260&gt;=O199,INDEX('Spell Tables'!$T$2:$T$22,MATCH(O199,('Spell Tables'!$R$2:$R$22),0))," "))))))))))))</f>
        <v xml:space="preserve"> </v>
      </c>
      <c r="R268" s="33" t="str">
        <f ca="1">IF(AND($Q$15="Otherworldly patron - great old one",R$244&gt;=O199),INDEX('Spell Tables'!$X$226:$X$239,MATCH(O199,('Spell Tables'!$V$226:$V$239),0)),IF(AND($Q$15="Otherworldly patron - fiend",R$244&gt;=O199),INDEX('Spell Tables'!$X$210:$X$223,MATCH(O199,('Spell Tables'!$V$210:$V$223),0)),IF(AND($Q$15="Otherworldly patron - archfey",R$244&gt;=O199),INDEX('Spell Tables'!$X$194:$X$207,MATCH(O199,('Spell Tables'!$V$194:$V$207),0)),IF($R$242&gt;=O199,INDEX($AL$56:$AL$65,MATCH(O199,($AJ$56:$AJ$65),0)),IF($R$246&gt;=O199,INDEX('Spell Tables'!$X$168:$X$191,MATCH(O199,('Spell Tables'!$V$168:$V$191),0)),IF($R$248&gt;=O199,INDEX('Spell Tables'!$AB$141:$AB$149,MATCH(O199,('Spell Tables'!$Z$141:$Z$149),0)),IF($R$250&gt;=O199,INDEX('Spell Tables'!T225:T237,MATCH(O199,('Spell Tables'!$R$119:$R$131),0)),IF($R$252&gt;=O199,INDEX('Spell Tables'!$T$97:T210,MATCH(O199,('Spell Tables'!$R$97:$R$104),0)),IF($R$254&gt;=O199,INDEX('Spell Tables'!$AB$70:$AB$75,MATCH(O199,('Spell Tables'!$Z$70:$Z$75),0)),IF($R$256&gt;=O199,INDEX('Spell Tables'!$X$48:$X$65,MATCH(O199,('Spell Tables'!$V$48:$V$65),0)),IF($R$258&gt;=O199,INDEX('Spell Tables'!$X$26:$X$42,MATCH(O199,('Spell Tables'!$V$26:$V$42),0)),IF($R$260&gt;=O199,INDEX('Spell Tables'!$X$2:$X$23,MATCH(O199,('Spell Tables'!$V$2:$V$23),0))," "))))))))))))</f>
        <v xml:space="preserve"> </v>
      </c>
      <c r="S268" s="33" t="str">
        <f ca="1">IF(AND($Q$15="Otherworldly patron - great old one",S$244&gt;=O199),INDEX('Spell Tables'!$AB$226:$AB$238,MATCH(O199,('Spell Tables'!$Z$226:$Z$238),0)),IF(AND($Q$15="Otherworldly patron - fiend",S$244&gt;=O199),INDEX('Spell Tables'!$AB$210:$AB$222,MATCH(O199,('Spell Tables'!$Z$210:$Z$222),0)),IF(AND($Q$15="Otherworldly patron - archfey",S$244&gt;=O199),INDEX('Spell Tables'!$AB$194:$AB$206,MATCH(O199,('Spell Tables'!$Z$194:$Z$206),0)),IF($S$242&gt;=O199,INDEX($AL$68:$AL$77,MATCH(O199,($AJ$68:$AJ$77),0)),IF($S$246&gt;=O199,INDEX('Spell Tables'!$AB$168:$AB$187,MATCH(O199,('Spell Tables'!$Z$168:$Z$187),0)),IF($S$248&gt;=O199,INDEX('Spell Tables'!$AJ$141:$AJ$144,MATCH(O199,('Spell Tables'!$AH$141:$AH$144),0)),IF($S$250&gt;=O199,INDEX('Spell Tables'!$X$119:$X$129,MATCH(O199,('Spell Tables'!$V$119:$V$129),0)),IF($S$252&gt;=O199,INDEX('Spell Tables'!$X$97:$X$106,MATCH(O199,('Spell Tables'!$V$97:$V$106),0)),IF($S$254&gt;=O199,INDEX('Spell Tables'!$AJ$70:$AJ$79,MATCH(O199,('Spell Tables'!$AH$70:$AH$79),0)),IF($S$256&gt;=O199,INDEX('Spell Tables'!$AB$48:$AB$60,MATCH(O199,('Spell Tables'!$Z$48:$Z$60),0)),IF($S$258&gt;=O199,INDEX('Spell Tables'!$AB$26:$AB$45,MATCH(O199,('Spell Tables'!$Z$26:$Z$45),0)),IF($S$260&gt;=O199,INDEX('Spell Tables'!$AB$2:$AB$17,MATCH(O199,('Spell Tables'!$Z$2:$Z$17),0))," "))))))))))))</f>
        <v xml:space="preserve"> </v>
      </c>
      <c r="T268" s="33" t="str">
        <f ca="1">IF(AND($Q$15="Otherworldly patron - great old one",T$244&gt;=O199),INDEX('Spell Tables'!$AF$226:$AF$231,MATCH(O199,('Spell Tables'!$AD$226:$AD$231),0)),IF(AND($Q$15="Otherworldly patron - fiend",T$244&gt;=O199),INDEX('Spell Tables'!$AF$210:$AF$215,MATCH(O199,('Spell Tables'!$AD$210:$AD$215),0)),IF(AND($Q$15="Otherworldly patron - archfey",T$244&gt;=O199),INDEX('Spell Tables'!$AF$194:$AF$199,MATCH(O199,('Spell Tables'!$AD$194:$AD$199),0)),IF($T$242&gt;=O199,INDEX($AL$80:$AL$89,MATCH(O199,($AJ$80:$AJ$89),0)),IF($T$246&gt;=O199,INDEX('Spell Tables'!$AF$168:$AF$177,MATCH(O199,('Spell Tables'!$AD$168:$AD$177),0)),IF($T$248&gt;=O199,INDEX('Spell Tables'!$AR$141:$AR$144,MATCH(O199,('Spell Tables'!$AP$141:$AP$144),0)),IF($T$250&gt;=O199,INDEX('Spell Tables'!$AB$119:$AB$123,MATCH(O199,('Spell Tables'!$Z$119:$Z$123),0)),IF($T$252&gt;=O199,INDEX('Spell Tables'!$AB$97:$AB$102,MATCH(O199,('Spell Tables'!$Z$97:$Z$102),0)),IF($T$254&gt;=O199,INDEX('Spell Tables'!$AR$70:$AR$75,MATCH(O199,('Spell Tables'!$AP$70:$AP$75),0)),IF($T$256&gt;=O199,INDEX('Spell Tables'!$AF$48:$AF$63,MATCH(O199,('Spell Tables'!$AD$48:$AD$63),0)),IF($T$258&gt;=O199,INDEX('Spell Tables'!$AF$26:$AF$33,MATCH(O199,('Spell Tables'!$AD$26:$AD$33),0)),IF($T$260&gt;=O199,INDEX('Spell Tables'!$AF$2:$AF$9,MATCH(O199,('Spell Tables'!$AD$2:$AD$9),0))," "))))))))))))</f>
        <v xml:space="preserve"> </v>
      </c>
    </row>
    <row r="269" spans="2:20" x14ac:dyDescent="0.3">
      <c r="B269" s="33"/>
      <c r="C269" s="33"/>
      <c r="D269" s="33"/>
      <c r="E269" s="33"/>
      <c r="F269" s="33"/>
      <c r="G269" s="33"/>
      <c r="H269" s="33"/>
      <c r="I269" s="33"/>
      <c r="J269" s="33"/>
      <c r="K269" s="33"/>
      <c r="L269" s="33"/>
      <c r="M269" s="33"/>
      <c r="O269" s="34">
        <v>8</v>
      </c>
      <c r="P269" s="33" t="str">
        <f ca="1">IF(P$242&gt;=O200,INDEX('Spell Tables'!$P$242:$P$257,MATCH(O200,('Spell Tables'!$N$242:$N$257),0)),IF(P$244&gt;=O200,INDEX('Spell Tables'!$P$194:$P$201,MATCH(O200,('Spell Tables'!$N$194:$N$201),0)),IF(P$246&gt;=O200,INDEX('Spell Tables'!$P$168:$P$183,MATCH(O200,('Spell Tables'!$N$168:$N$183),0)),IF(P$248&gt;=O200,INDEX('Spell Tables'!$P$141:$P$156,MATCH(O200,('Spell Tables'!$N$141:$N$157),0)),IF(P$254&gt;=O200,INDEX('Spell Tables'!$P$70:$P$83,MATCH(O200,('Spell Tables'!$N$70:$N$83),0)),IF(P$256&gt;=O200,INDEX('Spell Tables'!$P$48:$P$55,MATCH(O200,('Spell Tables'!$N$48:$N$55),0)),IF(P$258&gt;=O200,INDEX('Spell Tables'!$P$26:$P$32,MATCH(O200,('Spell Tables'!$N$26:$N$32),0)),IF(P$260&gt;=O200,INDEX('Spell Tables'!$P$2:$P$12,MATCH(O200,('Spell Tables'!$N$2:$N$12),0))," "))))))))</f>
        <v xml:space="preserve"> </v>
      </c>
      <c r="Q269" s="33" t="str">
        <f ca="1">IF(AND($Q$15="Otherworldly patron - great old one",Q$244&gt;=O200),INDEX('Spell Tables'!$T$226:$T$238,MATCH(O200,('Spell Tables'!$R$226:$R$238),0)),IF(AND($Q$15="Otherworldly patron - fiend",Q$244&gt;=O200),INDEX('Spell Tables'!$T$210:$T$222,MATCH(O200,('Spell Tables'!$R$210:$R$222),0)),IF(Q$242&gt;=O200,INDEX($AL$44:$AL$53,MATCH(O200,($AJ$44:$AJ$53),0)),IF(AND($Q$15="Otherworldly patron - archfey",Q$244&gt;=O200),INDEX('Spell Tables'!T$206:$T301,MATCH(O200,('Spell Tables'!$R$194:$R$206),0)),IF(Q$246&gt;=O200,INDEX('Spell Tables'!T275:T294,MATCH(O200,('Spell Tables'!$R$168:$R$187),0)),IF(Q$248&gt;=O200,INDEX('Spell Tables'!T248:T254,MATCH(O200,('Spell Tables'!$R$141:$R$147),0)),IF(Q$250&gt;=O200,INDEX('Spell Tables'!$P$119:$P$131,MATCH(O200,('Spell Tables'!$N$119:$N$131),0)),IF(Q$252&gt;=O200,INDEX('Spell Tables'!$P$97:$P$111,MATCH(O200,('Spell Tables'!$N$97:$N$111),0)),IF(Q$254&gt;=O200,INDEX('Spell Tables'!$T$70:$T$78,MATCH(O200,('Spell Tables'!$R$70:$R$78),0)),IF(Q$256&gt;=O200,INDEX('Spell Tables'!$T$48:$T$63,MATCH(O200,('Spell Tables'!$R$48:$R$63),0)),IF(Q$258&gt;=O200,INDEX('Spell Tables'!$T$26:$T$40,MATCH(O200,('Spell Tables'!$R$26:$R$40),0)),IF(Q$260&gt;=O200,INDEX('Spell Tables'!$T$2:$T$22,MATCH(O200,('Spell Tables'!$R$2:$R$22),0))," "))))))))))))</f>
        <v xml:space="preserve"> </v>
      </c>
      <c r="R269" s="33" t="str">
        <f ca="1">IF(AND($Q$15="Otherworldly patron - great old one",R$244&gt;=O200),INDEX('Spell Tables'!$X$226:$X$239,MATCH(O200,('Spell Tables'!$V$226:$V$239),0)),IF(AND($Q$15="Otherworldly patron - fiend",R$244&gt;=O200),INDEX('Spell Tables'!$X$210:$X$223,MATCH(O200,('Spell Tables'!$V$210:$V$223),0)),IF(AND($Q$15="Otherworldly patron - archfey",R$244&gt;=O200),INDEX('Spell Tables'!$X$194:$X$207,MATCH(O200,('Spell Tables'!$V$194:$V$207),0)),IF($R$242&gt;=O200,INDEX($AL$56:$AL$65,MATCH(O200,($AJ$56:$AJ$65),0)),IF($R$246&gt;=O200,INDEX('Spell Tables'!$X$168:$X$191,MATCH(O200,('Spell Tables'!$V$168:$V$191),0)),IF($R$248&gt;=O200,INDEX('Spell Tables'!$AB$141:$AB$149,MATCH(O200,('Spell Tables'!$Z$141:$Z$149),0)),IF($R$250&gt;=O200,INDEX('Spell Tables'!T226:T238,MATCH(O200,('Spell Tables'!$R$119:$R$131),0)),IF($R$252&gt;=O200,INDEX('Spell Tables'!$T$97:T211,MATCH(O200,('Spell Tables'!$R$97:$R$104),0)),IF($R$254&gt;=O200,INDEX('Spell Tables'!$AB$70:$AB$75,MATCH(O200,('Spell Tables'!$Z$70:$Z$75),0)),IF($R$256&gt;=O200,INDEX('Spell Tables'!$X$48:$X$65,MATCH(O200,('Spell Tables'!$V$48:$V$65),0)),IF($R$258&gt;=O200,INDEX('Spell Tables'!$X$26:$X$42,MATCH(O200,('Spell Tables'!$V$26:$V$42),0)),IF($R$260&gt;=O200,INDEX('Spell Tables'!$X$2:$X$23,MATCH(O200,('Spell Tables'!$V$2:$V$23),0))," "))))))))))))</f>
        <v xml:space="preserve"> </v>
      </c>
      <c r="S269" s="33" t="str">
        <f ca="1">IF(AND($Q$15="Otherworldly patron - great old one",S$244&gt;=O200),INDEX('Spell Tables'!$AB$226:$AB$238,MATCH(O200,('Spell Tables'!$Z$226:$Z$238),0)),IF(AND($Q$15="Otherworldly patron - fiend",S$244&gt;=O200),INDEX('Spell Tables'!$AB$210:$AB$222,MATCH(O200,('Spell Tables'!$Z$210:$Z$222),0)),IF(AND($Q$15="Otherworldly patron - archfey",S$244&gt;=O200),INDEX('Spell Tables'!$AB$194:$AB$206,MATCH(O200,('Spell Tables'!$Z$194:$Z$206),0)),IF($S$242&gt;=O200,INDEX($AL$68:$AL$77,MATCH(O200,($AJ$68:$AJ$77),0)),IF($S$246&gt;=O200,INDEX('Spell Tables'!$AB$168:$AB$187,MATCH(O200,('Spell Tables'!$Z$168:$Z$187),0)),IF($S$248&gt;=O200,INDEX('Spell Tables'!$AJ$141:$AJ$144,MATCH(O200,('Spell Tables'!$AH$141:$AH$144),0)),IF($S$250&gt;=O200,INDEX('Spell Tables'!$X$119:$X$129,MATCH(O200,('Spell Tables'!$V$119:$V$129),0)),IF($S$252&gt;=O200,INDEX('Spell Tables'!$X$97:$X$106,MATCH(O200,('Spell Tables'!$V$97:$V$106),0)),IF($S$254&gt;=O200,INDEX('Spell Tables'!$AJ$70:$AJ$79,MATCH(O200,('Spell Tables'!$AH$70:$AH$79),0)),IF($S$256&gt;=O200,INDEX('Spell Tables'!$AB$48:$AB$60,MATCH(O200,('Spell Tables'!$Z$48:$Z$60),0)),IF($S$258&gt;=O200,INDEX('Spell Tables'!$AB$26:$AB$45,MATCH(O200,('Spell Tables'!$Z$26:$Z$45),0)),IF($S$260&gt;=O200,INDEX('Spell Tables'!$AB$2:$AB$17,MATCH(O200,('Spell Tables'!$Z$2:$Z$17),0))," "))))))))))))</f>
        <v xml:space="preserve"> </v>
      </c>
      <c r="T269" s="33" t="str">
        <f ca="1">IF(AND($Q$15="Otherworldly patron - great old one",T$244&gt;=O200),INDEX('Spell Tables'!$AF$226:$AF$231,MATCH(O200,('Spell Tables'!$AD$226:$AD$231),0)),IF(AND($Q$15="Otherworldly patron - fiend",T$244&gt;=O200),INDEX('Spell Tables'!$AF$210:$AF$215,MATCH(O200,('Spell Tables'!$AD$210:$AD$215),0)),IF(AND($Q$15="Otherworldly patron - archfey",T$244&gt;=O200),INDEX('Spell Tables'!$AF$194:$AF$199,MATCH(O200,('Spell Tables'!$AD$194:$AD$199),0)),IF($T$242&gt;=O200,INDEX($AL$80:$AL$89,MATCH(O200,($AJ$80:$AJ$89),0)),IF($T$246&gt;=O200,INDEX('Spell Tables'!$AF$168:$AF$177,MATCH(O200,('Spell Tables'!$AD$168:$AD$177),0)),IF($T$248&gt;=O200,INDEX('Spell Tables'!$AR$141:$AR$144,MATCH(O200,('Spell Tables'!$AP$141:$AP$144),0)),IF($T$250&gt;=O200,INDEX('Spell Tables'!$AB$119:$AB$123,MATCH(O200,('Spell Tables'!$Z$119:$Z$123),0)),IF($T$252&gt;=O200,INDEX('Spell Tables'!$AB$97:$AB$102,MATCH(O200,('Spell Tables'!$Z$97:$Z$102),0)),IF($T$254&gt;=O200,INDEX('Spell Tables'!$AR$70:$AR$75,MATCH(O200,('Spell Tables'!$AP$70:$AP$75),0)),IF($T$256&gt;=O200,INDEX('Spell Tables'!$AF$48:$AF$63,MATCH(O200,('Spell Tables'!$AD$48:$AD$63),0)),IF($T$258&gt;=O200,INDEX('Spell Tables'!$AF$26:$AF$33,MATCH(O200,('Spell Tables'!$AD$26:$AD$33),0)),IF($T$260&gt;=O200,INDEX('Spell Tables'!$AF$2:$AF$9,MATCH(O200,('Spell Tables'!$AD$2:$AD$9),0))," "))))))))))))</f>
        <v xml:space="preserve"> </v>
      </c>
    </row>
    <row r="270" spans="2:20" x14ac:dyDescent="0.3">
      <c r="B270" s="33"/>
      <c r="C270" s="33"/>
      <c r="D270" s="33"/>
      <c r="E270" s="33"/>
      <c r="F270" s="33"/>
      <c r="G270" s="33"/>
      <c r="H270" s="33"/>
      <c r="I270" s="33"/>
      <c r="J270" s="33"/>
      <c r="K270" s="33"/>
      <c r="L270" s="33"/>
      <c r="M270" s="33"/>
      <c r="O270" s="34">
        <v>9</v>
      </c>
      <c r="P270" s="33" t="str">
        <f ca="1">IF(P$242&gt;=O201,INDEX('Spell Tables'!$P$242:$P$257,MATCH(O201,('Spell Tables'!$N$242:$N$257),0)),IF(P$244&gt;=O201,INDEX('Spell Tables'!$P$194:$P$201,MATCH(O201,('Spell Tables'!$N$194:$N$201),0)),IF(P$246&gt;=O201,INDEX('Spell Tables'!$P$168:$P$183,MATCH(O201,('Spell Tables'!$N$168:$N$183),0)),IF(P$248&gt;=O201,INDEX('Spell Tables'!$P$141:$P$156,MATCH(O201,('Spell Tables'!$N$141:$N$157),0)),IF(P$254&gt;=O201,INDEX('Spell Tables'!$P$70:$P$83,MATCH(O201,('Spell Tables'!$N$70:$N$83),0)),IF(P$256&gt;=O201,INDEX('Spell Tables'!$P$48:$P$55,MATCH(O201,('Spell Tables'!$N$48:$N$55),0)),IF(P$258&gt;=O201,INDEX('Spell Tables'!$P$26:$P$32,MATCH(O201,('Spell Tables'!$N$26:$N$32),0)),IF(P$260&gt;=O201,INDEX('Spell Tables'!$P$2:$P$12,MATCH(O201,('Spell Tables'!$N$2:$N$12),0))," "))))))))</f>
        <v xml:space="preserve"> </v>
      </c>
      <c r="Q270" s="33" t="str">
        <f ca="1">IF(AND($Q$15="Otherworldly patron - great old one",Q$244&gt;=O201),INDEX('Spell Tables'!$T$226:$T$238,MATCH(O201,('Spell Tables'!$R$226:$R$238),0)),IF(AND($Q$15="Otherworldly patron - fiend",Q$244&gt;=O201),INDEX('Spell Tables'!$T$210:$T$222,MATCH(O201,('Spell Tables'!$R$210:$R$222),0)),IF(Q$242&gt;=O201,INDEX($AL$44:$AL$53,MATCH(O201,($AJ$44:$AJ$53),0)),IF(AND($Q$15="Otherworldly patron - archfey",Q$244&gt;=O201),INDEX('Spell Tables'!T$206:$T302,MATCH(O201,('Spell Tables'!$R$194:$R$206),0)),IF(Q$246&gt;=O201,INDEX('Spell Tables'!T276:T295,MATCH(O201,('Spell Tables'!$R$168:$R$187),0)),IF(Q$248&gt;=O201,INDEX('Spell Tables'!T249:T255,MATCH(O201,('Spell Tables'!$R$141:$R$147),0)),IF(Q$250&gt;=O201,INDEX('Spell Tables'!$P$119:$P$131,MATCH(O201,('Spell Tables'!$N$119:$N$131),0)),IF(Q$252&gt;=O201,INDEX('Spell Tables'!$P$97:$P$111,MATCH(O201,('Spell Tables'!$N$97:$N$111),0)),IF(Q$254&gt;=O201,INDEX('Spell Tables'!$T$70:$T$78,MATCH(O201,('Spell Tables'!$R$70:$R$78),0)),IF(Q$256&gt;=O201,INDEX('Spell Tables'!$T$48:$T$63,MATCH(O201,('Spell Tables'!$R$48:$R$63),0)),IF(Q$258&gt;=O201,INDEX('Spell Tables'!$T$26:$T$40,MATCH(O201,('Spell Tables'!$R$26:$R$40),0)),IF(Q$260&gt;=O201,INDEX('Spell Tables'!$T$2:$T$22,MATCH(O201,('Spell Tables'!$R$2:$R$22),0))," "))))))))))))</f>
        <v xml:space="preserve"> </v>
      </c>
      <c r="R270" s="33" t="str">
        <f ca="1">IF(AND($Q$15="Otherworldly patron - great old one",R$244&gt;=O201),INDEX('Spell Tables'!$X$226:$X$239,MATCH(O201,('Spell Tables'!$V$226:$V$239),0)),IF(AND($Q$15="Otherworldly patron - fiend",R$244&gt;=O201),INDEX('Spell Tables'!$X$210:$X$223,MATCH(O201,('Spell Tables'!$V$210:$V$223),0)),IF(AND($Q$15="Otherworldly patron - archfey",R$244&gt;=O201),INDEX('Spell Tables'!$X$194:$X$207,MATCH(O201,('Spell Tables'!$V$194:$V$207),0)),IF($R$242&gt;=O201,INDEX($AL$56:$AL$65,MATCH(O201,($AJ$56:$AJ$65),0)),IF($R$246&gt;=O201,INDEX('Spell Tables'!$X$168:$X$191,MATCH(O201,('Spell Tables'!$V$168:$V$191),0)),IF($R$248&gt;=O201,INDEX('Spell Tables'!$AB$141:$AB$149,MATCH(O201,('Spell Tables'!$Z$141:$Z$149),0)),IF($R$250&gt;=O201,INDEX('Spell Tables'!T227:T239,MATCH(O201,('Spell Tables'!$R$119:$R$131),0)),IF($R$252&gt;=O201,INDEX('Spell Tables'!$T$97:T212,MATCH(O201,('Spell Tables'!$R$97:$R$104),0)),IF($R$254&gt;=O201,INDEX('Spell Tables'!$AB$70:$AB$75,MATCH(O201,('Spell Tables'!$Z$70:$Z$75),0)),IF($R$256&gt;=O201,INDEX('Spell Tables'!$X$48:$X$65,MATCH(O201,('Spell Tables'!$V$48:$V$65),0)),IF($R$258&gt;=O201,INDEX('Spell Tables'!$X$26:$X$42,MATCH(O201,('Spell Tables'!$V$26:$V$42),0)),IF($R$260&gt;=O201,INDEX('Spell Tables'!$X$2:$X$23,MATCH(O201,('Spell Tables'!$V$2:$V$23),0))," "))))))))))))</f>
        <v xml:space="preserve"> </v>
      </c>
      <c r="S270" s="33" t="str">
        <f ca="1">IF(AND($Q$15="Otherworldly patron - great old one",S$244&gt;=O201),INDEX('Spell Tables'!$AB$226:$AB$238,MATCH(O201,('Spell Tables'!$Z$226:$Z$238),0)),IF(AND($Q$15="Otherworldly patron - fiend",S$244&gt;=O201),INDEX('Spell Tables'!$AB$210:$AB$222,MATCH(O201,('Spell Tables'!$Z$210:$Z$222),0)),IF(AND($Q$15="Otherworldly patron - archfey",S$244&gt;=O201),INDEX('Spell Tables'!$AB$194:$AB$206,MATCH(O201,('Spell Tables'!$Z$194:$Z$206),0)),IF($S$242&gt;=O201,INDEX($AL$68:$AL$77,MATCH(O201,($AJ$68:$AJ$77),0)),IF($S$246&gt;=O201,INDEX('Spell Tables'!$AB$168:$AB$187,MATCH(O201,('Spell Tables'!$Z$168:$Z$187),0)),IF($S$248&gt;=O201,INDEX('Spell Tables'!$AJ$141:$AJ$144,MATCH(O201,('Spell Tables'!$AH$141:$AH$144),0)),IF($S$250&gt;=O201,INDEX('Spell Tables'!$X$119:$X$129,MATCH(O201,('Spell Tables'!$V$119:$V$129),0)),IF($S$252&gt;=O201,INDEX('Spell Tables'!$X$97:$X$106,MATCH(O201,('Spell Tables'!$V$97:$V$106),0)),IF($S$254&gt;=O201,INDEX('Spell Tables'!$AJ$70:$AJ$79,MATCH(O201,('Spell Tables'!$AH$70:$AH$79),0)),IF($S$256&gt;=O201,INDEX('Spell Tables'!$AB$48:$AB$60,MATCH(O201,('Spell Tables'!$Z$48:$Z$60),0)),IF($S$258&gt;=O201,INDEX('Spell Tables'!$AB$26:$AB$45,MATCH(O201,('Spell Tables'!$Z$26:$Z$45),0)),IF($S$260&gt;=O201,INDEX('Spell Tables'!$AB$2:$AB$17,MATCH(O201,('Spell Tables'!$Z$2:$Z$17),0))," "))))))))))))</f>
        <v xml:space="preserve"> </v>
      </c>
      <c r="T270" s="33" t="str">
        <f ca="1">IF(AND($Q$15="Otherworldly patron - great old one",T$244&gt;=O201),INDEX('Spell Tables'!$AF$226:$AF$231,MATCH(O201,('Spell Tables'!$AD$226:$AD$231),0)),IF(AND($Q$15="Otherworldly patron - fiend",T$244&gt;=O201),INDEX('Spell Tables'!$AF$210:$AF$215,MATCH(O201,('Spell Tables'!$AD$210:$AD$215),0)),IF(AND($Q$15="Otherworldly patron - archfey",T$244&gt;=O201),INDEX('Spell Tables'!$AF$194:$AF$199,MATCH(O201,('Spell Tables'!$AD$194:$AD$199),0)),IF($T$242&gt;=O201,INDEX($AL$80:$AL$89,MATCH(O201,($AJ$80:$AJ$89),0)),IF($T$246&gt;=O201,INDEX('Spell Tables'!$AF$168:$AF$177,MATCH(O201,('Spell Tables'!$AD$168:$AD$177),0)),IF($T$248&gt;=O201,INDEX('Spell Tables'!$AR$141:$AR$144,MATCH(O201,('Spell Tables'!$AP$141:$AP$144),0)),IF($T$250&gt;=O201,INDEX('Spell Tables'!$AB$119:$AB$123,MATCH(O201,('Spell Tables'!$Z$119:$Z$123),0)),IF($T$252&gt;=O201,INDEX('Spell Tables'!$AB$97:$AB$102,MATCH(O201,('Spell Tables'!$Z$97:$Z$102),0)),IF($T$254&gt;=O201,INDEX('Spell Tables'!$AR$70:$AR$75,MATCH(O201,('Spell Tables'!$AP$70:$AP$75),0)),IF($T$256&gt;=O201,INDEX('Spell Tables'!$AF$48:$AF$63,MATCH(O201,('Spell Tables'!$AD$48:$AD$63),0)),IF($T$258&gt;=O201,INDEX('Spell Tables'!$AF$26:$AF$33,MATCH(O201,('Spell Tables'!$AD$26:$AD$33),0)),IF($T$260&gt;=O201,INDEX('Spell Tables'!$AF$2:$AF$9,MATCH(O201,('Spell Tables'!$AD$2:$AD$9),0))," "))))))))))))</f>
        <v xml:space="preserve"> </v>
      </c>
    </row>
    <row r="271" spans="2:20" x14ac:dyDescent="0.3">
      <c r="B271" s="33"/>
      <c r="C271" s="33"/>
      <c r="D271" s="33"/>
      <c r="E271" s="33"/>
      <c r="F271" s="33"/>
      <c r="G271" s="33"/>
      <c r="H271" s="33"/>
      <c r="I271" s="33"/>
      <c r="J271" s="33"/>
      <c r="K271" s="33"/>
      <c r="L271" s="33"/>
      <c r="M271" s="33"/>
      <c r="O271" s="34">
        <v>10</v>
      </c>
      <c r="P271" s="33" t="str">
        <f ca="1">IF(P$242&gt;=O202,INDEX('Spell Tables'!$P$242:$P$257,MATCH(O202,('Spell Tables'!$N$242:$N$257),0)),IF(P$244&gt;=O202,INDEX('Spell Tables'!$P$194:$P$201,MATCH(O202,('Spell Tables'!$N$194:$N$201),0)),IF(P$246&gt;=O202,INDEX('Spell Tables'!$P$168:$P$183,MATCH(O202,('Spell Tables'!$N$168:$N$183),0)),IF(P$248&gt;=O202,INDEX('Spell Tables'!$P$141:$P$156,MATCH(O202,('Spell Tables'!$N$141:$N$157),0)),IF(P$254&gt;=O202,INDEX('Spell Tables'!$P$70:$P$83,MATCH(O202,('Spell Tables'!$N$70:$N$83),0)),IF(P$256&gt;=O202,INDEX('Spell Tables'!$P$48:$P$55,MATCH(O202,('Spell Tables'!$N$48:$N$55),0)),IF(P$258&gt;=O202,INDEX('Spell Tables'!$P$26:$P$32,MATCH(O202,('Spell Tables'!$N$26:$N$32),0)),IF(P$260&gt;=O202,INDEX('Spell Tables'!$P$2:$P$12,MATCH(O202,('Spell Tables'!$N$2:$N$12),0))," "))))))))</f>
        <v xml:space="preserve"> </v>
      </c>
      <c r="Q271" s="33" t="str">
        <f ca="1">IF(AND($Q$15="Otherworldly patron - great old one",Q$244&gt;=O202),INDEX('Spell Tables'!$T$226:$T$238,MATCH(O202,('Spell Tables'!$R$226:$R$238),0)),IF(AND($Q$15="Otherworldly patron - fiend",Q$244&gt;=O202),INDEX('Spell Tables'!$T$210:$T$222,MATCH(O202,('Spell Tables'!$R$210:$R$222),0)),IF(Q$242&gt;=O202,INDEX($AL$44:$AL$53,MATCH(O202,($AJ$44:$AJ$53),0)),IF(AND($Q$15="Otherworldly patron - archfey",Q$244&gt;=O202),INDEX('Spell Tables'!T$206:$T303,MATCH(O202,('Spell Tables'!$R$194:$R$206),0)),IF(Q$246&gt;=O202,INDEX('Spell Tables'!T277:T296,MATCH(O202,('Spell Tables'!$R$168:$R$187),0)),IF(Q$248&gt;=O202,INDEX('Spell Tables'!T250:T256,MATCH(O202,('Spell Tables'!$R$141:$R$147),0)),IF(Q$250&gt;=O202,INDEX('Spell Tables'!$P$119:$P$131,MATCH(O202,('Spell Tables'!$N$119:$N$131),0)),IF(Q$252&gt;=O202,INDEX('Spell Tables'!$P$97:$P$111,MATCH(O202,('Spell Tables'!$N$97:$N$111),0)),IF(Q$254&gt;=O202,INDEX('Spell Tables'!$T$70:$T$78,MATCH(O202,('Spell Tables'!$R$70:$R$78),0)),IF(Q$256&gt;=O202,INDEX('Spell Tables'!$T$48:$T$63,MATCH(O202,('Spell Tables'!$R$48:$R$63),0)),IF(Q$258&gt;=O202,INDEX('Spell Tables'!$T$26:$T$40,MATCH(O202,('Spell Tables'!$R$26:$R$40),0)),IF(Q$260&gt;=O202,INDEX('Spell Tables'!$T$2:$T$22,MATCH(O202,('Spell Tables'!$R$2:$R$22),0))," "))))))))))))</f>
        <v xml:space="preserve"> </v>
      </c>
      <c r="R271" s="33" t="str">
        <f ca="1">IF(AND($Q$15="Otherworldly patron - great old one",R$244&gt;=O202),INDEX('Spell Tables'!$X$226:$X$239,MATCH(O202,('Spell Tables'!$V$226:$V$239),0)),IF(AND($Q$15="Otherworldly patron - fiend",R$244&gt;=O202),INDEX('Spell Tables'!$X$210:$X$223,MATCH(O202,('Spell Tables'!$V$210:$V$223),0)),IF(AND($Q$15="Otherworldly patron - archfey",R$244&gt;=O202),INDEX('Spell Tables'!$X$194:$X$207,MATCH(O202,('Spell Tables'!$V$194:$V$207),0)),IF($R$242&gt;=O202,INDEX($AL$56:$AL$65,MATCH(O202,($AJ$56:$AJ$65),0)),IF($R$246&gt;=O202,INDEX('Spell Tables'!$X$168:$X$191,MATCH(O202,('Spell Tables'!$V$168:$V$191),0)),IF($R$248&gt;=O202,INDEX('Spell Tables'!$AB$141:$AB$149,MATCH(O202,('Spell Tables'!$Z$141:$Z$149),0)),IF($R$250&gt;=O202,INDEX('Spell Tables'!T228:T240,MATCH(O202,('Spell Tables'!$R$119:$R$131),0)),IF($R$252&gt;=O202,INDEX('Spell Tables'!$T$97:T213,MATCH(O202,('Spell Tables'!$R$97:$R$104),0)),IF($R$254&gt;=O202,INDEX('Spell Tables'!$AB$70:$AB$75,MATCH(O202,('Spell Tables'!$Z$70:$Z$75),0)),IF($R$256&gt;=O202,INDEX('Spell Tables'!$X$48:$X$65,MATCH(O202,('Spell Tables'!$V$48:$V$65),0)),IF($R$258&gt;=O202,INDEX('Spell Tables'!$X$26:$X$42,MATCH(O202,('Spell Tables'!$V$26:$V$42),0)),IF($R$260&gt;=O202,INDEX('Spell Tables'!$X$2:$X$23,MATCH(O202,('Spell Tables'!$V$2:$V$23),0))," "))))))))))))</f>
        <v xml:space="preserve"> </v>
      </c>
      <c r="S271" s="33" t="str">
        <f ca="1">IF(AND($Q$15="Otherworldly patron - great old one",S$244&gt;=O202),INDEX('Spell Tables'!$AB$226:$AB$238,MATCH(O202,('Spell Tables'!$Z$226:$Z$238),0)),IF(AND($Q$15="Otherworldly patron - fiend",S$244&gt;=O202),INDEX('Spell Tables'!$AB$210:$AB$222,MATCH(O202,('Spell Tables'!$Z$210:$Z$222),0)),IF(AND($Q$15="Otherworldly patron - archfey",S$244&gt;=O202),INDEX('Spell Tables'!$AB$194:$AB$206,MATCH(O202,('Spell Tables'!$Z$194:$Z$206),0)),IF($S$242&gt;=O202,INDEX($AL$68:$AL$77,MATCH(O202,($AJ$68:$AJ$77),0)),IF($S$246&gt;=O202,INDEX('Spell Tables'!$AB$168:$AB$187,MATCH(O202,('Spell Tables'!$Z$168:$Z$187),0)),IF($S$248&gt;=O202,INDEX('Spell Tables'!$AJ$141:$AJ$144,MATCH(O202,('Spell Tables'!$AH$141:$AH$144),0)),IF($S$250&gt;=O202,INDEX('Spell Tables'!$X$119:$X$129,MATCH(O202,('Spell Tables'!$V$119:$V$129),0)),IF($S$252&gt;=O202,INDEX('Spell Tables'!$X$97:$X$106,MATCH(O202,('Spell Tables'!$V$97:$V$106),0)),IF($S$254&gt;=O202,INDEX('Spell Tables'!$AJ$70:$AJ$79,MATCH(O202,('Spell Tables'!$AH$70:$AH$79),0)),IF($S$256&gt;=O202,INDEX('Spell Tables'!$AB$48:$AB$60,MATCH(O202,('Spell Tables'!$Z$48:$Z$60),0)),IF($S$258&gt;=O202,INDEX('Spell Tables'!$AB$26:$AB$45,MATCH(O202,('Spell Tables'!$Z$26:$Z$45),0)),IF($S$260&gt;=O202,INDEX('Spell Tables'!$AB$2:$AB$17,MATCH(O202,('Spell Tables'!$Z$2:$Z$17),0))," "))))))))))))</f>
        <v xml:space="preserve"> </v>
      </c>
      <c r="T271" s="33" t="str">
        <f ca="1">IF(AND($Q$15="Otherworldly patron - great old one",T$244&gt;=O202),INDEX('Spell Tables'!$AF$226:$AF$231,MATCH(O202,('Spell Tables'!$AD$226:$AD$231),0)),IF(AND($Q$15="Otherworldly patron - fiend",T$244&gt;=O202),INDEX('Spell Tables'!$AF$210:$AF$215,MATCH(O202,('Spell Tables'!$AD$210:$AD$215),0)),IF(AND($Q$15="Otherworldly patron - archfey",T$244&gt;=O202),INDEX('Spell Tables'!$AF$194:$AF$199,MATCH(O202,('Spell Tables'!$AD$194:$AD$199),0)),IF($T$242&gt;=O202,INDEX($AL$80:$AL$89,MATCH(O202,($AJ$80:$AJ$89),0)),IF($T$246&gt;=O202,INDEX('Spell Tables'!$AF$168:$AF$177,MATCH(O202,('Spell Tables'!$AD$168:$AD$177),0)),IF($T$248&gt;=O202,INDEX('Spell Tables'!$AR$141:$AR$144,MATCH(O202,('Spell Tables'!$AP$141:$AP$144),0)),IF($T$250&gt;=O202,INDEX('Spell Tables'!$AB$119:$AB$123,MATCH(O202,('Spell Tables'!$Z$119:$Z$123),0)),IF($T$252&gt;=O202,INDEX('Spell Tables'!$AB$97:$AB$102,MATCH(O202,('Spell Tables'!$Z$97:$Z$102),0)),IF($T$254&gt;=O202,INDEX('Spell Tables'!$AR$70:$AR$75,MATCH(O202,('Spell Tables'!$AP$70:$AP$75),0)),IF($T$256&gt;=O202,INDEX('Spell Tables'!$AF$48:$AF$63,MATCH(O202,('Spell Tables'!$AD$48:$AD$63),0)),IF($T$258&gt;=O202,INDEX('Spell Tables'!$AF$26:$AF$33,MATCH(O202,('Spell Tables'!$AD$26:$AD$33),0)),IF($T$260&gt;=O202,INDEX('Spell Tables'!$AF$2:$AF$9,MATCH(O202,('Spell Tables'!$AD$2:$AD$9),0))," "))))))))))))</f>
        <v xml:space="preserve"> </v>
      </c>
    </row>
    <row r="272" spans="2:20" ht="19.5" thickBot="1" x14ac:dyDescent="0.35">
      <c r="B272" s="33"/>
      <c r="C272" s="38"/>
      <c r="D272" s="38"/>
      <c r="E272" s="38"/>
      <c r="F272" s="38"/>
      <c r="G272" s="38"/>
      <c r="H272" s="38"/>
      <c r="I272" s="38"/>
      <c r="J272" s="38"/>
      <c r="K272" s="38"/>
      <c r="L272" s="38"/>
      <c r="M272" s="38"/>
      <c r="N272" s="38"/>
      <c r="O272" s="38"/>
      <c r="P272" s="38"/>
      <c r="Q272" s="38"/>
      <c r="R272" s="38"/>
      <c r="S272" s="38"/>
      <c r="T272" s="38"/>
    </row>
    <row r="273" spans="15:19" hidden="1" x14ac:dyDescent="0.3">
      <c r="O273" s="108"/>
      <c r="P273" s="108"/>
      <c r="Q273" s="108"/>
      <c r="R273" s="108"/>
      <c r="S273" s="109"/>
    </row>
    <row r="274" spans="15:19" hidden="1" x14ac:dyDescent="0.3">
      <c r="O274" s="60" t="str">
        <f ca="1">IF(AND(Q11="wizard",Q12&gt;=11),"x",IF(AND($Q$11="wizard",$Q$12&gt;9),"xx",IF(AND(Q11="wizard",Q12=9),"xxx"," ")))</f>
        <v xml:space="preserve"> </v>
      </c>
      <c r="P274" s="60" t="str">
        <f ca="1">IF(AND(Q11="wizard",Q12&gt;=13),"x",IF(AND($Q$11="wizard",$Q$12&gt;11),"xx",IF(AND(Q11="wizard",Q12=11),"xxx"," ")))</f>
        <v xml:space="preserve"> </v>
      </c>
      <c r="Q274" s="60" t="str">
        <f ca="1">IF(AND(Q11="wizard",Q12&gt;=15),"x",IF(AND($Q$11="wizard",$Q$12&gt;13),"xx",IF(AND(Q11="wizard",Q12=13),"xxx"," ")))</f>
        <v xml:space="preserve"> </v>
      </c>
      <c r="R274" s="60" t="str">
        <f ca="1">IF(AND(Q11="wizard",Q12&gt;=17),"x",IF(AND($Q$11="wizard",$Q$12&gt;15),"xx",IF(AND(Q11="wizard",Q12=15),"xxx"," ")))</f>
        <v xml:space="preserve"> </v>
      </c>
      <c r="S274" s="63" t="str">
        <f ca="1">IF(AND($Q$11="wizard",$Q$12&gt;17),"xx",IF(AND(Q11="wizard",Q12=17),"xxx"," "))</f>
        <v xml:space="preserve"> </v>
      </c>
    </row>
    <row r="275" spans="15:19" hidden="1" x14ac:dyDescent="0.3">
      <c r="O275" s="65">
        <f ca="1">IF(O274="x",RANDBETWEEN(2,3),IF(O274="xx",RANDBETWEEN(2,3),IF(O274="xxx",RANDBETWEEN(1,2),0)))</f>
        <v>0</v>
      </c>
      <c r="P275" s="65">
        <f ca="1">IF(P274="x",RANDBETWEEN(2,3),IF(P274="xx",RANDBETWEEN(2,3),IF(P274="xxx",RANDBETWEEN(1,2),0)))</f>
        <v>0</v>
      </c>
      <c r="Q275" s="65">
        <f ca="1">IF(Q274="x",RANDBETWEEN(1,2),IF(Q274="xx",RANDBETWEEN(1,2),IF(Q274="xxx",RANDBETWEEN(1,2),0)))</f>
        <v>0</v>
      </c>
      <c r="R275" s="65">
        <f ca="1">IF(OR(R274="x",R274="xx"),RANDBETWEEN(1,2),IF(R274="xxx",RANDBETWEEN(1,2),0))</f>
        <v>0</v>
      </c>
      <c r="S275" s="66">
        <f ca="1">IF(S274="xx",RANDBETWEEN(1,2),IF(S274="xxx",RANDBETWEEN(1,2),0))</f>
        <v>0</v>
      </c>
    </row>
    <row r="276" spans="15:19" hidden="1" x14ac:dyDescent="0.3">
      <c r="O276" s="60" t="str">
        <f ca="1">IF(AND($Q$11="warlock",$Q$12&gt;=9),"xx"," ")</f>
        <v xml:space="preserve"> </v>
      </c>
      <c r="P276" s="60"/>
      <c r="Q276" s="60"/>
      <c r="R276" s="60"/>
      <c r="S276" s="63"/>
    </row>
    <row r="277" spans="15:19" hidden="1" x14ac:dyDescent="0.3">
      <c r="O277" s="65">
        <f ca="1">IF(O276="x",RANDBETWEEN(2,3),IF(O276="xx",RANDBETWEEN(2,3),0))</f>
        <v>0</v>
      </c>
      <c r="P277" s="65"/>
      <c r="Q277" s="65"/>
      <c r="R277" s="65"/>
      <c r="S277" s="66"/>
    </row>
    <row r="278" spans="15:19" hidden="1" x14ac:dyDescent="0.3">
      <c r="O278" s="60" t="str">
        <f ca="1">IF(AND($Q$11="sorcerer",$Q$12&gt;=11),"x",IF(AND($Q$11="sorcerer",$Q$12&gt;=9),"xx"," "))</f>
        <v xml:space="preserve"> </v>
      </c>
      <c r="P278" s="60" t="str">
        <f ca="1">IF(AND($Q$11="sorcerer",$Q$12&gt;=13),"x",IF(AND($Q$11="sorcerer",$Q$12&gt;=11),"xx"," "))</f>
        <v xml:space="preserve"> </v>
      </c>
      <c r="Q278" s="60" t="str">
        <f ca="1">IF(AND($Q$11="sorcerer",$Q$12&gt;=15),"x",IF(AND($Q$11="sorcerer",$Q$12&gt;=13),"xx"," "))</f>
        <v xml:space="preserve"> </v>
      </c>
      <c r="R278" s="60" t="str">
        <f ca="1">IF(AND($Q$11="sorcerer",$Q$12&gt;=17),"x",IF(AND($Q$11="sorcerer",$Q$12&gt;15),"xx"," "))</f>
        <v xml:space="preserve"> </v>
      </c>
      <c r="S278" s="63" t="str">
        <f ca="1">IF(AND($Q$11="sorcerer",$Q$12&gt;=17),"xx"," ")</f>
        <v xml:space="preserve"> </v>
      </c>
    </row>
    <row r="279" spans="15:19" hidden="1" x14ac:dyDescent="0.3">
      <c r="O279" s="65">
        <f ca="1">IF(O278="x",RANDBETWEEN(2,3),IF(O278="xx",RANDBETWEEN(2,3),0))</f>
        <v>0</v>
      </c>
      <c r="P279" s="65">
        <f ca="1">IF(P278="x",RANDBETWEEN(2,3),IF(P278="xx",RANDBETWEEN(2,3),0))</f>
        <v>0</v>
      </c>
      <c r="Q279" s="65">
        <f ca="1">IF(Q278="x",RANDBETWEEN(1,2),IF(Q278="xx",RANDBETWEEN(1,2),0))</f>
        <v>0</v>
      </c>
      <c r="R279" s="65">
        <f ca="1">IF(OR(R278="x",R278="xx"),RANDBETWEEN(1,2),0)</f>
        <v>0</v>
      </c>
      <c r="S279" s="66">
        <f ca="1">IF(S278="xx",RANDBETWEEN(1,2),0)</f>
        <v>0</v>
      </c>
    </row>
    <row r="280" spans="15:19" hidden="1" x14ac:dyDescent="0.3">
      <c r="O280" s="60"/>
      <c r="P280" s="60"/>
      <c r="Q280" s="60"/>
      <c r="R280" s="60"/>
      <c r="S280" s="63"/>
    </row>
    <row r="281" spans="15:19" hidden="1" x14ac:dyDescent="0.3">
      <c r="O281" s="65"/>
      <c r="P281" s="65"/>
      <c r="Q281" s="65"/>
      <c r="R281" s="65"/>
      <c r="S281" s="66"/>
    </row>
    <row r="282" spans="15:19" hidden="1" x14ac:dyDescent="0.3">
      <c r="O282" s="60" t="str">
        <f ca="1">IF(AND($Q$11="ranger",$Q$12&gt;=17),"xx"," ")</f>
        <v xml:space="preserve"> </v>
      </c>
      <c r="P282" s="60"/>
      <c r="Q282" s="60"/>
      <c r="R282" s="60"/>
      <c r="S282" s="63"/>
    </row>
    <row r="283" spans="15:19" hidden="1" x14ac:dyDescent="0.3">
      <c r="O283" s="65">
        <f ca="1">IF(O282="x",RANDBETWEEN(2,3),IF(O282="xx",RANDBETWEEN(2,3),0))</f>
        <v>0</v>
      </c>
      <c r="P283" s="65"/>
      <c r="Q283" s="65"/>
      <c r="R283" s="65"/>
      <c r="S283" s="66"/>
    </row>
    <row r="284" spans="15:19" hidden="1" x14ac:dyDescent="0.3">
      <c r="O284" s="60" t="str">
        <f ca="1">IF(AND(Q11="paladin",Q12&gt;=17),"xx"," ")</f>
        <v xml:space="preserve"> </v>
      </c>
      <c r="P284" s="60"/>
      <c r="Q284" s="60"/>
      <c r="R284" s="60"/>
      <c r="S284" s="63"/>
    </row>
    <row r="285" spans="15:19" hidden="1" x14ac:dyDescent="0.3">
      <c r="O285" s="65">
        <f ca="1">IF(O284="x",RANDBETWEEN(2,3),IF(O284="xx",RANDBETWEEN(2,3),0))</f>
        <v>0</v>
      </c>
      <c r="P285" s="65"/>
      <c r="Q285" s="65"/>
      <c r="R285" s="65"/>
      <c r="S285" s="66"/>
    </row>
    <row r="286" spans="15:19" hidden="1" x14ac:dyDescent="0.3">
      <c r="O286" s="60"/>
      <c r="P286" s="60"/>
      <c r="Q286" s="60"/>
      <c r="R286" s="60"/>
      <c r="S286" s="63"/>
    </row>
    <row r="287" spans="15:19" hidden="1" x14ac:dyDescent="0.3">
      <c r="O287" s="65"/>
      <c r="P287" s="65"/>
      <c r="Q287" s="65"/>
      <c r="R287" s="65"/>
      <c r="S287" s="66"/>
    </row>
    <row r="288" spans="15:19" hidden="1" x14ac:dyDescent="0.3">
      <c r="O288" s="60" t="str">
        <f ca="1">IF(AND($Q$11="druid",$Q$12&gt;=11),"x",IF(AND($Q$11="druid",$Q$12&gt;=9),"xx"," "))</f>
        <v xml:space="preserve"> </v>
      </c>
      <c r="P288" s="60" t="str">
        <f ca="1">IF(AND($Q$11="druid",$Q$12&gt;=13),"x",IF(AND($Q$11="druid",$Q$12&gt;=11),"xx"," "))</f>
        <v xml:space="preserve"> </v>
      </c>
      <c r="Q288" s="60" t="str">
        <f ca="1">IF(AND($Q$11="druid",$Q$12&gt;=15),"x",IF(AND($Q$11="druid",$Q$12&gt;=13),"xx"," "))</f>
        <v xml:space="preserve"> </v>
      </c>
      <c r="R288" s="60" t="str">
        <f ca="1">IF(AND($Q$11="druid",$Q$12&gt;=17),"x",IF(AND($Q$11="druid",$Q$12&gt;15),"xx"," "))</f>
        <v xml:space="preserve"> </v>
      </c>
      <c r="S288" s="63" t="str">
        <f ca="1">IF(AND($Q$11="druid",$Q$12&gt;=17),"xx"," ")</f>
        <v xml:space="preserve"> </v>
      </c>
    </row>
    <row r="289" spans="14:20" hidden="1" x14ac:dyDescent="0.3">
      <c r="O289" s="65">
        <f ca="1">IF(O288="x",RANDBETWEEN(2,3),IF(O288="xx",RANDBETWEEN(2,3),0))</f>
        <v>0</v>
      </c>
      <c r="P289" s="65">
        <f ca="1">IF(P288="x",RANDBETWEEN(2,3),IF(P288="xx",RANDBETWEEN(2,3),0))</f>
        <v>0</v>
      </c>
      <c r="Q289" s="65">
        <f ca="1">IF(Q288="x",RANDBETWEEN(1,2),IF(Q288="xx",RANDBETWEEN(1,2),0))</f>
        <v>0</v>
      </c>
      <c r="R289" s="65">
        <f ca="1">IF(OR(R288="x",R288="xx"),RANDBETWEEN(1,2),0)</f>
        <v>0</v>
      </c>
      <c r="S289" s="66">
        <f ca="1">IF(S288="xx",RANDBETWEEN(1,2),0)</f>
        <v>0</v>
      </c>
    </row>
    <row r="290" spans="14:20" hidden="1" x14ac:dyDescent="0.3">
      <c r="O290" s="60" t="str">
        <f ca="1">IF(AND(Q11="cleric",Q12&gt;=11),"x",IF(AND($Q$11="cleric",$Q$12&gt;=9),"xx"," "))</f>
        <v xml:space="preserve"> </v>
      </c>
      <c r="P290" s="60" t="str">
        <f ca="1">IF(AND(Q11="cleric",Q12&gt;=13),"x",IF(AND($Q$11="cleric",$Q$12&gt;=11),"xx"," "))</f>
        <v xml:space="preserve"> </v>
      </c>
      <c r="Q290" s="60" t="str">
        <f ca="1">IF(AND(Q11="cleric",Q12&gt;=15),"x",IF(AND($Q$11="cleric",$Q$12&gt;=13),"xx"," "))</f>
        <v xml:space="preserve"> </v>
      </c>
      <c r="R290" s="60" t="str">
        <f ca="1">IF(AND(Q11="cleric",Q12&gt;=17),"x",IF(AND($Q$11="cleric",$Q$12&gt;15),"xx"," "))</f>
        <v xml:space="preserve"> </v>
      </c>
      <c r="S290" s="63" t="str">
        <f ca="1">IF(AND($Q$11="cleric",$Q$12&gt;=17),"xx"," ")</f>
        <v xml:space="preserve"> </v>
      </c>
    </row>
    <row r="291" spans="14:20" hidden="1" x14ac:dyDescent="0.3">
      <c r="O291" s="65">
        <f ca="1">IF(O290="x",RANDBETWEEN(2,3),IF(O290="xx",RANDBETWEEN(2,3),0))</f>
        <v>0</v>
      </c>
      <c r="P291" s="65">
        <f ca="1">IF(P290="x",RANDBETWEEN(2,3),IF(P290="xx",RANDBETWEEN(2,3),0))</f>
        <v>0</v>
      </c>
      <c r="Q291" s="65">
        <f ca="1">IF(Q290="x",RANDBETWEEN(1,2),IF(Q290="xx",RANDBETWEEN(1,2),0))</f>
        <v>0</v>
      </c>
      <c r="R291" s="65">
        <f ca="1">IF(OR(R290="x",R290="xx"),RANDBETWEEN(1,2),0)</f>
        <v>0</v>
      </c>
      <c r="S291" s="66">
        <f ca="1">IF(S290="xx",RANDBETWEEN(1,2),0)</f>
        <v>0</v>
      </c>
    </row>
    <row r="292" spans="14:20" hidden="1" x14ac:dyDescent="0.3">
      <c r="O292" s="60" t="str">
        <f ca="1">IF(AND($Q$11="bard",$Q$12&gt;=11),"x",IF(AND($Q$11="bard",$Q$12&gt;=9),"xx"," "))</f>
        <v xml:space="preserve"> </v>
      </c>
      <c r="P292" s="60" t="str">
        <f ca="1">IF(AND($Q$11="bard",$Q$12&gt;=13),"x",IF(AND($Q$11="bard",$Q$12&gt;=11),"xx"," "))</f>
        <v xml:space="preserve"> </v>
      </c>
      <c r="Q292" s="60" t="str">
        <f ca="1">IF(AND($Q$11="bard",$Q$12&gt;=15),"x",IF(AND($Q$11="bard",$Q$12&gt;=13),"xx"," "))</f>
        <v xml:space="preserve"> </v>
      </c>
      <c r="R292" s="60" t="str">
        <f ca="1">IF(AND($Q$11="bard",$Q$12&gt;=17),"x",IF(AND($Q$11="bard",$Q$12&gt;15),"xx"," "))</f>
        <v xml:space="preserve"> </v>
      </c>
      <c r="S292" s="63" t="str">
        <f ca="1">IF(AND($Q$11="bard",$Q$12&gt;=17),"xx"," ")</f>
        <v xml:space="preserve"> </v>
      </c>
    </row>
    <row r="293" spans="14:20" hidden="1" x14ac:dyDescent="0.3">
      <c r="O293" s="65">
        <f ca="1">IF(O292="x",RANDBETWEEN(2,3),IF(O292="xx",RANDBETWEEN(2,3),0))</f>
        <v>0</v>
      </c>
      <c r="P293" s="65">
        <f ca="1">IF(P292="x",RANDBETWEEN(2,3),IF(P292="xx",RANDBETWEEN(2,3),0))</f>
        <v>0</v>
      </c>
      <c r="Q293" s="65">
        <f ca="1">IF(Q292="x",RANDBETWEEN(1,2),IF(Q292="xx",RANDBETWEEN(1,2),0))</f>
        <v>0</v>
      </c>
      <c r="R293" s="65">
        <f ca="1">IF(OR(R292="x",R292="xx"),RANDBETWEEN(1,2),0)</f>
        <v>0</v>
      </c>
      <c r="S293" s="66">
        <f ca="1">IF(S292="xx",RANDBETWEEN(1,2),0)</f>
        <v>0</v>
      </c>
    </row>
    <row r="294" spans="14:20" x14ac:dyDescent="0.3">
      <c r="N294" s="72"/>
      <c r="O294" s="136"/>
      <c r="P294" s="96" t="s">
        <v>750</v>
      </c>
      <c r="Q294" s="96" t="s">
        <v>1125</v>
      </c>
      <c r="R294" s="96" t="s">
        <v>1126</v>
      </c>
      <c r="S294" s="96" t="s">
        <v>1127</v>
      </c>
      <c r="T294" s="97" t="s">
        <v>751</v>
      </c>
    </row>
    <row r="295" spans="14:20" x14ac:dyDescent="0.3">
      <c r="N295" s="72"/>
      <c r="O295" s="86">
        <v>1</v>
      </c>
      <c r="P295" s="65" t="str">
        <f ca="1">IF(AND($Q$15="Otherworldly patron - great old one",O$277&gt;=O193),INDEX('Spell Tables'!$AJ$226:$AJ$231,MATCH(O193,('Spell Tables'!$AH$226:$AH$231),0)),IF(AND($Q$15="Otherworldly patron - fiend",O$277&gt;=O193),INDEX('Spell Tables'!$AJ$210:$AJ$215,MATCH(O193,('Spell Tables'!$AH$210:$AH$215),0)),IF(AND($Q$15="Otherworldly patron - archfey",O$277&gt;=O193),INDEX('Spell Tables'!$AJ$194:$AJ$199,MATCH(O193,('Spell Tables'!$AH$194:$AH$199),0)),IF($O$275&gt;=O193,INDEX($AL$92:$AL$101,MATCH(O193,($AJ$92:$AJ$101),0)),IF($O$279&gt;=O193,INDEX('Spell Tables'!$AJ$168:$AJ$178,MATCH(O193,('Spell Tables'!$AH$168:$AH$178),0)),IF($O$283&gt;=O193,INDEX('Spell Tables'!$AF$119:$AF$122,MATCH(O193,('Spell Tables'!$AD$119:$AD$122),0)),IF($O$285&gt;=O193,INDEX('Spell Tables'!$AF$97:$AF$102,MATCH(O193,('Spell Tables'!$AD$97:$AD$102),0)),IF($O$289&gt;=O193,INDEX('Spell Tables'!$AJ$48:$AJ$61,MATCH(O193,('Spell Tables'!$AH$48:$AH$61),0)),IF($O$291&gt;=O193,INDEX('Spell Tables'!$AJ$26:$AJ$38,MATCH(O193,('Spell Tables'!$AH$26:$AH$38),0)),IF($O$293&gt;=O193,INDEX('Spell Tables'!$AJ$2:$AJ$17,MATCH(O193,('Spell Tables'!$AH$2:$AH$17),0))," "))))))))))</f>
        <v xml:space="preserve"> </v>
      </c>
      <c r="Q295" s="65" t="str">
        <f ca="1">IF($P$275&gt;=O262,INDEX($AL$104:$AL$113,MATCH(O262,($AJ$104:$AJ$113),0)),IF($P$279&gt;=O262,INDEX('Spell Tables'!$AN$168:$AN$177,MATCH(O262,('Spell Tables'!$AL$168:$AL$177),0)),IF($P$289&gt;=O262,INDEX('Spell Tables'!$AN$48:$AN$56,MATCH(O262,('Spell Tables'!$AL$48:$AL$56),0)),IF($P$291&gt;=O262,INDEX('Spell Tables'!$AN$26:$AN$35,MATCH(O262,('Spell Tables'!$AL$26:$AL$35),0)),IF($P$293&gt;=O262,INDEX('Spell Tables'!$AN$2:$AN$8,MATCH(O262,('Spell Tables'!$AL$2:$AL$8),0))," ")))))</f>
        <v xml:space="preserve"> </v>
      </c>
      <c r="R295" s="65" t="str">
        <f ca="1">IF($Q$275&gt;=O262,INDEX($AL$116:$AL$125,MATCH(O262,($AJ$116:$AJ$125),0)),IF($Q$279&gt;=O262,INDEX('Spell Tables'!$AR$168:$AR$175,MATCH(O262,('Spell Tables'!$AP$168:$AP$175),0)),IF($Q$289&gt;=O262,INDEX('Spell Tables'!$AR$48:$AR$52,MATCH(O262,('Spell Tables'!$AP$48:$AP$52),0)),IF($Q$291&gt;=O262,INDEX('Spell Tables'!$AR$26:$AR$33,MATCH(O262,('Spell Tables'!$AP$26:$AP$33),0)),IF($Q$293&gt;=O262,INDEX('Spell Tables'!$AR$2:$AR$11,MATCH(O262,('Spell Tables'!$AL$2:$AL$11),0))," ")))))</f>
        <v xml:space="preserve"> </v>
      </c>
      <c r="S295" s="65" t="str">
        <f ca="1">IF($R$275&gt;=O262,INDEX($AL$128:$AL$137,MATCH(O262,($AJ$128:$AJ$137),0)),IF($R$279&gt;=O262,INDEX('Spell Tables'!$AV$168:$AV$172,MATCH(O262,('Spell Tables'!$AT$168:$AT$172),0)),IF($R$289&gt;=O262,INDEX('Spell Tables'!$AV$48:$AV$54,MATCH(O262,('Spell Tables'!$AT$48:$AT$54),0)),IF($R$291&gt;=O262,INDEX('Spell Tables'!$AV$26:$AV$29,MATCH(O262,('Spell Tables'!$AT$26:$AT$29),0)),IF($R$293&gt;=O262,INDEX('Spell Tables'!$AV$2:$AV$6,MATCH(O262,('Spell Tables'!$AT$2:$AT$6),0))," ")))))</f>
        <v xml:space="preserve"> </v>
      </c>
      <c r="T295" s="66" t="str">
        <f ca="1">IF($S$289&gt;=O262,INDEX($AL$140:$AL$149,MATCH(O262,($AJ$140:$AJ$149),0)),IF($S$275&gt;=O262,INDEX('Spell Tables'!$AZ$242:$AZ$253,MATCH(O262,('Spell Tables'!$AX$242:$AX$253),0)),IF($S$279&gt;=O262,INDEX('Spell Tables'!$AZ$168:$AZ$172,MATCH(O262,('Spell Tables'!$AX$168:$AX$172),0)),IF($S$291&gt;=O262,INDEX('Spell Tables'!$AZ$26:$AZ$29,MATCH(O262,('Spell Tables'!$AX$26:$AX$29),0)),IF($S$293&gt;=O262,INDEX('Spell Tables'!$AZ$2:$AZ$5,MATCH(O262,('Spell Tables'!$AX$2:$AX$5),0))," ")))))</f>
        <v xml:space="preserve"> </v>
      </c>
    </row>
    <row r="296" spans="14:20" x14ac:dyDescent="0.3">
      <c r="N296" s="72"/>
      <c r="O296" s="133">
        <v>2</v>
      </c>
      <c r="P296" s="60" t="str">
        <f ca="1">IF(AND($Q$15="Otherworldly patron - great old one",O$277&gt;=O194),INDEX('Spell Tables'!$AJ$226:$AJ$231,MATCH(O194,('Spell Tables'!$AH$226:$AH$231),0)),IF(AND($Q$15="Otherworldly patron - fiend",O$277&gt;=O194),INDEX('Spell Tables'!$AJ$210:$AJ$215,MATCH(O194,('Spell Tables'!$AH$210:$AH$215),0)),IF(AND($Q$15="Otherworldly patron - archfey",O$277&gt;=O194),INDEX('Spell Tables'!$AJ$194:$AJ$199,MATCH(O194,('Spell Tables'!$AH$194:$AH$199),0)),IF($O$275&gt;=O194,INDEX($AL$92:$AL$101,MATCH(O194,($AJ$92:$AJ$101),0)),IF($O$279&gt;=O194,INDEX('Spell Tables'!$AJ$168:$AJ$178,MATCH(O194,('Spell Tables'!$AH$168:$AH$178),0)),IF($O$283&gt;=O194,INDEX('Spell Tables'!$AF$119:$AF$122,MATCH(O194,('Spell Tables'!$AD$119:$AD$122),0)),IF($O$285&gt;=O194,INDEX('Spell Tables'!$AF$97:$AF$102,MATCH(O194,('Spell Tables'!$AD$97:$AD$102),0)),IF($O$289&gt;=O194,INDEX('Spell Tables'!$AJ$48:$AJ$61,MATCH(O194,('Spell Tables'!$AH$48:$AH$61),0)),IF($O$291&gt;=O194,INDEX('Spell Tables'!$AJ$26:$AJ$38,MATCH(O194,('Spell Tables'!$AH$26:$AH$38),0)),IF($O$293&gt;=O194,INDEX('Spell Tables'!$AJ$2:$AJ$17,MATCH(O194,('Spell Tables'!$AH$2:$AH$17),0))," "))))))))))</f>
        <v xml:space="preserve"> </v>
      </c>
      <c r="Q296" s="60" t="str">
        <f ca="1">IF($P$275&gt;=O263,INDEX($AL$104:$AL$113,MATCH(O263,($AJ$104:$AJ$113),0)),IF($P$279&gt;=O263,INDEX('Spell Tables'!$AN$168:$AN$177,MATCH(O263,('Spell Tables'!$AL$168:$AL$177),0)),IF($P$289&gt;=O263,INDEX('Spell Tables'!$AN$48:$AN$56,MATCH(O263,('Spell Tables'!$AL$48:$AL$56),0)),IF($P$291&gt;=O263,INDEX('Spell Tables'!$AN$26:$AN$35,MATCH(O263,('Spell Tables'!$AL$26:$AL$35),0)),IF($P$293&gt;=O263,INDEX('Spell Tables'!$AN$2:$AN$8,MATCH(O263,('Spell Tables'!$AL$2:$AL$8),0))," ")))))</f>
        <v xml:space="preserve"> </v>
      </c>
      <c r="R296" s="60" t="str">
        <f ca="1">IF($Q$275&gt;=O263,INDEX($AL$116:$AL$125,MATCH(O263,($AJ$116:$AJ$125),0)),IF($Q$279&gt;=O263,INDEX('Spell Tables'!$AR$168:$AR$175,MATCH(O263,('Spell Tables'!$AP$168:$AP$175),0)),IF($Q$289&gt;=O263,INDEX('Spell Tables'!$AR$48:$AR$52,MATCH(O263,('Spell Tables'!$AP$48:$AP$52),0)),IF($Q$291&gt;=O263,INDEX('Spell Tables'!$AR$26:$AR$33,MATCH(O263,('Spell Tables'!$AP$26:$AP$33),0)),IF($Q$293&gt;=O263,INDEX('Spell Tables'!$AR$2:$AR$11,MATCH(O263,('Spell Tables'!$AL$2:$AL$11),0))," ")))))</f>
        <v xml:space="preserve"> </v>
      </c>
      <c r="S296" s="60" t="str">
        <f ca="1">IF($R$275&gt;=O263,INDEX($AL$128:$AL$137,MATCH(O263,($AJ$128:$AJ$137),0)),IF($R$279&gt;=O263,INDEX('Spell Tables'!$AV$168:$AV$172,MATCH(O263,('Spell Tables'!$AT$168:$AT$172),0)),IF($R$289&gt;=O263,INDEX('Spell Tables'!$AV$48:$AV$54,MATCH(O263,('Spell Tables'!$AT$48:$AT$54),0)),IF($R$291&gt;=O263,INDEX('Spell Tables'!$AV$26:$AV$29,MATCH(O263,('Spell Tables'!$AT$26:$AT$29),0)),IF($R$293&gt;=O263,INDEX('Spell Tables'!$AV$2:$AV$6,MATCH(O263,('Spell Tables'!$AT$2:$AT$6),0))," ")))))</f>
        <v xml:space="preserve"> </v>
      </c>
      <c r="T296" s="63" t="str">
        <f ca="1">IF($S$289&gt;=O263,INDEX($AL$140:$AL$149,MATCH(O263,($AJ$140:$AJ$149),0)),IF($S$275&gt;=O263,INDEX('Spell Tables'!$AZ$242:$AZ$253,MATCH(O263,('Spell Tables'!$AX$242:$AX$253),0)),IF($S$279&gt;=O263,INDEX('Spell Tables'!$AZ$168:$AZ$172,MATCH(O263,('Spell Tables'!$AX$168:$AX$172),0)),IF($S$291&gt;=O263,INDEX('Spell Tables'!$AZ$26:$AZ$29,MATCH(O263,('Spell Tables'!$AX$26:$AX$29),0)),IF($S$293&gt;=O263,INDEX('Spell Tables'!$AZ$2:$AZ$5,MATCH(O263,('Spell Tables'!$AX$2:$AX$5),0))," ")))))</f>
        <v xml:space="preserve"> </v>
      </c>
    </row>
    <row r="297" spans="14:20" x14ac:dyDescent="0.3">
      <c r="N297" s="72"/>
      <c r="O297" s="86">
        <v>3</v>
      </c>
      <c r="P297" s="65" t="str">
        <f ca="1">IF(AND($Q$15="Otherworldly patron - great old one",O$277&gt;=O195),INDEX('Spell Tables'!$AJ$226:$AJ$231,MATCH(O195,('Spell Tables'!$AH$226:$AH$231),0)),IF(AND($Q$15="Otherworldly patron - fiend",O$277&gt;=O195),INDEX('Spell Tables'!$AJ$210:$AJ$215,MATCH(O195,('Spell Tables'!$AH$210:$AH$215),0)),IF(AND($Q$15="Otherworldly patron - archfey",O$277&gt;=O195),INDEX('Spell Tables'!$AJ$194:$AJ$199,MATCH(O195,('Spell Tables'!$AH$194:$AH$199),0)),IF($O$275&gt;=O195,INDEX($AL$92:$AL$101,MATCH(O195,($AJ$92:$AJ$101),0)),IF($O$279&gt;=O195,INDEX('Spell Tables'!$AJ$168:$AJ$178,MATCH(O195,('Spell Tables'!$AH$168:$AH$178),0)),IF($O$283&gt;=O195,INDEX('Spell Tables'!$AF$119:$AF$122,MATCH(O195,('Spell Tables'!$AD$119:$AD$122),0)),IF($O$285&gt;=O195,INDEX('Spell Tables'!$AF$97:$AF$102,MATCH(O195,('Spell Tables'!$AD$97:$AD$102),0)),IF($O$289&gt;=O195,INDEX('Spell Tables'!$AJ$48:$AJ$61,MATCH(O195,('Spell Tables'!$AH$48:$AH$61),0)),IF($O$291&gt;=O195,INDEX('Spell Tables'!$AJ$26:$AJ$38,MATCH(O195,('Spell Tables'!$AH$26:$AH$38),0)),IF($O$293&gt;=O195,INDEX('Spell Tables'!$AJ$2:$AJ$17,MATCH(O195,('Spell Tables'!$AH$2:$AH$17),0))," "))))))))))</f>
        <v xml:space="preserve"> </v>
      </c>
      <c r="Q297" s="65" t="str">
        <f ca="1">IF($P$275&gt;=O264,INDEX($AL$104:$AL$113,MATCH(O264,($AJ$104:$AJ$113),0)),IF($P$279&gt;=O264,INDEX('Spell Tables'!$AN$168:$AN$177,MATCH(O264,('Spell Tables'!$AL$168:$AL$177),0)),IF($P$289&gt;=O264,INDEX('Spell Tables'!$AN$48:$AN$56,MATCH(O264,('Spell Tables'!$AL$48:$AL$56),0)),IF($P$291&gt;=O264,INDEX('Spell Tables'!$AN$26:$AN$35,MATCH(O264,('Spell Tables'!$AL$26:$AL$35),0)),IF($P$293&gt;=O264,INDEX('Spell Tables'!$AN$2:$AN$8,MATCH(O264,('Spell Tables'!$AL$2:$AL$8),0))," ")))))</f>
        <v xml:space="preserve"> </v>
      </c>
      <c r="R297" s="65" t="str">
        <f ca="1">IF($Q$275&gt;=O264,INDEX($AL$116:$AL$125,MATCH(O264,($AJ$116:$AJ$125),0)),IF($Q$279&gt;=O264,INDEX('Spell Tables'!$AR$168:$AR$175,MATCH(O264,('Spell Tables'!$AP$168:$AP$175),0)),IF($Q$289&gt;=O264,INDEX('Spell Tables'!$AR$48:$AR$52,MATCH(O264,('Spell Tables'!$AP$48:$AP$52),0)),IF($Q$291&gt;=O264,INDEX('Spell Tables'!$AR$26:$AR$33,MATCH(O264,('Spell Tables'!$AP$26:$AP$33),0)),IF($Q$293&gt;=O264,INDEX('Spell Tables'!$AR$2:$AR$11,MATCH(O264,('Spell Tables'!$AL$2:$AL$11),0))," ")))))</f>
        <v xml:space="preserve"> </v>
      </c>
      <c r="S297" s="65" t="str">
        <f ca="1">IF($R$275&gt;=O264,INDEX($AL$128:$AL$137,MATCH(O264,($AJ$128:$AJ$137),0)),IF($R$279&gt;=O264,INDEX('Spell Tables'!$AV$168:$AV$172,MATCH(O264,('Spell Tables'!$AT$168:$AT$172),0)),IF($R$289&gt;=O264,INDEX('Spell Tables'!$AV$48:$AV$54,MATCH(O264,('Spell Tables'!$AT$48:$AT$54),0)),IF($R$291&gt;=O264,INDEX('Spell Tables'!$AV$26:$AV$29,MATCH(O264,('Spell Tables'!$AT$26:$AT$29),0)),IF($R$293&gt;=O264,INDEX('Spell Tables'!$AV$2:$AV$6,MATCH(O264,('Spell Tables'!$AT$2:$AT$6),0))," ")))))</f>
        <v xml:space="preserve"> </v>
      </c>
      <c r="T297" s="66" t="str">
        <f ca="1">IF($S$289&gt;=O264,INDEX($AL$140:$AL$149,MATCH(O264,($AJ$140:$AJ$149),0)),IF($S$275&gt;=O264,INDEX('Spell Tables'!$AZ$242:$AZ$253,MATCH(O264,('Spell Tables'!$AX$242:$AX$253),0)),IF($S$279&gt;=O264,INDEX('Spell Tables'!$AZ$168:$AZ$172,MATCH(O264,('Spell Tables'!$AX$168:$AX$172),0)),IF($S$291&gt;=O264,INDEX('Spell Tables'!$AZ$26:$AZ$29,MATCH(O264,('Spell Tables'!$AX$26:$AX$29),0)),IF($S$293&gt;=O264,INDEX('Spell Tables'!$AZ$2:$AZ$5,MATCH(O264,('Spell Tables'!$AX$2:$AX$5),0))," ")))))</f>
        <v xml:space="preserve"> </v>
      </c>
    </row>
    <row r="298" spans="14:20" x14ac:dyDescent="0.3">
      <c r="N298" s="72"/>
      <c r="O298" s="133">
        <v>4</v>
      </c>
      <c r="P298" s="60" t="str">
        <f ca="1">IF(AND($Q$15="Otherworldly patron - great old one",O$277&gt;=O196),INDEX('Spell Tables'!$AJ$226:$AJ$231,MATCH(O196,('Spell Tables'!$AH$226:$AH$231),0)),IF(AND($Q$15="Otherworldly patron - fiend",O$277&gt;=O196),INDEX('Spell Tables'!$AJ$210:$AJ$215,MATCH(O196,('Spell Tables'!$AH$210:$AH$215),0)),IF(AND($Q$15="Otherworldly patron - archfey",O$277&gt;=O196),INDEX('Spell Tables'!$AJ$194:$AJ$199,MATCH(O196,('Spell Tables'!$AH$194:$AH$199),0)),IF($O$275&gt;=O196,INDEX($AL$92:$AL$101,MATCH(O196,($AJ$92:$AJ$101),0)),IF($O$279&gt;=O196,INDEX('Spell Tables'!$AJ$168:$AJ$178,MATCH(O196,('Spell Tables'!$AH$168:$AH$178),0)),IF($O$283&gt;=O196,INDEX('Spell Tables'!$AF$119:$AF$122,MATCH(O196,('Spell Tables'!$AD$119:$AD$122),0)),IF($O$285&gt;=O196,INDEX('Spell Tables'!$AF$97:$AF$102,MATCH(O196,('Spell Tables'!$AD$97:$AD$102),0)),IF($O$289&gt;=O196,INDEX('Spell Tables'!$AJ$48:$AJ$61,MATCH(O196,('Spell Tables'!$AH$48:$AH$61),0)),IF($O$291&gt;=O196,INDEX('Spell Tables'!$AJ$26:$AJ$38,MATCH(O196,('Spell Tables'!$AH$26:$AH$38),0)),IF($O$293&gt;=O196,INDEX('Spell Tables'!$AJ$2:$AJ$17,MATCH(O196,('Spell Tables'!$AH$2:$AH$17),0))," "))))))))))</f>
        <v xml:space="preserve"> </v>
      </c>
      <c r="Q298" s="60" t="str">
        <f ca="1">IF($P$275&gt;=O265,INDEX($AL$104:$AL$113,MATCH(O265,($AJ$104:$AJ$113),0)),IF($P$279&gt;=O265,INDEX('Spell Tables'!$AN$168:$AN$177,MATCH(O265,('Spell Tables'!$AL$168:$AL$177),0)),IF($P$289&gt;=O265,INDEX('Spell Tables'!$AN$48:$AN$56,MATCH(O265,('Spell Tables'!$AL$48:$AL$56),0)),IF($P$291&gt;=O265,INDEX('Spell Tables'!$AN$26:$AN$35,MATCH(O265,('Spell Tables'!$AL$26:$AL$35),0)),IF($P$293&gt;=O265,INDEX('Spell Tables'!$AN$2:$AN$8,MATCH(O265,('Spell Tables'!$AL$2:$AL$8),0))," ")))))</f>
        <v xml:space="preserve"> </v>
      </c>
      <c r="R298" s="60" t="str">
        <f ca="1">IF($Q$275&gt;=O265,INDEX($AL$116:$AL$125,MATCH(O265,($AJ$116:$AJ$125),0)),IF($Q$279&gt;=O265,INDEX('Spell Tables'!$AR$168:$AR$175,MATCH(O265,('Spell Tables'!$AP$168:$AP$175),0)),IF($Q$289&gt;=O265,INDEX('Spell Tables'!$AR$48:$AR$52,MATCH(O265,('Spell Tables'!$AP$48:$AP$52),0)),IF($Q$291&gt;=O265,INDEX('Spell Tables'!$AR$26:$AR$33,MATCH(O265,('Spell Tables'!$AP$26:$AP$33),0)),IF($Q$293&gt;=O265,INDEX('Spell Tables'!$AR$2:$AR$11,MATCH(O265,('Spell Tables'!$AL$2:$AL$11),0))," ")))))</f>
        <v xml:space="preserve"> </v>
      </c>
      <c r="S298" s="60" t="str">
        <f ca="1">IF($R$275&gt;=O265,INDEX($AL$128:$AL$137,MATCH(O265,($AJ$128:$AJ$137),0)),IF($R$279&gt;=O265,INDEX('Spell Tables'!$AV$168:$AV$172,MATCH(O265,('Spell Tables'!$AT$168:$AT$172),0)),IF($R$289&gt;=O265,INDEX('Spell Tables'!$AV$48:$AV$54,MATCH(O265,('Spell Tables'!$AT$48:$AT$54),0)),IF($R$291&gt;=O265,INDEX('Spell Tables'!$AV$26:$AV$29,MATCH(O265,('Spell Tables'!$AT$26:$AT$29),0)),IF($R$293&gt;=O265,INDEX('Spell Tables'!$AV$2:$AV$6,MATCH(O265,('Spell Tables'!$AT$2:$AT$6),0))," ")))))</f>
        <v xml:space="preserve"> </v>
      </c>
      <c r="T298" s="63" t="str">
        <f ca="1">IF($S$289&gt;=O265,INDEX($AL$140:$AL$149,MATCH(O265,($AJ$140:$AJ$149),0)),IF($S$275&gt;=O265,INDEX('Spell Tables'!$AZ$242:$AZ$253,MATCH(O265,('Spell Tables'!$AX$242:$AX$253),0)),IF($S$279&gt;=O265,INDEX('Spell Tables'!$AZ$168:$AZ$172,MATCH(O265,('Spell Tables'!$AX$168:$AX$172),0)),IF($S$291&gt;=O265,INDEX('Spell Tables'!$AZ$26:$AZ$29,MATCH(O265,('Spell Tables'!$AX$26:$AX$29),0)),IF($S$293&gt;=O265,INDEX('Spell Tables'!$AZ$2:$AZ$5,MATCH(O265,('Spell Tables'!$AX$2:$AX$5),0))," ")))))</f>
        <v xml:space="preserve"> </v>
      </c>
    </row>
    <row r="299" spans="14:20" x14ac:dyDescent="0.3">
      <c r="N299" s="72"/>
      <c r="O299" s="86">
        <v>5</v>
      </c>
      <c r="P299" s="65" t="str">
        <f ca="1">IF(AND($Q$15="Otherworldly patron - great old one",O$277&gt;=O197),INDEX('Spell Tables'!$AJ$226:$AJ$231,MATCH(O197,('Spell Tables'!$AH$226:$AH$231),0)),IF(AND($Q$15="Otherworldly patron - fiend",O$277&gt;=O197),INDEX('Spell Tables'!$AJ$210:$AJ$215,MATCH(O197,('Spell Tables'!$AH$210:$AH$215),0)),IF(AND($Q$15="Otherworldly patron - archfey",O$277&gt;=O197),INDEX('Spell Tables'!$AJ$194:$AJ$199,MATCH(O197,('Spell Tables'!$AH$194:$AH$199),0)),IF($O$275&gt;=O197,INDEX($AL$92:$AL$101,MATCH(O197,($AJ$92:$AJ$101),0)),IF($O$279&gt;=O197,INDEX('Spell Tables'!$AJ$168:$AJ$178,MATCH(O197,('Spell Tables'!$AH$168:$AH$178),0)),IF($O$283&gt;=O197,INDEX('Spell Tables'!$AF$119:$AF$122,MATCH(O197,('Spell Tables'!$AD$119:$AD$122),0)),IF($O$285&gt;=O197,INDEX('Spell Tables'!$AF$97:$AF$102,MATCH(O197,('Spell Tables'!$AD$97:$AD$102),0)),IF($O$289&gt;=O197,INDEX('Spell Tables'!$AJ$48:$AJ$61,MATCH(O197,('Spell Tables'!$AH$48:$AH$61),0)),IF($O$291&gt;=O197,INDEX('Spell Tables'!$AJ$26:$AJ$38,MATCH(O197,('Spell Tables'!$AH$26:$AH$38),0)),IF($O$293&gt;=O197,INDEX('Spell Tables'!$AJ$2:$AJ$17,MATCH(O197,('Spell Tables'!$AH$2:$AH$17),0))," "))))))))))</f>
        <v xml:space="preserve"> </v>
      </c>
      <c r="Q299" s="65" t="str">
        <f ca="1">IF($P$275&gt;=O266,INDEX($AL$104:$AL$113,MATCH(O266,($AJ$104:$AJ$113),0)),IF($P$279&gt;=O266,INDEX('Spell Tables'!$AN$168:$AN$177,MATCH(O266,('Spell Tables'!$AL$168:$AL$177),0)),IF($P$289&gt;=O266,INDEX('Spell Tables'!$AN$48:$AN$56,MATCH(O266,('Spell Tables'!$AL$48:$AL$56),0)),IF($P$291&gt;=O266,INDEX('Spell Tables'!$AN$26:$AN$35,MATCH(O266,('Spell Tables'!$AL$26:$AL$35),0)),IF($P$293&gt;=O266,INDEX('Spell Tables'!$AN$2:$AN$8,MATCH(O266,('Spell Tables'!$AL$2:$AL$8),0))," ")))))</f>
        <v xml:space="preserve"> </v>
      </c>
      <c r="R299" s="65" t="str">
        <f ca="1">IF($Q$275&gt;=O266,INDEX($AL$116:$AL$125,MATCH(O266,($AJ$116:$AJ$125),0)),IF($Q$279&gt;=O266,INDEX('Spell Tables'!$AR$168:$AR$175,MATCH(O266,('Spell Tables'!$AP$168:$AP$175),0)),IF($Q$289&gt;=O266,INDEX('Spell Tables'!$AR$48:$AR$52,MATCH(O266,('Spell Tables'!$AP$48:$AP$52),0)),IF($Q$291&gt;=O266,INDEX('Spell Tables'!$AR$26:$AR$33,MATCH(O266,('Spell Tables'!$AP$26:$AP$33),0)),IF($Q$293&gt;=O266,INDEX('Spell Tables'!$AR$2:$AR$11,MATCH(O266,('Spell Tables'!$AL$2:$AL$11),0))," ")))))</f>
        <v xml:space="preserve"> </v>
      </c>
      <c r="S299" s="65" t="str">
        <f ca="1">IF($R$275&gt;=O266,INDEX($AL$128:$AL$137,MATCH(O266,($AJ$128:$AJ$137),0)),IF($R$279&gt;=O266,INDEX('Spell Tables'!$AV$168:$AV$172,MATCH(O266,('Spell Tables'!$AT$168:$AT$172),0)),IF($R$289&gt;=O266,INDEX('Spell Tables'!$AV$48:$AV$54,MATCH(O266,('Spell Tables'!$AT$48:$AT$54),0)),IF($R$291&gt;=O266,INDEX('Spell Tables'!$AV$26:$AV$29,MATCH(O266,('Spell Tables'!$AT$26:$AT$29),0)),IF($R$293&gt;=O266,INDEX('Spell Tables'!$AV$2:$AV$6,MATCH(O266,('Spell Tables'!$AT$2:$AT$6),0))," ")))))</f>
        <v xml:space="preserve"> </v>
      </c>
      <c r="T299" s="66" t="str">
        <f ca="1">IF($S$289&gt;=O266,INDEX($AL$140:$AL$149,MATCH(O266,($AJ$140:$AJ$149),0)),IF($S$275&gt;=O266,INDEX('Spell Tables'!$AZ$242:$AZ$253,MATCH(O266,('Spell Tables'!$AX$242:$AX$253),0)),IF($S$279&gt;=O266,INDEX('Spell Tables'!$AZ$168:$AZ$172,MATCH(O266,('Spell Tables'!$AX$168:$AX$172),0)),IF($S$291&gt;=O266,INDEX('Spell Tables'!$AZ$26:$AZ$29,MATCH(O266,('Spell Tables'!$AX$26:$AX$29),0)),IF($S$293&gt;=O266,INDEX('Spell Tables'!$AZ$2:$AZ$5,MATCH(O266,('Spell Tables'!$AX$2:$AX$5),0))," ")))))</f>
        <v xml:space="preserve"> </v>
      </c>
    </row>
    <row r="300" spans="14:20" x14ac:dyDescent="0.3">
      <c r="N300" s="72"/>
      <c r="O300" s="133">
        <v>6</v>
      </c>
      <c r="P300" s="60" t="str">
        <f ca="1">IF(AND($Q$15="Otherworldly patron - great old one",O$277&gt;=O198),INDEX('Spell Tables'!$AJ$226:$AJ$231,MATCH(O198,('Spell Tables'!$AH$226:$AH$231),0)),IF(AND($Q$15="Otherworldly patron - fiend",O$277&gt;=O198),INDEX('Spell Tables'!$AJ$210:$AJ$215,MATCH(O198,('Spell Tables'!$AH$210:$AH$215),0)),IF(AND($Q$15="Otherworldly patron - archfey",O$277&gt;=O198),INDEX('Spell Tables'!$AJ$194:$AJ$199,MATCH(O198,('Spell Tables'!$AH$194:$AH$199),0)),IF($O$275&gt;=O198,INDEX($AL$92:$AL$101,MATCH(O198,($AJ$92:$AJ$101),0)),IF($O$279&gt;=O198,INDEX('Spell Tables'!$AJ$168:$AJ$178,MATCH(O198,('Spell Tables'!$AH$168:$AH$178),0)),IF($O$283&gt;=O198,INDEX('Spell Tables'!$AF$119:$AF$122,MATCH(O198,('Spell Tables'!$AD$119:$AD$122),0)),IF($O$285&gt;=O198,INDEX('Spell Tables'!$AF$97:$AF$102,MATCH(O198,('Spell Tables'!$AD$97:$AD$102),0)),IF($O$289&gt;=O198,INDEX('Spell Tables'!$AJ$48:$AJ$61,MATCH(O198,('Spell Tables'!$AH$48:$AH$61),0)),IF($O$291&gt;=O198,INDEX('Spell Tables'!$AJ$26:$AJ$38,MATCH(O198,('Spell Tables'!$AH$26:$AH$38),0)),IF($O$293&gt;=O198,INDEX('Spell Tables'!$AJ$2:$AJ$17,MATCH(O198,('Spell Tables'!$AH$2:$AH$17),0))," "))))))))))</f>
        <v xml:space="preserve"> </v>
      </c>
      <c r="Q300" s="60" t="str">
        <f ca="1">IF($P$275&gt;=O267,INDEX($AL$104:$AL$113,MATCH(O267,($AJ$104:$AJ$113),0)),IF($P$279&gt;=O267,INDEX('Spell Tables'!$AN$168:$AN$177,MATCH(O267,('Spell Tables'!$AL$168:$AL$177),0)),IF($P$289&gt;=O267,INDEX('Spell Tables'!$AN$48:$AN$56,MATCH(O267,('Spell Tables'!$AL$48:$AL$56),0)),IF($P$291&gt;=O267,INDEX('Spell Tables'!$AN$26:$AN$35,MATCH(O267,('Spell Tables'!$AL$26:$AL$35),0)),IF($P$293&gt;=O267,INDEX('Spell Tables'!$AN$2:$AN$8,MATCH(O267,('Spell Tables'!$AL$2:$AL$8),0))," ")))))</f>
        <v xml:space="preserve"> </v>
      </c>
      <c r="R300" s="60" t="str">
        <f ca="1">IF($Q$275&gt;=O267,INDEX($AL$116:$AL$125,MATCH(O267,($AJ$116:$AJ$125),0)),IF($Q$279&gt;=O267,INDEX('Spell Tables'!$AR$168:$AR$175,MATCH(O267,('Spell Tables'!$AP$168:$AP$175),0)),IF($Q$289&gt;=O267,INDEX('Spell Tables'!$AR$48:$AR$52,MATCH(O267,('Spell Tables'!$AP$48:$AP$52),0)),IF($Q$291&gt;=O267,INDEX('Spell Tables'!$AR$26:$AR$33,MATCH(O267,('Spell Tables'!$AP$26:$AP$33),0)),IF($Q$293&gt;=O267,INDEX('Spell Tables'!$AR$2:$AR$11,MATCH(O267,('Spell Tables'!$AL$2:$AL$11),0))," ")))))</f>
        <v xml:space="preserve"> </v>
      </c>
      <c r="S300" s="60" t="str">
        <f ca="1">IF($R$275&gt;=O267,INDEX($AL$128:$AL$137,MATCH(O267,($AJ$128:$AJ$137),0)),IF($R$279&gt;=O267,INDEX('Spell Tables'!$AV$168:$AV$172,MATCH(O267,('Spell Tables'!$AT$168:$AT$172),0)),IF($R$289&gt;=O267,INDEX('Spell Tables'!$AV$48:$AV$54,MATCH(O267,('Spell Tables'!$AT$48:$AT$54),0)),IF($R$291&gt;=O267,INDEX('Spell Tables'!$AV$26:$AV$29,MATCH(O267,('Spell Tables'!$AT$26:$AT$29),0)),IF($R$293&gt;=O267,INDEX('Spell Tables'!$AV$2:$AV$6,MATCH(O267,('Spell Tables'!$AT$2:$AT$6),0))," ")))))</f>
        <v xml:space="preserve"> </v>
      </c>
      <c r="T300" s="63" t="str">
        <f ca="1">IF($S$289&gt;=O267,INDEX($AL$140:$AL$149,MATCH(O267,($AJ$140:$AJ$149),0)),IF($S$275&gt;=O267,INDEX('Spell Tables'!$AZ$242:$AZ$253,MATCH(O267,('Spell Tables'!$AX$242:$AX$253),0)),IF($S$279&gt;=O267,INDEX('Spell Tables'!$AZ$168:$AZ$172,MATCH(O267,('Spell Tables'!$AX$168:$AX$172),0)),IF($S$291&gt;=O267,INDEX('Spell Tables'!$AZ$26:$AZ$29,MATCH(O267,('Spell Tables'!$AX$26:$AX$29),0)),IF($S$293&gt;=O267,INDEX('Spell Tables'!$AZ$2:$AZ$5,MATCH(O267,('Spell Tables'!$AX$2:$AX$5),0))," ")))))</f>
        <v xml:space="preserve"> </v>
      </c>
    </row>
    <row r="301" spans="14:20" x14ac:dyDescent="0.3">
      <c r="N301" s="72"/>
      <c r="O301" s="86">
        <v>7</v>
      </c>
      <c r="P301" s="65" t="str">
        <f ca="1">IF(AND($Q$15="Otherworldly patron - great old one",O$277&gt;=O199),INDEX('Spell Tables'!$AJ$226:$AJ$231,MATCH(O199,('Spell Tables'!$AH$226:$AH$231),0)),IF(AND($Q$15="Otherworldly patron - fiend",O$277&gt;=O199),INDEX('Spell Tables'!$AJ$210:$AJ$215,MATCH(O199,('Spell Tables'!$AH$210:$AH$215),0)),IF(AND($Q$15="Otherworldly patron - archfey",O$277&gt;=O199),INDEX('Spell Tables'!$AJ$194:$AJ$199,MATCH(O199,('Spell Tables'!$AH$194:$AH$199),0)),IF($O$275&gt;=O199,INDEX($AL$92:$AL$101,MATCH(O199,($AJ$92:$AJ$101),0)),IF($O$279&gt;=O199,INDEX('Spell Tables'!$AJ$168:$AJ$178,MATCH(O199,('Spell Tables'!$AH$168:$AH$178),0)),IF($O$283&gt;=O199,INDEX('Spell Tables'!$AF$119:$AF$122,MATCH(O199,('Spell Tables'!$AD$119:$AD$122),0)),IF($O$285&gt;=O199,INDEX('Spell Tables'!$AF$97:$AF$102,MATCH(O199,('Spell Tables'!$AD$97:$AD$102),0)),IF($O$289&gt;=O199,INDEX('Spell Tables'!$AJ$48:$AJ$61,MATCH(O199,('Spell Tables'!$AH$48:$AH$61),0)),IF($O$291&gt;=O199,INDEX('Spell Tables'!$AJ$26:$AJ$38,MATCH(O199,('Spell Tables'!$AH$26:$AH$38),0)),IF($O$293&gt;=O199,INDEX('Spell Tables'!$AJ$2:$AJ$17,MATCH(O199,('Spell Tables'!$AH$2:$AH$17),0))," "))))))))))</f>
        <v xml:space="preserve"> </v>
      </c>
      <c r="Q301" s="65" t="str">
        <f ca="1">IF($P$275&gt;=O268,INDEX($AL$104:$AL$113,MATCH(O268,($AJ$104:$AJ$113),0)),IF($P$279&gt;=O268,INDEX('Spell Tables'!$AN$168:$AN$177,MATCH(O268,('Spell Tables'!$AL$168:$AL$177),0)),IF($P$289&gt;=O268,INDEX('Spell Tables'!$AN$48:$AN$56,MATCH(O268,('Spell Tables'!$AL$48:$AL$56),0)),IF($P$291&gt;=O268,INDEX('Spell Tables'!$AN$26:$AN$35,MATCH(O268,('Spell Tables'!$AL$26:$AL$35),0)),IF($P$293&gt;=O268,INDEX('Spell Tables'!$AN$2:$AN$8,MATCH(O268,('Spell Tables'!$AL$2:$AL$8),0))," ")))))</f>
        <v xml:space="preserve"> </v>
      </c>
      <c r="R301" s="65" t="str">
        <f ca="1">IF($Q$275&gt;=O268,INDEX($AL$116:$AL$125,MATCH(O268,($AJ$116:$AJ$125),0)),IF($Q$279&gt;=O268,INDEX('Spell Tables'!$AR$168:$AR$175,MATCH(O268,('Spell Tables'!$AP$168:$AP$175),0)),IF($Q$289&gt;=O268,INDEX('Spell Tables'!$AR$48:$AR$52,MATCH(O268,('Spell Tables'!$AP$48:$AP$52),0)),IF($Q$291&gt;=O268,INDEX('Spell Tables'!$AR$26:$AR$33,MATCH(O268,('Spell Tables'!$AP$26:$AP$33),0)),IF($Q$293&gt;=O268,INDEX('Spell Tables'!$AR$2:$AR$11,MATCH(O268,('Spell Tables'!$AL$2:$AL$11),0))," ")))))</f>
        <v xml:space="preserve"> </v>
      </c>
      <c r="S301" s="65" t="str">
        <f ca="1">IF($R$275&gt;=O268,INDEX($AL$128:$AL$137,MATCH(O268,($AJ$128:$AJ$137),0)),IF($R$279&gt;=O268,INDEX('Spell Tables'!$AV$168:$AV$172,MATCH(O268,('Spell Tables'!$AT$168:$AT$172),0)),IF($R$289&gt;=O268,INDEX('Spell Tables'!$AV$48:$AV$54,MATCH(O268,('Spell Tables'!$AT$48:$AT$54),0)),IF($R$291&gt;=O268,INDEX('Spell Tables'!$AV$26:$AV$29,MATCH(O268,('Spell Tables'!$AT$26:$AT$29),0)),IF($R$293&gt;=O268,INDEX('Spell Tables'!$AV$2:$AV$6,MATCH(O268,('Spell Tables'!$AT$2:$AT$6),0))," ")))))</f>
        <v xml:space="preserve"> </v>
      </c>
      <c r="T301" s="66" t="str">
        <f ca="1">IF($S$289&gt;=O268,INDEX($AL$140:$AL$149,MATCH(O268,($AJ$140:$AJ$149),0)),IF($S$275&gt;=O268,INDEX('Spell Tables'!$AZ$242:$AZ$253,MATCH(O268,('Spell Tables'!$AX$242:$AX$253),0)),IF($S$279&gt;=O268,INDEX('Spell Tables'!$AZ$168:$AZ$172,MATCH(O268,('Spell Tables'!$AX$168:$AX$172),0)),IF($S$291&gt;=O268,INDEX('Spell Tables'!$AZ$26:$AZ$29,MATCH(O268,('Spell Tables'!$AX$26:$AX$29),0)),IF($S$293&gt;=O268,INDEX('Spell Tables'!$AZ$2:$AZ$5,MATCH(O268,('Spell Tables'!$AX$2:$AX$5),0))," ")))))</f>
        <v xml:space="preserve"> </v>
      </c>
    </row>
    <row r="302" spans="14:20" x14ac:dyDescent="0.3">
      <c r="N302" s="72"/>
      <c r="O302" s="133">
        <v>8</v>
      </c>
      <c r="P302" s="60" t="str">
        <f ca="1">IF(AND($Q$15="Otherworldly patron - great old one",O$277&gt;=O200),INDEX('Spell Tables'!$AJ$226:$AJ$231,MATCH(O200,('Spell Tables'!$AH$226:$AH$231),0)),IF(AND($Q$15="Otherworldly patron - fiend",O$277&gt;=O200),INDEX('Spell Tables'!$AJ$210:$AJ$215,MATCH(O200,('Spell Tables'!$AH$210:$AH$215),0)),IF(AND($Q$15="Otherworldly patron - archfey",O$277&gt;=O200),INDEX('Spell Tables'!$AJ$194:$AJ$199,MATCH(O200,('Spell Tables'!$AH$194:$AH$199),0)),IF($O$275&gt;=O200,INDEX($AL$92:$AL$101,MATCH(O200,($AJ$92:$AJ$101),0)),IF($O$279&gt;=O200,INDEX('Spell Tables'!$AJ$168:$AJ$178,MATCH(O200,('Spell Tables'!$AH$168:$AH$178),0)),IF($O$283&gt;=O200,INDEX('Spell Tables'!$AF$119:$AF$122,MATCH(O200,('Spell Tables'!$AD$119:$AD$122),0)),IF($O$285&gt;=O200,INDEX('Spell Tables'!$AF$97:$AF$102,MATCH(O200,('Spell Tables'!$AD$97:$AD$102),0)),IF($O$289&gt;=O200,INDEX('Spell Tables'!$AJ$48:$AJ$61,MATCH(O200,('Spell Tables'!$AH$48:$AH$61),0)),IF($O$291&gt;=O200,INDEX('Spell Tables'!$AJ$26:$AJ$38,MATCH(O200,('Spell Tables'!$AH$26:$AH$38),0)),IF($O$293&gt;=O200,INDEX('Spell Tables'!$AJ$2:$AJ$17,MATCH(O200,('Spell Tables'!$AH$2:$AH$17),0))," "))))))))))</f>
        <v xml:space="preserve"> </v>
      </c>
      <c r="Q302" s="60" t="str">
        <f ca="1">IF($P$275&gt;=O269,INDEX($AL$104:$AL$113,MATCH(O269,($AJ$104:$AJ$113),0)),IF($P$279&gt;=O269,INDEX('Spell Tables'!$AN$168:$AN$177,MATCH(O269,('Spell Tables'!$AL$168:$AL$177),0)),IF($P$289&gt;=O269,INDEX('Spell Tables'!$AN$48:$AN$56,MATCH(O269,('Spell Tables'!$AL$48:$AL$56),0)),IF($P$291&gt;=O269,INDEX('Spell Tables'!$AN$26:$AN$35,MATCH(O269,('Spell Tables'!$AL$26:$AL$35),0)),IF($P$293&gt;=O269,INDEX('Spell Tables'!$AN$2:$AN$8,MATCH(O269,('Spell Tables'!$AL$2:$AL$8),0))," ")))))</f>
        <v xml:space="preserve"> </v>
      </c>
      <c r="R302" s="60" t="str">
        <f ca="1">IF($Q$275&gt;=O269,INDEX($AL$116:$AL$125,MATCH(O269,($AJ$116:$AJ$125),0)),IF($Q$279&gt;=O269,INDEX('Spell Tables'!$AR$168:$AR$175,MATCH(O269,('Spell Tables'!$AP$168:$AP$175),0)),IF($Q$289&gt;=O269,INDEX('Spell Tables'!$AR$48:$AR$52,MATCH(O269,('Spell Tables'!$AP$48:$AP$52),0)),IF($Q$291&gt;=O269,INDEX('Spell Tables'!$AR$26:$AR$33,MATCH(O269,('Spell Tables'!$AP$26:$AP$33),0)),IF($Q$293&gt;=O269,INDEX('Spell Tables'!$AR$2:$AR$11,MATCH(O269,('Spell Tables'!$AL$2:$AL$11),0))," ")))))</f>
        <v xml:space="preserve"> </v>
      </c>
      <c r="S302" s="60" t="str">
        <f ca="1">IF($R$275&gt;=O269,INDEX($AL$128:$AL$137,MATCH(O269,($AJ$128:$AJ$137),0)),IF($R$279&gt;=O269,INDEX('Spell Tables'!$AV$168:$AV$172,MATCH(O269,('Spell Tables'!$AT$168:$AT$172),0)),IF($R$289&gt;=O269,INDEX('Spell Tables'!$AV$48:$AV$54,MATCH(O269,('Spell Tables'!$AT$48:$AT$54),0)),IF($R$291&gt;=O269,INDEX('Spell Tables'!$AV$26:$AV$29,MATCH(O269,('Spell Tables'!$AT$26:$AT$29),0)),IF($R$293&gt;=O269,INDEX('Spell Tables'!$AV$2:$AV$6,MATCH(O269,('Spell Tables'!$AT$2:$AT$6),0))," ")))))</f>
        <v xml:space="preserve"> </v>
      </c>
      <c r="T302" s="63" t="str">
        <f ca="1">IF($S$289&gt;=O269,INDEX($AL$140:$AL$149,MATCH(O269,($AJ$140:$AJ$149),0)),IF($S$275&gt;=O269,INDEX('Spell Tables'!$AZ$242:$AZ$253,MATCH(O269,('Spell Tables'!$AX$242:$AX$253),0)),IF($S$279&gt;=O269,INDEX('Spell Tables'!$AZ$168:$AZ$172,MATCH(O269,('Spell Tables'!$AX$168:$AX$172),0)),IF($S$291&gt;=O269,INDEX('Spell Tables'!$AZ$26:$AZ$29,MATCH(O269,('Spell Tables'!$AX$26:$AX$29),0)),IF($S$293&gt;=O269,INDEX('Spell Tables'!$AZ$2:$AZ$5,MATCH(O269,('Spell Tables'!$AX$2:$AX$5),0))," ")))))</f>
        <v xml:space="preserve"> </v>
      </c>
    </row>
    <row r="303" spans="14:20" x14ac:dyDescent="0.3">
      <c r="N303" s="72"/>
      <c r="O303" s="86">
        <v>9</v>
      </c>
      <c r="P303" s="65" t="str">
        <f ca="1">IF(AND($Q$15="Otherworldly patron - great old one",O$277&gt;=O201),INDEX('Spell Tables'!$AJ$226:$AJ$231,MATCH(O201,('Spell Tables'!$AH$226:$AH$231),0)),IF(AND($Q$15="Otherworldly patron - fiend",O$277&gt;=O201),INDEX('Spell Tables'!$AJ$210:$AJ$215,MATCH(O201,('Spell Tables'!$AH$210:$AH$215),0)),IF(AND($Q$15="Otherworldly patron - archfey",O$277&gt;=O201),INDEX('Spell Tables'!$AJ$194:$AJ$199,MATCH(O201,('Spell Tables'!$AH$194:$AH$199),0)),IF($O$275&gt;=O201,INDEX($AL$92:$AL$101,MATCH(O201,($AJ$92:$AJ$101),0)),IF($O$279&gt;=O201,INDEX('Spell Tables'!$AJ$168:$AJ$178,MATCH(O201,('Spell Tables'!$AH$168:$AH$178),0)),IF($O$283&gt;=O201,INDEX('Spell Tables'!$AF$119:$AF$122,MATCH(O201,('Spell Tables'!$AD$119:$AD$122),0)),IF($O$285&gt;=O201,INDEX('Spell Tables'!$AF$97:$AF$102,MATCH(O201,('Spell Tables'!$AD$97:$AD$102),0)),IF($O$289&gt;=O201,INDEX('Spell Tables'!$AJ$48:$AJ$61,MATCH(O201,('Spell Tables'!$AH$48:$AH$61),0)),IF($O$291&gt;=O201,INDEX('Spell Tables'!$AJ$26:$AJ$38,MATCH(O201,('Spell Tables'!$AH$26:$AH$38),0)),IF($O$293&gt;=O201,INDEX('Spell Tables'!$AJ$2:$AJ$17,MATCH(O201,('Spell Tables'!$AH$2:$AH$17),0))," "))))))))))</f>
        <v xml:space="preserve"> </v>
      </c>
      <c r="Q303" s="65" t="str">
        <f ca="1">IF($P$275&gt;=O270,INDEX($AL$104:$AL$113,MATCH(O270,($AJ$104:$AJ$113),0)),IF($P$279&gt;=O270,INDEX('Spell Tables'!$AN$168:$AN$177,MATCH(O270,('Spell Tables'!$AL$168:$AL$177),0)),IF($P$289&gt;=O270,INDEX('Spell Tables'!$AN$48:$AN$56,MATCH(O270,('Spell Tables'!$AL$48:$AL$56),0)),IF($P$291&gt;=O270,INDEX('Spell Tables'!$AN$26:$AN$35,MATCH(O270,('Spell Tables'!$AL$26:$AL$35),0)),IF($P$293&gt;=O270,INDEX('Spell Tables'!$AN$2:$AN$8,MATCH(O270,('Spell Tables'!$AL$2:$AL$8),0))," ")))))</f>
        <v xml:space="preserve"> </v>
      </c>
      <c r="R303" s="65" t="str">
        <f ca="1">IF($Q$275&gt;=O270,INDEX($AL$116:$AL$125,MATCH(O270,($AJ$116:$AJ$125),0)),IF($Q$279&gt;=O270,INDEX('Spell Tables'!$AR$168:$AR$175,MATCH(O270,('Spell Tables'!$AP$168:$AP$175),0)),IF($Q$289&gt;=O270,INDEX('Spell Tables'!$AR$48:$AR$52,MATCH(O270,('Spell Tables'!$AP$48:$AP$52),0)),IF($Q$291&gt;=O270,INDEX('Spell Tables'!$AR$26:$AR$33,MATCH(O270,('Spell Tables'!$AP$26:$AP$33),0)),IF($Q$293&gt;=O270,INDEX('Spell Tables'!$AR$2:$AR$11,MATCH(O270,('Spell Tables'!$AL$2:$AL$11),0))," ")))))</f>
        <v xml:space="preserve"> </v>
      </c>
      <c r="S303" s="65" t="str">
        <f ca="1">IF($R$275&gt;=O270,INDEX($AL$128:$AL$137,MATCH(O270,($AJ$128:$AJ$137),0)),IF($R$279&gt;=O270,INDEX('Spell Tables'!$AV$168:$AV$172,MATCH(O270,('Spell Tables'!$AT$168:$AT$172),0)),IF($R$289&gt;=O270,INDEX('Spell Tables'!$AV$48:$AV$54,MATCH(O270,('Spell Tables'!$AT$48:$AT$54),0)),IF($R$291&gt;=O270,INDEX('Spell Tables'!$AV$26:$AV$29,MATCH(O270,('Spell Tables'!$AT$26:$AT$29),0)),IF($R$293&gt;=O270,INDEX('Spell Tables'!$AV$2:$AV$6,MATCH(O270,('Spell Tables'!$AT$2:$AT$6),0))," ")))))</f>
        <v xml:space="preserve"> </v>
      </c>
      <c r="T303" s="66" t="str">
        <f ca="1">IF($S$289&gt;=O270,INDEX($AL$140:$AL$149,MATCH(O270,($AJ$140:$AJ$149),0)),IF($S$275&gt;=O270,INDEX('Spell Tables'!$AZ$242:$AZ$253,MATCH(O270,('Spell Tables'!$AX$242:$AX$253),0)),IF($S$279&gt;=O270,INDEX('Spell Tables'!$AZ$168:$AZ$172,MATCH(O270,('Spell Tables'!$AX$168:$AX$172),0)),IF($S$291&gt;=O270,INDEX('Spell Tables'!$AZ$26:$AZ$29,MATCH(O270,('Spell Tables'!$AX$26:$AX$29),0)),IF($S$293&gt;=O270,INDEX('Spell Tables'!$AZ$2:$AZ$5,MATCH(O270,('Spell Tables'!$AX$2:$AX$5),0))," ")))))</f>
        <v xml:space="preserve"> </v>
      </c>
    </row>
    <row r="304" spans="14:20" ht="19.5" thickBot="1" x14ac:dyDescent="0.35">
      <c r="N304" s="72"/>
      <c r="O304" s="134">
        <v>10</v>
      </c>
      <c r="P304" s="67" t="str">
        <f ca="1">IF(AND($Q$15="Otherworldly patron - great old one",O$277&gt;=O202),INDEX('Spell Tables'!$AJ$226:$AJ$231,MATCH(O202,('Spell Tables'!$AH$226:$AH$231),0)),IF(AND($Q$15="Otherworldly patron - fiend",O$277&gt;=O202),INDEX('Spell Tables'!$AJ$210:$AJ$215,MATCH(O202,('Spell Tables'!$AH$210:$AH$215),0)),IF(AND($Q$15="Otherworldly patron - archfey",O$277&gt;=O202),INDEX('Spell Tables'!$AJ$194:$AJ$199,MATCH(O202,('Spell Tables'!$AH$194:$AH$199),0)),IF($O$275&gt;=O202,INDEX($AL$92:$AL$101,MATCH(O202,($AJ$92:$AJ$101),0)),IF($O$279&gt;=O202,INDEX('Spell Tables'!$AJ$168:$AJ$178,MATCH(O202,('Spell Tables'!$AH$168:$AH$178),0)),IF($O$283&gt;=O202,INDEX('Spell Tables'!$AF$119:$AF$122,MATCH(O202,('Spell Tables'!$AD$119:$AD$122),0)),IF($O$285&gt;=O202,INDEX('Spell Tables'!$AF$97:$AF$102,MATCH(O202,('Spell Tables'!$AD$97:$AD$102),0)),IF($O$289&gt;=O202,INDEX('Spell Tables'!$AJ$48:$AJ$61,MATCH(O202,('Spell Tables'!$AH$48:$AH$61),0)),IF($O$291&gt;=O202,INDEX('Spell Tables'!$AJ$26:$AJ$38,MATCH(O202,('Spell Tables'!$AH$26:$AH$38),0)),IF($O$293&gt;=O202,INDEX('Spell Tables'!$AJ$2:$AJ$17,MATCH(O202,('Spell Tables'!$AH$2:$AH$17),0))," "))))))))))</f>
        <v xml:space="preserve"> </v>
      </c>
      <c r="Q304" s="67" t="str">
        <f ca="1">IF($P$275&gt;=O271,INDEX($AL$104:$AL$113,MATCH(O271,($AJ$104:$AJ$113),0)),IF($P$279&gt;=O271,INDEX('Spell Tables'!$AN$168:$AN$177,MATCH(O271,('Spell Tables'!$AL$168:$AL$177),0)),IF($P$289&gt;=O271,INDEX('Spell Tables'!$AN$48:$AN$56,MATCH(O271,('Spell Tables'!$AL$48:$AL$56),0)),IF($P$291&gt;=O271,INDEX('Spell Tables'!$AN$26:$AN$35,MATCH(O271,('Spell Tables'!$AL$26:$AL$35),0)),IF($P$293&gt;=O271,INDEX('Spell Tables'!$AN$2:$AN$8,MATCH(O271,('Spell Tables'!$AL$2:$AL$8),0))," ")))))</f>
        <v xml:space="preserve"> </v>
      </c>
      <c r="R304" s="67" t="str">
        <f ca="1">IF($Q$275&gt;=O271,INDEX($AL$116:$AL$125,MATCH(O271,($AJ$116:$AJ$125),0)),IF($Q$279&gt;=O271,INDEX('Spell Tables'!$AR$168:$AR$175,MATCH(O271,('Spell Tables'!$AP$168:$AP$175),0)),IF($Q$289&gt;=O271,INDEX('Spell Tables'!$AR$48:$AR$52,MATCH(O271,('Spell Tables'!$AP$48:$AP$52),0)),IF($Q$291&gt;=O271,INDEX('Spell Tables'!$AR$26:$AR$33,MATCH(O271,('Spell Tables'!$AP$26:$AP$33),0)),IF($Q$293&gt;=O271,INDEX('Spell Tables'!$AR$2:$AR$11,MATCH(O271,('Spell Tables'!$AL$2:$AL$11),0))," ")))))</f>
        <v xml:space="preserve"> </v>
      </c>
      <c r="S304" s="67" t="str">
        <f ca="1">IF($R$275&gt;=O271,INDEX($AL$128:$AL$137,MATCH(O271,($AJ$128:$AJ$137),0)),IF($R$279&gt;=O271,INDEX('Spell Tables'!$AV$168:$AV$172,MATCH(O271,('Spell Tables'!$AT$168:$AT$172),0)),IF($R$289&gt;=O271,INDEX('Spell Tables'!$AV$48:$AV$54,MATCH(O271,('Spell Tables'!$AT$48:$AT$54),0)),IF($R$291&gt;=O271,INDEX('Spell Tables'!$AV$26:$AV$29,MATCH(O271,('Spell Tables'!$AT$26:$AT$29),0)),IF($R$293&gt;=O271,INDEX('Spell Tables'!$AV$2:$AV$6,MATCH(O271,('Spell Tables'!$AT$2:$AT$6),0))," ")))))</f>
        <v xml:space="preserve"> </v>
      </c>
      <c r="T304" s="68" t="str">
        <f ca="1">IF($S$289&gt;=O271,INDEX($AL$140:$AL$149,MATCH(O271,($AJ$140:$AJ$149),0)),IF($S$275&gt;=O271,INDEX('Spell Tables'!$AZ$242:$AZ$253,MATCH(O271,('Spell Tables'!$AX$242:$AX$253),0)),IF($S$279&gt;=O271,INDEX('Spell Tables'!$AZ$168:$AZ$172,MATCH(O271,('Spell Tables'!$AX$168:$AX$172),0)),IF($S$291&gt;=O271,INDEX('Spell Tables'!$AZ$26:$AZ$29,MATCH(O271,('Spell Tables'!$AX$26:$AX$29),0)),IF($S$293&gt;=O271,INDEX('Spell Tables'!$AZ$2:$AZ$5,MATCH(O271,('Spell Tables'!$AX$2:$AX$5),0))," ")))))</f>
        <v xml:space="preserve"> </v>
      </c>
    </row>
    <row r="305" spans="2:20" ht="19.5" thickBot="1" x14ac:dyDescent="0.35"/>
    <row r="306" spans="2:20" ht="30.75" thickBot="1" x14ac:dyDescent="0.45">
      <c r="B306" s="105" t="s">
        <v>1271</v>
      </c>
    </row>
    <row r="307" spans="2:20" ht="19.5" hidden="1" thickBot="1" x14ac:dyDescent="0.35">
      <c r="P307" s="29" t="s">
        <v>1166</v>
      </c>
      <c r="Q307" s="29" t="s">
        <v>1167</v>
      </c>
      <c r="R307" s="29" t="s">
        <v>1168</v>
      </c>
      <c r="S307" s="29" t="s">
        <v>676</v>
      </c>
    </row>
    <row r="308" spans="2:20" ht="19.5" hidden="1" thickBot="1" x14ac:dyDescent="0.35">
      <c r="B308" s="29" t="s">
        <v>1270</v>
      </c>
      <c r="O308" s="29" t="s">
        <v>530</v>
      </c>
      <c r="P308" s="29" t="str">
        <f ca="1">IF(AND(O11="wizard",O12&gt;=3),"x",IF(O11="wizard","xx"," "))</f>
        <v xml:space="preserve"> </v>
      </c>
      <c r="Q308" s="29" t="str">
        <f ca="1">IF(AND(O11="wizard",O12&gt;=9),"xxxx",IF(AND(O11="wizard",O12&gt;=5),"x",IF(AND($O$11="wizard",$O$12&gt;3),"xx",IF(AND(O11="wizard",O12=3),"xxx"," "))))</f>
        <v xml:space="preserve"> </v>
      </c>
      <c r="R308" s="29" t="str">
        <f ca="1">IF(AND(O11="wizard",O12&gt;=11),"xxxx",IF(AND(O11="wizard",O12&gt;=7),"x",IF(AND($O$11="wizard",$O$12&gt;5),"xx",IF(AND(O11="wizard",O12=5),"xxx"," "))))</f>
        <v xml:space="preserve"> </v>
      </c>
      <c r="S308" s="29" t="str">
        <f ca="1">IF(AND(O11="wizard",O12&gt;=13),"xxxx",IF(AND(O11="wizard",O12&gt;=9),"x",IF(AND($O$11="wizard",$O$12&gt;7),"xx",IF(AND(O11="wizard",O12=7),"xxx"," "))))</f>
        <v xml:space="preserve"> </v>
      </c>
    </row>
    <row r="309" spans="2:20" ht="19.5" hidden="1" thickBot="1" x14ac:dyDescent="0.35">
      <c r="B309" s="29" t="s">
        <v>1271</v>
      </c>
      <c r="O309" s="29" t="str">
        <f ca="1">IF(O11="wizard",((O12-1)*2)+6," ")</f>
        <v xml:space="preserve"> </v>
      </c>
      <c r="P309" s="29">
        <f ca="1">IF(AND(O11="wizard",O12=2),O309,IF(AND(O11="wizard",O12=1),$O$309,IF(AND(O11="wizard",O12&gt;=3),MAX(8,O309-SUM(U216:X216)),0)))</f>
        <v>0</v>
      </c>
      <c r="Q309" s="29">
        <f ca="1">IF(Q$308="xxxx",MAX(R173,(RANDBETWEEN(5,6))),IF(Q308="x",MAX(R173,(RANDBETWEEN(3,6))),IF(Q308="xx",MAX(R173,(RANDBETWEEN(2,4))),IF(Q308="xxx",MAX(R173,(2)),0))))</f>
        <v>0</v>
      </c>
      <c r="R309" s="29">
        <f ca="1">IF($R308="xxxx",MAX(S173,(RANDBETWEEN(5,6))),IF(R308="x",MAX(S173,(RANDBETWEEN(3,6))),IF(R308="xx",MAX(S173,(RANDBETWEEN(2,4))),IF(R308="xxx",MAX(S173,(2)),0))))</f>
        <v>0</v>
      </c>
      <c r="S309" s="29">
        <f ca="1">IF(S$308="xxxx",MAX(T173,(RANDBETWEEN(5,6))),IF(S308="x",MAX(T173,(RANDBETWEEN(3,6))),IF(S308="xx",MAX(T173,(RANDBETWEEN(2,4))),IF(S308="xxx",MAX(T173,(2)),0))))</f>
        <v>0</v>
      </c>
    </row>
    <row r="310" spans="2:20" ht="19.5" hidden="1" thickBot="1" x14ac:dyDescent="0.35">
      <c r="P310" s="98" t="s">
        <v>1166</v>
      </c>
      <c r="Q310" s="98" t="s">
        <v>1167</v>
      </c>
      <c r="R310" s="98" t="s">
        <v>1168</v>
      </c>
      <c r="S310" s="98" t="s">
        <v>676</v>
      </c>
    </row>
    <row r="311" spans="2:20" ht="19.5" hidden="1" thickBot="1" x14ac:dyDescent="0.35">
      <c r="P311" s="98" t="str">
        <f ca="1">IF(AND(Q11="wizard",Q12&gt;=3),"x",IF(Q11="wizard","xx"," "))</f>
        <v xml:space="preserve"> </v>
      </c>
      <c r="Q311" s="98" t="str">
        <f ca="1">IF(AND(Q11="wizard",Q12&gt;=9),"xxxx",IF(AND(Q11="wizard",Q12&gt;=5),"x",IF(AND($Q$11="wizard",$Q$12&gt;3),"xx",IF(AND(Q11="wizard",Q12=3),"xxx"," "))))</f>
        <v xml:space="preserve"> </v>
      </c>
      <c r="R311" s="98" t="str">
        <f ca="1">IF(AND(Q11="wizard",Q12&gt;=11),"xxxx",IF(AND(Q11="wizard",Q12&gt;=7),"x",IF(AND($Q$11="wizard",$Q$12&gt;5),"xx",IF(AND(Q11="wizard",Q12=5),"xxx"," "))))</f>
        <v xml:space="preserve"> </v>
      </c>
      <c r="S311" s="98" t="str">
        <f ca="1">IF(AND(Q11="wizard",Q12&gt;=13),"xxxx",IF(AND(Q11="wizard",Q12&gt;=9),"x",IF(AND($Q$11="wizard",$Q$12&gt;7),"xx",IF(AND(Q11="wizard",Q12=7),"xxx"," "))))</f>
        <v xml:space="preserve"> </v>
      </c>
    </row>
    <row r="312" spans="2:20" ht="19.5" hidden="1" thickBot="1" x14ac:dyDescent="0.35">
      <c r="P312" s="98">
        <f ca="1">IF(AND(Q11="wizard",Q12=2),AK41,IF(AND(Q11="wizard",Q12=1),$AK$41,IF(AND(Q11="wizard",Q12&gt;=3),MAX(8,AK41-SUM(U219:X219)),0)))</f>
        <v>0</v>
      </c>
      <c r="Q312" s="98">
        <f ca="1">IF(Q$311="xxxx",MAX(R242,(RANDBETWEEN(5,6))),IF(Q311="x",MAX(R242,(RANDBETWEEN(3,6))),IF(Q311="xx",MAX(R242,(RANDBETWEEN(2,4))),IF(Q311="xxx",MAX(R242,(2)),0))))</f>
        <v>0</v>
      </c>
      <c r="R312" s="98">
        <f ca="1">IF($R311="xxxx",MAX(S242,(RANDBETWEEN(5,6))),IF(R311="x",MAX(S242,(RANDBETWEEN(3,6))),IF(R311="xx",MAX(S242,(RANDBETWEEN(2,4))),IF(R311="xxx",MAX(S242,(2)),0))))</f>
        <v>0</v>
      </c>
      <c r="S312" s="98">
        <f ca="1">IF(S$311="xxxx",MAX(T242,(RANDBETWEEN(5,6))),IF(S311="x",MAX(T242,(RANDBETWEEN(3,6))),IF(S311="xx",MAX(T242,(RANDBETWEEN(2,4))),IF(S311="xxx",MAX(T242,(2)),0))))</f>
        <v>0</v>
      </c>
    </row>
    <row r="313" spans="2:20" ht="19.5" hidden="1" thickBot="1" x14ac:dyDescent="0.35"/>
    <row r="314" spans="2:20" x14ac:dyDescent="0.3">
      <c r="B314" s="79"/>
      <c r="C314" s="27"/>
      <c r="D314" s="27"/>
      <c r="E314" s="27"/>
      <c r="F314" s="27"/>
      <c r="G314" s="27"/>
      <c r="H314" s="27"/>
      <c r="I314" s="27"/>
      <c r="J314" s="27"/>
      <c r="K314" s="27"/>
      <c r="L314" s="27"/>
      <c r="M314" s="27"/>
      <c r="N314" s="27"/>
      <c r="O314" s="27"/>
      <c r="P314" s="76" t="s">
        <v>1124</v>
      </c>
      <c r="Q314" s="76" t="s">
        <v>1166</v>
      </c>
      <c r="R314" s="76" t="s">
        <v>1167</v>
      </c>
      <c r="S314" s="76" t="s">
        <v>1168</v>
      </c>
      <c r="T314" s="77" t="s">
        <v>676</v>
      </c>
    </row>
    <row r="315" spans="2:20" x14ac:dyDescent="0.3">
      <c r="B315" s="79"/>
      <c r="C315" s="33"/>
      <c r="D315" s="33"/>
      <c r="E315" s="33"/>
      <c r="F315" s="33"/>
      <c r="G315" s="33"/>
      <c r="H315" s="33"/>
      <c r="I315" s="33"/>
      <c r="J315" s="33"/>
      <c r="K315" s="33"/>
      <c r="L315" s="33"/>
      <c r="M315" s="33"/>
      <c r="N315" s="33"/>
      <c r="O315" s="34">
        <v>1</v>
      </c>
      <c r="P315" s="33" t="str">
        <f t="shared" ref="P315:P324" ca="1" si="67">IF($O$11="wizard",P193,IF($Q$11="wizard",P262," "))</f>
        <v xml:space="preserve"> </v>
      </c>
      <c r="Q315" s="33" t="str">
        <f ca="1">IF(AND($O$11="wizard",$P$309&gt;=O315),INDEX('Spell Tables'!$T$242:$T$271,MATCH(1,(O315:O324),0)),IF(AND($Q$11="wizard",$P$312&gt;=O315),INDEX('Spell Tables'!$T$242:$T$271,MATCH(O315,('Spell Tables'!$R$242:$R$271),0))," "))</f>
        <v xml:space="preserve"> </v>
      </c>
      <c r="R315" s="33" t="str">
        <f ca="1">IF($Q$309&gt;=O315,INDEX('Spell Tables'!$X$242:$X$275,MATCH(O315,('Spell Tables'!$V$242:$V$275),0)),IF(AND($Q$11="wizard",$Q$312&gt;=O315),INDEX('Spell Tables'!$X$242:$X$275,MATCH(O315,('Spell Tables'!$V$242:$V$275),0))," "))</f>
        <v xml:space="preserve"> </v>
      </c>
      <c r="S315" s="33" t="str">
        <f ca="1">IF($R$309&gt;=O315,INDEX('Spell Tables'!$AB$242:$AB$270,MATCH(O315,('Spell Tables'!$Z$242:$Z$270),0)),IF(AND($Q$11="wizard",$R$312&gt;=O315),INDEX('Spell Tables'!$AB$242:$AB$270,MATCH(O315,('Spell Tables'!$Z$242:$Z$270),0))," "))</f>
        <v xml:space="preserve"> </v>
      </c>
      <c r="T315" s="72" t="str">
        <f ca="1">IF($S$309&gt;=O315,INDEX('Spell Tables'!$AF$242:$AF$264,MATCH(O315,('Spell Tables'!$AD$242:$AD$264),0)),IF(AND($Q$11="wizard",$S$312&gt;=O315),INDEX('Spell Tables'!$AF$242:$AF$264,MATCH(O315,('Spell Tables'!$AD$242:$AD$264),0))," "))</f>
        <v xml:space="preserve"> </v>
      </c>
    </row>
    <row r="316" spans="2:20" x14ac:dyDescent="0.3">
      <c r="B316" s="79"/>
      <c r="C316" s="33"/>
      <c r="D316" s="33"/>
      <c r="E316" s="33"/>
      <c r="F316" s="33"/>
      <c r="G316" s="33"/>
      <c r="H316" s="33"/>
      <c r="I316" s="33"/>
      <c r="J316" s="33"/>
      <c r="K316" s="33"/>
      <c r="L316" s="33"/>
      <c r="M316" s="33"/>
      <c r="N316" s="33"/>
      <c r="O316" s="34">
        <v>2</v>
      </c>
      <c r="P316" s="33" t="str">
        <f t="shared" ca="1" si="67"/>
        <v xml:space="preserve"> </v>
      </c>
      <c r="Q316" s="33" t="str">
        <f ca="1">IF(AND($O$11="wizard",$P$309&gt;=O316),INDEX('Spell Tables'!$T$242:$T$271,MATCH(O316,('Spell Tables'!$R$242:$R$271),0)),IF(AND($Q$11="wizard",$P$312&gt;=O316),INDEX('Spell Tables'!$T$242:$T$271,MATCH(O316,('Spell Tables'!$R$242:$R$271),0))," "))</f>
        <v xml:space="preserve"> </v>
      </c>
      <c r="R316" s="33" t="str">
        <f ca="1">IF($Q$309&gt;=O316,INDEX('Spell Tables'!$X$242:$X$275,MATCH(O316,('Spell Tables'!$V$242:$V$275),0)),IF(AND($Q$11="wizard",$Q$312&gt;=O316),INDEX('Spell Tables'!$X$242:$X$275,MATCH(O316,('Spell Tables'!$V$242:$V$275),0))," "))</f>
        <v xml:space="preserve"> </v>
      </c>
      <c r="S316" s="33" t="str">
        <f ca="1">IF($R$309&gt;=O316,INDEX('Spell Tables'!$AB$242:$AB$270,MATCH(O316,('Spell Tables'!$Z$242:$Z$270),0)),IF(AND($Q$11="wizard",$R$312&gt;=O316),INDEX('Spell Tables'!$AB$242:$AB$270,MATCH(O316,('Spell Tables'!$Z$242:$Z$270),0))," "))</f>
        <v xml:space="preserve"> </v>
      </c>
      <c r="T316" s="72" t="str">
        <f ca="1">IF($S$309&gt;=O316,INDEX('Spell Tables'!$AF$242:$AF$264,MATCH(O316,('Spell Tables'!$AD$242:$AD$264),0)),IF(AND($Q$11="wizard",$S$312&gt;=O316),INDEX('Spell Tables'!$AF$242:$AF$264,MATCH(O316,('Spell Tables'!$AD$242:$AD$264),0))," "))</f>
        <v xml:space="preserve"> </v>
      </c>
    </row>
    <row r="317" spans="2:20" x14ac:dyDescent="0.3">
      <c r="B317" s="79"/>
      <c r="C317" s="33"/>
      <c r="D317" s="33"/>
      <c r="E317" s="33"/>
      <c r="F317" s="33"/>
      <c r="G317" s="33"/>
      <c r="H317" s="33"/>
      <c r="I317" s="33"/>
      <c r="J317" s="33"/>
      <c r="K317" s="33"/>
      <c r="L317" s="33"/>
      <c r="M317" s="33"/>
      <c r="N317" s="33"/>
      <c r="O317" s="34">
        <v>3</v>
      </c>
      <c r="P317" s="33" t="str">
        <f t="shared" ca="1" si="67"/>
        <v xml:space="preserve"> </v>
      </c>
      <c r="Q317" s="33" t="str">
        <f ca="1">IF(AND($O$11="wizard",$P$309&gt;=O317),INDEX('Spell Tables'!$T$242:$T$271,MATCH(O317,('Spell Tables'!$R$242:$R$271),0)),IF(AND($Q$11="wizard",$P$312&gt;=O317),INDEX('Spell Tables'!$T$242:$T$271,MATCH(O317,('Spell Tables'!$R$242:$R$271),0))," "))</f>
        <v xml:space="preserve"> </v>
      </c>
      <c r="R317" s="33" t="str">
        <f ca="1">IF($Q$309&gt;=O317,INDEX('Spell Tables'!$X$242:$X$275,MATCH(O317,('Spell Tables'!$V$242:$V$275),0)),IF(AND($Q$11="wizard",$Q$312&gt;=O317),INDEX('Spell Tables'!$X$242:$X$275,MATCH(O317,('Spell Tables'!$V$242:$V$275),0))," "))</f>
        <v xml:space="preserve"> </v>
      </c>
      <c r="S317" s="33" t="str">
        <f ca="1">IF($R$309&gt;=O317,INDEX('Spell Tables'!$AB$242:$AB$270,MATCH(O317,('Spell Tables'!$Z$242:$Z$270),0)),IF(AND($Q$11="wizard",$R$312&gt;=O317),INDEX('Spell Tables'!$AB$242:$AB$270,MATCH(O317,('Spell Tables'!$Z$242:$Z$270),0))," "))</f>
        <v xml:space="preserve"> </v>
      </c>
      <c r="T317" s="72" t="str">
        <f ca="1">IF($S$309&gt;=O317,INDEX('Spell Tables'!$AF$242:$AF$264,MATCH(O317,('Spell Tables'!$AD$242:$AD$264),0)),IF(AND($Q$11="wizard",$S$312&gt;=O317),INDEX('Spell Tables'!$AF$242:$AF$264,MATCH(O317,('Spell Tables'!$AD$242:$AD$264),0))," "))</f>
        <v xml:space="preserve"> </v>
      </c>
    </row>
    <row r="318" spans="2:20" x14ac:dyDescent="0.3">
      <c r="B318" s="79"/>
      <c r="C318" s="33"/>
      <c r="D318" s="33"/>
      <c r="E318" s="33"/>
      <c r="F318" s="33"/>
      <c r="G318" s="33"/>
      <c r="H318" s="33"/>
      <c r="I318" s="33"/>
      <c r="J318" s="33"/>
      <c r="K318" s="33"/>
      <c r="L318" s="33"/>
      <c r="M318" s="33"/>
      <c r="N318" s="33"/>
      <c r="O318" s="34">
        <v>4</v>
      </c>
      <c r="P318" s="33" t="str">
        <f t="shared" ca="1" si="67"/>
        <v xml:space="preserve"> </v>
      </c>
      <c r="Q318" s="33" t="str">
        <f ca="1">IF(AND($O$11="wizard",$P$309&gt;=O318),INDEX('Spell Tables'!$T$242:$T$271,MATCH(O318,('Spell Tables'!$R$242:$R$271),0)),IF(AND($Q$11="wizard",$P$312&gt;=O318),INDEX('Spell Tables'!$T$242:$T$271,MATCH(O318,('Spell Tables'!$R$242:$R$271),0))," "))</f>
        <v xml:space="preserve"> </v>
      </c>
      <c r="R318" s="33" t="str">
        <f ca="1">IF($Q$309&gt;=O318,INDEX('Spell Tables'!$X$242:$X$275,MATCH(O318,('Spell Tables'!$V$242:$V$275),0)),IF(AND($Q$11="wizard",$Q$312&gt;=O318),INDEX('Spell Tables'!$X$242:$X$275,MATCH(O318,('Spell Tables'!$V$242:$V$275),0))," "))</f>
        <v xml:space="preserve"> </v>
      </c>
      <c r="S318" s="33" t="str">
        <f ca="1">IF($R$309&gt;=O318,INDEX('Spell Tables'!$AB$242:$AB$270,MATCH(O318,('Spell Tables'!$Z$242:$Z$270),0)),IF(AND($Q$11="wizard",$R$312&gt;=O318),INDEX('Spell Tables'!$AB$242:$AB$270,MATCH(O318,('Spell Tables'!$Z$242:$Z$270),0))," "))</f>
        <v xml:space="preserve"> </v>
      </c>
      <c r="T318" s="72" t="str">
        <f ca="1">IF($S$309&gt;=O318,INDEX('Spell Tables'!$AF$242:$AF$264,MATCH(O318,('Spell Tables'!$AD$242:$AD$264),0)),IF(AND($Q$11="wizard",$S$312&gt;=O318),INDEX('Spell Tables'!$AF$242:$AF$264,MATCH(O318,('Spell Tables'!$AD$242:$AD$264),0))," "))</f>
        <v xml:space="preserve"> </v>
      </c>
    </row>
    <row r="319" spans="2:20" x14ac:dyDescent="0.3">
      <c r="B319" s="79"/>
      <c r="C319" s="33"/>
      <c r="D319" s="33"/>
      <c r="E319" s="33"/>
      <c r="F319" s="33"/>
      <c r="G319" s="33"/>
      <c r="H319" s="33"/>
      <c r="I319" s="33"/>
      <c r="J319" s="33"/>
      <c r="K319" s="33"/>
      <c r="L319" s="33"/>
      <c r="M319" s="33"/>
      <c r="N319" s="33"/>
      <c r="O319" s="34">
        <v>5</v>
      </c>
      <c r="P319" s="33" t="str">
        <f t="shared" ca="1" si="67"/>
        <v xml:space="preserve"> </v>
      </c>
      <c r="Q319" s="33" t="str">
        <f ca="1">IF(AND($O$11="wizard",$P$309&gt;=O319),INDEX('Spell Tables'!$T$242:$T$271,MATCH(O319,('Spell Tables'!$R$242:$R$271),0)),IF(AND($Q$11="wizard",$P$312&gt;=O319),INDEX('Spell Tables'!$T$242:$T$271,MATCH(O319,('Spell Tables'!$R$242:$R$271),0))," "))</f>
        <v xml:space="preserve"> </v>
      </c>
      <c r="R319" s="33" t="str">
        <f ca="1">IF($Q$309&gt;=O319,INDEX('Spell Tables'!$X$242:$X$275,MATCH(O319,('Spell Tables'!$V$242:$V$275),0)),IF(AND($Q$11="wizard",$Q$312&gt;=O319),INDEX('Spell Tables'!$X$242:$X$275,MATCH(O319,('Spell Tables'!$V$242:$V$275),0))," "))</f>
        <v xml:space="preserve"> </v>
      </c>
      <c r="S319" s="33" t="str">
        <f ca="1">IF($R$309&gt;=O319,INDEX('Spell Tables'!$AB$242:$AB$270,MATCH(O319,('Spell Tables'!$Z$242:$Z$270),0)),IF(AND($Q$11="wizard",$R$312&gt;=O319),INDEX('Spell Tables'!$AB$242:$AB$270,MATCH(O319,('Spell Tables'!$Z$242:$Z$270),0))," "))</f>
        <v xml:space="preserve"> </v>
      </c>
      <c r="T319" s="72" t="str">
        <f ca="1">IF($S$309&gt;=O319,INDEX('Spell Tables'!$AF$242:$AF$264,MATCH(O319,('Spell Tables'!$AD$242:$AD$264),0)),IF(AND($Q$11="wizard",$S$312&gt;=O319),INDEX('Spell Tables'!$AF$242:$AF$264,MATCH(O319,('Spell Tables'!$AD$242:$AD$264),0))," "))</f>
        <v xml:space="preserve"> </v>
      </c>
    </row>
    <row r="320" spans="2:20" x14ac:dyDescent="0.3">
      <c r="B320" s="79"/>
      <c r="C320" s="33"/>
      <c r="D320" s="33"/>
      <c r="E320" s="33"/>
      <c r="F320" s="33"/>
      <c r="G320" s="33"/>
      <c r="H320" s="33"/>
      <c r="I320" s="33"/>
      <c r="J320" s="33"/>
      <c r="K320" s="33"/>
      <c r="L320" s="33"/>
      <c r="M320" s="33"/>
      <c r="N320" s="33"/>
      <c r="O320" s="34">
        <v>6</v>
      </c>
      <c r="P320" s="33" t="str">
        <f t="shared" ca="1" si="67"/>
        <v xml:space="preserve"> </v>
      </c>
      <c r="Q320" s="33" t="str">
        <f ca="1">IF(AND($O$11="wizard",$P$309&gt;=O320),INDEX('Spell Tables'!$T$242:$T$271,MATCH(O320,('Spell Tables'!$R$242:$R$271),0)),IF(AND($Q$11="wizard",$P$312&gt;=O320),INDEX('Spell Tables'!$T$242:$T$271,MATCH(O320,('Spell Tables'!$R$242:$R$271),0))," "))</f>
        <v xml:space="preserve"> </v>
      </c>
      <c r="R320" s="33" t="str">
        <f ca="1">IF($Q$309&gt;=O320,INDEX('Spell Tables'!$X$242:$X$275,MATCH(O320,('Spell Tables'!$V$242:$V$275),0)),IF(AND($Q$11="wizard",$Q$312&gt;=O320),INDEX('Spell Tables'!$X$242:$X$275,MATCH(O320,('Spell Tables'!$V$242:$V$275),0))," "))</f>
        <v xml:space="preserve"> </v>
      </c>
      <c r="S320" s="33" t="str">
        <f ca="1">IF($R$309&gt;=O320,INDEX('Spell Tables'!$AB$242:$AB$270,MATCH(O320,('Spell Tables'!$Z$242:$Z$270),0)),IF(AND($Q$11="wizard",$R$312&gt;=O320),INDEX('Spell Tables'!$AB$242:$AB$270,MATCH(O320,('Spell Tables'!$Z$242:$Z$270),0))," "))</f>
        <v xml:space="preserve"> </v>
      </c>
      <c r="T320" s="72" t="str">
        <f ca="1">IF($S$309&gt;=O320,INDEX('Spell Tables'!$AF$242:$AF$264,MATCH(O320,('Spell Tables'!$AD$242:$AD$264),0)),IF(AND($Q$11="wizard",$S$312&gt;=O320),INDEX('Spell Tables'!$AF$242:$AF$264,MATCH(O320,('Spell Tables'!$AD$242:$AD$264),0))," "))</f>
        <v xml:space="preserve"> </v>
      </c>
    </row>
    <row r="321" spans="1:20" x14ac:dyDescent="0.3">
      <c r="B321" s="79"/>
      <c r="C321" s="33"/>
      <c r="D321" s="33"/>
      <c r="E321" s="33"/>
      <c r="F321" s="33"/>
      <c r="G321" s="33"/>
      <c r="H321" s="33"/>
      <c r="I321" s="33"/>
      <c r="J321" s="33"/>
      <c r="K321" s="33"/>
      <c r="L321" s="33"/>
      <c r="M321" s="33"/>
      <c r="N321" s="33"/>
      <c r="O321" s="34">
        <v>7</v>
      </c>
      <c r="P321" s="33" t="str">
        <f t="shared" ca="1" si="67"/>
        <v xml:space="preserve"> </v>
      </c>
      <c r="Q321" s="33" t="str">
        <f ca="1">IF(AND($O$11="wizard",$P$309&gt;=O321),INDEX('Spell Tables'!$T$242:$T$271,MATCH(O321,('Spell Tables'!$R$242:$R$271),0)),IF(AND($Q$11="wizard",$P$312&gt;=O321),INDEX('Spell Tables'!$T$242:$T$271,MATCH(O321,('Spell Tables'!$R$242:$R$271),0))," "))</f>
        <v xml:space="preserve"> </v>
      </c>
      <c r="R321" s="33" t="str">
        <f ca="1">IF($Q$309&gt;=O321,INDEX('Spell Tables'!$X$242:$X$275,MATCH(O321,('Spell Tables'!$V$242:$V$275),0)),IF(AND($Q$11="wizard",$Q$312&gt;=O321),INDEX('Spell Tables'!$X$242:$X$275,MATCH(O321,('Spell Tables'!$V$242:$V$275),0))," "))</f>
        <v xml:space="preserve"> </v>
      </c>
      <c r="S321" s="33" t="str">
        <f ca="1">IF($R$309&gt;=O321,INDEX('Spell Tables'!$AB$242:$AB$270,MATCH(O321,('Spell Tables'!$Z$242:$Z$270),0)),IF(AND($Q$11="wizard",$R$312&gt;=O321),INDEX('Spell Tables'!$AB$242:$AB$270,MATCH(O321,('Spell Tables'!$Z$242:$Z$270),0))," "))</f>
        <v xml:space="preserve"> </v>
      </c>
      <c r="T321" s="72" t="str">
        <f ca="1">IF($S$309&gt;=O321,INDEX('Spell Tables'!$AF$242:$AF$264,MATCH(O321,('Spell Tables'!$AD$242:$AD$264),0)),IF(AND($Q$11="wizard",$S$312&gt;=O321),INDEX('Spell Tables'!$AF$242:$AF$264,MATCH(O321,('Spell Tables'!$AD$242:$AD$264),0))," "))</f>
        <v xml:space="preserve"> </v>
      </c>
    </row>
    <row r="322" spans="1:20" x14ac:dyDescent="0.3">
      <c r="B322" s="79"/>
      <c r="C322" s="33"/>
      <c r="D322" s="33"/>
      <c r="E322" s="33"/>
      <c r="F322" s="33"/>
      <c r="G322" s="33"/>
      <c r="H322" s="33"/>
      <c r="I322" s="33"/>
      <c r="J322" s="33"/>
      <c r="K322" s="33"/>
      <c r="L322" s="33"/>
      <c r="M322" s="33"/>
      <c r="N322" s="33"/>
      <c r="O322" s="34">
        <v>8</v>
      </c>
      <c r="P322" s="33" t="str">
        <f t="shared" ca="1" si="67"/>
        <v xml:space="preserve"> </v>
      </c>
      <c r="Q322" s="33" t="str">
        <f ca="1">IF(AND($O$11="wizard",$P$309&gt;=O322),INDEX('Spell Tables'!$T$242:$T$271,MATCH(O322,('Spell Tables'!$R$242:$R$271),0)),IF(AND($Q$11="wizard",$P$312&gt;=O322),INDEX('Spell Tables'!$T$242:$T$271,MATCH(O322,('Spell Tables'!$R$242:$R$271),0))," "))</f>
        <v xml:space="preserve"> </v>
      </c>
      <c r="R322" s="33" t="str">
        <f ca="1">IF($Q$309&gt;=O322,INDEX('Spell Tables'!$X$242:$X$275,MATCH(O322,('Spell Tables'!$V$242:$V$275),0)),IF(AND($Q$11="wizard",$Q$312&gt;=O322),INDEX('Spell Tables'!$X$242:$X$275,MATCH(O322,('Spell Tables'!$V$242:$V$275),0))," "))</f>
        <v xml:space="preserve"> </v>
      </c>
      <c r="S322" s="33" t="str">
        <f ca="1">IF($R$309&gt;=O322,INDEX('Spell Tables'!$AB$242:$AB$270,MATCH(O322,('Spell Tables'!$Z$242:$Z$270),0)),IF(AND($Q$11="wizard",$R$312&gt;=O322),INDEX('Spell Tables'!$AB$242:$AB$270,MATCH(O322,('Spell Tables'!$Z$242:$Z$270),0))," "))</f>
        <v xml:space="preserve"> </v>
      </c>
      <c r="T322" s="72" t="str">
        <f ca="1">IF($S$309&gt;=O322,INDEX('Spell Tables'!$AF$242:$AF$264,MATCH(O322,('Spell Tables'!$AD$242:$AD$264),0)),IF(AND($Q$11="wizard",$S$312&gt;=O322),INDEX('Spell Tables'!$AF$242:$AF$264,MATCH(O322,('Spell Tables'!$AD$242:$AD$264),0))," "))</f>
        <v xml:space="preserve"> </v>
      </c>
    </row>
    <row r="323" spans="1:20" x14ac:dyDescent="0.3">
      <c r="B323" s="79"/>
      <c r="C323" s="33"/>
      <c r="D323" s="33"/>
      <c r="E323" s="33"/>
      <c r="F323" s="33"/>
      <c r="G323" s="33"/>
      <c r="H323" s="33"/>
      <c r="I323" s="33"/>
      <c r="J323" s="33"/>
      <c r="K323" s="33"/>
      <c r="L323" s="33"/>
      <c r="M323" s="33"/>
      <c r="N323" s="33"/>
      <c r="O323" s="34">
        <v>9</v>
      </c>
      <c r="P323" s="33" t="str">
        <f t="shared" ca="1" si="67"/>
        <v xml:space="preserve"> </v>
      </c>
      <c r="Q323" s="33" t="str">
        <f ca="1">IF(AND($O$11="wizard",$P$309&gt;=O323),INDEX('Spell Tables'!$T$242:$T$271,MATCH(O323,('Spell Tables'!$R$242:$R$271),0)),IF(AND($Q$11="wizard",$P$312&gt;=O323),INDEX('Spell Tables'!$T$242:$T$271,MATCH(O323,('Spell Tables'!$R$242:$R$271),0))," "))</f>
        <v xml:space="preserve"> </v>
      </c>
      <c r="R323" s="33" t="str">
        <f ca="1">IF($Q$309&gt;=O323,INDEX('Spell Tables'!$X$242:$X$275,MATCH(O323,('Spell Tables'!$V$242:$V$275),0)),IF(AND($Q$11="wizard",$Q$312&gt;=O323),INDEX('Spell Tables'!$X$242:$X$275,MATCH(O323,('Spell Tables'!$V$242:$V$275),0))," "))</f>
        <v xml:space="preserve"> </v>
      </c>
      <c r="S323" s="33" t="str">
        <f ca="1">IF($R$309&gt;=O323,INDEX('Spell Tables'!$AB$242:$AB$270,MATCH(O323,('Spell Tables'!$Z$242:$Z$270),0)),IF(AND($Q$11="wizard",$R$312&gt;=O323),INDEX('Spell Tables'!$AB$242:$AB$270,MATCH(O323,('Spell Tables'!$Z$242:$Z$270),0))," "))</f>
        <v xml:space="preserve"> </v>
      </c>
      <c r="T323" s="72" t="str">
        <f ca="1">IF($S$309&gt;=O323,INDEX('Spell Tables'!$AF$242:$AF$264,MATCH(O323,('Spell Tables'!$AD$242:$AD$264),0)),IF(AND($Q$11="wizard",$S$312&gt;=O323),INDEX('Spell Tables'!$AF$242:$AF$264,MATCH(O323,('Spell Tables'!$AD$242:$AD$264),0))," "))</f>
        <v xml:space="preserve"> </v>
      </c>
    </row>
    <row r="324" spans="1:20" ht="19.5" thickBot="1" x14ac:dyDescent="0.35">
      <c r="B324" s="80"/>
      <c r="C324" s="38"/>
      <c r="D324" s="38"/>
      <c r="E324" s="38"/>
      <c r="F324" s="38"/>
      <c r="G324" s="38"/>
      <c r="H324" s="38"/>
      <c r="I324" s="38"/>
      <c r="J324" s="38"/>
      <c r="K324" s="38"/>
      <c r="L324" s="38"/>
      <c r="M324" s="38"/>
      <c r="N324" s="38"/>
      <c r="O324" s="82">
        <v>10</v>
      </c>
      <c r="P324" s="38" t="str">
        <f t="shared" ca="1" si="67"/>
        <v xml:space="preserve"> </v>
      </c>
      <c r="Q324" s="38" t="str">
        <f ca="1">IF(AND($O$11="wizard",$P$309&gt;=O324),INDEX('Spell Tables'!$T$242:$T$271,MATCH(O324,('Spell Tables'!$R$242:$R$271),0)),IF(AND($Q$11="wizard",$P$312&gt;=O324),INDEX('Spell Tables'!$T$242:$T$271,MATCH(O324,('Spell Tables'!$R$242:$R$271),0))," "))</f>
        <v xml:space="preserve"> </v>
      </c>
      <c r="R324" s="38" t="str">
        <f ca="1">IF($Q$309&gt;=O324,INDEX('Spell Tables'!$X$242:$X$275,MATCH(O324,('Spell Tables'!$V$242:$V$275),0)),IF(AND($Q$11="wizard",$Q$312&gt;=O324),INDEX('Spell Tables'!$X$242:$X$275,MATCH(O324,('Spell Tables'!$V$242:$V$275),0))," "))</f>
        <v xml:space="preserve"> </v>
      </c>
      <c r="S324" s="38" t="str">
        <f ca="1">IF($R$309&gt;=O324,INDEX('Spell Tables'!$AB$242:$AB$270,MATCH(O324,('Spell Tables'!$Z$242:$Z$270),0)),IF(AND($Q$11="wizard",$R$312&gt;=O324),INDEX('Spell Tables'!$AB$242:$AB$270,MATCH(O324,('Spell Tables'!$Z$242:$Z$270),0))," "))</f>
        <v xml:space="preserve"> </v>
      </c>
      <c r="T324" s="73" t="str">
        <f ca="1">IF($S$309&gt;=O324,INDEX('Spell Tables'!$AF$242:$AF$264,MATCH(O324,('Spell Tables'!$AD$242:$AD$264),0)),IF(AND($Q$11="wizard",$S$312&gt;=O324),INDEX('Spell Tables'!$AF$242:$AF$264,MATCH(O324,('Spell Tables'!$AD$242:$AD$264),0))," "))</f>
        <v xml:space="preserve"> </v>
      </c>
    </row>
    <row r="325" spans="1:20" ht="19.5" thickBot="1" x14ac:dyDescent="0.35">
      <c r="K325" s="100"/>
      <c r="L325" s="60"/>
      <c r="O325" s="99"/>
    </row>
    <row r="326" spans="1:20" ht="19.5" hidden="1" thickBot="1" x14ac:dyDescent="0.35">
      <c r="K326" s="100"/>
      <c r="L326" s="60"/>
      <c r="O326" s="65" t="s">
        <v>1169</v>
      </c>
      <c r="P326" s="65" t="s">
        <v>1170</v>
      </c>
      <c r="Q326" s="65" t="s">
        <v>1171</v>
      </c>
      <c r="R326" s="65" t="s">
        <v>677</v>
      </c>
      <c r="S326" s="101" t="s">
        <v>1172</v>
      </c>
    </row>
    <row r="327" spans="1:20" ht="19.5" hidden="1" thickBot="1" x14ac:dyDescent="0.35">
      <c r="K327" s="100"/>
      <c r="L327" s="60"/>
      <c r="O327" s="60" t="str">
        <f ca="1">IF(AND(O11="wizard",O12&gt;=15),"xxxx",IF(AND(O11="wizard",O12&gt;=11),"x",IF(AND($O$11="wizard",$O$12&gt;9),"xx",IF(AND(O11="wizard",O12=9),"xxx"," "))))</f>
        <v xml:space="preserve"> </v>
      </c>
      <c r="P327" s="60" t="str">
        <f ca="1">IF(AND(O11="wizard",O12&gt;=17),"xxxx",IF(AND(O11="wizard",O12&gt;=13),"x",IF(AND($O$11="wizard",$O$12&gt;11),"xx",IF(AND(O11="wizard",O12=11),"xxx"," "))))</f>
        <v xml:space="preserve"> </v>
      </c>
      <c r="Q327" s="60" t="str">
        <f ca="1">IF(AND(O11="wizard",O12&gt;=19),"xxxx",IF(AND(O11="wizard",O12&gt;=15),"x",IF(AND($O$11="wizard",$O$12&gt;13),"xx",IF(AND(O11="wizard",O12=13),"xxx"," "))))</f>
        <v xml:space="preserve"> </v>
      </c>
      <c r="R327" s="60" t="str">
        <f ca="1">IF(AND(O11="wizard",O12&gt;=17),"x",IF(AND($O$11="wizard",$O$12&gt;15),"xx",IF(AND(O11="wizard",O12=15),"xxx"," ")))</f>
        <v xml:space="preserve"> </v>
      </c>
      <c r="S327" s="102" t="str">
        <f ca="1">IF(AND($O$11="wizard",$O$12&gt;17),"xx",IF(AND(O11="wizard",O12=17),"xxx"," "))</f>
        <v xml:space="preserve"> </v>
      </c>
    </row>
    <row r="328" spans="1:20" ht="19.5" hidden="1" thickBot="1" x14ac:dyDescent="0.35">
      <c r="K328" s="100"/>
      <c r="L328" s="60"/>
      <c r="O328" s="65">
        <f ca="1">IF($O327="xxxx",MAX(P208,(RANDBETWEEN(5,6))),IF(O327="x",MAX(P208,(RANDBETWEEN(3,6))),IF(O327="xx",MAX(P208,(RANDBETWEEN(2,4))),IF(O327="xxx",MAX(P208,(2)),0))))</f>
        <v>0</v>
      </c>
      <c r="P328" s="65">
        <f ca="1">IF($P327="xxxx",RANDBETWEEN(5,6),IF(P327="x",RANDBETWEEN(3,6),IF(P327="xx",RANDBETWEEN(2,4),IF(P327="xxx",2,0))))</f>
        <v>0</v>
      </c>
      <c r="Q328" s="65">
        <f ca="1">IF($Q327="xxxx",RANDBETWEEN(5,6),IF(Q327="x",RANDBETWEEN(3,6),IF(Q327="xx",RANDBETWEEN(2,4),IF(Q327="xxx",2,0))))</f>
        <v>0</v>
      </c>
      <c r="R328" s="65">
        <f ca="1">IF(OR(R327="x",R327="xx"),RANDBETWEEN(2,4),IF(R327="xxx",2,0))</f>
        <v>0</v>
      </c>
      <c r="S328" s="101">
        <f ca="1">IF(S327="xx",RANDBETWEEN(2,4),IF(S327="xxx",2,0))</f>
        <v>0</v>
      </c>
    </row>
    <row r="329" spans="1:20" ht="19.5" hidden="1" thickBot="1" x14ac:dyDescent="0.35">
      <c r="K329" s="100"/>
      <c r="L329" s="60"/>
      <c r="O329" s="60" t="s">
        <v>1169</v>
      </c>
      <c r="P329" s="60" t="s">
        <v>1170</v>
      </c>
      <c r="Q329" s="60" t="s">
        <v>1171</v>
      </c>
      <c r="R329" s="60" t="s">
        <v>677</v>
      </c>
      <c r="S329" s="102" t="s">
        <v>1172</v>
      </c>
    </row>
    <row r="330" spans="1:20" ht="19.5" hidden="1" thickBot="1" x14ac:dyDescent="0.35">
      <c r="K330" s="100"/>
      <c r="L330" s="60"/>
      <c r="O330" s="65" t="str">
        <f ca="1">IF(AND(Q11="wizard",Q12&gt;=15),"xxxx",IF(AND(Q11="wizard",Q12&gt;=11),"x",IF(AND($Q$11="wizard",$Q$12&gt;9),"xx",IF(AND(Q11="wizard",Q12=9),"xxx"," "))))</f>
        <v xml:space="preserve"> </v>
      </c>
      <c r="P330" s="65" t="str">
        <f ca="1">IF(AND(Q11="wizard",Q12&gt;=17),"xxxx",IF(AND(Q11="wizard",Q12&gt;=13),"x",IF(AND($Q$11="wizard",$Q$12&gt;11),"xx",IF(AND(Q11="wizard",Q12=11),"xxx"," "))))</f>
        <v xml:space="preserve"> </v>
      </c>
      <c r="Q330" s="65" t="str">
        <f ca="1">IF(AND(Q11="wizard",Q12&gt;=19),"xxxx",IF(AND(Q11="wizard",Q12&gt;=15),"x",IF(AND($Q$11="wizard",$Q$12&gt;13),"xx",IF(AND(Q11="wizard",Q12=13),"xxx"," "))))</f>
        <v xml:space="preserve"> </v>
      </c>
      <c r="R330" s="65" t="str">
        <f ca="1">IF(AND(Q11="wizard",Q12&gt;=17),"x",IF(AND($Q$11="wizard",$Q$12&gt;15),"xx",IF(AND(Q11="wizard",Q12=15),"xxx"," ")))</f>
        <v xml:space="preserve"> </v>
      </c>
      <c r="S330" s="101" t="str">
        <f ca="1">IF(AND($Q$11="wizard",$Q$12&gt;17),"xx",IF(AND(Q11="wizard",Q12=17),"xxx"," "))</f>
        <v xml:space="preserve"> </v>
      </c>
    </row>
    <row r="331" spans="1:20" ht="19.5" hidden="1" thickBot="1" x14ac:dyDescent="0.35">
      <c r="K331" s="100"/>
      <c r="L331" s="60"/>
      <c r="O331" s="60">
        <f ca="1">IF($O330="xxxx",MAX(O275,(RANDBETWEEN(5,6))),IF(O330="x",MAX(O275,(RANDBETWEEN(3,6))),IF(O330="xx",MAX(O275,(RANDBETWEEN(2,4))),IF(O330="xxx",MAX(O275,(2)),0))))</f>
        <v>0</v>
      </c>
      <c r="P331" s="60">
        <f ca="1">IF($P330="xxxx",RANDBETWEEN(5,6),IF(P330="x",RANDBETWEEN(3,6),IF(P330="xx",RANDBETWEEN(2,4),IF(P330="xxx",2,0))))</f>
        <v>0</v>
      </c>
      <c r="Q331" s="60">
        <f ca="1">IF($Q330="xxxx",RANDBETWEEN(5,6),IF(Q330="x",RANDBETWEEN(3,6),IF(Q330="xx",RANDBETWEEN(2,4),IF(Q330="xxx",2,0))))</f>
        <v>0</v>
      </c>
      <c r="R331" s="60">
        <f ca="1">IF(OR(R330="x",R330="xx"),RANDBETWEEN(2,4),IF(R330="xxx",2,0))</f>
        <v>0</v>
      </c>
      <c r="S331" s="102">
        <f ca="1">IF(S330="xx",RANDBETWEEN(2,4),IF(S330="xxx",2,0))</f>
        <v>0</v>
      </c>
    </row>
    <row r="332" spans="1:20" ht="19.5" hidden="1" thickBot="1" x14ac:dyDescent="0.35">
      <c r="K332" s="100"/>
      <c r="L332" s="60"/>
      <c r="O332" s="65"/>
      <c r="P332" s="65"/>
      <c r="Q332" s="65"/>
      <c r="R332" s="65"/>
      <c r="S332" s="101"/>
    </row>
    <row r="333" spans="1:20" x14ac:dyDescent="0.3">
      <c r="A333" s="33"/>
      <c r="B333" s="72"/>
      <c r="K333" s="100"/>
      <c r="L333" s="60"/>
      <c r="P333" s="103" t="s">
        <v>1169</v>
      </c>
      <c r="Q333" s="103" t="s">
        <v>1170</v>
      </c>
      <c r="R333" s="103" t="s">
        <v>1171</v>
      </c>
      <c r="S333" s="103" t="s">
        <v>677</v>
      </c>
      <c r="T333" s="104" t="s">
        <v>1172</v>
      </c>
    </row>
    <row r="334" spans="1:20" x14ac:dyDescent="0.3">
      <c r="A334" s="33"/>
      <c r="B334" s="72"/>
      <c r="K334" s="100"/>
      <c r="L334" s="60"/>
      <c r="O334" s="83">
        <v>1</v>
      </c>
      <c r="P334" s="65" t="str">
        <f ca="1">IF($O$328&gt;=O315,INDEX('Spell Tables'!$AJ$242:$AJ$264,MATCH(O315,('Spell Tables'!$AH$242:$AH$264),0)),IF(AND($Q$11="wizard",$O$331&gt;=O315),INDEX('Spell Tables'!$AJ$242:$AJ$264,MATCH(O315,('Spell Tables'!$AH$242:$AH$264),0))," "))</f>
        <v xml:space="preserve"> </v>
      </c>
      <c r="Q334" s="65" t="str">
        <f ca="1">IF($P$328&gt;=O$315,INDEX('Spell Tables'!$AN$242:$AN$260,MATCH(O$315,('Spell Tables'!$AL$242:$AL$260),0))," ")</f>
        <v xml:space="preserve"> </v>
      </c>
      <c r="R334" s="65" t="str">
        <f ca="1">IF($Q$328&gt;=O$315,INDEX('Spell Tables'!$AR$242:$AR$256,MATCH(O$315,('Spell Tables'!$AP$242:$AP$256),0))," ")</f>
        <v xml:space="preserve"> </v>
      </c>
      <c r="S334" s="65" t="str">
        <f ca="1">IF($R$328&gt;=O$315,INDEX('Spell Tables'!$AV$242:$AV$255,MATCH(O$315,('Spell Tables'!$AT$242:$AT$255),0))," ")</f>
        <v xml:space="preserve"> </v>
      </c>
      <c r="T334" s="66" t="str">
        <f ca="1">IF($S$328&gt;=O$315,INDEX('Spell Tables'!$AZ$242:$AZ$253,MATCH(O$315,('Spell Tables'!$AX$242:$AX$253),0))," ")</f>
        <v xml:space="preserve"> </v>
      </c>
    </row>
    <row r="335" spans="1:20" x14ac:dyDescent="0.3">
      <c r="A335" s="33"/>
      <c r="B335" s="72"/>
      <c r="O335" s="84">
        <v>2</v>
      </c>
      <c r="P335" s="60" t="str">
        <f ca="1">IF($O$328&gt;=O316,INDEX('Spell Tables'!$AJ$242:$AJ$264,MATCH(O316,('Spell Tables'!$AH$242:$AH$264),0)),IF(AND($Q$11="wizard",$O$331&gt;=O316),INDEX('Spell Tables'!$AJ$242:$AJ$264,MATCH(O316,('Spell Tables'!$AH$242:$AH$264),0))," "))</f>
        <v xml:space="preserve"> </v>
      </c>
      <c r="Q335" s="60" t="str">
        <f ca="1">IF($P$328&gt;=O$316,INDEX('Spell Tables'!$AN$242:$AN$260,MATCH(O$316,('Spell Tables'!$AL$242:$AL$260),0))," ")</f>
        <v xml:space="preserve"> </v>
      </c>
      <c r="R335" s="60" t="str">
        <f ca="1">IF($Q$328&gt;=O$316,INDEX('Spell Tables'!$AR$242:$AR$256,MATCH(O$316,('Spell Tables'!$AP$242:$AP$256),0))," ")</f>
        <v xml:space="preserve"> </v>
      </c>
      <c r="S335" s="60" t="str">
        <f ca="1">IF($R$328&gt;=O$316,INDEX('Spell Tables'!$AV$242:$AV$255,MATCH(O$316,('Spell Tables'!$AT$242:$AT$255),0))," ")</f>
        <v xml:space="preserve"> </v>
      </c>
      <c r="T335" s="63" t="str">
        <f ca="1">IF($S$328&gt;=O$316,INDEX('Spell Tables'!$AZ$242:$AZ$253,MATCH(O$316,('Spell Tables'!$AX$242:$AX$253),0))," ")</f>
        <v xml:space="preserve"> </v>
      </c>
    </row>
    <row r="336" spans="1:20" x14ac:dyDescent="0.3">
      <c r="A336" s="33"/>
      <c r="B336" s="72"/>
      <c r="O336" s="83">
        <v>3</v>
      </c>
      <c r="P336" s="65" t="str">
        <f ca="1">IF($O$328&gt;=O317,INDEX('Spell Tables'!$AJ$242:$AJ$264,MATCH(O317,('Spell Tables'!$AH$242:$AH$264),0)),IF(AND($Q$11="wizard",$O$331&gt;=O317),INDEX('Spell Tables'!$AJ$242:$AJ$264,MATCH(O317,('Spell Tables'!$AH$242:$AH$264),0))," "))</f>
        <v xml:space="preserve"> </v>
      </c>
      <c r="Q336" s="65" t="str">
        <f ca="1">IF($P$328&gt;=O$317,INDEX('Spell Tables'!$AN$242:$AN$260,MATCH(O$317,('Spell Tables'!$AL$242:$AL$260),0))," ")</f>
        <v xml:space="preserve"> </v>
      </c>
      <c r="R336" s="65" t="str">
        <f ca="1">IF($Q$328&gt;=O$317,INDEX('Spell Tables'!$AR$242:$AR$256,MATCH(O$317,('Spell Tables'!$AP$242:$AP$256),0))," ")</f>
        <v xml:space="preserve"> </v>
      </c>
      <c r="S336" s="65" t="str">
        <f ca="1">IF($R$328&gt;=O$317,INDEX('Spell Tables'!$AV$242:$AV$255,MATCH(O$317,('Spell Tables'!$AT$242:$AT$255),0))," ")</f>
        <v xml:space="preserve"> </v>
      </c>
      <c r="T336" s="66" t="str">
        <f ca="1">IF($S$328&gt;=O$317,INDEX('Spell Tables'!$AZ$242:$AZ$253,MATCH(O$317,('Spell Tables'!$AX$242:$AX$253),0))," ")</f>
        <v xml:space="preserve"> </v>
      </c>
    </row>
    <row r="337" spans="1:20" x14ac:dyDescent="0.3">
      <c r="A337" s="33"/>
      <c r="B337" s="72"/>
      <c r="O337" s="84">
        <v>4</v>
      </c>
      <c r="P337" s="60" t="str">
        <f ca="1">IF($O$328&gt;=O318,INDEX('Spell Tables'!$AJ$242:$AJ$264,MATCH(O318,('Spell Tables'!$AH$242:$AH$264),0)),IF(AND($Q$11="wizard",$O$331&gt;=O318),INDEX('Spell Tables'!$AJ$242:$AJ$264,MATCH(O318,('Spell Tables'!$AH$242:$AH$264),0))," "))</f>
        <v xml:space="preserve"> </v>
      </c>
      <c r="Q337" s="60" t="str">
        <f ca="1">IF($P$328&gt;=O$318,INDEX('Spell Tables'!$AN$242:$AN$260,MATCH(O$318,('Spell Tables'!$AL$242:$AL$260),0))," ")</f>
        <v xml:space="preserve"> </v>
      </c>
      <c r="R337" s="60" t="str">
        <f ca="1">IF($Q$328&gt;=O$318,INDEX('Spell Tables'!$AR$242:$AR$256,MATCH(O$318,('Spell Tables'!$AP$242:$AP$256),0))," ")</f>
        <v xml:space="preserve"> </v>
      </c>
      <c r="S337" s="60" t="str">
        <f ca="1">IF($R$328&gt;=O$318,INDEX('Spell Tables'!$AV$242:$AV$255,MATCH(O$318,('Spell Tables'!$AT$242:$AT$255),0))," ")</f>
        <v xml:space="preserve"> </v>
      </c>
      <c r="T337" s="63" t="str">
        <f ca="1">IF($S$328&gt;=O$318,INDEX('Spell Tables'!$AZ$242:$AZ$253,MATCH(O$318,('Spell Tables'!$AX$242:$AX$253),0))," ")</f>
        <v xml:space="preserve"> </v>
      </c>
    </row>
    <row r="338" spans="1:20" x14ac:dyDescent="0.3">
      <c r="A338" s="33"/>
      <c r="B338" s="72"/>
      <c r="O338" s="83">
        <v>5</v>
      </c>
      <c r="P338" s="65" t="str">
        <f ca="1">IF($O$328&gt;=O319,INDEX('Spell Tables'!$AJ$242:$AJ$264,MATCH(O319,('Spell Tables'!$AH$242:$AH$264),0)),IF(AND($Q$11="wizard",$O$331&gt;=O319),INDEX('Spell Tables'!$AJ$242:$AJ$264,MATCH(O319,('Spell Tables'!$AH$242:$AH$264),0))," "))</f>
        <v xml:space="preserve"> </v>
      </c>
      <c r="Q338" s="65" t="str">
        <f ca="1">IF($P$328&gt;=O$319,INDEX('Spell Tables'!$AN$242:$AN$260,MATCH(O$319,('Spell Tables'!$AL$242:$AL$260),0))," ")</f>
        <v xml:space="preserve"> </v>
      </c>
      <c r="R338" s="65" t="str">
        <f ca="1">IF($Q$328&gt;=O$319,INDEX('Spell Tables'!$AR$242:$AR$256,MATCH(O$319,('Spell Tables'!$AP$242:$AP$256),0))," ")</f>
        <v xml:space="preserve"> </v>
      </c>
      <c r="S338" s="65" t="str">
        <f ca="1">IF($R$328&gt;=O$319,INDEX('Spell Tables'!$AV$242:$AV$255,MATCH(O$319,('Spell Tables'!$AT$242:$AT$255),0))," ")</f>
        <v xml:space="preserve"> </v>
      </c>
      <c r="T338" s="66" t="str">
        <f ca="1">IF($S$328&gt;=O$319,INDEX('Spell Tables'!$AZ$242:$AZ$253,MATCH(O$319,('Spell Tables'!$AX$242:$AX$253),0))," ")</f>
        <v xml:space="preserve"> </v>
      </c>
    </row>
    <row r="339" spans="1:20" x14ac:dyDescent="0.3">
      <c r="A339" s="33"/>
      <c r="B339" s="72"/>
      <c r="K339" s="100"/>
      <c r="L339" s="60"/>
      <c r="O339" s="84">
        <v>6</v>
      </c>
      <c r="P339" s="60" t="str">
        <f ca="1">IF($O$328&gt;=O320,INDEX('Spell Tables'!$AJ$242:$AJ$264,MATCH(O320,('Spell Tables'!$AH$242:$AH$264),0)),IF(AND($Q$11="wizard",$O$331&gt;=O320),INDEX('Spell Tables'!$AJ$242:$AJ$264,MATCH(O320,('Spell Tables'!$AH$242:$AH$264),0))," "))</f>
        <v xml:space="preserve"> </v>
      </c>
      <c r="Q339" s="60" t="str">
        <f ca="1">IF($P$328&gt;=O$320,INDEX('Spell Tables'!$AN$242:$AN$260,MATCH(O$320,('Spell Tables'!$AL$242:$AL$260),0))," ")</f>
        <v xml:space="preserve"> </v>
      </c>
      <c r="R339" s="60" t="str">
        <f ca="1">IF($Q$328&gt;=O$320,INDEX('Spell Tables'!$AR$242:$AR$256,MATCH(O$320,('Spell Tables'!$AP$242:$AP$256),0))," ")</f>
        <v xml:space="preserve"> </v>
      </c>
      <c r="S339" s="60" t="str">
        <f ca="1">IF($R$328&gt;=O$320,INDEX('Spell Tables'!$AV$242:$AV$255,MATCH(O$320,('Spell Tables'!$AT$242:$AT$255),0))," ")</f>
        <v xml:space="preserve"> </v>
      </c>
      <c r="T339" s="63" t="str">
        <f ca="1">IF($S$328&gt;=O$320,INDEX('Spell Tables'!$AZ$242:$AZ$253,MATCH(O$320,('Spell Tables'!$AX$242:$AX$253),0))," ")</f>
        <v xml:space="preserve"> </v>
      </c>
    </row>
    <row r="340" spans="1:20" x14ac:dyDescent="0.3">
      <c r="A340" s="33"/>
      <c r="B340" s="72"/>
      <c r="K340" s="100"/>
      <c r="L340" s="60"/>
      <c r="O340" s="83">
        <v>7</v>
      </c>
      <c r="P340" s="65" t="str">
        <f ca="1">IF($O$328&gt;=O321,INDEX('Spell Tables'!$AJ$242:$AJ$264,MATCH(O321,('Spell Tables'!$AH$242:$AH$264),0)),IF(AND($Q$11="wizard",$O$331&gt;=O321),INDEX('Spell Tables'!$AJ$242:$AJ$264,MATCH(O321,('Spell Tables'!$AH$242:$AH$264),0))," "))</f>
        <v xml:space="preserve"> </v>
      </c>
      <c r="Q340" s="65" t="str">
        <f ca="1">IF($P$328&gt;=O$321,INDEX('Spell Tables'!$AN$242:$AN$260,MATCH(O$321,('Spell Tables'!$AL$242:$AL$260),0))," ")</f>
        <v xml:space="preserve"> </v>
      </c>
      <c r="R340" s="65" t="str">
        <f ca="1">IF($Q$328&gt;=O$321,INDEX('Spell Tables'!$AR$242:$AR$256,MATCH(O$321,('Spell Tables'!$AP$242:$AP$256),0))," ")</f>
        <v xml:space="preserve"> </v>
      </c>
      <c r="S340" s="65" t="str">
        <f ca="1">IF($R$328&gt;=O$321,INDEX('Spell Tables'!$AV$242:$AV$255,MATCH(O$321,('Spell Tables'!$AT$242:$AT$255),0))," ")</f>
        <v xml:space="preserve"> </v>
      </c>
      <c r="T340" s="66" t="str">
        <f ca="1">IF($S$328&gt;=O$321,INDEX('Spell Tables'!$AZ$242:$AZ$253,MATCH(O$321,('Spell Tables'!$AX$242:$AX$253),0))," ")</f>
        <v xml:space="preserve"> </v>
      </c>
    </row>
    <row r="341" spans="1:20" x14ac:dyDescent="0.3">
      <c r="A341" s="33"/>
      <c r="B341" s="72"/>
      <c r="K341" s="100"/>
      <c r="L341" s="60"/>
      <c r="O341" s="84">
        <v>8</v>
      </c>
      <c r="P341" s="60" t="str">
        <f ca="1">IF($O$328&gt;=O322,INDEX('Spell Tables'!$AJ$242:$AJ$264,MATCH(O322,('Spell Tables'!$AH$242:$AH$264),0)),IF(AND($Q$11="wizard",$O$331&gt;=O322),INDEX('Spell Tables'!$AJ$242:$AJ$264,MATCH(O322,('Spell Tables'!$AH$242:$AH$264),0))," "))</f>
        <v xml:space="preserve"> </v>
      </c>
      <c r="Q341" s="60" t="str">
        <f ca="1">IF($P$328&gt;=O$322,INDEX('Spell Tables'!$AN$242:$AN$260,MATCH(O$322,('Spell Tables'!$AL$242:$AL$260),0))," ")</f>
        <v xml:space="preserve"> </v>
      </c>
      <c r="R341" s="60" t="str">
        <f ca="1">IF($Q$328&gt;=O$322,INDEX('Spell Tables'!$AR$242:$AR$256,MATCH(O$322,('Spell Tables'!$AP$242:$AP$256),0))," ")</f>
        <v xml:space="preserve"> </v>
      </c>
      <c r="S341" s="60" t="str">
        <f ca="1">IF($R$328&gt;=O$322,INDEX('Spell Tables'!$AV$242:$AV$255,MATCH(O$322,('Spell Tables'!$AT$242:$AT$255),0))," ")</f>
        <v xml:space="preserve"> </v>
      </c>
      <c r="T341" s="63" t="str">
        <f ca="1">IF($S$328&gt;=O$322,INDEX('Spell Tables'!$AZ$242:$AZ$253,MATCH(O$322,('Spell Tables'!$AX$242:$AX$253),0))," ")</f>
        <v xml:space="preserve"> </v>
      </c>
    </row>
    <row r="342" spans="1:20" x14ac:dyDescent="0.3">
      <c r="A342" s="33"/>
      <c r="B342" s="72"/>
      <c r="O342" s="83">
        <v>9</v>
      </c>
      <c r="P342" s="65" t="str">
        <f ca="1">IF($O$328&gt;=O323,INDEX('Spell Tables'!$AJ$242:$AJ$264,MATCH(O323,('Spell Tables'!$AH$242:$AH$264),0)),IF(AND($Q$11="wizard",$O$331&gt;=O323),INDEX('Spell Tables'!$AJ$242:$AJ$264,MATCH(O323,('Spell Tables'!$AH$242:$AH$264),0))," "))</f>
        <v xml:space="preserve"> </v>
      </c>
      <c r="Q342" s="65" t="str">
        <f ca="1">IF($P$328&gt;=O$323,INDEX('Spell Tables'!$AN$242:$AN$260,MATCH(O$323,('Spell Tables'!$AL$242:$AL$260),0))," ")</f>
        <v xml:space="preserve"> </v>
      </c>
      <c r="R342" s="65" t="str">
        <f ca="1">IF($Q$328&gt;=O$323,INDEX('Spell Tables'!$AR$242:$AR$256,MATCH(O$323,('Spell Tables'!$AP$242:$AP$256),0))," ")</f>
        <v xml:space="preserve"> </v>
      </c>
      <c r="S342" s="65" t="str">
        <f ca="1">IF($R$328&gt;=O$323,INDEX('Spell Tables'!$AV$242:$AV$255,MATCH(O$323,('Spell Tables'!$AT$242:$AT$255),0))," ")</f>
        <v xml:space="preserve"> </v>
      </c>
      <c r="T342" s="66" t="str">
        <f ca="1">IF($S$328&gt;=O$323,INDEX('Spell Tables'!$AZ$242:$AZ$253,MATCH(O$323,('Spell Tables'!$AX$242:$AX$253),0))," ")</f>
        <v xml:space="preserve"> </v>
      </c>
    </row>
    <row r="343" spans="1:20" ht="19.5" thickBot="1" x14ac:dyDescent="0.35">
      <c r="A343" s="33"/>
      <c r="B343" s="72"/>
      <c r="K343" s="31"/>
      <c r="O343" s="85">
        <v>10</v>
      </c>
      <c r="P343" s="67" t="str">
        <f ca="1">IF($O$328&gt;=O324,INDEX('Spell Tables'!$AJ$242:$AJ$264,MATCH(O324,('Spell Tables'!$AH$242:$AH$264),0)),IF(AND($Q$11="wizard",$O$331&gt;=O324),INDEX('Spell Tables'!$AJ$242:$AJ$264,MATCH(O324,('Spell Tables'!$AH$242:$AH$264),0))," "))</f>
        <v xml:space="preserve"> </v>
      </c>
      <c r="Q343" s="67" t="str">
        <f ca="1">IF($P$328&gt;=O$324,INDEX('Spell Tables'!$AN$242:$AN$260,MATCH(O$324,('Spell Tables'!$AL$242:$AL$260),0))," ")</f>
        <v xml:space="preserve"> </v>
      </c>
      <c r="R343" s="67" t="str">
        <f ca="1">IF($Q$328&gt;=O$324,INDEX('Spell Tables'!$AR$242:$AR$256,MATCH(O$324,('Spell Tables'!$AP$242:$AP$256),0))," ")</f>
        <v xml:space="preserve"> </v>
      </c>
      <c r="S343" s="67" t="str">
        <f ca="1">IF($R$328&gt;=O$324,INDEX('Spell Tables'!$AV$242:$AV$255,MATCH(O$324,('Spell Tables'!$AT$242:$AT$255),0))," ")</f>
        <v xml:space="preserve"> </v>
      </c>
      <c r="T343" s="68" t="str">
        <f ca="1">IF($S$328&gt;=O$324,INDEX('Spell Tables'!$AZ$242:$AZ$253,MATCH(O$324,('Spell Tables'!$AX$242:$AX$253),0))," ")</f>
        <v xml:space="preserve"> </v>
      </c>
    </row>
  </sheetData>
  <sheetProtection sheet="1" objects="1" scenarios="1"/>
  <phoneticPr fontId="4" type="noConversion"/>
  <hyperlinks>
    <hyperlink ref="A1" location="'Character Overview'!A1" display="Back to Overview" xr:uid="{386BFBDC-F3EB-45C8-83D1-ABBF9CF2D337}"/>
  </hyperlinks>
  <pageMargins left="0.25" right="0.25" top="0.75" bottom="0.75" header="0.3" footer="0.3"/>
  <pageSetup scale="34" orientation="landscape" horizontalDpi="4294967293" r:id="rId1"/>
  <drawing r:id="rId2"/>
  <tableParts count="56">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 r:id="rId50"/>
    <tablePart r:id="rId51"/>
    <tablePart r:id="rId52"/>
    <tablePart r:id="rId53"/>
    <tablePart r:id="rId54"/>
    <tablePart r:id="rId55"/>
    <tablePart r:id="rId56"/>
    <tablePart r:id="rId57"/>
    <tablePart r:id="rId58"/>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58394-7DCE-435F-B982-56907E8B3F71}">
  <sheetPr codeName="Аркуш5">
    <pageSetUpPr fitToPage="1"/>
  </sheetPr>
  <dimension ref="A1:CJ343"/>
  <sheetViews>
    <sheetView showGridLines="0" showRowColHeaders="0" zoomScale="54" zoomScaleNormal="54" workbookViewId="0"/>
  </sheetViews>
  <sheetFormatPr defaultColWidth="8.85546875" defaultRowHeight="18.75" x14ac:dyDescent="0.3"/>
  <cols>
    <col min="1" max="1" width="23.140625" style="29" customWidth="1"/>
    <col min="2" max="2" width="62.7109375" style="29" customWidth="1"/>
    <col min="3" max="3" width="13.7109375" style="29" hidden="1" customWidth="1"/>
    <col min="4" max="5" width="3.85546875" style="29" hidden="1" customWidth="1"/>
    <col min="6" max="8" width="5" style="29" hidden="1" customWidth="1"/>
    <col min="9" max="9" width="11.7109375" style="29" hidden="1" customWidth="1"/>
    <col min="10" max="10" width="2.28515625" style="29" hidden="1" customWidth="1"/>
    <col min="11" max="11" width="14.7109375" style="29" hidden="1" customWidth="1"/>
    <col min="12" max="12" width="13.28515625" style="29" hidden="1" customWidth="1"/>
    <col min="13" max="13" width="7.28515625" style="29" hidden="1" customWidth="1"/>
    <col min="14" max="14" width="2.140625" style="29" hidden="1" customWidth="1"/>
    <col min="15" max="19" width="50.7109375" style="29" customWidth="1"/>
    <col min="20" max="20" width="34" style="29" customWidth="1"/>
    <col min="21" max="21" width="34.28515625" style="29" customWidth="1"/>
    <col min="22" max="22" width="34.140625" style="29" customWidth="1"/>
    <col min="23" max="23" width="29.85546875" style="29" customWidth="1"/>
    <col min="24" max="24" width="18.5703125" style="29" customWidth="1"/>
    <col min="25" max="25" width="34.28515625" style="29" bestFit="1" customWidth="1"/>
    <col min="26" max="26" width="32.7109375" style="29" customWidth="1"/>
    <col min="27" max="27" width="9.7109375" style="29" bestFit="1" customWidth="1"/>
    <col min="28" max="28" width="12.140625" style="29" bestFit="1" customWidth="1"/>
    <col min="29" max="29" width="8.85546875" style="29"/>
    <col min="30" max="30" width="0" style="29" hidden="1" customWidth="1"/>
    <col min="31" max="31" width="10.28515625" style="29" hidden="1" customWidth="1"/>
    <col min="32" max="32" width="23.5703125" style="29" hidden="1" customWidth="1"/>
    <col min="33" max="33" width="8.85546875" style="29" hidden="1" customWidth="1"/>
    <col min="34" max="34" width="17.85546875" style="29" hidden="1" customWidth="1"/>
    <col min="35" max="35" width="3.5703125" style="29" hidden="1" customWidth="1"/>
    <col min="36" max="36" width="21.85546875" style="29" hidden="1" customWidth="1"/>
    <col min="37" max="37" width="14.140625" style="29" hidden="1" customWidth="1"/>
    <col min="38" max="38" width="21.85546875" style="29" hidden="1" customWidth="1"/>
    <col min="39" max="39" width="5.7109375" style="29" hidden="1" customWidth="1"/>
    <col min="40" max="40" width="27.7109375" style="29" hidden="1" customWidth="1"/>
    <col min="41" max="41" width="10.7109375" style="29" hidden="1" customWidth="1"/>
    <col min="42" max="42" width="13.28515625" style="29" hidden="1" customWidth="1"/>
    <col min="43" max="43" width="13" style="29" hidden="1" customWidth="1"/>
    <col min="44" max="44" width="8.85546875" style="29" hidden="1" customWidth="1"/>
    <col min="45" max="45" width="11.7109375" style="29" hidden="1" customWidth="1"/>
    <col min="46" max="47" width="8.85546875" style="29" hidden="1" customWidth="1"/>
    <col min="48" max="49" width="15.28515625" style="29" hidden="1" customWidth="1"/>
    <col min="50" max="50" width="14.140625" style="29" hidden="1" customWidth="1"/>
    <col min="51" max="51" width="9.85546875" style="29" hidden="1" customWidth="1"/>
    <col min="52" max="52" width="12.140625" style="29" hidden="1" customWidth="1"/>
    <col min="53" max="53" width="15.28515625" style="29" hidden="1" customWidth="1"/>
    <col min="54" max="54" width="12.140625" style="29" hidden="1" customWidth="1"/>
    <col min="55" max="55" width="9" style="29" hidden="1" customWidth="1"/>
    <col min="56" max="57" width="10.42578125" style="29" hidden="1" customWidth="1"/>
    <col min="58" max="58" width="9.7109375" style="29" hidden="1" customWidth="1"/>
    <col min="59" max="59" width="10.42578125" style="29" hidden="1" customWidth="1"/>
    <col min="60" max="60" width="7.140625" style="29" hidden="1" customWidth="1"/>
    <col min="61" max="61" width="10.42578125" style="29" hidden="1" customWidth="1"/>
    <col min="62" max="62" width="11.7109375" style="29" hidden="1" customWidth="1"/>
    <col min="63" max="63" width="14.140625" style="29" hidden="1" customWidth="1"/>
    <col min="64" max="64" width="8.85546875" style="29" hidden="1" customWidth="1"/>
    <col min="65" max="65" width="15.7109375" style="29" hidden="1" customWidth="1"/>
    <col min="66" max="66" width="10" style="29" hidden="1" customWidth="1"/>
    <col min="67" max="67" width="13.42578125" style="29" hidden="1" customWidth="1"/>
    <col min="68" max="68" width="15.28515625" style="29" hidden="1" customWidth="1"/>
    <col min="69" max="69" width="15" style="29" hidden="1" customWidth="1"/>
    <col min="70" max="70" width="7.28515625" style="29" hidden="1" customWidth="1"/>
    <col min="71" max="71" width="17.85546875" style="29" hidden="1" customWidth="1"/>
    <col min="72" max="72" width="14.140625" style="29" hidden="1" customWidth="1"/>
    <col min="73" max="73" width="8.28515625" style="29" hidden="1" customWidth="1"/>
    <col min="74" max="74" width="15.28515625" style="29" hidden="1" customWidth="1"/>
    <col min="75" max="79" width="8.85546875" style="29" hidden="1" customWidth="1"/>
    <col min="80" max="80" width="21.140625" style="29" hidden="1" customWidth="1"/>
    <col min="81" max="81" width="12" style="29" hidden="1" customWidth="1"/>
    <col min="82" max="82" width="15.28515625" style="29" hidden="1" customWidth="1"/>
    <col min="83" max="88" width="8.85546875" style="29" hidden="1" customWidth="1"/>
    <col min="89" max="115" width="8.85546875" style="29" customWidth="1"/>
    <col min="116" max="16384" width="8.85546875" style="29"/>
  </cols>
  <sheetData>
    <row r="1" spans="1:83" ht="26.25" thickBot="1" x14ac:dyDescent="0.4">
      <c r="A1" s="153" t="s">
        <v>2755</v>
      </c>
      <c r="B1" s="30"/>
      <c r="C1" s="99"/>
      <c r="D1" s="99"/>
      <c r="E1" s="99"/>
      <c r="F1" s="99"/>
      <c r="G1" s="99"/>
      <c r="H1" s="99"/>
      <c r="I1" s="99"/>
      <c r="J1" s="99"/>
      <c r="K1" s="99"/>
      <c r="L1" s="99"/>
      <c r="M1" s="99"/>
      <c r="N1" s="99"/>
      <c r="O1" s="125" t="s">
        <v>0</v>
      </c>
      <c r="P1" s="126" t="str">
        <f ca="1">IF(AND(Q2="dwarf",O2="male"),VLOOKUP(RANDBETWEEN(1,30),Table4[],2),IF(AND(Q2="dwarf",O2="female"),VLOOKUP(RANDBETWEEN(1,23),Table13[],2),IF(AND(Q2="elf",O2="male"),VLOOKUP(RANDBETWEEN(1,38),Table6[],2),IF(AND(Q2="elf",O2="female"),VLOOKUP(RANDBETWEEN(1,36),Table15[],2),IF(AND(Q2="halfling",O2="male"),VLOOKUP(RANDBETWEEN(1,17),Table10[],2),IF(AND(Q2="halfling",O2="female"),VLOOKUP(RANDBETWEEN(1,18),Table16[],2),IF(AND(Q2="human",O2="male"),VLOOKUP(RANDBETWEEN(1,70),Table17[],2),IF(AND(Q2="human",O2="female"),VLOOKUP(RANDBETWEEN(1,67),Table19[],2),IF(AND(Q2="dragonborn",O2="male"),VLOOKUP(RANDBETWEEN(1,17),Table21[],2),IF(AND(Q2="dragonborn",O2="female"),VLOOKUP(RANDBETWEEN(1,17),Table22[],2),IF(AND(Q2="gnome",O2="male"),VLOOKUP(RANDBETWEEN(1,23),Table28[],2),IF(AND(Q2="gnome",O2="female"),VLOOKUP(RANDBETWEEN(1,22),Table29[],2),IF(AND(Q2="half-elf",O2="male"),VLOOKUP(RANDBETWEEN(1,108),Table31[],2),IF(AND(Q2="half-elf",O2="female"),VLOOKUP(RANDBETWEEN(1,103),Table32[],2),IF(AND(Q2="half-orc",O2="male"),VLOOKUP(RANDBETWEEN(1,10),Table35[],2),IF(AND(Q2="half-orc",O2="female"),VLOOKUP(RANDBETWEEN(1,13),Table36[],2),IF(AND(Q2="tiefling",O2="male"),VLOOKUP(RANDBETWEEN(1,33),Table37[],2),IF(AND(Q2="tiefling",O2="female"),VLOOKUP(RANDBETWEEN(1,34),Table38[],2)," "))))))))))))))))))</f>
        <v>Rolen</v>
      </c>
      <c r="Q1" s="127" t="str">
        <f ca="1">IF(Q2="dwarf",VLOOKUP(RANDBETWEEN(1,53),Table5[],2),IF(Q2="elf",VLOOKUP(RANDBETWEEN(1,73),Table7[],2),IF(Q2="halfling",VLOOKUP(RANDBETWEEN(1,20),Table11[],2),IF(Q2="human",VLOOKUP(RANDBETWEEN(1,52),Table18[],2),IF(Q2="dragonborn",VLOOKUP(RANDBETWEEN(1,18),Table24[],2),IF(Q2="gnome",VLOOKUP(RANDBETWEEN(1,13),Table27[],2),IF(Q2="half-elf",VLOOKUP(RANDBETWEEN(1,62),Table33[],2)," ")))))))</f>
        <v>Xiloscient</v>
      </c>
      <c r="R1" s="30"/>
      <c r="S1" s="30"/>
      <c r="AF1" s="29" t="s">
        <v>674</v>
      </c>
      <c r="AH1" s="29" t="s">
        <v>711</v>
      </c>
      <c r="AI1" s="29">
        <f ca="1">IF(O11="non-classed",RANDBETWEEN(1,10),IF(O11="wizard",SUM(6,4*O12,-4),IF(O11="warlock",SUM(8,5*O12,-5),IF(O11="sorcerer",SUM(6,4*O12,-6),IF(O11="rogue",SUM(8,5*O12,-5),IF(O11="ranger",SUM(10,6*O12,-6),IF(O11="paladin",SUM(10,6*O12,-6),IF(O11="barbarian",SUM(12,7*O12,-7),IF(O11="bard",SUM(8,5*O12,-5),IF(O11="cleric",SUM(8,5*O12,-5),IF(O11="druid",SUM(8,5*O12,-5),IF(O11="fighter",SUM(10,6*O12,-6),IF(O11="monk",SUM(8,5*O12,-5)," ")))))))))))))</f>
        <v>8</v>
      </c>
      <c r="AJ1" s="29" t="s">
        <v>714</v>
      </c>
      <c r="AK1" s="29">
        <f ca="1">(P40*P6)</f>
        <v>-13</v>
      </c>
      <c r="CB1" s="31" t="s">
        <v>670</v>
      </c>
      <c r="CE1" s="31"/>
    </row>
    <row r="2" spans="1:83" x14ac:dyDescent="0.3">
      <c r="A2" s="30"/>
      <c r="B2" s="30"/>
      <c r="C2" s="33"/>
      <c r="D2" s="33"/>
      <c r="E2" s="33"/>
      <c r="F2" s="33"/>
      <c r="G2" s="33"/>
      <c r="H2" s="33"/>
      <c r="I2" s="33"/>
      <c r="J2" s="33"/>
      <c r="K2" s="33"/>
      <c r="L2" s="33"/>
      <c r="M2" s="33"/>
      <c r="N2" s="33"/>
      <c r="O2" s="110" t="str">
        <f ca="1">VLOOKUP(RANDBETWEEN(1,2),Table14[],2)</f>
        <v>Male</v>
      </c>
      <c r="P2" s="33" t="str">
        <f ca="1">IF(Q2="dwarf",VLOOKUP(RANDBETWEEN(1,2),Table8[],2),IF(Q2="elf",VLOOKUP(RANDBETWEEN(1,3),Table9[],2),IF(Q2="halfling",VLOOKUP(RANDBETWEEN(1,2),Table12[],2),IF(Q2="Dragonborn",VLOOKUP(RANDBETWEEN(1,10),Table25[],2),IF(Q2="Gnome",VLOOKUP(RANDBETWEEN(1,2),Table30[],2)," ")))))</f>
        <v>Wood</v>
      </c>
      <c r="Q2" s="72" t="str">
        <f ca="1">VLOOKUP(RANDBETWEEN(1,9),Table2[],2)</f>
        <v>Elf</v>
      </c>
      <c r="R2" s="30"/>
      <c r="S2" s="30"/>
      <c r="AE2" s="29" t="s">
        <v>676</v>
      </c>
      <c r="AF2" s="29" t="str">
        <f ca="1">IF($P$6&gt;=4,VLOOKUP(RANDBETWEEN(1,6),Table41[],2)," ")</f>
        <v>Charisma</v>
      </c>
      <c r="AH2" s="29" t="s">
        <v>712</v>
      </c>
      <c r="AI2" s="29" t="str">
        <f ca="1">IF(Q11="wizard",4*Q12,IF(Q11="warlock",5*Q12,IF(Q11="sorcerer",4*Q12,IF(Q11="rogue",5*Q12,IF(Q11="ranger",6*Q12,IF(Q11="paladin",6*Q12,IF(Q11="barbarian",7*Q12,IF(Q11="bard",5*Q12,IF(Q11="cleric",5*Q12,IF(Q11="druid",5*Q12,IF(Q11="fighter",6*Q12,IF(Q11="monk",5*Q12," "))))))))))))</f>
        <v xml:space="preserve"> </v>
      </c>
      <c r="CB2" s="35">
        <f t="shared" ref="CB2:CB7" ca="1" si="0">_xlfn.RANK.EQ(CC2,$CC$2:$CC$7)</f>
        <v>2</v>
      </c>
      <c r="CC2" s="36">
        <f ca="1">IF(BM7&gt;0,0,RAND())</f>
        <v>0.80031194734042976</v>
      </c>
      <c r="CD2" s="29" t="s">
        <v>29</v>
      </c>
    </row>
    <row r="3" spans="1:83" ht="19.5" thickBot="1" x14ac:dyDescent="0.35">
      <c r="A3" s="30"/>
      <c r="B3" s="30"/>
      <c r="C3" s="38"/>
      <c r="D3" s="38"/>
      <c r="E3" s="38"/>
      <c r="F3" s="38"/>
      <c r="G3" s="38"/>
      <c r="H3" s="38"/>
      <c r="I3" s="38"/>
      <c r="J3" s="38"/>
      <c r="K3" s="38"/>
      <c r="L3" s="38"/>
      <c r="M3" s="38"/>
      <c r="N3" s="38"/>
      <c r="O3" s="37" t="str">
        <f ca="1">VLOOKUP(RANDBETWEEN(1,20),Table253[],2)</f>
        <v>Elderly</v>
      </c>
      <c r="P3" s="38" t="str">
        <f ca="1">IF(AND(Q2="tiefling",O3="young adult"),SUM(17,RANDBETWEEN(1,23))&amp;" years old",IF(AND(Q2="tiefling",O3="adult"),SUM(40,RANDBETWEEN(1,30))&amp;" years old",IF(AND(Q2="tiefling",O3="elderly"),SUM(70,RANDBETWEEN(1,30))&amp;" years old",IF(AND(Q2="half-orc",O3="young adult"),SUM(13,RANDBETWEEN(1,32))&amp;" years old",IF(AND(Q2="half-orc",O3="adult"),SUM(45,RANDBETWEEN(1,15))&amp;" years old",IF(AND(Q2="half-orc",O3="elderly"),SUM(60,RANDBETWEEN(1,15))&amp;" years old",IF(AND(Q2="half-elf",O3="young adult"),SUM(19,RANDBETWEEN(1,30))&amp;" years old",IF(AND(Q2="half-elf",O3="adult"),SUM(50,RANDBETWEEN(1,100))&amp;" years old",IF(AND(Q2="half-elf",O3="elderly"),SUM(150,RANDBETWEEN(1,30))&amp;" years old",IF(AND(Q2="gnome",O3="young adult"),SUM(19,RANDBETWEEN(1,20))&amp;" years old",IF(AND(Q2="gnome",O3="adult"),SUM(40,RANDBETWEEN(1,160))&amp;" years old",IF(AND(Q2="gnome",O3="elderly"),SUM(200,RANDBETWEEN(1,200))&amp;" years old",IF(AND(Q2="dragonborn",O3="young adult"),SUM(14,RANDBETWEEN(1,5))&amp;" years old",IF(AND(Q2="dragonborn",O3="adult"),SUM(20,RANDBETWEEN(1,30))&amp;" years old",IF(AND(Q2="dragonborn",O3="elderly"),SUM(50,RANDBETWEEN(1,30))&amp;" years old",IF(AND(Q2="halfling",O3="young adult"),SUM(19,RANDBETWEEN(1,20))&amp;" years old",IF(AND(Q2="halfling",O3="adult"),SUM(40,RANDBETWEEN(1,110))&amp;" years old",IF(AND(Q2="halfling",O3="elderly"),SUM(150,RANDBETWEEN(1,100))&amp;" years old",IF(AND(Q2="elf",O3="young adult"),SUM(99,RANDBETWEEN(1,350))&amp;" years old",IF(AND(Q2="elf",O3="adult"),SUM(450,RANDBETWEEN(1,200))&amp;" years old",IF(AND(Q2="elf",O3="elderly"),SUM(650,RANDBETWEEN(1,100))&amp;" years old",IF(AND(Q2="dwarf",O3="young adult"),SUM(17,RANDBETWEEN(1,32))&amp;" years old",IF(AND(Q2="dwarf",O3="adult"),SUM(50,RANDBETWEEN(1,150))&amp;" years old",IF(AND(Q2="dwarf",O3="elderly"),SUM(200,RANDBETWEEN(1,150))&amp;" years old",IF(AND(Q2="human",O3="young adult"),SUM(17,RANDBETWEEN(1,12))&amp;" years old",IF(AND(Q2="human",O3="adult"),SUM(30,RANDBETWEEN(1,35))&amp;" years old",IF(AND(Q2="human",O3="elderly"),SUM(65,RANDBETWEEN(1,25))&amp;" years old"," ")))))))))))))))))))))))))))</f>
        <v>672 years old</v>
      </c>
      <c r="Q3" s="113"/>
      <c r="R3" s="30"/>
      <c r="AE3" s="29" t="s">
        <v>676</v>
      </c>
      <c r="AF3" s="29" t="str">
        <f ca="1">IF($P$6&gt;=4,VLOOKUP(RANDBETWEEN(1,6),Table41[],2)," ")</f>
        <v>Strength</v>
      </c>
      <c r="AH3" s="29" t="s">
        <v>713</v>
      </c>
      <c r="AI3" s="29" t="str">
        <f ca="1">IF(P2="hill",(P6)," ")</f>
        <v xml:space="preserve"> </v>
      </c>
      <c r="CB3" s="35">
        <f t="shared" ca="1" si="0"/>
        <v>6</v>
      </c>
      <c r="CC3" s="36">
        <f ca="1">IF(BM9&gt;0,0,RAND())</f>
        <v>3.5824084807624001E-2</v>
      </c>
      <c r="CD3" s="29" t="s">
        <v>14</v>
      </c>
    </row>
    <row r="4" spans="1:83" ht="19.5" thickBot="1" x14ac:dyDescent="0.35">
      <c r="A4" s="33"/>
      <c r="B4" s="30"/>
      <c r="C4" s="39"/>
      <c r="D4" s="39"/>
      <c r="E4" s="39"/>
      <c r="F4" s="39"/>
      <c r="G4" s="39"/>
      <c r="H4" s="39"/>
      <c r="I4" s="39"/>
      <c r="J4" s="39"/>
      <c r="K4" s="39"/>
      <c r="L4" s="39"/>
      <c r="M4" s="39"/>
      <c r="N4" s="39"/>
      <c r="O4" s="40"/>
      <c r="Q4" s="41"/>
      <c r="R4" s="41"/>
      <c r="AE4" s="29" t="s">
        <v>677</v>
      </c>
      <c r="AF4" s="29" t="str">
        <f ca="1">IF($P$6&gt;=8,VLOOKUP(RANDBETWEEN(1,6),Table41[],2)," ")</f>
        <v>Strength</v>
      </c>
      <c r="AH4" s="29" t="s">
        <v>1592</v>
      </c>
      <c r="AI4" s="29" t="str">
        <f ca="1">IF(OR(P15="draconic bloodline",R15="draconic bloodline"),O12," ")</f>
        <v xml:space="preserve"> </v>
      </c>
      <c r="CB4" s="35">
        <f t="shared" ca="1" si="0"/>
        <v>5</v>
      </c>
      <c r="CC4" s="36">
        <f ca="1">IF(BM13&gt;0,0,RAND())</f>
        <v>0.20782476818375983</v>
      </c>
      <c r="CD4" s="29" t="s">
        <v>18</v>
      </c>
    </row>
    <row r="5" spans="1:83" ht="19.5" thickBot="1" x14ac:dyDescent="0.35">
      <c r="B5" s="42" t="s">
        <v>35</v>
      </c>
      <c r="O5" s="43" t="s">
        <v>41</v>
      </c>
      <c r="P5" s="43" t="s">
        <v>1881</v>
      </c>
      <c r="Q5" s="44" t="str">
        <f ca="1">"Max. HP: "&amp;SUM(AI1,AI2,AI3,AK1,AI4)</f>
        <v>Max. HP: -5</v>
      </c>
      <c r="R5" s="45" t="s">
        <v>33</v>
      </c>
      <c r="AE5" s="29" t="s">
        <v>677</v>
      </c>
      <c r="AF5" s="29" t="str">
        <f ca="1">IF($P$6&gt;=8,VLOOKUP(RANDBETWEEN(1,6),Table41[],2)," ")</f>
        <v>Charisma</v>
      </c>
      <c r="AV5" s="29" t="s">
        <v>744</v>
      </c>
      <c r="BM5" s="29" t="s">
        <v>1825</v>
      </c>
      <c r="BN5" s="29" t="s">
        <v>744</v>
      </c>
      <c r="BO5" s="29" t="s">
        <v>728</v>
      </c>
      <c r="BP5" s="29" t="s">
        <v>745</v>
      </c>
      <c r="BQ5" s="29" t="s">
        <v>1569</v>
      </c>
      <c r="BR5" s="29" t="s">
        <v>211</v>
      </c>
      <c r="BS5" s="29" t="s">
        <v>1343</v>
      </c>
      <c r="BT5" s="29" t="s">
        <v>1344</v>
      </c>
      <c r="BU5" s="29" t="s">
        <v>739</v>
      </c>
      <c r="CB5" s="35">
        <f t="shared" ca="1" si="0"/>
        <v>4</v>
      </c>
      <c r="CC5" s="36">
        <f ca="1">IF(BM16&gt;0,0,RAND())</f>
        <v>0.4632867352273643</v>
      </c>
      <c r="CD5" s="29" t="s">
        <v>21</v>
      </c>
    </row>
    <row r="6" spans="1:83" ht="20.25" thickTop="1" thickBot="1" x14ac:dyDescent="0.35">
      <c r="B6" s="32">
        <f ca="1">P39</f>
        <v>0</v>
      </c>
      <c r="O6" s="46" t="str">
        <f ca="1">IF(OR(Q2="dwarf",Q2="elf",Q2="human",Q2="dragonborn",Q2="half-elf",Q2="half-orc",Q2="tiefling"),"Medium",IF(OR(Q2="gnome",Q2="halfling"),"Small"," "))</f>
        <v>Medium</v>
      </c>
      <c r="P6" s="47">
        <f ca="1">IF(AF14=1,O12,IF(AF14=2,SUM(O12,Q12)))</f>
        <v>13</v>
      </c>
      <c r="Q6" s="48" t="s">
        <v>1882</v>
      </c>
      <c r="R6" s="47" t="str">
        <f ca="1">VLOOKUP(RANDBETWEEN(1,100),Table92[],2)</f>
        <v>Neutral</v>
      </c>
      <c r="U6" s="49"/>
      <c r="AE6" s="29" t="s">
        <v>678</v>
      </c>
      <c r="AF6" s="29" t="str">
        <f ca="1">IF($P$6&gt;=12,VLOOKUP(RANDBETWEEN(1,6),Table41[],2)," ")</f>
        <v>Charisma</v>
      </c>
      <c r="AH6" s="29" t="s">
        <v>12</v>
      </c>
      <c r="AI6" s="29">
        <f ca="1">$P$39</f>
        <v>0</v>
      </c>
      <c r="AJ6" s="29" t="str">
        <f t="shared" ref="AJ6:AU6" ca="1" si="1">IF(COUNTIF(AJ$27:AJ$33,$AH$6),$P$8," ")</f>
        <v xml:space="preserve"> </v>
      </c>
      <c r="AK6" s="29" t="str">
        <f t="shared" ca="1" si="1"/>
        <v xml:space="preserve"> </v>
      </c>
      <c r="AL6" s="29" t="str">
        <f t="shared" ca="1" si="1"/>
        <v xml:space="preserve"> </v>
      </c>
      <c r="AM6" s="29" t="str">
        <f t="shared" ca="1" si="1"/>
        <v xml:space="preserve"> </v>
      </c>
      <c r="AN6" s="29" t="str">
        <f t="shared" ca="1" si="1"/>
        <v xml:space="preserve"> </v>
      </c>
      <c r="AO6" s="29" t="str">
        <f t="shared" ca="1" si="1"/>
        <v xml:space="preserve"> </v>
      </c>
      <c r="AP6" s="29" t="str">
        <f t="shared" ca="1" si="1"/>
        <v xml:space="preserve"> </v>
      </c>
      <c r="AQ6" s="29" t="str">
        <f t="shared" ca="1" si="1"/>
        <v xml:space="preserve"> </v>
      </c>
      <c r="AR6" s="29" t="str">
        <f t="shared" ca="1" si="1"/>
        <v xml:space="preserve"> </v>
      </c>
      <c r="AS6" s="29" t="str">
        <f t="shared" ca="1" si="1"/>
        <v xml:space="preserve"> </v>
      </c>
      <c r="AT6" s="29" t="str">
        <f t="shared" ca="1" si="1"/>
        <v xml:space="preserve"> </v>
      </c>
      <c r="AU6" s="29" t="str">
        <f t="shared" ca="1" si="1"/>
        <v xml:space="preserve"> </v>
      </c>
      <c r="AV6" s="29">
        <f ca="1">SUM(AJ6:AU6)</f>
        <v>0</v>
      </c>
      <c r="AW6" s="29" t="s">
        <v>12</v>
      </c>
      <c r="BA6" s="29" t="str">
        <f ca="1">IF(S11="Entertainer",P8," ")</f>
        <v xml:space="preserve"> </v>
      </c>
      <c r="BM6" s="29">
        <f t="shared" ref="BM6:BM23" ca="1" si="2">SUM(AX6:BL6)</f>
        <v>0</v>
      </c>
      <c r="BN6" s="29">
        <f ca="1">AV6</f>
        <v>0</v>
      </c>
      <c r="BO6" s="29" t="str">
        <f t="shared" ref="BO6:BO23" ca="1" si="3">IF(AND($O$11="bard",$O$12&gt;=3,BN26=1),$P$8,IF(AND($O$11="bard",$O$12&gt;=3,BN26=2),$P$8,IF(AND($O$11="bard",$O$12&gt;=10,BN26=3,$P$15="college of lore"),$P$8,IF(AND($O$11="bard",$O$12&gt;=10,BN26=4,$P$15="college of lore"),$P$8,IF(AND($Q$11="bard",$Q$12&gt;=3,BN26=1),$P$8,IF(AND($Q$11="bard",$Q$12&gt;=3,BN26=2),$P$8,IF(AND($Q$11="bard",$Q$12&gt;=10,BN26=3,$P$15="college of lore"),$P$8,IF(AND($Q$11="bard",$Q$12&gt;=10,BN26=4,$P$15="college of lore"),$P$8," "))))))))</f>
        <v xml:space="preserve"> </v>
      </c>
      <c r="BP6" s="29" t="str">
        <f t="shared" ref="BP6:BP23" ca="1" si="4">IF(AND($O$11="bard",$O$12&gt;=2,AV6&lt;=0),ROUNDDOWN($P$8*0.5,0),IF(AND($Q$11="bard",$Q$12&gt;=2,AV6&lt;=0),ROUNDDOWN($P$8*0.5,0)," "))</f>
        <v xml:space="preserve"> </v>
      </c>
      <c r="BQ6" s="29" t="str">
        <f t="shared" ref="BQ6:BQ23" ca="1" si="5">IF(AND($O$11="rogue",BN26=1),$P$8,IF(AND($O$11="rogue",BN26=2,$AF$25=1),$P$8,IF(AND($O$11="rogue",$O$12&gt;6,BN26=3),$P$8,IF(AND($O$11="rogue",$O$12&gt;6,BN26=4),$P$8," "))))</f>
        <v xml:space="preserve"> </v>
      </c>
      <c r="BR6" s="29">
        <f t="shared" ref="BR6:BR23" ca="1" si="6">IF(AND($Q$2="half-elf",BR26=1),$P$8,IF(AND($Q$2="half-elf",BR26=2),$P$8,0))</f>
        <v>0</v>
      </c>
      <c r="BU6" s="29">
        <f ca="1">SUM(BM6:BT6,AI6)</f>
        <v>0</v>
      </c>
      <c r="BV6" s="29" t="s">
        <v>12</v>
      </c>
      <c r="CB6" s="35">
        <f t="shared" ca="1" si="0"/>
        <v>3</v>
      </c>
      <c r="CC6" s="36">
        <f ca="1">IF(BM17&gt;0,0,RAND())</f>
        <v>0.47625577054898638</v>
      </c>
      <c r="CD6" s="29" t="s">
        <v>22</v>
      </c>
      <c r="CE6" s="31"/>
    </row>
    <row r="7" spans="1:83" ht="19.5" thickBot="1" x14ac:dyDescent="0.35">
      <c r="B7" s="42" t="s">
        <v>36</v>
      </c>
      <c r="O7" s="50" t="str">
        <f ca="1">IF(Q2="Tiefling","Height: "&amp;SUM(57,AE31)&amp;" inches",IF(Q2="half-orc","Height: "&amp;SUM(58,AE32)&amp;" inches",IF(Q2="Half-elf","Height: "&amp;SUM(57,AE31)&amp;" inches",IF(Q2="Gnome","Height: "&amp;SUM(35,AE29)&amp;" inches",IF(Q2="Dragonborn","Height: "&amp;SUM(66,AE31)&amp;" inches",IF(Q2="Halfling","Height: "&amp;SUM(31,AE29)&amp;" inches",IF(P2="dark","Height: "&amp;SUM(53,AE30)&amp;" inches",IF(P2="wood","Height: "&amp;SUM(54,AE32)&amp;" inches",IF(P2="high","Height: "&amp;SUM(54,AE32)&amp;" inches",IF(P2="mountain","Height: "&amp;SUM(48,AE29)&amp;" inches",IF(P2="hill","Height: "&amp;SUM(44,AE29)&amp;" inches",IF(Q2="human","Height: "&amp;SUM(56,AE32)&amp;" inches"," "))))))))))))</f>
        <v>Height: 66 inches</v>
      </c>
      <c r="P7" s="43" t="s">
        <v>34</v>
      </c>
      <c r="AE7" s="29" t="s">
        <v>678</v>
      </c>
      <c r="AF7" s="29" t="str">
        <f ca="1">IF($P$6&gt;=12,VLOOKUP(RANDBETWEEN(1,6),Table41[],2)," ")</f>
        <v>Strength</v>
      </c>
      <c r="AH7" s="29" t="s">
        <v>29</v>
      </c>
      <c r="AI7" s="29">
        <f ca="1">$P$42</f>
        <v>0</v>
      </c>
      <c r="AJ7" s="29" t="str">
        <f t="shared" ref="AJ7:AU7" ca="1" si="7">IF(COUNTIF(AJ$27:AJ$33,$AH$7),$P$8," ")</f>
        <v xml:space="preserve"> </v>
      </c>
      <c r="AK7" s="29" t="str">
        <f t="shared" ca="1" si="7"/>
        <v xml:space="preserve"> </v>
      </c>
      <c r="AL7" s="29" t="str">
        <f t="shared" ca="1" si="7"/>
        <v xml:space="preserve"> </v>
      </c>
      <c r="AM7" s="29" t="str">
        <f t="shared" ca="1" si="7"/>
        <v xml:space="preserve"> </v>
      </c>
      <c r="AN7" s="29" t="str">
        <f t="shared" ca="1" si="7"/>
        <v xml:space="preserve"> </v>
      </c>
      <c r="AO7" s="29" t="str">
        <f t="shared" ca="1" si="7"/>
        <v xml:space="preserve"> </v>
      </c>
      <c r="AP7" s="29" t="str">
        <f t="shared" ca="1" si="7"/>
        <v xml:space="preserve"> </v>
      </c>
      <c r="AQ7" s="29" t="str">
        <f t="shared" ca="1" si="7"/>
        <v xml:space="preserve"> </v>
      </c>
      <c r="AR7" s="29" t="str">
        <f t="shared" ca="1" si="7"/>
        <v xml:space="preserve"> </v>
      </c>
      <c r="AS7" s="29" t="str">
        <f t="shared" ca="1" si="7"/>
        <v xml:space="preserve"> </v>
      </c>
      <c r="AT7" s="29" t="str">
        <f t="shared" ca="1" si="7"/>
        <v xml:space="preserve"> </v>
      </c>
      <c r="AU7" s="29" t="str">
        <f t="shared" ca="1" si="7"/>
        <v xml:space="preserve"> </v>
      </c>
      <c r="AV7" s="29">
        <f t="shared" ref="AV7:AV23" ca="1" si="8">SUM(AJ7:AU7)</f>
        <v>0</v>
      </c>
      <c r="AW7" s="29" t="s">
        <v>29</v>
      </c>
      <c r="BB7" s="29" t="str">
        <f ca="1">IF(S11="Folk Hero",P8," ")</f>
        <v xml:space="preserve"> </v>
      </c>
      <c r="BM7" s="29">
        <f t="shared" ca="1" si="2"/>
        <v>0</v>
      </c>
      <c r="BN7" s="29">
        <f t="shared" ref="BN7:BN23" ca="1" si="9">AV7</f>
        <v>0</v>
      </c>
      <c r="BO7" s="29" t="str">
        <f t="shared" ca="1" si="3"/>
        <v xml:space="preserve"> </v>
      </c>
      <c r="BP7" s="29" t="str">
        <f t="shared" ca="1" si="4"/>
        <v xml:space="preserve"> </v>
      </c>
      <c r="BQ7" s="29" t="str">
        <f t="shared" ca="1" si="5"/>
        <v xml:space="preserve"> </v>
      </c>
      <c r="BR7" s="29">
        <f t="shared" ca="1" si="6"/>
        <v>0</v>
      </c>
      <c r="BT7" s="29">
        <f ca="1">IF(AND(BY30=1,OR($P$15="nature",$R$15="nature")),$P$8,0)</f>
        <v>0</v>
      </c>
      <c r="BU7" s="29">
        <f t="shared" ref="BU7:BU23" ca="1" si="10">SUM(BM7:BT7)</f>
        <v>0</v>
      </c>
      <c r="BV7" s="29" t="s">
        <v>29</v>
      </c>
      <c r="CB7" s="35">
        <f t="shared" ca="1" si="0"/>
        <v>1</v>
      </c>
      <c r="CC7" s="36">
        <f ca="1">IF(BM23&gt;0,0,RAND())</f>
        <v>0.88181810123498972</v>
      </c>
      <c r="CD7" s="29" t="s">
        <v>28</v>
      </c>
    </row>
    <row r="8" spans="1:83" ht="20.25" thickTop="1" thickBot="1" x14ac:dyDescent="0.35">
      <c r="B8" s="51" t="str">
        <f ca="1">IF(AND(B89="unarmored defense",B90&lt;&gt;"shield",Q12&gt;=2,Q11="monk",OR(Q2="dwarf",Q2="halfling",Q2="gnome")),SUM(15,INDEX('Class Tables'!L98:L117,MATCH(O12,('Class Tables'!I98:I117),0)))&amp;" ft.",IF(AND(B89="unarmored defense",B90&lt;&gt;"Shield",Q12&gt;=2,Q11="monk",P2="wood"),SUM(25,INDEX('Class Tables'!L98:L117,MATCH(O12,('Class Tables'!I98:I117),0)))&amp;" ft.",IF(AND(B89="unarmored defense",B90&lt;&gt;"shield",Q12&gt;=2,Q11="monk",OR(Q2="human",Q2="elf",Q2="dragonborn",Q2="half-elf",Q2="half-orc",Q2="tiefling")),SUM(20,INDEX('Class Tables'!L98:L117,MATCH(O12,('Class Tables'!I98:I117),0)))&amp;" ft.",IF(AND(B89="unarmored defense",B90&lt;&gt;"shield",O12&gt;=2,O11="monk",OR(Q2="dwarf",Q2="halfling",Q2="gnome")),SUM(25,INDEX('Class Tables'!L98:L117,MATCH(O12,('Class Tables'!I98:I117),0)))&amp;" ft.",IF(AND(B89="unarmored defense",B90&lt;&gt;"Shield",O12&gt;=2,O11="monk",P2="wood"),SUM(35,INDEX('Class Tables'!L98:L117,MATCH(O12,('Class Tables'!I98:I117),0)))&amp;" ft.",IF(AND(B89="unarmored defense",B90&lt;&gt;"shield",O12&gt;=2,O11="monk",OR(Q2="human",Q2="elf",Q2="dragonborn",Q2="half-elf",Q2="half-orc",Q2="tiefling")),SUM(30,INDEX('Class Tables'!L98:L117,MATCH(O12,('Class Tables'!I98:I117),0)))&amp;" ft.",IF(AND(B89="unarmored defense",Q12&gt;=5,Q11="barbarian",OR(Q2="dwarf",Q2="halfling",Q2="gnome")),"35 ft.",IF(AND(B89="unarmored defense",Q12&gt;=5,Q11="barbarian",P2="wood"),"45 ft.",IF(AND(B89="unarmored defense",Q12&gt;=5,Q11="barbarian",OR(Q2="human",Q2="elf",Q2="dragonborn",Q2="half-elf",Q2="half-orc",Q2="tiefling")),"40 ft.",IF(AND(B89="unarmored defense",O12&gt;=5,O11="barbarian",OR(Q2="dwarf",Q2="halfling",Q2="gnome")),"35 ft.",IF(AND(B89="unarmored defense",O12&gt;=O11="barbarian",P2="wood"),"45 ft.",IF(AND(B89="unarmored defense",O12&gt;=5,O11="barbarian",OR(Q2="human",Q2="elf",Q2="dragonborn",Q2="half-elf",Q2="half-orc",Q2="tiefling")),"40 ft.",IF(OR(Q2="dwarf",Q2="halfling",Q2="gnome"),"25 ft.",IF(P2="wood","35 ft.",IF(OR(Q2="human",Q2="elf",Q2="dragonborn",Q2="half-elf",Q2="half-orc",Q2="tiefling"),"30 ft."," ")))))))))))))))</f>
        <v>35 ft.</v>
      </c>
      <c r="O8" s="47" t="str">
        <f ca="1">IF(P2="dark","Weight: "&amp;SUM(AE30*RANDBETWEEN(1,6),75)&amp;" lbs.",IF(P2="wood","Weight: "&amp;SUM(AE32*RANDBETWEEN(1,4),100)&amp;" lbs.",IF(P2="high","Weight: "&amp;SUM(AE32*RANDBETWEEN(1,4),90)&amp;" lbs.",IF(P2="mountain","Weight: "&amp;SUM(AE29*RANDBETWEEN(2,12),130)&amp;" lbs.",IF(P2="hill","Weight: "&amp;SUM(AE29*RANDBETWEEN(2,12),115)&amp;" lbs.",IF(Q2="tiefling","Weight: "&amp;SUM(AE31*RANDBETWEEN(2,8),110)&amp;" lbs.",IF(Q2="Half-orc","Weight: "&amp;SUM(AE32*RANDBETWEEN(2,12),140),IF(Q2="Half-elf","Weight: "&amp;SUM(AE31*RANDBETWEEN(2,8),110),IF(Q2="Gnome","Weight: "&amp;SUM(AE29,35),IF(Q2="Dragonborn","Weight: "&amp;SUM(AE31*RANDBETWEEN(2,12),175)&amp;" lbs.",IF(Q2="Halfling","Weight: "&amp;SUM(AE29,35)&amp;" lbs.",IF(Q2="Human","Weight: "&amp;SUM(AE32*RANDBETWEEN(2,8),110)&amp;" lbs."," "))))))))))))</f>
        <v>Weight: 112 lbs.</v>
      </c>
      <c r="P8" s="111">
        <f ca="1">VLOOKUP(P6,Table26[],2)</f>
        <v>5</v>
      </c>
      <c r="Q8" s="33"/>
      <c r="R8" s="33"/>
      <c r="AE8" s="29" t="s">
        <v>679</v>
      </c>
      <c r="AF8" s="29" t="str">
        <f ca="1">IF($P$6&gt;=16,VLOOKUP(RANDBETWEEN(1,6),Table41[],2)," ")</f>
        <v xml:space="preserve"> </v>
      </c>
      <c r="AH8" s="29" t="s">
        <v>13</v>
      </c>
      <c r="AI8" s="29">
        <f ca="1">$P$41</f>
        <v>0</v>
      </c>
      <c r="AJ8" s="29" t="str">
        <f t="shared" ref="AJ8:AU8" ca="1" si="11">IF(COUNTIF(AJ$27:AJ$33,$AH$8),$P$8," ")</f>
        <v xml:space="preserve"> </v>
      </c>
      <c r="AK8" s="29" t="str">
        <f t="shared" ca="1" si="11"/>
        <v xml:space="preserve"> </v>
      </c>
      <c r="AL8" s="29" t="str">
        <f t="shared" ca="1" si="11"/>
        <v xml:space="preserve"> </v>
      </c>
      <c r="AM8" s="29" t="str">
        <f t="shared" ca="1" si="11"/>
        <v xml:space="preserve"> </v>
      </c>
      <c r="AN8" s="29" t="str">
        <f t="shared" ca="1" si="11"/>
        <v xml:space="preserve"> </v>
      </c>
      <c r="AO8" s="29" t="str">
        <f t="shared" ca="1" si="11"/>
        <v xml:space="preserve"> </v>
      </c>
      <c r="AP8" s="29" t="str">
        <f t="shared" ca="1" si="11"/>
        <v xml:space="preserve"> </v>
      </c>
      <c r="AQ8" s="29" t="str">
        <f t="shared" ca="1" si="11"/>
        <v xml:space="preserve"> </v>
      </c>
      <c r="AR8" s="29" t="str">
        <f t="shared" ca="1" si="11"/>
        <v xml:space="preserve"> </v>
      </c>
      <c r="AS8" s="29" t="str">
        <f t="shared" ca="1" si="11"/>
        <v xml:space="preserve"> </v>
      </c>
      <c r="AT8" s="29" t="str">
        <f t="shared" ca="1" si="11"/>
        <v xml:space="preserve"> </v>
      </c>
      <c r="AU8" s="29" t="str">
        <f t="shared" ca="1" si="11"/>
        <v xml:space="preserve"> </v>
      </c>
      <c r="AV8" s="29">
        <f t="shared" ca="1" si="8"/>
        <v>0</v>
      </c>
      <c r="AW8" s="29" t="s">
        <v>13</v>
      </c>
      <c r="BI8" s="29" t="str">
        <f ca="1">IF(S11="Sage",P8," ")</f>
        <v xml:space="preserve"> </v>
      </c>
      <c r="BM8" s="29">
        <f t="shared" ca="1" si="2"/>
        <v>0</v>
      </c>
      <c r="BN8" s="29">
        <f t="shared" ca="1" si="9"/>
        <v>0</v>
      </c>
      <c r="BO8" s="29" t="str">
        <f t="shared" ca="1" si="3"/>
        <v xml:space="preserve"> </v>
      </c>
      <c r="BP8" s="29" t="str">
        <f t="shared" ca="1" si="4"/>
        <v xml:space="preserve"> </v>
      </c>
      <c r="BQ8" s="29" t="str">
        <f t="shared" ca="1" si="5"/>
        <v xml:space="preserve"> </v>
      </c>
      <c r="BR8" s="29">
        <f t="shared" ca="1" si="6"/>
        <v>0</v>
      </c>
      <c r="BS8" s="29">
        <f ca="1">IF(AND($BY$26=1,OR($P$15="knowledge",$R$15="knowledge")),$P$8*2,IF(AND($BY$26=2,OR($P$15="knowledge",$R$15="knowledge")),$P$8*2,0))</f>
        <v>0</v>
      </c>
      <c r="BU8" s="29">
        <f t="shared" ca="1" si="10"/>
        <v>0</v>
      </c>
      <c r="BV8" s="29" t="s">
        <v>13</v>
      </c>
      <c r="CB8" s="52"/>
      <c r="CC8" s="52"/>
    </row>
    <row r="9" spans="1:83" ht="19.5" thickBot="1" x14ac:dyDescent="0.35">
      <c r="AE9" s="29" t="s">
        <v>679</v>
      </c>
      <c r="AF9" s="29" t="str">
        <f ca="1">IF($P$6&gt;=16,VLOOKUP(RANDBETWEEN(1,6),Table41[],2)," ")</f>
        <v xml:space="preserve"> </v>
      </c>
      <c r="AH9" s="29" t="s">
        <v>14</v>
      </c>
      <c r="AI9" s="29">
        <f ca="1">$P$38</f>
        <v>1</v>
      </c>
      <c r="AJ9" s="29" t="str">
        <f t="shared" ref="AJ9:AU9" ca="1" si="12">IF(COUNTIF(AJ$27:AJ$33,$AH$9),$P$8," ")</f>
        <v xml:space="preserve"> </v>
      </c>
      <c r="AK9" s="29" t="str">
        <f t="shared" ca="1" si="12"/>
        <v xml:space="preserve"> </v>
      </c>
      <c r="AL9" s="29" t="str">
        <f t="shared" ca="1" si="12"/>
        <v xml:space="preserve"> </v>
      </c>
      <c r="AM9" s="29" t="str">
        <f t="shared" ca="1" si="12"/>
        <v xml:space="preserve"> </v>
      </c>
      <c r="AN9" s="29" t="str">
        <f t="shared" ca="1" si="12"/>
        <v xml:space="preserve"> </v>
      </c>
      <c r="AO9" s="29" t="str">
        <f t="shared" ca="1" si="12"/>
        <v xml:space="preserve"> </v>
      </c>
      <c r="AP9" s="29" t="str">
        <f t="shared" ca="1" si="12"/>
        <v xml:space="preserve"> </v>
      </c>
      <c r="AQ9" s="29" t="str">
        <f t="shared" ca="1" si="12"/>
        <v xml:space="preserve"> </v>
      </c>
      <c r="AR9" s="29" t="str">
        <f t="shared" ca="1" si="12"/>
        <v xml:space="preserve"> </v>
      </c>
      <c r="AS9" s="29" t="str">
        <f t="shared" ca="1" si="12"/>
        <v xml:space="preserve"> </v>
      </c>
      <c r="AT9" s="29" t="str">
        <f t="shared" ca="1" si="12"/>
        <v xml:space="preserve"> </v>
      </c>
      <c r="AU9" s="29" t="str">
        <f t="shared" ca="1" si="12"/>
        <v xml:space="preserve"> </v>
      </c>
      <c r="AV9" s="29">
        <f t="shared" ca="1" si="8"/>
        <v>0</v>
      </c>
      <c r="AW9" s="29" t="s">
        <v>14</v>
      </c>
      <c r="BG9" s="29" t="str">
        <f ca="1">IF(S11="Outlander",P8," ")</f>
        <v xml:space="preserve"> </v>
      </c>
      <c r="BH9" s="29" t="str">
        <f ca="1">IF(S11="Pirate",P8," ")</f>
        <v xml:space="preserve"> </v>
      </c>
      <c r="BJ9" s="29" t="str">
        <f ca="1">IF(S11="Sailor",P8," ")</f>
        <v xml:space="preserve"> </v>
      </c>
      <c r="BK9" s="29" t="str">
        <f ca="1">IF(S11="Soldier",P8," ")</f>
        <v xml:space="preserve"> </v>
      </c>
      <c r="BM9" s="29">
        <f t="shared" ca="1" si="2"/>
        <v>0</v>
      </c>
      <c r="BN9" s="29">
        <f t="shared" ca="1" si="9"/>
        <v>0</v>
      </c>
      <c r="BO9" s="29" t="str">
        <f t="shared" ca="1" si="3"/>
        <v xml:space="preserve"> </v>
      </c>
      <c r="BP9" s="29" t="str">
        <f t="shared" ca="1" si="4"/>
        <v xml:space="preserve"> </v>
      </c>
      <c r="BQ9" s="29" t="str">
        <f t="shared" ca="1" si="5"/>
        <v xml:space="preserve"> </v>
      </c>
      <c r="BR9" s="29">
        <f t="shared" ca="1" si="6"/>
        <v>0</v>
      </c>
      <c r="BU9" s="29">
        <f t="shared" ca="1" si="10"/>
        <v>0</v>
      </c>
      <c r="BV9" s="29" t="s">
        <v>14</v>
      </c>
      <c r="CB9" s="31" t="s">
        <v>740</v>
      </c>
      <c r="CC9" s="31" t="s">
        <v>742</v>
      </c>
      <c r="CD9" s="31"/>
    </row>
    <row r="10" spans="1:83" ht="26.25" thickBot="1" x14ac:dyDescent="0.4">
      <c r="O10" s="124" t="s">
        <v>681</v>
      </c>
      <c r="Q10" s="124" t="s">
        <v>682</v>
      </c>
      <c r="R10" s="49"/>
      <c r="S10" s="123" t="s">
        <v>32</v>
      </c>
      <c r="AE10" s="29" t="s">
        <v>680</v>
      </c>
      <c r="AF10" s="29" t="str">
        <f ca="1">IF($P$6&gt;=19,VLOOKUP(RANDBETWEEN(1,6),Table41[],2)," ")</f>
        <v xml:space="preserve"> </v>
      </c>
      <c r="AH10" s="29" t="s">
        <v>15</v>
      </c>
      <c r="AI10" s="29">
        <f ca="1">$P$43</f>
        <v>2</v>
      </c>
      <c r="AJ10" s="29" t="str">
        <f t="shared" ref="AJ10:AU10" ca="1" si="13">IF(COUNTIF(AJ$27:AJ$33,$AH$10),$P$8," ")</f>
        <v xml:space="preserve"> </v>
      </c>
      <c r="AK10" s="29" t="str">
        <f t="shared" ca="1" si="13"/>
        <v xml:space="preserve"> </v>
      </c>
      <c r="AL10" s="29" t="str">
        <f t="shared" ca="1" si="13"/>
        <v xml:space="preserve"> </v>
      </c>
      <c r="AM10" s="29" t="str">
        <f t="shared" ca="1" si="13"/>
        <v xml:space="preserve"> </v>
      </c>
      <c r="AN10" s="29" t="str">
        <f t="shared" ca="1" si="13"/>
        <v xml:space="preserve"> </v>
      </c>
      <c r="AO10" s="29" t="str">
        <f t="shared" ca="1" si="13"/>
        <v xml:space="preserve"> </v>
      </c>
      <c r="AP10" s="29" t="str">
        <f t="shared" ca="1" si="13"/>
        <v xml:space="preserve"> </v>
      </c>
      <c r="AQ10" s="29" t="str">
        <f t="shared" ca="1" si="13"/>
        <v xml:space="preserve"> </v>
      </c>
      <c r="AR10" s="29" t="str">
        <f t="shared" ca="1" si="13"/>
        <v xml:space="preserve"> </v>
      </c>
      <c r="AS10" s="29" t="str">
        <f t="shared" ca="1" si="13"/>
        <v xml:space="preserve"> </v>
      </c>
      <c r="AT10" s="29" t="str">
        <f t="shared" ca="1" si="13"/>
        <v xml:space="preserve"> </v>
      </c>
      <c r="AU10" s="29" t="str">
        <f t="shared" ca="1" si="13"/>
        <v xml:space="preserve"> </v>
      </c>
      <c r="AV10" s="29">
        <f t="shared" ca="1" si="8"/>
        <v>0</v>
      </c>
      <c r="AW10" s="29" t="s">
        <v>15</v>
      </c>
      <c r="AY10" s="29" t="str">
        <f ca="1">IF(S11="Charlatan",P8," ")</f>
        <v xml:space="preserve"> </v>
      </c>
      <c r="AZ10" s="29" t="str">
        <f ca="1">IF(S11="Criminal",P8," ")</f>
        <v xml:space="preserve"> </v>
      </c>
      <c r="BE10" s="29" t="str">
        <f ca="1">IF(S11="Knight",P8," ")</f>
        <v xml:space="preserve"> </v>
      </c>
      <c r="BF10" s="29" t="str">
        <f ca="1">IF(S11="Noble",P8," ")</f>
        <v xml:space="preserve"> </v>
      </c>
      <c r="BM10" s="29">
        <f t="shared" ca="1" si="2"/>
        <v>0</v>
      </c>
      <c r="BN10" s="29">
        <f t="shared" ca="1" si="9"/>
        <v>0</v>
      </c>
      <c r="BO10" s="29" t="str">
        <f t="shared" ca="1" si="3"/>
        <v xml:space="preserve"> </v>
      </c>
      <c r="BP10" s="29" t="str">
        <f t="shared" ca="1" si="4"/>
        <v xml:space="preserve"> </v>
      </c>
      <c r="BQ10" s="29" t="str">
        <f t="shared" ca="1" si="5"/>
        <v xml:space="preserve"> </v>
      </c>
      <c r="BR10" s="29">
        <f t="shared" ca="1" si="6"/>
        <v>0</v>
      </c>
      <c r="BU10" s="29">
        <f t="shared" ca="1" si="10"/>
        <v>0</v>
      </c>
      <c r="BV10" s="29" t="s">
        <v>15</v>
      </c>
      <c r="CB10" s="35">
        <f t="shared" ref="CB10:CB27" ca="1" si="14">_xlfn.RANK.EQ(CC10,$CC$10:$CC$27)</f>
        <v>16</v>
      </c>
      <c r="CC10" s="36">
        <f t="shared" ref="CC10:CC27" ca="1" si="15">IF(BM6&gt;0,0,RAND())</f>
        <v>0.23757877230015312</v>
      </c>
      <c r="CD10" s="29" t="s">
        <v>12</v>
      </c>
    </row>
    <row r="11" spans="1:83" ht="19.5" thickTop="1" x14ac:dyDescent="0.3">
      <c r="O11" s="46" t="str">
        <f ca="1">VLOOKUP(RANDBETWEEN(1,16),Table43[],2)</f>
        <v>Non-Classed</v>
      </c>
      <c r="Q11" s="139" t="str">
        <f ca="1">IF(O11="non-classed",VLOOKUP(RANDBETWEEN(1,124),Table252[],2),IF(AND(O11="barbarian",AF14=2),VLOOKUP(RANDBETWEEN(1,11),Table43[],3),IF(AND(O11="bard",AF14=2),VLOOKUP(RANDBETWEEN(1,11),Table43[],4),IF(AND(O11="cleric",AF14=2),VLOOKUP(RANDBETWEEN(1,11),Table43[],5),IF(AND(O11="druid",AF14=2),VLOOKUP(RANDBETWEEN(1,11),Table43[],6),IF(AND(O11="fighter",AF14=2),VLOOKUP(RANDBETWEEN(1,11),Table43[],7),IF(AND(O11="Monk",AF14=2),VLOOKUP(RANDBETWEEN(1,11),Table43[],8),IF(AND(O11="Paladin",AF14=2),VLOOKUP(RANDBETWEEN(1,11),Table43[],9),IF(AND(O11="Ranger",AF14=2),VLOOKUP(RANDBETWEEN(1,11),Table43[],10),IF(AND(O11="Rogue",AF14=2),VLOOKUP(RANDBETWEEN(1,11),Table43[],11),IF(AND(O11="sorcerer",AF14=2),VLOOKUP(RANDBETWEEN(1,11),Table43[],12),IF(AND(O11="warlock",AF14=2),VLOOKUP(RANDBETWEEN(1,11),Table43[],13),IF(AND(O11="wizard",AF14=2),VLOOKUP(RANDBETWEEN(1,11),Table43[],14)," ")))))))))))))</f>
        <v>Mason</v>
      </c>
      <c r="R11" s="49"/>
      <c r="S11" s="33" t="str">
        <f ca="1">IF(O11&lt;&gt;"non-classed",VLOOKUP(RANDBETWEEN(1,15),Table254[],2)," ")</f>
        <v xml:space="preserve"> </v>
      </c>
      <c r="AE11" s="29" t="s">
        <v>680</v>
      </c>
      <c r="AF11" s="29" t="str">
        <f ca="1">IF($P$6&gt;=19,VLOOKUP(RANDBETWEEN(1,6),Table41[],2)," ")</f>
        <v xml:space="preserve"> </v>
      </c>
      <c r="AH11" s="29" t="s">
        <v>16</v>
      </c>
      <c r="AI11" s="29">
        <f ca="1">$P$41</f>
        <v>0</v>
      </c>
      <c r="AJ11" s="29" t="str">
        <f t="shared" ref="AJ11:AU11" ca="1" si="16">IF(COUNTIF(AJ$27:AJ$33,$AH$11),$P$8," ")</f>
        <v xml:space="preserve"> </v>
      </c>
      <c r="AK11" s="29" t="str">
        <f t="shared" ca="1" si="16"/>
        <v xml:space="preserve"> </v>
      </c>
      <c r="AL11" s="29" t="str">
        <f t="shared" ca="1" si="16"/>
        <v xml:space="preserve"> </v>
      </c>
      <c r="AM11" s="29" t="str">
        <f t="shared" ca="1" si="16"/>
        <v xml:space="preserve"> </v>
      </c>
      <c r="AN11" s="29" t="str">
        <f t="shared" ca="1" si="16"/>
        <v xml:space="preserve"> </v>
      </c>
      <c r="AO11" s="29" t="str">
        <f t="shared" ca="1" si="16"/>
        <v xml:space="preserve"> </v>
      </c>
      <c r="AP11" s="29" t="str">
        <f t="shared" ca="1" si="16"/>
        <v xml:space="preserve"> </v>
      </c>
      <c r="AQ11" s="29" t="str">
        <f t="shared" ca="1" si="16"/>
        <v xml:space="preserve"> </v>
      </c>
      <c r="AR11" s="29" t="str">
        <f t="shared" ca="1" si="16"/>
        <v xml:space="preserve"> </v>
      </c>
      <c r="AS11" s="29" t="str">
        <f t="shared" ca="1" si="16"/>
        <v xml:space="preserve"> </v>
      </c>
      <c r="AT11" s="29" t="str">
        <f t="shared" ca="1" si="16"/>
        <v xml:space="preserve"> </v>
      </c>
      <c r="AU11" s="29" t="str">
        <f t="shared" ca="1" si="16"/>
        <v xml:space="preserve"> </v>
      </c>
      <c r="AV11" s="29">
        <f t="shared" ca="1" si="8"/>
        <v>0</v>
      </c>
      <c r="AW11" s="29" t="s">
        <v>16</v>
      </c>
      <c r="BI11" s="29" t="str">
        <f ca="1">IF(S11="Sage",P8," ")</f>
        <v xml:space="preserve"> </v>
      </c>
      <c r="BM11" s="29">
        <f t="shared" ca="1" si="2"/>
        <v>0</v>
      </c>
      <c r="BN11" s="29">
        <f t="shared" ca="1" si="9"/>
        <v>0</v>
      </c>
      <c r="BO11" s="29" t="str">
        <f t="shared" ca="1" si="3"/>
        <v xml:space="preserve"> </v>
      </c>
      <c r="BP11" s="29" t="str">
        <f t="shared" ca="1" si="4"/>
        <v xml:space="preserve"> </v>
      </c>
      <c r="BQ11" s="29" t="str">
        <f t="shared" ca="1" si="5"/>
        <v xml:space="preserve"> </v>
      </c>
      <c r="BR11" s="29">
        <f t="shared" ca="1" si="6"/>
        <v>0</v>
      </c>
      <c r="BS11" s="29">
        <f ca="1">IF(AND($BY$27=1,OR($P$15="knowledge",$R$15="knowledge")),$P$8*2,IF(AND($BY$27=2,OR($P$15="knowledge",$R$15="knowledge")),$P$8*2,0))</f>
        <v>0</v>
      </c>
      <c r="BU11" s="29">
        <f t="shared" ca="1" si="10"/>
        <v>0</v>
      </c>
      <c r="BV11" s="29" t="s">
        <v>16</v>
      </c>
      <c r="CB11" s="35">
        <f t="shared" ca="1" si="14"/>
        <v>5</v>
      </c>
      <c r="CC11" s="36">
        <f t="shared" ca="1" si="15"/>
        <v>0.84802930905536333</v>
      </c>
      <c r="CD11" s="29" t="s">
        <v>29</v>
      </c>
    </row>
    <row r="12" spans="1:83" ht="19.5" thickBot="1" x14ac:dyDescent="0.35">
      <c r="O12" s="24">
        <f ca="1">IF($AF$14=1,RANDBETWEEN(1,20),IF(Q12=1,RANDBETWEEN(1,19),IF(Q12=2,RANDBETWEEN(2,18),IF(Q12=3,RANDBETWEEN(3,17),IF(Q12=4,RANDBETWEEN(4,16),IF(Q12=5,RANDBETWEEN(5,15),IF(Q12=6,RANDBETWEEN(6,14),IF(Q12=7,RANDBETWEEN(7,13),IF(Q12=8,RANDBETWEEN(8,12),IF(Q12=9,RANDBETWEEN(9,11),IF(Q12=10,10," ")))))))))))</f>
        <v>13</v>
      </c>
      <c r="Q12" s="54" t="str">
        <f ca="1">IF(O11="non-classed"," ",IF(AF14=1," ",IF(AF14=2,RANDBETWEEN(1,10))))</f>
        <v xml:space="preserve"> </v>
      </c>
      <c r="AH12" s="29" t="s">
        <v>17</v>
      </c>
      <c r="AI12" s="29">
        <f ca="1">$P$42</f>
        <v>0</v>
      </c>
      <c r="AJ12" s="29" t="str">
        <f t="shared" ref="AJ12:AU12" ca="1" si="17">IF(COUNTIF(AJ$27:AJ$33,$AH$12),$P$8," ")</f>
        <v xml:space="preserve"> </v>
      </c>
      <c r="AK12" s="29" t="str">
        <f t="shared" ca="1" si="17"/>
        <v xml:space="preserve"> </v>
      </c>
      <c r="AL12" s="29" t="str">
        <f t="shared" ca="1" si="17"/>
        <v xml:space="preserve"> </v>
      </c>
      <c r="AM12" s="29" t="str">
        <f t="shared" ca="1" si="17"/>
        <v xml:space="preserve"> </v>
      </c>
      <c r="AN12" s="29" t="str">
        <f t="shared" ca="1" si="17"/>
        <v xml:space="preserve"> </v>
      </c>
      <c r="AO12" s="29" t="str">
        <f t="shared" ca="1" si="17"/>
        <v xml:space="preserve"> </v>
      </c>
      <c r="AP12" s="29" t="str">
        <f t="shared" ca="1" si="17"/>
        <v xml:space="preserve"> </v>
      </c>
      <c r="AQ12" s="29" t="str">
        <f t="shared" ca="1" si="17"/>
        <v xml:space="preserve"> </v>
      </c>
      <c r="AR12" s="29" t="str">
        <f t="shared" ca="1" si="17"/>
        <v xml:space="preserve"> </v>
      </c>
      <c r="AS12" s="29" t="str">
        <f t="shared" ca="1" si="17"/>
        <v xml:space="preserve"> </v>
      </c>
      <c r="AT12" s="29" t="str">
        <f t="shared" ca="1" si="17"/>
        <v xml:space="preserve"> </v>
      </c>
      <c r="AU12" s="29" t="str">
        <f t="shared" ca="1" si="17"/>
        <v xml:space="preserve"> </v>
      </c>
      <c r="AV12" s="29">
        <f t="shared" ca="1" si="8"/>
        <v>0</v>
      </c>
      <c r="AW12" s="29" t="s">
        <v>17</v>
      </c>
      <c r="AX12" s="29" t="str">
        <f ca="1">IF(S11="acolyte",P8," ")</f>
        <v xml:space="preserve"> </v>
      </c>
      <c r="BC12" s="29" t="str">
        <f ca="1">IF(S11="Guild Artisan",P8," ")</f>
        <v xml:space="preserve"> </v>
      </c>
      <c r="BM12" s="29">
        <f t="shared" ca="1" si="2"/>
        <v>0</v>
      </c>
      <c r="BN12" s="29">
        <f t="shared" ca="1" si="9"/>
        <v>0</v>
      </c>
      <c r="BO12" s="29" t="str">
        <f t="shared" ca="1" si="3"/>
        <v xml:space="preserve"> </v>
      </c>
      <c r="BP12" s="29" t="str">
        <f t="shared" ca="1" si="4"/>
        <v xml:space="preserve"> </v>
      </c>
      <c r="BQ12" s="29" t="str">
        <f t="shared" ca="1" si="5"/>
        <v xml:space="preserve"> </v>
      </c>
      <c r="BR12" s="29">
        <f t="shared" ca="1" si="6"/>
        <v>0</v>
      </c>
      <c r="BU12" s="29">
        <f t="shared" ca="1" si="10"/>
        <v>0</v>
      </c>
      <c r="BV12" s="29" t="s">
        <v>17</v>
      </c>
      <c r="CB12" s="35">
        <f t="shared" ca="1" si="14"/>
        <v>14</v>
      </c>
      <c r="CC12" s="36">
        <f t="shared" ca="1" si="15"/>
        <v>0.29954397716451286</v>
      </c>
      <c r="CD12" s="29" t="s">
        <v>13</v>
      </c>
    </row>
    <row r="13" spans="1:83" x14ac:dyDescent="0.3">
      <c r="AF13" s="29" t="s">
        <v>683</v>
      </c>
      <c r="AH13" s="29" t="s">
        <v>18</v>
      </c>
      <c r="AI13" s="29">
        <f ca="1">$P$43</f>
        <v>2</v>
      </c>
      <c r="AJ13" s="29" t="str">
        <f t="shared" ref="AJ13:AU13" ca="1" si="18">IF(COUNTIF(AJ$27:AJ$33,$AH$13),$P$8," ")</f>
        <v xml:space="preserve"> </v>
      </c>
      <c r="AK13" s="29" t="str">
        <f t="shared" ca="1" si="18"/>
        <v xml:space="preserve"> </v>
      </c>
      <c r="AL13" s="29" t="str">
        <f t="shared" ca="1" si="18"/>
        <v xml:space="preserve"> </v>
      </c>
      <c r="AM13" s="29" t="str">
        <f t="shared" ca="1" si="18"/>
        <v xml:space="preserve"> </v>
      </c>
      <c r="AN13" s="29" t="str">
        <f t="shared" ca="1" si="18"/>
        <v xml:space="preserve"> </v>
      </c>
      <c r="AO13" s="29" t="str">
        <f t="shared" ca="1" si="18"/>
        <v xml:space="preserve"> </v>
      </c>
      <c r="AP13" s="29" t="str">
        <f t="shared" ca="1" si="18"/>
        <v xml:space="preserve"> </v>
      </c>
      <c r="AQ13" s="29" t="str">
        <f t="shared" ca="1" si="18"/>
        <v xml:space="preserve"> </v>
      </c>
      <c r="AR13" s="29" t="str">
        <f t="shared" ca="1" si="18"/>
        <v xml:space="preserve"> </v>
      </c>
      <c r="AS13" s="29" t="str">
        <f t="shared" ca="1" si="18"/>
        <v xml:space="preserve"> </v>
      </c>
      <c r="AT13" s="29" t="str">
        <f t="shared" ca="1" si="18"/>
        <v xml:space="preserve"> </v>
      </c>
      <c r="AU13" s="29" t="str">
        <f t="shared" ca="1" si="18"/>
        <v xml:space="preserve"> </v>
      </c>
      <c r="AV13" s="29">
        <f t="shared" ca="1" si="8"/>
        <v>0</v>
      </c>
      <c r="AW13" s="29" t="s">
        <v>18</v>
      </c>
      <c r="BK13" s="29" t="str">
        <f ca="1">IF(S11="Soldier",P8," ")</f>
        <v xml:space="preserve"> </v>
      </c>
      <c r="BM13" s="29">
        <f t="shared" ca="1" si="2"/>
        <v>0</v>
      </c>
      <c r="BN13" s="29">
        <f t="shared" ca="1" si="9"/>
        <v>0</v>
      </c>
      <c r="BO13" s="29" t="str">
        <f t="shared" ca="1" si="3"/>
        <v xml:space="preserve"> </v>
      </c>
      <c r="BP13" s="29" t="str">
        <f t="shared" ca="1" si="4"/>
        <v xml:space="preserve"> </v>
      </c>
      <c r="BQ13" s="29" t="str">
        <f t="shared" ca="1" si="5"/>
        <v xml:space="preserve"> </v>
      </c>
      <c r="BR13" s="29">
        <f t="shared" ca="1" si="6"/>
        <v>0</v>
      </c>
      <c r="BU13" s="29">
        <f t="shared" ca="1" si="10"/>
        <v>0</v>
      </c>
      <c r="BV13" s="29" t="s">
        <v>18</v>
      </c>
      <c r="CB13" s="35">
        <f t="shared" ca="1" si="14"/>
        <v>18</v>
      </c>
      <c r="CC13" s="36">
        <f t="shared" ca="1" si="15"/>
        <v>2.9262796892997489E-2</v>
      </c>
      <c r="CD13" s="29" t="s">
        <v>14</v>
      </c>
    </row>
    <row r="14" spans="1:83" ht="26.25" thickBot="1" x14ac:dyDescent="0.4">
      <c r="B14" s="123" t="s">
        <v>45</v>
      </c>
      <c r="O14" s="123" t="s">
        <v>709</v>
      </c>
      <c r="P14" s="123" t="s">
        <v>743</v>
      </c>
      <c r="Q14" s="123" t="s">
        <v>698</v>
      </c>
      <c r="R14" s="123" t="s">
        <v>743</v>
      </c>
      <c r="S14" s="123" t="s">
        <v>1826</v>
      </c>
      <c r="AF14" s="29">
        <f ca="1">IF(O11="non-classed",1,VLOOKUP(RANDBETWEEN(1,10),Table42[],2))</f>
        <v>1</v>
      </c>
      <c r="AH14" s="29" t="s">
        <v>19</v>
      </c>
      <c r="AI14" s="29">
        <f ca="1">$P$41</f>
        <v>0</v>
      </c>
      <c r="AJ14" s="29" t="str">
        <f t="shared" ref="AJ14:AU14" ca="1" si="19">IF(COUNTIF(AJ$27:AJ$33,$AH$14),$P$8," ")</f>
        <v xml:space="preserve"> </v>
      </c>
      <c r="AK14" s="29" t="str">
        <f t="shared" ca="1" si="19"/>
        <v xml:space="preserve"> </v>
      </c>
      <c r="AL14" s="29" t="str">
        <f t="shared" ca="1" si="19"/>
        <v xml:space="preserve"> </v>
      </c>
      <c r="AM14" s="29" t="str">
        <f t="shared" ca="1" si="19"/>
        <v xml:space="preserve"> </v>
      </c>
      <c r="AN14" s="29" t="str">
        <f t="shared" ca="1" si="19"/>
        <v xml:space="preserve"> </v>
      </c>
      <c r="AO14" s="29" t="str">
        <f t="shared" ca="1" si="19"/>
        <v xml:space="preserve"> </v>
      </c>
      <c r="AP14" s="29" t="str">
        <f t="shared" ca="1" si="19"/>
        <v xml:space="preserve"> </v>
      </c>
      <c r="AQ14" s="29" t="str">
        <f t="shared" ca="1" si="19"/>
        <v xml:space="preserve"> </v>
      </c>
      <c r="AR14" s="29" t="str">
        <f t="shared" ca="1" si="19"/>
        <v xml:space="preserve"> </v>
      </c>
      <c r="AS14" s="29" t="str">
        <f t="shared" ca="1" si="19"/>
        <v xml:space="preserve"> </v>
      </c>
      <c r="AT14" s="29" t="str">
        <f t="shared" ca="1" si="19"/>
        <v xml:space="preserve"> </v>
      </c>
      <c r="AU14" s="29" t="str">
        <f t="shared" ca="1" si="19"/>
        <v xml:space="preserve"> </v>
      </c>
      <c r="AV14" s="29">
        <f t="shared" ca="1" si="8"/>
        <v>0</v>
      </c>
      <c r="AW14" s="29" t="s">
        <v>19</v>
      </c>
      <c r="BM14" s="29">
        <f t="shared" si="2"/>
        <v>0</v>
      </c>
      <c r="BN14" s="29">
        <f t="shared" ca="1" si="9"/>
        <v>0</v>
      </c>
      <c r="BO14" s="29" t="str">
        <f t="shared" ca="1" si="3"/>
        <v xml:space="preserve"> </v>
      </c>
      <c r="BP14" s="29" t="str">
        <f t="shared" ca="1" si="4"/>
        <v xml:space="preserve"> </v>
      </c>
      <c r="BQ14" s="29" t="str">
        <f t="shared" ca="1" si="5"/>
        <v xml:space="preserve"> </v>
      </c>
      <c r="BR14" s="29">
        <f t="shared" ca="1" si="6"/>
        <v>0</v>
      </c>
      <c r="BU14" s="29">
        <f t="shared" ca="1" si="10"/>
        <v>0</v>
      </c>
      <c r="BV14" s="29" t="s">
        <v>19</v>
      </c>
      <c r="CB14" s="35">
        <f t="shared" ca="1" si="14"/>
        <v>12</v>
      </c>
      <c r="CC14" s="36">
        <f t="shared" ca="1" si="15"/>
        <v>0.4505964706918365</v>
      </c>
      <c r="CD14" s="29" t="s">
        <v>15</v>
      </c>
      <c r="CE14" s="31"/>
    </row>
    <row r="15" spans="1:83" ht="19.5" thickTop="1" x14ac:dyDescent="0.3">
      <c r="B15" s="33" t="str">
        <f ca="1">IF(P2="dark","Darkvision 120 ft.",IF(OR(Q2="dwarf",Q2="elf",Q2="gnome",Q2="half-elf",Q2="half-orc",Q2="tiefling"),"Darkvision 60 ft.",IF(Q2="halfling","Lucky",IF(Q2="dragonborn","Breath Weapon"," "))))</f>
        <v>Darkvision 60 ft.</v>
      </c>
      <c r="O15" s="33" t="str">
        <f ca="1">IF(O11="wizard","Ritual Casting",IF(O11="warlock","Otherworldly Patron - "&amp;VLOOKUP(RANDBETWEEN(1,2),Table226[],2),IF(O11="sorcerer","Spellcasting Focus",IF(O11="rogue","Sneak Attack - "&amp;INDEX('Class Tables'!E56:E75,MATCH(O12,('Class Tables'!D56:D75),0)),IF(AND(O11="ranger",AF24=2),"Favored Enemy - "&amp;INDEX('Class Tables'!S177:S220,MATCH(1,('Class Tables'!Q177:Q220),0)),IF(AND(O11="ranger",AF24=1),"Favored Enemy - "&amp;INDEX('Class Tables'!R162:R174,MATCH(1,('Class Tables'!Q162:Q174),0)),IF(O11="paladin","Divine Sense - "&amp;SUM(1,P43)&amp;" Uses",IF(O11="monk","Unarmored Defense",IF(O11="fighter",INDEX('Class Tables'!F48:F53,MATCH(1,('Class Tables'!D48:D53),0)),IF(O11="barbarian","Rage "&amp;INDEX('Class Tables'!J141:J160,MATCH(O12,('Class Tables'!I141:I160),0))&amp; " times, "&amp;INDEX('Class Tables'!K141:K160,MATCH(O12,('Class Tables'!I141:I160),0)),IF(O11="bard","Bardic Inspiration "&amp;P43&amp;" uses at "&amp;INDEX('Class Tables'!M58:M77,MATCH(O12,('Class Tables'!L58:L77),0)),IF(OR(O11="cleric",O11="druid"),"Ritual Casting"," "))))))))))))</f>
        <v xml:space="preserve"> </v>
      </c>
      <c r="P15" s="33" t="str">
        <f ca="1">IF(AND(O11="wizard",O12&gt;=2),VLOOKUP(RANDBETWEEN(1,8),Table251[],2),IF(O11="warlock",O15,IF(O11="sorcerer",VLOOKUP(RANDBETWEEN(1,2),Table224[],2),IF(AND(O11="ranger",O12&gt;=3),VLOOKUP(RANDBETWEEN(1,2),Table97[],2),IF(AND(O11="paladin",O12&gt;=3),VLOOKUP(RANDBETWEEN(1,3),Table90[],2),IF(AND(O11="monk",O12&gt;=3),VLOOKUP(RANDBETWEEN(1,3),Table82[],2),IF(AND(O11="druid",O12&gt;=2),VLOOKUP(RANDBETWEEN(1,2),Table73[],2),IF(O11="cleric",VLOOKUP(RANDBETWEEN(1,7),Table65[],2),IF(AND($O$11="barbarian",$O$12&gt;=3),VLOOKUP(RANDBETWEEN(1,2),Table40[],2),IF(AND(O11="bard",O12&gt;=3),VLOOKUP(RANDBETWEEN(1,2),Table47[],2),IF(AND(O11="fighter",O12&gt;=3),VLOOKUP(RANDBETWEEN(1,3),Table178[],2),IF(AND(O11="rogue",O12&gt;=3),VLOOKUP(RANDBETWEEN(1,3),Table189[],2)," "))))))))))))</f>
        <v xml:space="preserve"> </v>
      </c>
      <c r="Q15" s="33" t="str">
        <f ca="1">IF(Q11="wizard","Ritual Casting",IF(Q11="warlock","Otherworldly Patron - "&amp;VLOOKUP(RANDBETWEEN(1,2),Table226[],2),IF(Q11="sorcerer","Spellcasting Focus",IF(Q11="rogue","Sneak Attack - "&amp;INDEX('Class Tables'!E56:E75,MATCH(Q12,('Class Tables'!D56:D75),0)),IF(AND(Q11="ranger",AF24=2),"Favored Enemy - "&amp;INDEX('Class Tables'!S177:S220,MATCH(1,('Class Tables'!Q177:Q220),0)),IF(AND(Q11="ranger",AF24=1),"Favored Enemy - "&amp;INDEX('Class Tables'!R162:R174,MATCH(1,('Class Tables'!Q162:Q174),0)),IF(Q11="paladin","Divine Sense - "&amp;SUM(1,P43)&amp;" Uses",IF(Q11="monk","Unarmored Defense",IF(Q11="fighter",INDEX('Class Tables'!F48:F53,MATCH(1,('Class Tables'!D48:D53),0)),IF(Q11="barbarian","Rage "&amp;INDEX('Class Tables'!J141:J160,MATCH(Q12,('Class Tables'!I141:I160),0))&amp; " times, "&amp;INDEX('Class Tables'!K141:K160,MATCH(Q12,('Class Tables'!I141:I160),0)),IF(Q11="bard","Bardic Inspiration - "&amp;P43&amp;" uses at "&amp;INDEX('Class Tables'!M58:M77,MATCH(Q12,('Class Tables'!L58:L77),0)),IF(OR(Q11="cleric",Q11="druid"),"Ritual Casting"," "))))))))))))</f>
        <v xml:space="preserve"> </v>
      </c>
      <c r="R15" s="33" t="str">
        <f ca="1">IF(Q11="warlock",O15,IF(Q11="sorcerer",VLOOKUP(RANDBETWEEN(1,2),Table224[],2),IF(AND(Q11="ranger",Q12&gt;=3),VLOOKUP(RANDBETWEEN(1,2),Table97[],2),IF(AND(Q11="paladin",Q12&gt;=3),VLOOKUP(RANDBETWEEN(1,3),Table90[],2),IF(AND(Q11="monk",Q12&gt;=3),VLOOKUP(RANDBETWEEN(1,3),Table82[],2),IF(AND(Q11="druid",Q12&gt;=2),VLOOKUP(RANDBETWEEN(1,2),Table73[],2),IF(Q11="cleric",VLOOKUP(RANDBETWEEN(1,7),Table65[],2),IF(AND($Q$11="barbarian",$Q$12&gt;=3),VLOOKUP(RANDBETWEEN(1,2),Table40[],2),IF(AND(Q11="bard",Q12&gt;=3),VLOOKUP(RANDBETWEEN(1,2),Table47[],2),IF(AND($Q$11="fighter",$Q$12&gt;=3),VLOOKUP(RANDBETWEEN(1,3),Table178[],2),IF(AND(Q11="rogue",Q12&gt;=3),VLOOKUP(RANDBETWEEN(1,3),Table189[],2)," ")))))))))))</f>
        <v xml:space="preserve"> </v>
      </c>
      <c r="S15" s="33" t="str">
        <f ca="1">IF(S11="urchin","City Secrets",IF(S11="soldier",VLOOKUP(RANDBETWEEN(1,8),Table263[],2),IF(S11="pirate","Bad Reputation",IF(S11="Sailor","Ship's Passage",IF(S11="sage",VLOOKUP(RANDBETWEEN(1,8),Table262[],2),IF(S11="outlander",VLOOKUP(RANDBETWEEN(1,10),Table261[],2),IF(S11="knight","Retainers",IF(S11="noble","Position of Privlege",IF(S11="hermit","Discovery",IF(S11="guild artisan",VLOOKUP(RANDBETWEEN(1,20),Table260[],2),IF(S11="folk hero","Rustic Hospitality",IF(S11="entertainer",VLOOKUP(RANDBETWEEN(1,10),Table259[],2),IF(S11="Criminal","Criminal Contact",IF(S11="Charlatan","False Identity",IF(S11="acolyte","Shelter of the Faithful"," ")))))))))))))))</f>
        <v xml:space="preserve"> </v>
      </c>
      <c r="AF15" s="29" t="s">
        <v>1336</v>
      </c>
      <c r="AH15" s="29" t="s">
        <v>20</v>
      </c>
      <c r="AI15" s="29">
        <f ca="1">$P$42</f>
        <v>0</v>
      </c>
      <c r="AJ15" s="29" t="str">
        <f t="shared" ref="AJ15:AU15" ca="1" si="20">IF(COUNTIF(AJ$27:AJ$33,$AH$15),$P$8," ")</f>
        <v xml:space="preserve"> </v>
      </c>
      <c r="AK15" s="29" t="str">
        <f t="shared" ca="1" si="20"/>
        <v xml:space="preserve"> </v>
      </c>
      <c r="AL15" s="29" t="str">
        <f t="shared" ca="1" si="20"/>
        <v xml:space="preserve"> </v>
      </c>
      <c r="AM15" s="29" t="str">
        <f t="shared" ca="1" si="20"/>
        <v xml:space="preserve"> </v>
      </c>
      <c r="AN15" s="29" t="str">
        <f t="shared" ca="1" si="20"/>
        <v xml:space="preserve"> </v>
      </c>
      <c r="AO15" s="29" t="str">
        <f t="shared" ca="1" si="20"/>
        <v xml:space="preserve"> </v>
      </c>
      <c r="AP15" s="29" t="str">
        <f t="shared" ca="1" si="20"/>
        <v xml:space="preserve"> </v>
      </c>
      <c r="AQ15" s="29" t="str">
        <f t="shared" ca="1" si="20"/>
        <v xml:space="preserve"> </v>
      </c>
      <c r="AR15" s="29" t="str">
        <f t="shared" ca="1" si="20"/>
        <v xml:space="preserve"> </v>
      </c>
      <c r="AS15" s="29" t="str">
        <f t="shared" ca="1" si="20"/>
        <v xml:space="preserve"> </v>
      </c>
      <c r="AT15" s="29" t="str">
        <f t="shared" ca="1" si="20"/>
        <v xml:space="preserve"> </v>
      </c>
      <c r="AU15" s="29" t="str">
        <f t="shared" ca="1" si="20"/>
        <v xml:space="preserve"> </v>
      </c>
      <c r="AV15" s="29">
        <f t="shared" ca="1" si="8"/>
        <v>0</v>
      </c>
      <c r="AW15" s="29" t="s">
        <v>20</v>
      </c>
      <c r="BD15" s="29" t="str">
        <f ca="1">IF(S11="Hermit",P8," ")</f>
        <v xml:space="preserve"> </v>
      </c>
      <c r="BM15" s="29">
        <f t="shared" ca="1" si="2"/>
        <v>0</v>
      </c>
      <c r="BN15" s="29">
        <f t="shared" ca="1" si="9"/>
        <v>0</v>
      </c>
      <c r="BO15" s="29" t="str">
        <f t="shared" ca="1" si="3"/>
        <v xml:space="preserve"> </v>
      </c>
      <c r="BP15" s="29" t="str">
        <f t="shared" ca="1" si="4"/>
        <v xml:space="preserve"> </v>
      </c>
      <c r="BQ15" s="29" t="str">
        <f t="shared" ca="1" si="5"/>
        <v xml:space="preserve"> </v>
      </c>
      <c r="BR15" s="29">
        <f t="shared" ca="1" si="6"/>
        <v>0</v>
      </c>
      <c r="BU15" s="29">
        <f t="shared" ca="1" si="10"/>
        <v>0</v>
      </c>
      <c r="BV15" s="29" t="s">
        <v>20</v>
      </c>
      <c r="CB15" s="35">
        <f t="shared" ca="1" si="14"/>
        <v>9</v>
      </c>
      <c r="CC15" s="36">
        <f t="shared" ca="1" si="15"/>
        <v>0.6353132096765759</v>
      </c>
      <c r="CD15" s="29" t="s">
        <v>16</v>
      </c>
    </row>
    <row r="16" spans="1:83" x14ac:dyDescent="0.3">
      <c r="B16" s="33" t="str">
        <f ca="1">IF(Q2="dwarf","Dwarven Resilience",IF(OR(Q2="half-elf",Q2="elf"),"Fey Ancestry",IF(Q2="halfling","Brave",IF(Q2="dragonborn","Damage Resistance",IF(Q2="gnome","Gnome Cunning",IF(Q2="half-orc","Menacing",IF(Q2="tiefling","Hellish Resistance"," ")))))))</f>
        <v>Fey Ancestry</v>
      </c>
      <c r="O16" s="33" t="str">
        <f ca="1">IF(O11="wizard","Spellcasting Focus",IF(AND(O11="warlock",O12&gt;=3),VLOOKUP(RANDBETWEEN(1,3),Table227[],2),IF(AND(O11="sorcerer",O12&gt;=2),"Sorcery Points - "&amp;O12,IF(AND(O11="rogue",O12&gt;=2),"Cunning Action",IF(AND(O11="ranger",AF24=2),"Favored Enemy - "&amp;INDEX('Class Tables'!S177:S220,MATCH(2,('Class Tables'!Q177:Q220),0)),IF(O11="paladin","Lay On Hands "&amp;O12*5&amp;" HP",IF(O11="monk","Martial Arts - "&amp;INDEX('Class Tables'!J98:J117,MATCH(O12,('Class Tables'!I98:I117),0)),IF(O11="fighter","Second Wind - 1d10+"&amp;O12&amp;" hp",IF(O11="barbarian","Unarmored Defense",IF(AND(O11="bard",O12&gt;=2),"Jack of All Trades",IF(OR(O11="cleric",O11="druid"),"Spellcasting Focus"," ")))))))))))</f>
        <v xml:space="preserve"> </v>
      </c>
      <c r="P16" s="33" t="str">
        <f ca="1">IF(AND(P15="school of transmutation",O12&gt;=2),"Transmutation Savant",IF(AND(P15="school of necromancy",O12&gt;=2),"Necromancy Savant",IF(AND(P15="school of illusion",O12&gt;=2),"Illusion Savant",IF(AND(P15="school of evocation",O12&gt;=2),"Evocation Savant",IF(AND(P15="school of enchantment",O12&gt;=2),"Enchantment Savant",IF(AND(P15="school of divination",O12&gt;=2),"Divination Savant",IF(AND(P15="school of conjuration",O12&gt;=2),"Conjuration Savant",IF(P15="school of abjuration","Abjuration Savant",IF(AND(P15="otherworldly patron - great old one",O12&gt;=1),"Awakened Mind",IF(AND(P15="otherworldly patron - fiend",O12&gt;=3),"Dark One's Blessing - "&amp;SUM(O12,P43)&amp;" hp",IF(P15="otherworldly patron - Archfey","Fey Presence",IF(P15="wild magic","Wild Magic Surge",IF(P15="draconic bloodline",VLOOKUP(RANDBETWEEN(1,10),Table25[],2)&amp;" Dragon Ancestry",IF(P15="arcane trickster","Mage Hand Legerdemain",IF(P15="assassin","Assassinate",IF(P15="thief","Fast Hands",IF(P15="beastmaster","Companion - "&amp;VLOOKUP(RANDBETWEEN(1,39),Table218[],2),IF(P15="hunter",VLOOKUP(RANDBETWEEN(1,3),Table108[],2),IF(P15="oath of vengeance","Channel Divinity: Abjure Enemy",IF(P15="oath of the ancients","Channel Divinity: Nature's Wrath",IF(P15="Oath of Devotion","Channel Divinity: Sacred Weapon",IF(AND(P15="way of the four elements",O12&gt;=5),"Max. Ki Point for Spell - "&amp;INDEX('Class Tables'!N120:N137,MATCH(O12,('Class Tables'!M120:M137),0)),IF(AND(P15="way of the shadow",O12&gt;=6),"Shadow Step",IF(P15="way of the open hand","Open Hand Technique",IF(P15="eldritch Knight","Weapon Bond",IF(AND(P15="battle master",O12&gt;=7),"Know Your Enemy",IF(P15="champion","Improved Critical",IF(P15="moon","Combat Wild Shape",IF(P15="land","Natural Recovery - "&amp;ROUNDUP(O12*0.5,0)&amp;" slots",IF(AND(P15="war",O12&gt;=1),"War Priest",IF(AND(P15="trickery",O12&gt;=1),"Blessing of the Trickster",IF(AND(P15="tempest",O12&gt;=1),"Wrath of the Storm",IF(AND(P15="nature",O12&gt;=2),"Channel Divinity: Charm Animals and Plants",IF(AND(P15="light",O12&gt;=1),"Warding Flare",IF(P15="life","Disciple of Life",IF(AND(P15="knowledge",O12&gt;=2),"Channel Divinity: Knowledge of the Ages",IF(P15="path of the berserker","Frenzy",IF(P15="path of the totem warrior","Spirit Seeker",IF(P15="college of lore","Cutting Words",IF(P15="college of valor","Combat Inspiration"," "))))))))))))))))))))))))))))))))))))))))</f>
        <v xml:space="preserve"> </v>
      </c>
      <c r="Q16" s="33" t="str">
        <f ca="1">IF(Q11="wizard","Spellcasting Focus",IF(AND(Q11="warlock",Q12&gt;=3),VLOOKUP(RANDBETWEEN(1,3),Table227[],2),IF(AND(Q11="sorcerer",Q12&gt;=2),"Sorcery Points - "&amp;Q12,IF(AND(Q11="rogue",Q12&gt;=2),"Cunning Action",IF(AND(Q11="ranger",AF24=2),"Favored Enemy - "&amp;INDEX('Class Tables'!S177:S220,MATCH(2,('Class Tables'!Q177:Q220),0)),IF(Q11="paladin","Lay On Hands "&amp;Q12*5&amp;" HP",IF(Q11="monk","Martial Arts - "&amp;INDEX('Class Tables'!J98:J117,MATCH(Q12,('Class Tables'!I98:I117),0)),IF(Q11="fighter","Second Wind - 1d10+"&amp;Q12&amp;" hp",IF(Q11="barbarian","Unarmored Defense AC "&amp;SUM(10,P39,P40),IF(AND(Q11="bard",Q12&gt;=2),"Jack of All Trades",IF(OR(Q11="cleric",Q11="druid"),"Spellcasting Focus"," ")))))))))))</f>
        <v xml:space="preserve"> </v>
      </c>
      <c r="R16" s="33" t="str">
        <f ca="1">IF(AND(R15="otherworldly patron - great old one",Q12&gt;=1),"Awakened Mind",IF(AND(R15="otherworldly patron - fiend",Q12&gt;=3),"Dark One's Blessing - "&amp;SUM(O12,P43)&amp;" hp",IF(R15="otherworldly patron - Archfey","Fey Presence",IF(R15="wild magic","Wild Magic Surge",IF(R15="draconic bloodline",VLOOKUP(RANDBETWEEN(1,10),Table25[],2)&amp;" Dragon Ancestry",IF(R15="arcane trickster","Mage Hand Legerdemain",IF(R15="assassin","Assassinate",IF(R15="thief","Fast Hands",IF(R15="beastmaster","Companion - "&amp;VLOOKUP(RANDBETWEEN(1,39),Table218[],2),IF(R15="hunter",VLOOKUP(RANDBETWEEN(1,3),Table108[],2),IF(R15="oath of vengeance","Channel Divinity: Abjure Enemy",IF(R15="oath of the ancients","Channel Divinity: Nature's Wrath",IF(R15="Oath of Devotion","Channel Divinity: Sacred Weapon",IF(AND(R15="way of the four elements",Q12&gt;=5),"Max. Ki Point for Spell - "&amp;INDEX('Class Tables'!N120:N137,MATCH(Q12,('Class Tables'!M120:M137),0)),IF(AND(R15="way of the shadow",Q12&gt;=6),"Shadow Step",IF(R15="way of the open hand","Open Hand Technique",IF(R15="eldritch knight","Weapon Bond",IF(AND(R15="battle master",Q12&gt;=7),"Know Your Enemy",IF(R15="champion","Improved Critical",IF(R15="moon","Combat Wild Shape",IF(R15="land","Natural Recovery",IF(AND(R15="war",Q12&gt;=1),"War Priest",IF(AND(R15="trickery",Q12&gt;=1),"Blessing of the Trickster",IF(AND(R15="nature",Q12&gt;=1),"Wrath of the Storm",IF(AND(R15="Nature",Q12&gt;=2),"Channel Divinity: Charm Animals and Plants",IF(AND(R15="light",Q12&gt;=1),"Warding Flare",IF(R15="life","Disciple of Life",IF(AND(R15="knowledge",Q12&gt;=2),"Channel Divinity: Knowledge of the Ages",IF(R15="path of the berserker","Frenzy",IF(R15="path of the totem warrior","Spirit Seeker",IF(R15="college of lore","Cutting Words",IF(R15="college of valor","Combat Inspiration"," "))))))))))))))))))))))))))))))))</f>
        <v xml:space="preserve"> </v>
      </c>
      <c r="S16" s="33" t="str">
        <f ca="1">IF(S11="soldier","Military Rank",IF(S11="sage","Researcher",IF(S11="outlander","Wanderer",IF(S11="guild artisan","Guild Membership",IF(S11="entertainer","By Popular Demand",IF(S11="criminal",VLOOKUP(RANDBETWEEN(1,8),Table256[],2)," "))))))</f>
        <v xml:space="preserve"> </v>
      </c>
      <c r="AE16" s="29" t="s">
        <v>1339</v>
      </c>
      <c r="AF16" s="29">
        <f ca="1">IF(AND(AF14=2,OR(Q11="monk",Q11="barbarian",Q11="warlock"),OR(O11="paladin",O11="ranger",P15="arcane trickster",P15="eldritch knight")),Q12,IF(AND($AF$14=2,OR(O11="bard",O11="druid",O11="cleric",O11="sorcerer",O11="wizard")),O12,IF(AND($AF$14=2,OR(O11="paladin",O11="ranger")),O12*0.5,IF(AND($AF$14=2,OR($P$15="arcane trickster",$P$15="eldritch knight")),O12*0.33,0))))</f>
        <v>0</v>
      </c>
      <c r="AH16" s="29" t="s">
        <v>21</v>
      </c>
      <c r="AI16" s="29">
        <f ca="1">$P$41</f>
        <v>0</v>
      </c>
      <c r="AJ16" s="29" t="str">
        <f t="shared" ref="AJ16:AU16" ca="1" si="21">IF(COUNTIF(AJ$27:AJ$33,$AH$16),$P$8," ")</f>
        <v xml:space="preserve"> </v>
      </c>
      <c r="AK16" s="29" t="str">
        <f t="shared" ca="1" si="21"/>
        <v xml:space="preserve"> </v>
      </c>
      <c r="AL16" s="29" t="str">
        <f t="shared" ca="1" si="21"/>
        <v xml:space="preserve"> </v>
      </c>
      <c r="AM16" s="29" t="str">
        <f t="shared" ca="1" si="21"/>
        <v xml:space="preserve"> </v>
      </c>
      <c r="AN16" s="29" t="str">
        <f t="shared" ca="1" si="21"/>
        <v xml:space="preserve"> </v>
      </c>
      <c r="AO16" s="29" t="str">
        <f t="shared" ca="1" si="21"/>
        <v xml:space="preserve"> </v>
      </c>
      <c r="AP16" s="29" t="str">
        <f t="shared" ca="1" si="21"/>
        <v xml:space="preserve"> </v>
      </c>
      <c r="AQ16" s="29" t="str">
        <f t="shared" ca="1" si="21"/>
        <v xml:space="preserve"> </v>
      </c>
      <c r="AR16" s="29" t="str">
        <f t="shared" ca="1" si="21"/>
        <v xml:space="preserve"> </v>
      </c>
      <c r="AS16" s="29" t="str">
        <f t="shared" ca="1" si="21"/>
        <v xml:space="preserve"> </v>
      </c>
      <c r="AT16" s="29" t="str">
        <f t="shared" ca="1" si="21"/>
        <v xml:space="preserve"> </v>
      </c>
      <c r="AU16" s="29" t="str">
        <f t="shared" ca="1" si="21"/>
        <v xml:space="preserve"> </v>
      </c>
      <c r="AV16" s="29">
        <f t="shared" ca="1" si="8"/>
        <v>0</v>
      </c>
      <c r="AW16" s="29" t="s">
        <v>21</v>
      </c>
      <c r="BM16" s="29">
        <f t="shared" si="2"/>
        <v>0</v>
      </c>
      <c r="BN16" s="29">
        <f t="shared" ca="1" si="9"/>
        <v>0</v>
      </c>
      <c r="BO16" s="29" t="str">
        <f t="shared" ca="1" si="3"/>
        <v xml:space="preserve"> </v>
      </c>
      <c r="BP16" s="29" t="str">
        <f t="shared" ca="1" si="4"/>
        <v xml:space="preserve"> </v>
      </c>
      <c r="BQ16" s="29" t="str">
        <f t="shared" ca="1" si="5"/>
        <v xml:space="preserve"> </v>
      </c>
      <c r="BR16" s="29">
        <f t="shared" ca="1" si="6"/>
        <v>0</v>
      </c>
      <c r="BS16" s="29">
        <f ca="1">IF(AND($BY$28=1,OR($P$15="knowledge",$R$15="knowledge")),$P$8*2,IF(AND($BY$28=2,OR($P$15="knowledge",$R$15="knowledge")),$P$8*2,0))</f>
        <v>0</v>
      </c>
      <c r="BT16" s="29">
        <f ca="1">IF(AND(BY31=1,OR($P$15="nature",$R$15="nature")),$P$8,0)</f>
        <v>0</v>
      </c>
      <c r="BU16" s="29">
        <f t="shared" ca="1" si="10"/>
        <v>0</v>
      </c>
      <c r="BV16" s="29" t="s">
        <v>21</v>
      </c>
      <c r="CB16" s="35">
        <f t="shared" ca="1" si="14"/>
        <v>10</v>
      </c>
      <c r="CC16" s="36">
        <f t="shared" ca="1" si="15"/>
        <v>0.53555380736282665</v>
      </c>
      <c r="CD16" s="29" t="s">
        <v>17</v>
      </c>
    </row>
    <row r="17" spans="2:83" ht="26.25" thickBot="1" x14ac:dyDescent="0.4">
      <c r="B17" s="33" t="str">
        <f ca="1">IF(Q2="dwarf","Stonecunning",IF(Q2="elf","Trance",IF(Q2="halfling","Halfling Nimbleness",IF(P2="forest","Speak with Small Beasts",IF(P2="rock","Artificer's Lore",IF(Q2="half-orc","Relentless Endurance",IF(Q2="tiefling","Infernal Legacy"," ")))))))</f>
        <v>Trance</v>
      </c>
      <c r="O17" s="33" t="str">
        <f ca="1">IF(O11="wizard","Arcane Recovery - "&amp;ROUNDDOWN(O12*0.5,0)&amp;" slots",IF(AND(O11="warlock",O12&gt;=20),"Eldritch Master",IF(AND(O11="sorcerer",O12&gt;=2),"Flexible Casting",IF(AND(O11="rogue",O12&gt;=5),"Uncanny Dodge",IF(O11="ranger","Natural Explorer: "&amp;INDEX('Class Tables'!F212:F219,MATCH(1,('Class Tables'!D212:D219),0)),IF(AND(O11="paladin",O12&gt;=2),VLOOKUP(RANDBETWEEN(1,4),Table89[],2),IF(AND(O11="monk",O12&gt;=2),"Ki Points - "&amp;INDEX('Class Tables'!K98:K117,MATCH(O12,('Class Tables'!I98:I117),0)),IF(AND(O11="fighter",O12&gt;=2),"Action Surge",IF(AND($O$11="barbarian",$O$12&gt;=2),"Reckless Attack",IF(AND(O11="bard",O12&gt;=2),"Song of Rest - "&amp;INDEX('Class Tables'!N58:N77,MATCH(O12,('Class Tables'!L58:L77),0))&amp;" hp",IF(AND(O11="druid",O12&gt;=2),"Wild Shape - "&amp;INDEX('Class Tables'!R140:R159,MATCH(O12,('Class Tables'!Q140:Q159),0)),IF(AND(O11="cleric",O12&gt;=2),"Channel Divinity - "&amp;INDEX('Class Tables'!N140:N159,MATCH(O12,('Class Tables'!M140:M159),0))&amp;" uses"," "))))))))))))</f>
        <v xml:space="preserve"> </v>
      </c>
      <c r="P17" s="33" t="str">
        <f ca="1">IF(AND(P15="school of transmutation",O12&gt;=2),"Minor Alchemy",IF(AND(P15="school of necromancy",O12&gt;=2),"Grim Harvest",IF(AND(P15="school of illusion",O12&gt;=2),"Improved Minor Illusion",IF(AND(P15="school of evocation",O12&gt;=2),"Sculpt Spells",IF(AND(P15="school of enchantment",O12&gt;=2),"Hypnotic Gaze",IF(AND(P15="school of divination",O12&gt;=2),"Portent",IF(AND(P15="school of conjuration",O12&gt;=2),"Minor Conjuration",IF(P15="school of abjuration","Arcane Ward - "&amp;SUM(O12,P41)&amp;" hp",IF(AND(P15="otherworldly patron - great old one",O12&gt;=6),"Entropic Ward",IF(AND(P15="otherworldly patron - fiend",O12&gt;=10),"Fiendish Resilience",IF(AND(P15="otherworldly patron - Archfey",O12&gt;=6),"Misty Escape",IF(P15="wild magic","Tides of Chaos",IF(P15="draconic bloodline","Draconic Resilience - AC "&amp;SUM(13+P39),IF(AND(P15="arcane trickster",O12&gt;=9),"Magical Ambush",IF(AND(P15="assassin",O12&gt;=9),"Infiltration Expertise",IF(P15="thief","Second-Story Work",IF(AND(P15="beastmaster",O12&gt;=7),"Exceptional Training",IF(AND(P15="hunter",O12&gt;=7),VLOOKUP(RANDBETWEEN(1,3),Table126[],2),IF(P15="oath of vengeance","Channel Divinity: Vow of Enmity",IF(P15="oath of the ancients","Channel Divinity: Turn the Faithless",IF(P15="oath of devotion","Channel Divinity: Turn the Unholy",IF(P15="way of the four elements","Elemental Attunement",IF(AND(P15="way of the shadow",O12&gt;=11),"Cloak of Shadows",IF(AND(P15="way of the open hand",O12&gt;=6),"Wholeness of Body "&amp;O12*3&amp;" hp",IF(AND(P15="eldritch knight",O12&gt;=7),"War Magic",IF(AND(P15="battle master",O12&gt;=15),"Relentless",IF(AND(P15="champion",O12&gt;=7),"Remarkable Athlete",IF(P15="moon","Circle Forms - CR: "&amp;ROUNDDOWN(O12*0.33,0),IF(AND(P15="land",O12&gt;=6),"Land's Stride",IF(AND(P15="war",O12&gt;=2),"Channel Divinity: Guided Strike",IF(AND(P15="trickery",O12&gt;=2),"Channel Divinity: Invoke Duplicity",IF(AND(P15="tempest",O12&gt;=2),"Channel Divinity: Destructive Wrath",IF(AND(P15="nature",O12&gt;=6),"Dampen Elements",IF(AND(P15="light",O12&gt;=2),"Channel Divinity: Radiance of the Dawn",IF(AND(P15="life",O12&gt;=2),"Channel Divinity: Preserve Life - "&amp;O12*5&amp;" hp",IF(AND(P15="knowledge",O12&gt;=6),"Channel Divinity: Read Thoughts",IF($P$15="path of the totem warrior",VLOOKUP(RANDBETWEEN(1,3),Table44[],2),IF(AND(P15="college of lore",O12&gt;=14),"Peerless Skill",IF(AND(P15="college of valor",O12&gt;=6),"Extra Attack"," ")))))))))))))))))))))))))))))))))))))))</f>
        <v xml:space="preserve"> </v>
      </c>
      <c r="Q17" s="33" t="str">
        <f ca="1">IF(Q11="wizard","Arcane Recovery - "&amp;ROUNDDOWN(Q12*0.5,0)&amp;" slots",IF(AND(Q11="sorcerer",Q12&gt;=2),"Flexible Casting",IF(AND(Q11="rogue",Q12&gt;=5),"Uncanny Dodge",IF(Q11="ranger","Natural Explorer: "&amp;INDEX('Class Tables'!F212:F219,MATCH(1,('Class Tables'!D212:D219),0)),IF(AND(Q11="paladin",Q12&gt;=2),VLOOKUP(RANDBETWEEN(1,4),Table89[],2),IF(AND(Q11="monk",Q12&gt;=2),"Ki Points - "&amp;INDEX('Class Tables'!K98:K117,MATCH(Q12,('Class Tables'!I98:I117),0)),IF(AND(Q11="fighter",Q12&gt;=2),"Action Surge",IF(AND($Q$11="barbarian",$Q$12&gt;=2),"Reckless Attack",IF(AND(Q11="bard",Q12&gt;=2),"Song of Rest - "&amp;INDEX('Class Tables'!N58:N77,MATCH(Q12,('Class Tables'!L58:L77),0))&amp;" hp",IF(AND(Q11="cleric",Q12&gt;=2),"Channel Divinity - "&amp;INDEX('Class Tables'!N140:N159,MATCH(Q12,('Class Tables'!M140:M159),0))&amp;" uses",IF(AND(Q11="druid",Q12&gt;=2),"Wild Shape - "&amp;INDEX('Class Tables'!R140:R159,MATCH(Q12,('Class Tables'!Q140:Q159),0))," ")))))))))))</f>
        <v xml:space="preserve"> </v>
      </c>
      <c r="R17" s="33" t="str">
        <f ca="1">IF(AND(R15="otherworldly patron - great old one",Q12&gt;=6),"Entropic Ward",IF(AND(R15="otherworldly patron - fiend",Q12&gt;=10),"Fiendish Resilience",IF(AND(R15="otherworldly patron - Archfey",Q12&gt;=6),"Misty Escape",IF(R15="wild magic","Tides of Chaos",IF(R15="draconic bloodline","Draconic Resilience - AC "&amp;SUM(13+P39),IF(AND(R15="arcane trickster",Q12&gt;=9),"Magical Ambush",IF(AND(R15="assassin",Q12&gt;=9),"Infiltration Expertise",IF(R15="thief","Second-Story Work",IF(AND(R15="beastmaster",Q12&gt;=7),"Exceptional Training",IF(AND(R15="hunter",Q12&gt;=7),VLOOKUP(RANDBETWEEN(1,3),Table126[],2),IF(R15="oath of vengeance","Channel Divinity: Vow of Enmity",IF(R15="oath of the ancients","Channel Divinity: Turn the Faithless",IF(R15="oath of devotion","Channel Divinity: Turn the Unholy",IF(R15="way of the four elements","Elemental Attunement",IF(AND(R15="way of the open hand",Q12&gt;=6),"Wholeness of Body "&amp;Q12*3&amp;" hp",IF(AND(R15="eldritch knight",Q12&gt;=7),"War Magic",IF(AND(R15="champion",Q12&gt;=7),"Remarkable Athlete",IF(R15="moon","Circle Forms",IF(AND(R15="land",Q12&gt;=6),"Land's Stride",IF(AND(R15="war",Q12&gt;=2),"Channel Divinity: Guided Strike",IF(AND(R15="trickery",Q12&gt;=2),"Channel Divinity: Invoke Duplicity",IF(AND(R15="nature",Q12&gt;=2),"Channel Divinity: Destructive Wrath",IF(AND(R15="nature",Q12&gt;=6),"Dampen Elements",IF(AND(R15="light",Q12&gt;=2),"Channel Divinity: Radiance of the Dawn",IF(AND(R15="life",Q12&gt;=2),"Channel Divinity: Preserve Life - "&amp;Q12*5&amp;" hp",IF(AND(R15="knowledge",Q12&gt;=6),"Channel Divinity: Read Thoughts",IF($R$15="path of the totem warrior",VLOOKUP(RANDBETWEEN(1,3),Table44[],2),IF(AND(Q12&gt;=14,R15="college of lore"),"Peerless Skill",IF(AND(Q12&gt;=6,R15="College of Valor"),"Extra Attack"," ")))))))))))))))))))))))))))))</f>
        <v xml:space="preserve"> </v>
      </c>
      <c r="S17" s="123" t="s">
        <v>40</v>
      </c>
      <c r="AE17" s="29" t="s">
        <v>1337</v>
      </c>
      <c r="AF17" s="29">
        <f ca="1">IF(AND(AF14=2,OR(O11="monk",O11="barbarian",O11="warlock"),OR(Q11="paladin",Q11="ranger",R15="arcane trickster",R15="eldritch knight")),Q12,IF(AND($AF$14=2,OR(Q11="bard",Q11="druid",Q11="cleric",Q11="sorcerer",Q11="wizard")),Q12,IF(AND($AF$14=2,OR(Q11="paladin",Q11="ranger")),Q12*0.5,IF(AND($AF$14=2,OR($R$15="arcane trickster",$R$15="eldritch knight")),Q12*0.33,0))))</f>
        <v>0</v>
      </c>
      <c r="AH17" s="29" t="s">
        <v>22</v>
      </c>
      <c r="AI17" s="29">
        <f ca="1">$P$42</f>
        <v>0</v>
      </c>
      <c r="AJ17" s="29" t="str">
        <f t="shared" ref="AJ17:AU17" ca="1" si="22">IF(COUNTIF(AJ$27:AJ$33,$AH$17),$P$8," ")</f>
        <v xml:space="preserve"> </v>
      </c>
      <c r="AK17" s="29" t="str">
        <f t="shared" ca="1" si="22"/>
        <v xml:space="preserve"> </v>
      </c>
      <c r="AL17" s="29" t="str">
        <f t="shared" ca="1" si="22"/>
        <v xml:space="preserve"> </v>
      </c>
      <c r="AM17" s="29" t="str">
        <f t="shared" ca="1" si="22"/>
        <v xml:space="preserve"> </v>
      </c>
      <c r="AN17" s="29" t="str">
        <f t="shared" ca="1" si="22"/>
        <v xml:space="preserve"> </v>
      </c>
      <c r="AO17" s="29" t="str">
        <f t="shared" ca="1" si="22"/>
        <v xml:space="preserve"> </v>
      </c>
      <c r="AP17" s="29" t="str">
        <f t="shared" ca="1" si="22"/>
        <v xml:space="preserve"> </v>
      </c>
      <c r="AQ17" s="29" t="str">
        <f t="shared" ca="1" si="22"/>
        <v xml:space="preserve"> </v>
      </c>
      <c r="AR17" s="29" t="str">
        <f t="shared" ca="1" si="22"/>
        <v xml:space="preserve"> </v>
      </c>
      <c r="AS17" s="29" t="str">
        <f t="shared" ca="1" si="22"/>
        <v xml:space="preserve"> </v>
      </c>
      <c r="AT17" s="29" t="str">
        <f t="shared" ca="1" si="22"/>
        <v xml:space="preserve"> </v>
      </c>
      <c r="AU17" s="29" t="str">
        <f t="shared" ca="1" si="22"/>
        <v xml:space="preserve"> </v>
      </c>
      <c r="AV17" s="29">
        <f t="shared" ca="1" si="8"/>
        <v>0</v>
      </c>
      <c r="AW17" s="29" t="s">
        <v>22</v>
      </c>
      <c r="BH17" s="29" t="str">
        <f ca="1">IF(S11="Pirate",P8," ")</f>
        <v xml:space="preserve"> </v>
      </c>
      <c r="BJ17" s="29" t="str">
        <f ca="1">IF(S11="Sailor",P8," ")</f>
        <v xml:space="preserve"> </v>
      </c>
      <c r="BM17" s="29">
        <f t="shared" ca="1" si="2"/>
        <v>0</v>
      </c>
      <c r="BN17" s="29">
        <f t="shared" ca="1" si="9"/>
        <v>0</v>
      </c>
      <c r="BO17" s="29" t="str">
        <f t="shared" ca="1" si="3"/>
        <v xml:space="preserve"> </v>
      </c>
      <c r="BP17" s="29" t="str">
        <f t="shared" ca="1" si="4"/>
        <v xml:space="preserve"> </v>
      </c>
      <c r="BQ17" s="29" t="str">
        <f t="shared" ca="1" si="5"/>
        <v xml:space="preserve"> </v>
      </c>
      <c r="BR17" s="29">
        <f t="shared" ca="1" si="6"/>
        <v>0</v>
      </c>
      <c r="BU17" s="29">
        <f t="shared" ca="1" si="10"/>
        <v>0</v>
      </c>
      <c r="BV17" s="29" t="s">
        <v>22</v>
      </c>
      <c r="CB17" s="35">
        <f t="shared" ca="1" si="14"/>
        <v>6</v>
      </c>
      <c r="CC17" s="36">
        <f t="shared" ca="1" si="15"/>
        <v>0.77799569266692881</v>
      </c>
      <c r="CD17" s="29" t="s">
        <v>18</v>
      </c>
    </row>
    <row r="18" spans="2:83" ht="19.5" thickTop="1" x14ac:dyDescent="0.3">
      <c r="B18" s="33" t="str">
        <f ca="1">IF(P2="wood","Mask of the Wild",IF(P2="dark","Sunlight Sensitivity",IF(P2="lightfoot","Naturally Stealthy",IF(P2="stout","Stout Resilience",IF(P2="rock","Tinker",IF(Q2="half-orc","Savage Attacks"," "))))))</f>
        <v>Mask of the Wild</v>
      </c>
      <c r="O18" s="33" t="str">
        <f ca="1">IF(AND(O11="wizard",O12&gt;=18),"Spell Mastery - "&amp;INDEX(Q193:Q202,MATCH(1,(O193:O202),0)),IF(AND(AF26=2,O11="warlock",O12&gt;=2,COUNTIF(P193:P202,"*"&amp;"eldritch blast"&amp;"*")),"Invocation - Agonizing Blast",IF(AND(O11="warlock",O12&gt;=15),"Invocation - "&amp;INDEX('Class Tables'!F164:F187,MATCH(1,('Class Tables'!D164:D187),0)),IF(AND(O11="warlock",O12&gt;=9),"Invocation - "&amp;INDEX('Class Tables'!F141:F161,MATCH(1,('Class Tables'!D141:D161),0)),IF(AND(O11="warlock",O12&gt;=7),"Invocation - "&amp;INDEX('Class Tables'!F122:F138,MATCH(1,('Class Tables'!D122:D138),0)),IF(AND(O11="warlock",O12&gt;=5),"Invocation - "&amp;INDEX('Class Tables'!F106:F119,MATCH(1,('Class Tables'!D106:D119),0)),IF(AND(O11="warlock",O12&gt;=2),"Invocation - "&amp;INDEX('Class Tables'!F93:F103,MATCH(1,('Class Tables'!D93:D103),0)),IF(AND(O11="sorcerer",O12&gt;=3),"MM - "&amp;INDEX('Class Tables'!F78:F85,MATCH(1,('Class Tables'!D78:D85),0)),IF(AND(O11="rogue",O12&gt;=7),"Evasion",IF(AND(O11="ranger",O12&gt;=2),VLOOKUP(RANDBETWEEN(1,4),Table96[],2),IF(AND(O11="paladin",O12&gt;=2),"Spellcasting Focus",IF(AND(O11="monk",O12&gt;=2),"Ki DC - "&amp;SUM(8,P8,P42),IF(AND(O11="fighter",O12&gt;=5),"Extra Attack -"&amp;INDEX('Class Tables'!U140:U159,MATCH(O12,('Class Tables'!T140:T159),0)),IF(AND($O$11="barbarian",$O$12&gt;=2),"Danger Sense",IF(AND(O11="bard",O12&gt;=5),"Font of Inspiration",IF(AND(O11="druid",O12&gt;=18),"Timeless Body",IF(AND(O11="cleric",O12&gt;=2),"Channel Divinity: Turn Undead"," ")))))))))))))))))</f>
        <v xml:space="preserve"> </v>
      </c>
      <c r="P18" s="33" t="str">
        <f ca="1">IF(AND(P15="school of transmutation",O12&gt;=6),"Transmuter's Stone",IF(AND(P15="school of necromancy",O12&gt;=6),"Undead Thralls",IF(AND(P15="school of illusion",O12&gt;=6),"Malleable Illusions",IF(AND(P15="school of evocation",O12&gt;=6),"Potent Cantrip",IF(AND(P15="school of enchantment",O12&gt;=6),"Instinctive Charm",IF(AND(P15="school of divination",O12&gt;=6),"Expert Divination",IF(AND(P15="school of conjuration",O12&gt;=6),"Benign Transposition",IF(AND(P15="school of abjuration",O12&gt;=6),"Projected Ward",IF(AND(P15="otherworldly patron - great old one",O12&gt;=10),"Thought Shield",IF(AND(P15="otherworldly patron - fiend",O12&gt;=14),"Hurl Through Hell",IF(AND(P15="otherworldly patron - Archfey",O12&gt;=10),"Beguiling Defenses",IF(AND(P15="wild magic",O12&gt;=6),"Bend Luck",IF(AND(P15="draconic bloodline",O12&gt;=6),"Elemental Affinity",IF(AND(P15="arcane trickster",O12&gt;=13),"Versatile Trickster",IF(AND(P15="assassin",O12&gt;=13),"Imposter",IF(AND(P15="thief",O12&gt;=9),"Supreme Sneak",IF(AND(P15="beastmaster",O12&gt;=11),"Beastial Fury",IF(AND(P15="hunter",O12&gt;=11),VLOOKUP(RANDBETWEEN(1,2),Table179[],2),IF(AND(P15="oath of vengeance",O12&gt;=7),"Relentless Avenger",IF(AND(P15="oath of the ancients",O12&gt;=7),"Aura of Warding",IF(AND(P15="oath of devotion",O12&gt;=7),"Aura of Devotion",IF(P15="way of the four elements",INDEX('Class Tables'!K120:K126,MATCH(1,('Class Tables'!I120:I126),0)),IF(AND(P15="way of the shadow",O12&gt;=17),"Opportunist",IF(AND(P15="way of the open hand",O12&gt;=11),"Tranquility DC "&amp;SUM(8,P42,P8),IF(AND(P15="eldritch knight",O12&gt;=10),"Eldritch Strike",IF(P15="battle Master",INDEX('Class Tables'!J58:J77,MATCH(O12,('Class Tables'!I58:I77),0)),IF(AND(P15="champion",O12&gt;=10),INDEX('Class Tables'!F48:F53,MATCH(2,('Class Tables'!D48:D53),0)),IF(AND(P15="moon",O12&gt;=6),"Primal Strike",IF(AND(P15="land",O12&gt;=10),"Nature's Ward",IF(AND(P15="war",O12&gt;=6),"Channel Divinity: War God's Blessing",IF(AND(P15="trickery",O12&gt;=6),"Channel Divinity: Cloak of Shadows",IF(AND(P15="nature",O12&gt;=6),"Thunderbolt Strike",IF(AND(P15="nature",O12&gt;=8),"Divine Strike",IF(AND(P15="light",O12&gt;=6),"Improved Flare",IF(AND(P15="life",O12&gt;=6),"Blessed Healer",IF(AND(P15="knowledge",O12&gt;=8),"Potent Spellcasting",IF(AND(P15="path of the berserker",O12&gt;=6,O11="barbarian"),"Mindless Rage",IF(AND(P15="path of the totem warrior",O12&gt;=6,O11="barbarian"),VLOOKUP(RANDBETWEEN(1,3),Table44[],3),IF(AND(P15="college of valor",O12&gt;=14),"Battle Magic"," ")))))))))))))))))))))))))))))))))))))))</f>
        <v xml:space="preserve"> </v>
      </c>
      <c r="Q18" s="33" t="str">
        <f ca="1">IF(AND(Q11="warlock",Q12&gt;=9),"Invocation - "&amp;INDEX('Class Tables'!F141:F161,MATCH(1,('Class Tables'!D141:D161),0)),IF(AND(Q11="warlock",Q12&gt;=7),"Invocation - "&amp;INDEX('Class Tables'!F122:F138,MATCH(1,('Class Tables'!D122:D138),0)),IF(AND(Q11="warlock",Q12&gt;=5),"Invocation - "&amp;INDEX('Class Tables'!F106:F119,MATCH(1,('Class Tables'!D106:D119),0)),IF(AND(Q11="warlock",Q12&gt;=2),"Invocation - "&amp;INDEX('Class Tables'!F93:F103,MATCH(1,('Class Tables'!D93:D103),0)),IF(AND(Q11="sorcerer",Q12&gt;=3),"MM - "&amp;INDEX('Class Tables'!F78:F85,MATCH(1,('Class Tables'!D78:D85),0)),IF(AND(Q11="rogue",Q12&gt;=7),"Evasion",IF(AND(Q11="ranger",Q12&gt;=2),VLOOKUP(RANDBETWEEN(1,4),Table96[],2),IF(AND(Q11="paladin",Q12&gt;=2),"Spellcasting Focus",IF(AND(Q11="monk",Q12&gt;=2),"Ki DC - "&amp;SUM(8,P8,P42),IF(AND(Q11="fighter",Q12&gt;=5),"Extra Attack - "&amp;INDEX('Class Tables'!U140:U159,MATCH(Q12,('Class Tables'!T140:T159),0)),IF(AND($Q$11="barbarian",$Q$12&gt;=2),"Danger Sense",IF(AND(Q11="bard",Q12&gt;=5),"Font of Inspiration",IF(AND(Q11="cleric",Q12&gt;=2),"Channel Divinity: Turn Undead",IF(AND(Q11="druid",Q12&gt;=18),"Timeless Body"," "))))))))))))))</f>
        <v xml:space="preserve"> </v>
      </c>
      <c r="R18" s="33" t="str">
        <f ca="1">IF(AND(R15="otherworldly patron - great old one",Q12&gt;=10),"Thought Shield",IF(AND(R15="otherworldly patron - Archfey",Q12&gt;=10),"Beguiling Defenses",IF(AND(R15="wild magic",Q12&gt;=6),"Bend Luck",IF(AND(R15="draconic bloodline",Q12&gt;=6),"Elemental Affinity",IF(AND(R15="thief",Q12&gt;=9),"Supreme Sneak",IF(AND(R15="oath of vengeance",Q12&gt;=7),"Relentless Avenger",IF(AND(R15="oath of the ancients",Q12&gt;=7),"Aura of Warding",IF(AND(R15="oath of devotion",Q12&gt;=7),"Aura of Devotion",IF(R15="way of the four elements",INDEX('Class Tables'!K120:K126,MATCH(1,('Class Tables'!I120:I126),0)),IF(AND(R15="eldritch knight",Q12&gt;=10),"Eldritch Strike",IF(R15="battle Master",INDEX('Class Tables'!J58:J77,MATCH(Q12,('Class Tables'!I58:I77),0)),IF(AND(R15="champion",Q12&gt;=10),INDEX('Class Tables'!F48:F53,MATCH(2,('Class Tables'!D48:D53),0)),IF(AND(R15="moon",Q12&gt;=6),"Primal Strike",IF(AND(R15="land",Q12&gt;=10),"Nature's Ward",IF(AND(R15="war",Q12&gt;=6),"War God's Blessing",IF(AND(R15="trickery",Q12&gt;=6),"Channel Divinity: Cloak of Shadows",IF(AND(R15="nature",Q12&gt;=6),"Thunderbolt Strike",IF(AND(R15="nature",Q12&gt;=8),"Divine Strike",IF(AND(R15="light",Q12&gt;=6),"Improved Flare",IF(AND(R15="life",Q12&gt;=6),"Blessed Healer",IF(AND(R15="knowledge",Q12&gt;=8),"Potent Spellcasting",IF(AND(R15="path of the berserker",Q12&gt;=6),"Mindless Rage",IF(AND(R15="path of the totem warrior",Q12&gt;=6),VLOOKUP(RANDBETWEEN(1,3),Table44[],3)," ")))))))))))))))))))))))</f>
        <v xml:space="preserve"> </v>
      </c>
      <c r="S18" s="33" t="s">
        <v>51</v>
      </c>
      <c r="AE18" s="29" t="s">
        <v>1338</v>
      </c>
      <c r="AF18" s="29">
        <f ca="1">ROUNDDOWN(SUM(AF16:AF17),0)</f>
        <v>0</v>
      </c>
      <c r="AH18" s="29" t="s">
        <v>23</v>
      </c>
      <c r="AI18" s="29">
        <f ca="1">$P$43</f>
        <v>2</v>
      </c>
      <c r="AJ18" s="29" t="str">
        <f t="shared" ref="AJ18:AU18" ca="1" si="23">IF(COUNTIF(AJ$27:AJ$33,$AH$18),$P$8," ")</f>
        <v xml:space="preserve"> </v>
      </c>
      <c r="AK18" s="29" t="str">
        <f t="shared" ca="1" si="23"/>
        <v xml:space="preserve"> </v>
      </c>
      <c r="AL18" s="29" t="str">
        <f t="shared" ca="1" si="23"/>
        <v xml:space="preserve"> </v>
      </c>
      <c r="AM18" s="29" t="str">
        <f t="shared" ca="1" si="23"/>
        <v xml:space="preserve"> </v>
      </c>
      <c r="AN18" s="29" t="str">
        <f t="shared" ca="1" si="23"/>
        <v xml:space="preserve"> </v>
      </c>
      <c r="AO18" s="29" t="str">
        <f t="shared" ca="1" si="23"/>
        <v xml:space="preserve"> </v>
      </c>
      <c r="AP18" s="29" t="str">
        <f t="shared" ca="1" si="23"/>
        <v xml:space="preserve"> </v>
      </c>
      <c r="AQ18" s="29" t="str">
        <f t="shared" ca="1" si="23"/>
        <v xml:space="preserve"> </v>
      </c>
      <c r="AR18" s="29" t="str">
        <f t="shared" ca="1" si="23"/>
        <v xml:space="preserve"> </v>
      </c>
      <c r="AS18" s="29" t="str">
        <f t="shared" ca="1" si="23"/>
        <v xml:space="preserve"> </v>
      </c>
      <c r="AT18" s="29" t="str">
        <f t="shared" ca="1" si="23"/>
        <v xml:space="preserve"> </v>
      </c>
      <c r="AU18" s="29" t="str">
        <f t="shared" ca="1" si="23"/>
        <v xml:space="preserve"> </v>
      </c>
      <c r="AV18" s="29">
        <f t="shared" ca="1" si="8"/>
        <v>0</v>
      </c>
      <c r="AW18" s="29" t="s">
        <v>23</v>
      </c>
      <c r="BA18" s="29" t="str">
        <f ca="1">IF(S11="Entertainer",P8," ")</f>
        <v xml:space="preserve"> </v>
      </c>
      <c r="BM18" s="29">
        <f t="shared" ca="1" si="2"/>
        <v>0</v>
      </c>
      <c r="BN18" s="29">
        <f t="shared" ca="1" si="9"/>
        <v>0</v>
      </c>
      <c r="BO18" s="29" t="str">
        <f t="shared" ca="1" si="3"/>
        <v xml:space="preserve"> </v>
      </c>
      <c r="BP18" s="29" t="str">
        <f t="shared" ca="1" si="4"/>
        <v xml:space="preserve"> </v>
      </c>
      <c r="BQ18" s="29" t="str">
        <f t="shared" ca="1" si="5"/>
        <v xml:space="preserve"> </v>
      </c>
      <c r="BR18" s="29">
        <f t="shared" ca="1" si="6"/>
        <v>0</v>
      </c>
      <c r="BU18" s="29">
        <f t="shared" ca="1" si="10"/>
        <v>0</v>
      </c>
      <c r="BV18" s="29" t="s">
        <v>23</v>
      </c>
      <c r="CB18" s="35">
        <f t="shared" ca="1" si="14"/>
        <v>13</v>
      </c>
      <c r="CC18" s="36">
        <f t="shared" ca="1" si="15"/>
        <v>0.33952242100895824</v>
      </c>
      <c r="CD18" s="29" t="s">
        <v>19</v>
      </c>
    </row>
    <row r="19" spans="2:83" x14ac:dyDescent="0.3">
      <c r="B19" s="33" t="str">
        <f ca="1">IF(P2="dark","Drow Magic"," ")</f>
        <v xml:space="preserve"> </v>
      </c>
      <c r="O19" s="33" t="str">
        <f ca="1">IF(AND(O11="wizard",O12&gt;=18),"Spell Mastery - "&amp;INDEX(R193:R202,MATCH(1,(O193:O202),0)),IF(AND(O12&gt;=2,O16="pact of the chain",AF26=1),"Invocation - Voice of the Chain Master",IF(AND(O12&gt;=5,O16="pact of the blade",AF26=1),"Invocation - Thirsting Blade",IF(AND(O11="warlock",O12&gt;=2,O16="pact of the tome",AF26=1),"Invocation - Book of Ancient Secrets",IF(AND(O11="warlock",O12&gt;=2,COUNTIF(P193:P202,"*"&amp;"Eldritch blast"&amp;"*")),"Invocation - Repelling Blast",IF(AND(O11="warlock",O12&gt;=15),"Invocation - "&amp;INDEX('Class Tables'!F164:F187,MATCH(2,('Class Tables'!D164:D187),0)),IF(AND(O11="warlock",O12&gt;=9),"Invocation - "&amp;INDEX('Class Tables'!F141:F161,MATCH(2,('Class Tables'!D141:D161),0)),IF(AND(O11="warlock",O12&gt;=7),"Invocation - "&amp;INDEX('Class Tables'!F122:F138,MATCH(2,('Class Tables'!D122:D138),0)),IF(AND(O11="warlock",O12&gt;=5),"Invocation - "&amp;INDEX('Class Tables'!F106:F119,MATCH(2,('Class Tables'!D106:D119),0)),IF(AND(O11="warlock",O12&gt;=2),"Invocation - "&amp;INDEX('Class Tables'!F93:F103,MATCH(2,('Class Tables'!D93:D103),0)),IF(AND(O11="sorcerer",O12&gt;=10),"MM - "&amp;INDEX('Class Tables'!F78:F85,MATCH(2,('Class Tables'!D78:D85),0)),IF(AND(O11="rogue",O12&gt;=11),"Reliable Talent",IF(AND(O11="ranger",O12&gt;=3),"Primeval Awareness",IF(AND(O11="paladin",O12&gt;=2),"Divine Smite",IF(AND(O11="monk",O12&gt;=2),"Flurry of Blows",IF(AND(O11="fighter",O12&gt;=9),"Indomitable",IF(AND($O$11="barbarian",$O$12&gt;=5),"Extra Attack",IF(AND(O11="bard",O12&gt;=6),"Countercharm",IF(AND(O11="cleric",O12&gt;=5),"Destroy Undead - "&amp;INDEX('Class Tables'!O140:O159,MATCH(O12,('Class Tables'!M140:M159),0)),IF(AND(O11="druid",O12&gt;=18),"Beast Spells"," "))))))))))))))))))))</f>
        <v xml:space="preserve"> </v>
      </c>
      <c r="P19" s="33" t="str">
        <f ca="1">IF(AND(P15="school of transmutation",O12&gt;=10),"Shapechanger",IF(AND(P15="school of necromancy",O12&gt;=10),"Inured to Undeath",IF(AND(P15="school of illusion",O12&gt;=10),"Illusory Self",IF(AND(P15="school of evocation",O12&gt;=10),"Empowered Evocation",IF(AND(P15="school of enchantment",O12&gt;=10),"Split Enchantment",IF(AND(P15="school of divination",O12&gt;=10),"The Third Eye",IF(AND(P15="school of conjuration",O12&gt;=10),"Focused Conjuration",IF(AND(P15="school of abjuration",O12&gt;=10),"Improved Abjuration",IF(AND(P15="otherworldly patron - great old one",O12&gt;=14),"Create Thrall",IF(AND(P15="otherworldly patron - Archfey",O12&gt;=14),"Dark Delirium",IF(AND(P15="wild magic",O12&gt;=14),"Controlled Chaos",IF(AND(P15="draconic bloodline",O12&gt;=14),"Dragon Wings",IF(AND(P15="arcane trickster",O12&gt;=17),"Spell Thief",IF(AND(P15="assassin",O12&gt;=17),"Death Strike DC"&amp;SUM(8,P8,P39),IF(AND(P15="thief",O12&gt;=13),"Use Magic Device",IF(AND(P15="beastmaster",O12&gt;=15),"Share Spells",IF(AND(P15="hunter",O12&gt;=15),VLOOKUP(RANDBETWEEN(1,3),Table199[],2),IF(AND(P15="oath of vengeance",O12&gt;=15),"Soul of Vengeance",IF(AND(P15="oath of the ancients",O12&gt;=15),"Undying Sentinel",(IF(AND(P15="oath of devotion",O12&gt;=15),"Purity of Spirit",IF(P15="way of the four elements",INDEX('Class Tables'!K120:K126,MATCH(2,('Class Tables'!I120:I126),0)),IF(AND(P15="way of the open hand",O12&gt;=17),"Quivering Palm",IF(AND(P15="eldritch Knight",O12&gt;=15),"Arcane Charge",IF(P15="battle master","Maneuver DC "&amp;SUM(P8,8,AF22),IF(AND(P15="champion",O12&gt;=15),"Superior Critcial",IF(AND(P15="moon",O12&gt;=10),"Elemental Wild Strike",IF(AND(P15="land",O12&gt;=14),"Nature's Sanctuary",IF(AND(P15="war",O12&gt;=8),"Divine Strike",IF(AND(P15="trickery",O12&gt;=8),"Divine Strike",IF(AND(P15="nature",O12&gt;=8),"Divine Strike",IF(AND(P15="nature",O12&gt;=17),"Master of Nature",IF(AND(P15="light",O12&gt;=8),"Potent Spellcasting",IF(AND(P15="life",O12&gt;=8),"Divine Strike",IF(AND(P15="knowledge",O12&gt;=17),"Visions of the Past",IF(AND(O12&gt;=10,P15="path of the berserker"),"Intimidating Presence DC "&amp;SUM(8,P8,P43),IF(AND(O12&gt;=10,P15="path of the totem warrior"),"Spirit Walker"," ")))))))))))))))))))))))))))))))))))))</f>
        <v xml:space="preserve"> </v>
      </c>
      <c r="Q19" s="33" t="str">
        <f ca="1">IF(AND(Q11="warlock",Q12&gt;=9),"Invocation - "&amp;INDEX('Class Tables'!F141:F161,MATCH(2,('Class Tables'!D141:D161),0)),IF(AND(Q11="warlock",Q12&gt;=7),"Invocation - "&amp;INDEX('Class Tables'!F122:F138,MATCH(2,('Class Tables'!D122:D138),0)),IF(AND(Q11="warlock",Q12&gt;=5),"Invocation - "&amp;INDEX('Class Tables'!F106:F119,MATCH(2,('Class Tables'!D106:D119),0)),IF(AND(Q11="warlock",Q12&gt;=2),"Invocation - "&amp;INDEX('Class Tables'!F93:F103,MATCH(2,('Class Tables'!D93:D103),0)),IF(AND(Q11="sorcerer",Q12&gt;=10),"MM - "&amp;INDEX('Class Tables'!F78:F85,MATCH(2,('Class Tables'!D78:D85),0)),IF(AND(Q11="ranger",Q12&gt;=3),"Primeval Awareness",IF(AND(Q11="paladin",Q12&gt;=2),"Divine Smite",IF(AND(Q11="monk",Q12&gt;=2),"Flurry of Blows",IF(AND(Q11="fighter",Q12&gt;=9),"Indomitable",IF(AND($Q$11="barbarian",$Q$12&gt;=5),"Extra Attack",IF(AND(Q11="bard",Q12&gt;=6),"Countercharm",IF(AND(Q11="cleric",Q12&gt;=5),"Destroy Undead - "&amp;INDEX('Class Tables'!O140:O159,MATCH(Q12,('Class Tables'!M140:M159),0)),IF(AND(Q11="druid",Q12&gt;=18),"Beast Spells"," ")))))))))))))</f>
        <v xml:space="preserve"> </v>
      </c>
      <c r="R19" s="33" t="str">
        <f ca="1">IF(R15="way of the four elements",INDEX('Class Tables'!K120:K126,MATCH(2,('Class Tables'!I120:I126),0)),IF(R15="battle master","Maneuver DC "&amp;SUM(P8,8,AF22),IF(AND(R15="moon",Q12&gt;=10),"Elemental Wild Shape",IF(AND(R15="war",Q12&gt;=8),"Divine Strike",IF(AND(R15="trickery",Q12&gt;=8),"Divine Strike",IF(AND(R15="nature",Q12&gt;=8),"Divine Strike",IF(AND(R15="light",Q12&gt;=8),"Potent Spellcasting",IF(AND(R15="life",Q12&gt;=8),"Divine Strike",IF(AND(R15="knowledge",Q12&gt;=17),"Visions of the Past",IF(AND(Q12&gt;=10,R15="path of the berserker"),"Intimidating Presence DC "&amp;SUM(8,P8,P43),IF(AND(Q12&gt;=10,R15="path of the totem warrior"),"Spirit Walker"," ")))))))))))</f>
        <v xml:space="preserve"> </v>
      </c>
      <c r="S19" s="33" t="str">
        <f ca="1">IF(Q2="dwarf","Dwarvish",IF(OR(Q2="half-elf",Q2="elf"),"Elvish",IF(Q2="halfling","Halfling",IF(Q2="human",VLOOKUP(RANDBETWEEN(1,8),Table20[],2),IF(Q2="gnome","Gnomish",IF(Q2="half-orc","Orc",IF(Q2="tiefling","Infernal"," ")))))))</f>
        <v>Elvish</v>
      </c>
      <c r="AH19" s="29" t="s">
        <v>24</v>
      </c>
      <c r="AI19" s="29">
        <f ca="1">$P$43</f>
        <v>2</v>
      </c>
      <c r="AJ19" s="29" t="str">
        <f t="shared" ref="AJ19:AU19" ca="1" si="24">IF(COUNTIF(AJ$27:AJ$33,$AH$19),$P$8," ")</f>
        <v xml:space="preserve"> </v>
      </c>
      <c r="AK19" s="29" t="str">
        <f t="shared" ca="1" si="24"/>
        <v xml:space="preserve"> </v>
      </c>
      <c r="AL19" s="29" t="str">
        <f t="shared" ca="1" si="24"/>
        <v xml:space="preserve"> </v>
      </c>
      <c r="AM19" s="29" t="str">
        <f t="shared" ca="1" si="24"/>
        <v xml:space="preserve"> </v>
      </c>
      <c r="AN19" s="29" t="str">
        <f t="shared" ca="1" si="24"/>
        <v xml:space="preserve"> </v>
      </c>
      <c r="AO19" s="29" t="str">
        <f t="shared" ca="1" si="24"/>
        <v xml:space="preserve"> </v>
      </c>
      <c r="AP19" s="29" t="str">
        <f t="shared" ca="1" si="24"/>
        <v xml:space="preserve"> </v>
      </c>
      <c r="AQ19" s="29" t="str">
        <f t="shared" ca="1" si="24"/>
        <v xml:space="preserve"> </v>
      </c>
      <c r="AR19" s="29" t="str">
        <f t="shared" ca="1" si="24"/>
        <v xml:space="preserve"> </v>
      </c>
      <c r="AS19" s="29" t="str">
        <f t="shared" ca="1" si="24"/>
        <v xml:space="preserve"> </v>
      </c>
      <c r="AT19" s="29" t="str">
        <f t="shared" ca="1" si="24"/>
        <v xml:space="preserve"> </v>
      </c>
      <c r="AU19" s="29" t="str">
        <f t="shared" ca="1" si="24"/>
        <v xml:space="preserve"> </v>
      </c>
      <c r="AV19" s="29">
        <f t="shared" ca="1" si="8"/>
        <v>0</v>
      </c>
      <c r="AW19" s="29" t="s">
        <v>24</v>
      </c>
      <c r="BE19" s="29" t="str">
        <f ca="1">IF(S11="Knight",P8," ")</f>
        <v xml:space="preserve"> </v>
      </c>
      <c r="BF19" s="29" t="str">
        <f ca="1">IF(S11="Noble",P8," ")</f>
        <v xml:space="preserve"> </v>
      </c>
      <c r="BM19" s="29">
        <f t="shared" ca="1" si="2"/>
        <v>0</v>
      </c>
      <c r="BN19" s="29">
        <f t="shared" ca="1" si="9"/>
        <v>0</v>
      </c>
      <c r="BO19" s="29" t="str">
        <f t="shared" ca="1" si="3"/>
        <v xml:space="preserve"> </v>
      </c>
      <c r="BP19" s="29" t="str">
        <f t="shared" ca="1" si="4"/>
        <v xml:space="preserve"> </v>
      </c>
      <c r="BQ19" s="29" t="str">
        <f t="shared" ca="1" si="5"/>
        <v xml:space="preserve"> </v>
      </c>
      <c r="BR19" s="29">
        <f t="shared" ca="1" si="6"/>
        <v>0</v>
      </c>
      <c r="BU19" s="29">
        <f t="shared" ca="1" si="10"/>
        <v>0</v>
      </c>
      <c r="BV19" s="29" t="s">
        <v>24</v>
      </c>
      <c r="CB19" s="35">
        <f t="shared" ca="1" si="14"/>
        <v>17</v>
      </c>
      <c r="CC19" s="36">
        <f t="shared" ca="1" si="15"/>
        <v>0.18231862680034228</v>
      </c>
      <c r="CD19" s="29" t="s">
        <v>20</v>
      </c>
      <c r="CE19" s="31"/>
    </row>
    <row r="20" spans="2:83" x14ac:dyDescent="0.3">
      <c r="O20" s="33" t="str">
        <f ca="1">IF(AND(O11="warlock",O12&gt;=2,AF26=2,COUNTIF(P193:P202,"*"&amp;"Eldritch blast"&amp;"*")),"Invocation - Eldritch Spear",IF(AND(O11="warlock",O12&gt;=15),"Invocation - "&amp;INDEX('Class Tables'!F164:F187,MATCH(3,('Class Tables'!D164:D187),0)),IF(AND(O11="warlock",O12&gt;=9),"Invocation - "&amp;INDEX('Class Tables'!F141:F161,MATCH(3,('Class Tables'!D141:D161),0)),IF(AND(O11="warlock",O12&gt;=7),"Invocation - "&amp;INDEX('Class Tables'!F122:F138,MATCH(3,('Class Tables'!D122:D138),0)),IF(AND(O11="warlock",O12&gt;=5),"Invocation - "&amp;INDEX('Class Tables'!F106:F119,MATCH(3,('Class Tables'!D106:D119),0)),IF(AND(O11="sorcerer",O12&gt;=20),"Sorcerous Restoration",IF(AND(O11="sorcerer",O12&gt;=17),"MM - "&amp;INDEX('Class Tables'!F78:F85,MATCH(3,('Class Tables'!D78:D85),0)),IF(AND(O11="rogue",O12&gt;=14),"Blindsense",IF(AND(O11="ranger",O12&gt;=5),"Extra Attack",IF(AND(O11="paladin",O12&gt;=3),"Divine Health",IF(AND(O11="monk",O12&gt;=2),"Patient Defense",IF(AND(O11="barbarian",O12&gt;=5),"Fast Movement",IF(AND(O11="bard",O12&gt;=20),"Superior Inspiration",IF(AND(O11="druid",O12&gt;=20),"Archdruid",IF(AND(O11="cleric",O12&gt;=10),"Divine Intervention"," ")))))))))))))))</f>
        <v xml:space="preserve"> </v>
      </c>
      <c r="P20" s="33" t="str">
        <f ca="1">IF(AND(P15="school of transmutation",O12&gt;=14),"Master Transmuter",IF(AND(P15="school of necromancy",O12&gt;=14),"Command Undead",IF(AND(P15="school of illusion",O12&gt;=14),"Illusory Reality",IF(AND(P15="school of evocation",O12&gt;=14),"Overchannel",IF(AND(P15="school of enchantment",O12&gt;=14),"Alter Memories",IF(AND(P15="school of divination",O12&gt;=14),"Greater Portent",IF(AND(P15="school of conjuration",O12&gt;=14),"Durable Summons",IF(AND(P15="school of abjuration",O12&gt;=14),"Spell Resistance",IF(AND(P15="wild magic",O12&gt;=18),"Spell Bombardment",IF(AND(P15="Draconic Bloodline",O12&gt;=18),"Draconic Presence",IF(AND(P15="thief",O12&gt;=17),"Thief's Reflexes",IF(AND(P15="oath of vengeance",O12&gt;=20),"Avenging Angel",IF(AND(P15="oath of the ancients",O12&gt;=20),"Elder Champion",IF(AND(P15="Oath of Devotion",O12&gt;=20),"Holy Nimbus",IF(AND(P15="way of the four elements",O12&gt;=6),INDEX('Class Tables'!K128:K129,MATCH(1,('Class Tables'!I128:I129),0)),IF(AND(P15="eldritch knight",O12&gt;=18),"Improved War Magic",IF(P15="battle master",INDEX('Class Tables'!K40:K55,MATCH(1,('Class Tables'!I40:I55),0)),IF(AND(P15="champion",O12&gt;=18),"Survivor - "&amp;SUM(5+P48)&amp;" hp",IF(AND(P15="moon",O12&gt;=14),"Thousand Forms",IF(P15="land",VLOOKUP(RANDBETWEEN(1,8),Table74[],2),IF(AND(P15="war",O12&gt;=17),"Avatar of Battle",IF(AND(P15="trickery",O12&gt;=17),"Improved Duplicity",IF(AND(P15="nature",O12&gt;=17),"Stormborn",IF(AND(P15="light",O12&gt;=17),"Corona of Light",IF(AND(P15="life",O12&gt;=17),"Supreme Healing",IF(AND(P15="path of the totem warrior",O12&gt;=14),VLOOKUP(RANDBETWEEN(1,3),Table44[],4)," "))))))))))))))))))))))))))</f>
        <v xml:space="preserve"> </v>
      </c>
      <c r="Q20" s="33" t="str">
        <f ca="1">IF(AND(Q11="warlock",Q12&gt;=9),"Invocation - "&amp;INDEX('Class Tables'!F141:F161,MATCH(3,('Class Tables'!D141:D161),0)),IF(AND(Q11="warlock",Q12&gt;=7),"Invocation - "&amp;INDEX('Class Tables'!F122:F138,MATCH(3,('Class Tables'!D122:D138),0)),IF(AND(Q11="warlock",Q12&gt;=5),"Invocation - "&amp;INDEX('Class Tables'!F106:F119,MATCH(3,('Class Tables'!D106:D119),0)),IF(AND(Q11="ranger",Q12&gt;=5),"Extra Attack",IF(AND(Q11="paladin",Q12&gt;=3),"Divine Health",IF(AND(Q11="monk",Q12&gt;=2),"Patient Defense",IF(AND(Q11="barbarian",Q12&gt;=5),"Fast Movement",IF(AND(Q11="cleric",Q12&gt;=10),"Divine Intervention"," "))))))))</f>
        <v xml:space="preserve"> </v>
      </c>
      <c r="R20" s="33" t="str">
        <f ca="1">IF(AND(R15="way of the four elements",Q12&gt;=6),INDEX('Class Tables'!K128:K129,MATCH(1,('Class Tables'!I128:I129),0)),IF(R15="battle master",INDEX('Class Tables'!K40:K55,MATCH(1,('Class Tables'!I40:I55),0)),IF(R15="land",VLOOKUP(RANDBETWEEN(1,8),Table74[],2)," ")))</f>
        <v xml:space="preserve"> </v>
      </c>
      <c r="S20" s="33" t="str">
        <f ca="1">IF(P2="high",INDEX('Class Tables'!S177:S220,MATCH(1,('Class Tables'!Q177:Q220),0))," ")</f>
        <v xml:space="preserve"> </v>
      </c>
      <c r="AE20" s="29" t="s">
        <v>1990</v>
      </c>
      <c r="AF20" s="29">
        <f ca="1">RANDBETWEEN(1,3)</f>
        <v>1</v>
      </c>
      <c r="AH20" s="29" t="s">
        <v>25</v>
      </c>
      <c r="AI20" s="29">
        <f ca="1">$P$41</f>
        <v>0</v>
      </c>
      <c r="AJ20" s="29" t="str">
        <f t="shared" ref="AJ20:AU20" ca="1" si="25">IF(COUNTIF(AJ$27:AJ$33,$AH$20),$P$8," ")</f>
        <v xml:space="preserve"> </v>
      </c>
      <c r="AK20" s="29" t="str">
        <f t="shared" ca="1" si="25"/>
        <v xml:space="preserve"> </v>
      </c>
      <c r="AL20" s="29" t="str">
        <f t="shared" ca="1" si="25"/>
        <v xml:space="preserve"> </v>
      </c>
      <c r="AM20" s="29" t="str">
        <f t="shared" ca="1" si="25"/>
        <v xml:space="preserve"> </v>
      </c>
      <c r="AN20" s="29" t="str">
        <f t="shared" ca="1" si="25"/>
        <v xml:space="preserve"> </v>
      </c>
      <c r="AO20" s="29" t="str">
        <f t="shared" ca="1" si="25"/>
        <v xml:space="preserve"> </v>
      </c>
      <c r="AP20" s="29" t="str">
        <f t="shared" ca="1" si="25"/>
        <v xml:space="preserve"> </v>
      </c>
      <c r="AQ20" s="29" t="str">
        <f t="shared" ca="1" si="25"/>
        <v xml:space="preserve"> </v>
      </c>
      <c r="AR20" s="29" t="str">
        <f t="shared" ca="1" si="25"/>
        <v xml:space="preserve"> </v>
      </c>
      <c r="AS20" s="29" t="str">
        <f t="shared" ca="1" si="25"/>
        <v xml:space="preserve"> </v>
      </c>
      <c r="AT20" s="29" t="str">
        <f t="shared" ca="1" si="25"/>
        <v xml:space="preserve"> </v>
      </c>
      <c r="AU20" s="29" t="str">
        <f t="shared" ca="1" si="25"/>
        <v xml:space="preserve"> </v>
      </c>
      <c r="AV20" s="29">
        <f t="shared" ca="1" si="8"/>
        <v>0</v>
      </c>
      <c r="AW20" s="29" t="s">
        <v>25</v>
      </c>
      <c r="AX20" s="29" t="str">
        <f ca="1">IF(S11="acolyte",P8," ")</f>
        <v xml:space="preserve"> </v>
      </c>
      <c r="BC20" s="29" t="str">
        <f ca="1">IF(S11="Guild Artisan",P8," ")</f>
        <v xml:space="preserve"> </v>
      </c>
      <c r="BD20" s="29" t="str">
        <f ca="1">IF(S11="Hermit",P8," ")</f>
        <v xml:space="preserve"> </v>
      </c>
      <c r="BM20" s="29">
        <f t="shared" ca="1" si="2"/>
        <v>0</v>
      </c>
      <c r="BN20" s="29">
        <f t="shared" ca="1" si="9"/>
        <v>0</v>
      </c>
      <c r="BO20" s="29" t="str">
        <f t="shared" ca="1" si="3"/>
        <v xml:space="preserve"> </v>
      </c>
      <c r="BP20" s="29" t="str">
        <f t="shared" ca="1" si="4"/>
        <v xml:space="preserve"> </v>
      </c>
      <c r="BQ20" s="29" t="str">
        <f t="shared" ca="1" si="5"/>
        <v xml:space="preserve"> </v>
      </c>
      <c r="BR20" s="29">
        <f t="shared" ca="1" si="6"/>
        <v>0</v>
      </c>
      <c r="BS20" s="29">
        <f ca="1">IF(AND($BY$29=1,OR($P$15="knowledge",$R$15="knowledge")),$P$8*2,IF(AND($BY$29=2,OR($P$15="knowledge",$R$15="knowledge")),$P$8*2,0))</f>
        <v>0</v>
      </c>
      <c r="BU20" s="29">
        <f t="shared" ca="1" si="10"/>
        <v>0</v>
      </c>
      <c r="BV20" s="29" t="s">
        <v>25</v>
      </c>
      <c r="CB20" s="35">
        <f t="shared" ca="1" si="14"/>
        <v>15</v>
      </c>
      <c r="CC20" s="36">
        <f t="shared" ca="1" si="15"/>
        <v>0.2443051514048723</v>
      </c>
      <c r="CD20" s="29" t="s">
        <v>21</v>
      </c>
    </row>
    <row r="21" spans="2:83" x14ac:dyDescent="0.3">
      <c r="O21" s="33" t="str">
        <f ca="1">IF(AND(O11="warlock",O12&gt;=15),"Invocation - "&amp;INDEX('Class Tables'!F164:F187,MATCH(4,('Class Tables'!D164:D187),0)),IF(AND(O11="warlock",O12&gt;=9),"Invocation - "&amp;INDEX('Class Tables'!F141:F161,MATCH(4,('Class Tables'!D141:D161),0)),IF(AND(O11="warlock",O12&gt;=7),"Invocation - "&amp;INDEX('Class Tables'!F122:F138,MATCH(4,('Class Tables'!D122:D138),0)),IF(AND(O11="rogue",O12&gt;=15),"Slippery Mind",IF(AND(O11="ranger",O12&gt;=8),"Land's Stride",IF(AND(O11="paladin",O12&gt;=5),"Extra Attack",IF(AND(O11="monk",O12&gt;=2),"Step of the Wind",IF(AND($O$11="barbarian",$O$12&gt;=7),"Feral Instinct"," "))))))))</f>
        <v xml:space="preserve"> </v>
      </c>
      <c r="P21" s="33" t="str">
        <f ca="1">IF(AND(P15="way of the four elements",O12&gt;=11),INDEX('Class Tables'!K131:K134,MATCH(1,('Class Tables'!I131:I134),0)),IF(P15="battle master",INDEX('Class Tables'!K40:K55,MATCH(2,('Class Tables'!I40:I55),0))," "))</f>
        <v xml:space="preserve"> </v>
      </c>
      <c r="Q21" s="33" t="str">
        <f ca="1">IF(AND(Q11="warlock",Q12&gt;=9),"Invocation - "&amp;INDEX('Class Tables'!F141:F161,MATCH(4,('Class Tables'!D141:D161),0)),IF(AND(Q11="warlock",Q12&gt;=7),"Invocation - "&amp;INDEX('Class Tables'!F122:F138,MATCH(4,('Class Tables'!D122:D138),0)),IF(AND(Q11="ranger",Q12&gt;=8),"Land's Stride",IF(AND(Q11="paladin",Q12&gt;=5),"Extra Attack",IF(AND(Q11="monk",Q12&gt;=2),"Step of the Wind",IF(AND($Q$11="barbarian",$Q$12&gt;=7),"Feral Instinct"," "))))))</f>
        <v xml:space="preserve"> </v>
      </c>
      <c r="R21" s="33" t="str">
        <f ca="1">IF(R15="battle master",INDEX('Class Tables'!K40:K55,MATCH(2,('Class Tables'!I40:I55),0))," ")</f>
        <v xml:space="preserve"> </v>
      </c>
      <c r="S21" s="33" t="str">
        <f ca="1">IF(OR(P15="knowledge",R15="knowledge"),INDEX('Class Tables'!S177:S220,MATCH(2,('Class Tables'!Q177:Q220),0))," ")</f>
        <v xml:space="preserve"> </v>
      </c>
      <c r="AE21" s="29" t="s">
        <v>1989</v>
      </c>
      <c r="AF21" s="29">
        <f ca="1">RANDBETWEEN(1,2)</f>
        <v>1</v>
      </c>
      <c r="AH21" s="29" t="s">
        <v>26</v>
      </c>
      <c r="AI21" s="29">
        <f ca="1">$P$39</f>
        <v>0</v>
      </c>
      <c r="AJ21" s="29" t="str">
        <f t="shared" ref="AJ21:AU21" ca="1" si="26">IF(COUNTIF(AJ$27:AJ$33,$AH$21),$P$8," ")</f>
        <v xml:space="preserve"> </v>
      </c>
      <c r="AK21" s="29" t="str">
        <f t="shared" ca="1" si="26"/>
        <v xml:space="preserve"> </v>
      </c>
      <c r="AL21" s="29" t="str">
        <f t="shared" ca="1" si="26"/>
        <v xml:space="preserve"> </v>
      </c>
      <c r="AM21" s="29" t="str">
        <f t="shared" ca="1" si="26"/>
        <v xml:space="preserve"> </v>
      </c>
      <c r="AN21" s="29" t="str">
        <f t="shared" ca="1" si="26"/>
        <v xml:space="preserve"> </v>
      </c>
      <c r="AO21" s="29" t="str">
        <f t="shared" ca="1" si="26"/>
        <v xml:space="preserve"> </v>
      </c>
      <c r="AP21" s="29" t="str">
        <f t="shared" ca="1" si="26"/>
        <v xml:space="preserve"> </v>
      </c>
      <c r="AQ21" s="29" t="str">
        <f t="shared" ca="1" si="26"/>
        <v xml:space="preserve"> </v>
      </c>
      <c r="AR21" s="29" t="str">
        <f t="shared" ca="1" si="26"/>
        <v xml:space="preserve"> </v>
      </c>
      <c r="AS21" s="29" t="str">
        <f t="shared" ca="1" si="26"/>
        <v xml:space="preserve"> </v>
      </c>
      <c r="AT21" s="29" t="str">
        <f t="shared" ca="1" si="26"/>
        <v xml:space="preserve"> </v>
      </c>
      <c r="AU21" s="29" t="str">
        <f t="shared" ca="1" si="26"/>
        <v xml:space="preserve"> </v>
      </c>
      <c r="AV21" s="29">
        <f t="shared" ca="1" si="8"/>
        <v>0</v>
      </c>
      <c r="AW21" s="29" t="s">
        <v>26</v>
      </c>
      <c r="AY21" s="29" t="str">
        <f ca="1">IF(S11="Charlatan",P8," ")</f>
        <v xml:space="preserve"> </v>
      </c>
      <c r="BL21" s="29" t="str">
        <f ca="1">IF(S11="urchin",P8," ")</f>
        <v xml:space="preserve"> </v>
      </c>
      <c r="BM21" s="29">
        <f t="shared" ca="1" si="2"/>
        <v>0</v>
      </c>
      <c r="BN21" s="29">
        <f t="shared" ca="1" si="9"/>
        <v>0</v>
      </c>
      <c r="BO21" s="29" t="str">
        <f t="shared" ca="1" si="3"/>
        <v xml:space="preserve"> </v>
      </c>
      <c r="BP21" s="29" t="str">
        <f t="shared" ca="1" si="4"/>
        <v xml:space="preserve"> </v>
      </c>
      <c r="BQ21" s="29" t="str">
        <f t="shared" ca="1" si="5"/>
        <v xml:space="preserve"> </v>
      </c>
      <c r="BR21" s="29">
        <f t="shared" ca="1" si="6"/>
        <v>0</v>
      </c>
      <c r="BU21" s="29">
        <f t="shared" ca="1" si="10"/>
        <v>0</v>
      </c>
      <c r="BV21" s="29" t="s">
        <v>26</v>
      </c>
      <c r="CB21" s="35">
        <f t="shared" ca="1" si="14"/>
        <v>2</v>
      </c>
      <c r="CC21" s="36">
        <f t="shared" ca="1" si="15"/>
        <v>0.9539040358220422</v>
      </c>
      <c r="CD21" s="29" t="s">
        <v>22</v>
      </c>
    </row>
    <row r="22" spans="2:83" x14ac:dyDescent="0.3">
      <c r="O22" s="33" t="str">
        <f ca="1">(IF(AND(O16="pact of the blade",O12&gt;=12,AF26=1),"Invocation - Lifedrinker",IF(AND(O11="warlock",O12&gt;=15),"Invocation - "&amp;INDEX('Class Tables'!F164:F187,MATCH(5,('Class Tables'!D164:D187),0)),IF(AND(O11="warlock",O12&gt;=9),"Invocation - "&amp;INDEX('Class Tables'!F141:F161,MATCH(5,('Class Tables'!D141:D161),0)),IF(AND(O11="rogue",O12&gt;=18),"Elusive Foe",IF(AND(O11="ranger",O12&gt;=10),"Hide in Plain Sight",IF(AND(O11="paladin",O12&gt;=6),"Aura of Protection +"&amp;MAX(P43,1),IF(AND(O11="monk",O12&gt;=2),"Unarmored Movement - "&amp;INDEX('Class Tables'!L98:L117,MATCH(O12,('Class Tables'!I98:I117),0))&amp;" ft.",IF(AND($O$11="barbarian",$O$12&gt;=9),"Brutal Critical"," ")))))))))</f>
        <v xml:space="preserve"> </v>
      </c>
      <c r="P22" s="33" t="str">
        <f ca="1">IF(AND(P15="way of the four elements",O12&gt;=17),INDEX('Class Tables'!K136:K138,MATCH(1,('Class Tables'!I136:I138),0)),IF(P15="battle master",INDEX('Class Tables'!K40:K55,MATCH(3,('Class Tables'!I40:I55),0))," "))</f>
        <v xml:space="preserve"> </v>
      </c>
      <c r="Q22" s="33" t="str">
        <f ca="1">IF(AND(Q11="warlock",Q12&gt;=9),"Invocation - "&amp;INDEX('Class Tables'!F141:F161,MATCH(5,('Class Tables'!D141:D161),0)),IF(AND(Q11="ranger",Q12&gt;=10),"Hide in Plain Sight",IF(AND(Q11="paladin",Q12&gt;=6),"Aura of Protection +"&amp;MAX(P43,1),IF(AND(Q11="monk",Q12&gt;=2),"Unarmored Movement - "&amp;INDEX('Class Tables'!L98:L117,MATCH(Q12,('Class Tables'!I98:I117),0))&amp;" ft.",IF(AND($Q$11="barbarian",$Q$12&gt;=9),"Brutal Critical"," ")))))</f>
        <v xml:space="preserve"> </v>
      </c>
      <c r="R22" s="33" t="str">
        <f ca="1">IF(R15="battle master",INDEX('Class Tables'!K40:K55,MATCH(3,('Class Tables'!I40:I55),0))," ")</f>
        <v xml:space="preserve"> </v>
      </c>
      <c r="S22" s="33" t="str">
        <f ca="1">IF(OR(P15="knowledge",R15="knowledge"),INDEX('Class Tables'!S177:S220,MATCH(3,('Class Tables'!Q177:Q220),0))," ")</f>
        <v xml:space="preserve"> </v>
      </c>
      <c r="AE22" s="29" t="s">
        <v>1387</v>
      </c>
      <c r="AF22" s="29">
        <f ca="1">SUM(P38:P39)-SMALL(P38:P39,1)</f>
        <v>1</v>
      </c>
      <c r="AH22" s="29" t="s">
        <v>27</v>
      </c>
      <c r="AI22" s="29">
        <f ca="1">$P$39</f>
        <v>0</v>
      </c>
      <c r="AJ22" s="29" t="str">
        <f t="shared" ref="AJ22:AU22" ca="1" si="27">IF(COUNTIF(AJ$27:AJ$33,$AH$22),$P$8," ")</f>
        <v xml:space="preserve"> </v>
      </c>
      <c r="AK22" s="29" t="str">
        <f t="shared" ca="1" si="27"/>
        <v xml:space="preserve"> </v>
      </c>
      <c r="AL22" s="29" t="str">
        <f t="shared" ca="1" si="27"/>
        <v xml:space="preserve"> </v>
      </c>
      <c r="AM22" s="29" t="str">
        <f t="shared" ca="1" si="27"/>
        <v xml:space="preserve"> </v>
      </c>
      <c r="AN22" s="29" t="str">
        <f t="shared" ca="1" si="27"/>
        <v xml:space="preserve"> </v>
      </c>
      <c r="AO22" s="29" t="str">
        <f t="shared" ca="1" si="27"/>
        <v xml:space="preserve"> </v>
      </c>
      <c r="AP22" s="29" t="str">
        <f t="shared" ca="1" si="27"/>
        <v xml:space="preserve"> </v>
      </c>
      <c r="AQ22" s="29" t="str">
        <f t="shared" ca="1" si="27"/>
        <v xml:space="preserve"> </v>
      </c>
      <c r="AR22" s="29" t="str">
        <f t="shared" ca="1" si="27"/>
        <v xml:space="preserve"> </v>
      </c>
      <c r="AS22" s="29" t="str">
        <f t="shared" ca="1" si="27"/>
        <v xml:space="preserve"> </v>
      </c>
      <c r="AT22" s="29" t="str">
        <f t="shared" ca="1" si="27"/>
        <v xml:space="preserve"> </v>
      </c>
      <c r="AU22" s="29" t="str">
        <f t="shared" ca="1" si="27"/>
        <v xml:space="preserve"> </v>
      </c>
      <c r="AV22" s="29">
        <f t="shared" ca="1" si="8"/>
        <v>0</v>
      </c>
      <c r="AW22" s="29" t="s">
        <v>27</v>
      </c>
      <c r="AZ22" s="29" t="str">
        <f ca="1">IF(S11="Criminal",P8," ")</f>
        <v xml:space="preserve"> </v>
      </c>
      <c r="BL22" s="29" t="str">
        <f ca="1">IF(S11="urchin",P8," ")</f>
        <v xml:space="preserve"> </v>
      </c>
      <c r="BM22" s="29">
        <f t="shared" ca="1" si="2"/>
        <v>0</v>
      </c>
      <c r="BN22" s="29">
        <f t="shared" ca="1" si="9"/>
        <v>0</v>
      </c>
      <c r="BO22" s="29" t="str">
        <f t="shared" ca="1" si="3"/>
        <v xml:space="preserve"> </v>
      </c>
      <c r="BP22" s="29" t="str">
        <f t="shared" ca="1" si="4"/>
        <v xml:space="preserve"> </v>
      </c>
      <c r="BQ22" s="29" t="str">
        <f t="shared" ca="1" si="5"/>
        <v xml:space="preserve"> </v>
      </c>
      <c r="BR22" s="29">
        <f t="shared" ca="1" si="6"/>
        <v>0</v>
      </c>
      <c r="BU22" s="29">
        <f t="shared" ca="1" si="10"/>
        <v>0</v>
      </c>
      <c r="BV22" s="29" t="s">
        <v>27</v>
      </c>
      <c r="CB22" s="35">
        <f t="shared" ca="1" si="14"/>
        <v>11</v>
      </c>
      <c r="CC22" s="36">
        <f t="shared" ca="1" si="15"/>
        <v>0.46775549937610028</v>
      </c>
      <c r="CD22" s="29" t="s">
        <v>23</v>
      </c>
    </row>
    <row r="23" spans="2:83" x14ac:dyDescent="0.3">
      <c r="O23" s="33" t="str">
        <f ca="1">IF(AND(O11="warlock",O12&gt;=15),"Invocation - "&amp;INDEX('Class Tables'!F164:F187,MATCH(6,('Class Tables'!D164:D187),0)),IF(AND(O11="warlock",O12&gt;=12),"Invocation - "&amp;INDEX('Class Tables'!F141:F161,MATCH(6,('Class Tables'!D141:D161),0)),IF(AND(O11="rogue",O12&gt;=20),"Stroke of Luck",IF(AND(O11="ranger",O12&gt;=14),"Vanish",IF(AND(O11="paladin",O12&gt;=10),"Aura of Courage",IF(AND(O11="monk",O12&gt;=3),"Deflect Missiles - 1d10+"&amp;SUM(P39,O12)&amp;" dmg.",IF(AND($O$11="barbarian",$O$12&gt;=11),"Relentless Rage"," ")))))))</f>
        <v xml:space="preserve"> </v>
      </c>
      <c r="P23" s="33" t="str">
        <f ca="1">IF(AND(P15="battle master",O12&gt;=7),INDEX('Class Tables'!K40:K55,MATCH(4,('Class Tables'!I40:I55),0))," ")</f>
        <v xml:space="preserve"> </v>
      </c>
      <c r="Q23" s="33" t="str">
        <f ca="1">IF(AND(Q11="paladin",Q12&gt;=10),"Aura of Courage",IF(AND(Q11="monk",Q12&gt;=3),"Deflect Missiles 1d10+"&amp;SUM(Q12,P39)&amp;" dmg."," "))</f>
        <v xml:space="preserve"> </v>
      </c>
      <c r="R23" s="33" t="str">
        <f ca="1">IF(AND(R15="battle master",Q12&gt;=7),INDEX('Class Tables'!K40:K55,MATCH(4,('Class Tables'!I40:I55),0))," ")</f>
        <v xml:space="preserve"> </v>
      </c>
      <c r="S23" s="33" t="str">
        <f ca="1">IF(O11="druid","Druidic",IF(O11="rogue","Thieves' Cant"," "))</f>
        <v xml:space="preserve"> </v>
      </c>
      <c r="AE23" s="29" t="s">
        <v>1402</v>
      </c>
      <c r="AF23" s="29">
        <f ca="1">RANDBETWEEN(1,2)</f>
        <v>2</v>
      </c>
      <c r="AH23" s="29" t="s">
        <v>28</v>
      </c>
      <c r="AI23" s="29">
        <f ca="1">$P$42</f>
        <v>0</v>
      </c>
      <c r="AJ23" s="29" t="str">
        <f t="shared" ref="AJ23:AU23" ca="1" si="28">IF(COUNTIF(AJ$27:AJ$33,$AH$23),$P$8," ")</f>
        <v xml:space="preserve"> </v>
      </c>
      <c r="AK23" s="29" t="str">
        <f t="shared" ca="1" si="28"/>
        <v xml:space="preserve"> </v>
      </c>
      <c r="AL23" s="29" t="str">
        <f t="shared" ca="1" si="28"/>
        <v xml:space="preserve"> </v>
      </c>
      <c r="AM23" s="29" t="str">
        <f t="shared" ca="1" si="28"/>
        <v xml:space="preserve"> </v>
      </c>
      <c r="AN23" s="29" t="str">
        <f t="shared" ca="1" si="28"/>
        <v xml:space="preserve"> </v>
      </c>
      <c r="AO23" s="29" t="str">
        <f t="shared" ca="1" si="28"/>
        <v xml:space="preserve"> </v>
      </c>
      <c r="AP23" s="29" t="str">
        <f t="shared" ca="1" si="28"/>
        <v xml:space="preserve"> </v>
      </c>
      <c r="AQ23" s="29" t="str">
        <f t="shared" ca="1" si="28"/>
        <v xml:space="preserve"> </v>
      </c>
      <c r="AR23" s="29" t="str">
        <f t="shared" ca="1" si="28"/>
        <v xml:space="preserve"> </v>
      </c>
      <c r="AS23" s="29" t="str">
        <f t="shared" ca="1" si="28"/>
        <v xml:space="preserve"> </v>
      </c>
      <c r="AT23" s="29" t="str">
        <f t="shared" ca="1" si="28"/>
        <v xml:space="preserve"> </v>
      </c>
      <c r="AU23" s="29" t="str">
        <f t="shared" ca="1" si="28"/>
        <v xml:space="preserve"> </v>
      </c>
      <c r="AV23" s="29">
        <f t="shared" ca="1" si="8"/>
        <v>0</v>
      </c>
      <c r="AW23" s="29" t="s">
        <v>28</v>
      </c>
      <c r="BB23" s="29" t="str">
        <f ca="1">IF(S11="Folk Hero",P8," ")</f>
        <v xml:space="preserve"> </v>
      </c>
      <c r="BG23" s="29" t="str">
        <f ca="1">IF(S11="Outlander",P8," ")</f>
        <v xml:space="preserve"> </v>
      </c>
      <c r="BM23" s="29">
        <f t="shared" ca="1" si="2"/>
        <v>0</v>
      </c>
      <c r="BN23" s="29">
        <f t="shared" ca="1" si="9"/>
        <v>0</v>
      </c>
      <c r="BO23" s="29" t="str">
        <f t="shared" ca="1" si="3"/>
        <v xml:space="preserve"> </v>
      </c>
      <c r="BP23" s="29" t="str">
        <f t="shared" ca="1" si="4"/>
        <v xml:space="preserve"> </v>
      </c>
      <c r="BQ23" s="29" t="str">
        <f t="shared" ca="1" si="5"/>
        <v xml:space="preserve"> </v>
      </c>
      <c r="BR23" s="29">
        <f t="shared" ca="1" si="6"/>
        <v>0</v>
      </c>
      <c r="BT23" s="29">
        <f ca="1">IF(AND(BY32=1,OR($P$15="nature",$R$15="nature")),$P$8,0)</f>
        <v>0</v>
      </c>
      <c r="BU23" s="29">
        <f t="shared" ca="1" si="10"/>
        <v>0</v>
      </c>
      <c r="BV23" s="29" t="s">
        <v>28</v>
      </c>
      <c r="CB23" s="35">
        <f t="shared" ca="1" si="14"/>
        <v>4</v>
      </c>
      <c r="CC23" s="36">
        <f t="shared" ca="1" si="15"/>
        <v>0.87741153324191701</v>
      </c>
      <c r="CD23" s="29" t="s">
        <v>24</v>
      </c>
    </row>
    <row r="24" spans="2:83" x14ac:dyDescent="0.3">
      <c r="O24" s="33" t="str">
        <f ca="1">IF(AND(O11="warlock",O12&gt;=15,AF26=2,O16="pact of the chain"),"Chains of Carceri",IF(AND(O11="warlock",O12&gt;=15),"Invocation - "&amp;INDEX('Class Tables'!F164:F187,MATCH(7,('Class Tables'!D164:D187),0)),IF(AND(O11="ranger",O12&gt;=18),"Feral Senses",IF(AND(O11="paladin",O12&gt;=11),"Improved Divine Smite",IF(AND(O11="monk",O12&gt;=4),"Slow Fall - "&amp;O12*5&amp;" dmg.",IF(AND($O$11="barbarian",$O$12&gt;=15),"Persistent Rage"," "))))))</f>
        <v xml:space="preserve"> </v>
      </c>
      <c r="P24" s="33" t="str">
        <f ca="1">IF(AND(P15="battle master",O12&gt;=7),INDEX('Class Tables'!K40:K55,MATCH(5,('Class Tables'!I40:I55),0))," ")</f>
        <v xml:space="preserve"> </v>
      </c>
      <c r="Q24" s="33" t="str">
        <f ca="1">IF(AND(Q11="paladin",Q12&gt;=11),"Improved Divine Smite",IF(AND(Q11="monk",Q12&gt;=4),"Slow Fall -"&amp;Q12*5&amp;" dmg."," "))</f>
        <v xml:space="preserve"> </v>
      </c>
      <c r="R24" s="33" t="str">
        <f ca="1">IF(AND(R15="battle master",Q12&gt;=7),INDEX('Class Tables'!K40:K55,MATCH(5,('Class Tables'!I40:I55),0))," ")</f>
        <v xml:space="preserve"> </v>
      </c>
      <c r="S24" s="33" t="str">
        <f ca="1">IF(P15="draconic bloodline","Draconic"," ")</f>
        <v xml:space="preserve"> </v>
      </c>
      <c r="AE24" s="29" t="s">
        <v>1509</v>
      </c>
      <c r="AF24" s="29">
        <f ca="1">RANDBETWEEN(1,2)</f>
        <v>2</v>
      </c>
      <c r="CB24" s="35">
        <f t="shared" ca="1" si="14"/>
        <v>8</v>
      </c>
      <c r="CC24" s="36">
        <f t="shared" ca="1" si="15"/>
        <v>0.65353012209840455</v>
      </c>
      <c r="CD24" s="29" t="s">
        <v>25</v>
      </c>
    </row>
    <row r="25" spans="2:83" x14ac:dyDescent="0.3">
      <c r="O25" s="33" t="str">
        <f ca="1">IF(AND(O11="warlock",O12&gt;=18),"Invocation - "&amp;INDEX('Class Tables'!F164:F187,MATCH(8,('Class Tables'!D164:D187),0)),IF(AND(O11="ranger",O12&gt;=20),"Foe Slayer",IF(AND(O11="paladin",O12&gt;=14),"Cleansing Touch - "&amp;MAX(1,(P43))&amp;" uses",IF(AND(O11="monk",O12&gt;=5),"Extra Attack",IF(AND($O$11="barbarian",$O$12&gt;=18),"Indomitable Might"," ")))))</f>
        <v xml:space="preserve"> </v>
      </c>
      <c r="P25" s="33" t="str">
        <f ca="1">IF(AND(P15="battle master",O12&gt;=10),INDEX('Class Tables'!K40:K55,MATCH(6,('Class Tables'!I40:I55),0))," ")</f>
        <v xml:space="preserve"> </v>
      </c>
      <c r="Q25" s="33" t="str">
        <f ca="1">IF(AND(Q11="paladin",Q12&gt;=14),"Cleansing Touch - "&amp;MAX(1,(P43))&amp;" uses",IF(AND(Q11="monk",Q12&gt;=5),"Extra Attack"," "))</f>
        <v xml:space="preserve"> </v>
      </c>
      <c r="R25" s="33" t="str">
        <f ca="1">IF(AND(R15="battle master",Q12&gt;=10),INDEX('Class Tables'!K40:K55,MATCH(6,('Class Tables'!I40:I55),0))," ")</f>
        <v xml:space="preserve"> </v>
      </c>
      <c r="S25" s="33" t="str">
        <f ca="1">IF(OR(S11="acolyte",S11="Guild artisan",S11="hermit",S11="noble",S11="knight",S11="outlander",S11="sage"),INDEX('Class Tables'!S177:S220,MATCH(4,('Class Tables'!Q177:Q220),0))," ")</f>
        <v xml:space="preserve"> </v>
      </c>
      <c r="AE25" s="29" t="s">
        <v>1568</v>
      </c>
      <c r="AF25" s="29">
        <f ca="1">RANDBETWEEN(1,2)</f>
        <v>1</v>
      </c>
      <c r="CB25" s="35">
        <f t="shared" ca="1" si="14"/>
        <v>7</v>
      </c>
      <c r="CC25" s="36">
        <f t="shared" ca="1" si="15"/>
        <v>0.66612242637739782</v>
      </c>
      <c r="CD25" s="29" t="s">
        <v>26</v>
      </c>
      <c r="CE25" s="31"/>
    </row>
    <row r="26" spans="2:83" x14ac:dyDescent="0.3">
      <c r="O26" s="33" t="str">
        <f ca="1">IF(AND(O11="ranger",O12&gt;=6),"Natural Explorer: "&amp;INDEX('Class Tables'!F212:F219,MATCH(2,('Class Tables'!D212:D219),0)),IF(AND(O11="monk",O12&gt;=5),"Stunning Strike",IF(AND($O$11="barbarian",$O$12&gt;=20),"Primal Champion"," ")))</f>
        <v xml:space="preserve"> </v>
      </c>
      <c r="P26" s="33" t="str">
        <f ca="1">IF(AND(P15="battle master",O12&gt;=10),INDEX('Class Tables'!K40:K55,MATCH(7,('Class Tables'!I40:I55),0))," ")</f>
        <v xml:space="preserve"> </v>
      </c>
      <c r="Q26" s="33" t="str">
        <f ca="1">IF(AND(Q11="ranger",Q12&gt;=10),"Natural Explorer: "&amp;INDEX('Class Tables'!F212:F219,MATCH(2,('Class Tables'!D212:D219),0)),IF(AND(Q11="monk",Q12&gt;=5),"Stunning Strike"," "))</f>
        <v xml:space="preserve"> </v>
      </c>
      <c r="R26" s="33" t="str">
        <f ca="1">IF(AND(R15="battle master",Q12&gt;=10),INDEX('Class Tables'!K40:K55,MATCH(7,('Class Tables'!I40:I55),0))," ")</f>
        <v xml:space="preserve"> </v>
      </c>
      <c r="S26" s="33" t="str">
        <f ca="1">IF(OR(S11="acolyte",S11="sage"),INDEX('Class Tables'!S177:S220,MATCH(5,('Class Tables'!Q177:Q220),0))," ")</f>
        <v xml:space="preserve"> </v>
      </c>
      <c r="AE26" s="29" t="s">
        <v>693</v>
      </c>
      <c r="AF26" s="29">
        <f ca="1">RANDBETWEEN(1,2)</f>
        <v>1</v>
      </c>
      <c r="AJ26" s="29" t="s">
        <v>685</v>
      </c>
      <c r="AK26" s="29" t="s">
        <v>686</v>
      </c>
      <c r="AL26" s="29" t="s">
        <v>687</v>
      </c>
      <c r="AM26" s="29" t="s">
        <v>688</v>
      </c>
      <c r="AN26" s="29" t="s">
        <v>689</v>
      </c>
      <c r="AO26" s="29" t="s">
        <v>694</v>
      </c>
      <c r="AP26" s="29" t="s">
        <v>695</v>
      </c>
      <c r="AQ26" s="29" t="s">
        <v>690</v>
      </c>
      <c r="AR26" s="29" t="s">
        <v>691</v>
      </c>
      <c r="AS26" s="29" t="s">
        <v>692</v>
      </c>
      <c r="AT26" s="29" t="s">
        <v>693</v>
      </c>
      <c r="AU26" s="29" t="s">
        <v>696</v>
      </c>
      <c r="AX26" s="29" t="s">
        <v>1810</v>
      </c>
      <c r="AY26" s="29" t="s">
        <v>1811</v>
      </c>
      <c r="AZ26" s="29" t="s">
        <v>1812</v>
      </c>
      <c r="BA26" s="29" t="s">
        <v>1813</v>
      </c>
      <c r="BB26" s="29" t="s">
        <v>1814</v>
      </c>
      <c r="BC26" s="29" t="s">
        <v>1815</v>
      </c>
      <c r="BD26" s="29" t="s">
        <v>1816</v>
      </c>
      <c r="BE26" s="29" t="s">
        <v>1823</v>
      </c>
      <c r="BF26" s="29" t="s">
        <v>1821</v>
      </c>
      <c r="BG26" s="29" t="s">
        <v>1817</v>
      </c>
      <c r="BH26" s="29" t="s">
        <v>1822</v>
      </c>
      <c r="BI26" s="29" t="s">
        <v>1818</v>
      </c>
      <c r="BJ26" s="29" t="s">
        <v>1720</v>
      </c>
      <c r="BK26" s="29" t="s">
        <v>1819</v>
      </c>
      <c r="BL26" s="29" t="s">
        <v>1820</v>
      </c>
      <c r="BN26" s="29">
        <f t="shared" ref="BN26:BN43" ca="1" si="29">_xlfn.RANK.EQ(BO26,$BO$26:$BO$43)</f>
        <v>1</v>
      </c>
      <c r="BO26" s="29">
        <f ca="1">IF(BP26="Acrobatics",RAND(),0)</f>
        <v>0</v>
      </c>
      <c r="BP26" s="29" t="str">
        <f ca="1">IF(OR(BM6&gt;=1,AV6&gt;=1),AH6," ")</f>
        <v xml:space="preserve"> </v>
      </c>
      <c r="BR26" s="29">
        <f t="shared" ref="BR26:BR43" ca="1" si="30">_xlfn.RANK.EQ(BS26,$BS$26:$BS$43)</f>
        <v>11</v>
      </c>
      <c r="BS26" s="29">
        <f t="shared" ref="BS26:BS43" ca="1" si="31">IF(BO26=0,RAND(),0)</f>
        <v>0.62564132274242401</v>
      </c>
      <c r="BU26" s="29">
        <f ca="1">_xlfn.RANK.EQ(BV26,$BV$26:$BV$29)</f>
        <v>1</v>
      </c>
      <c r="BV26" s="29">
        <f ca="1">IF(BW26="Arcana",RAND(),0)</f>
        <v>0</v>
      </c>
      <c r="BW26" s="29" t="str">
        <f ca="1">IF(OR($AV$8&gt;=1,$BR$8&gt;=1,BM8&gt;=1),"Arcana"," ")</f>
        <v xml:space="preserve"> </v>
      </c>
      <c r="BY26" s="29">
        <f ca="1">_xlfn.RANK.EQ(BZ26,$BZ$26:$BZ$29)</f>
        <v>2</v>
      </c>
      <c r="BZ26" s="29">
        <f t="shared" ref="BZ26:BZ32" ca="1" si="32">IF(BV26=0,RAND(),0)</f>
        <v>0.7847012052701009</v>
      </c>
      <c r="CB26" s="35">
        <f t="shared" ca="1" si="14"/>
        <v>3</v>
      </c>
      <c r="CC26" s="36">
        <f t="shared" ca="1" si="15"/>
        <v>0.90927138191822554</v>
      </c>
      <c r="CD26" s="29" t="s">
        <v>27</v>
      </c>
    </row>
    <row r="27" spans="2:83" x14ac:dyDescent="0.3">
      <c r="O27" s="33" t="str">
        <f ca="1">IF(AND(O11="ranger",O12&gt;=10),"Natural Explorer: "&amp;INDEX('Class Tables'!F212:F219,MATCH(3,('Class Tables'!D212:D219),0)),IF(AND(O11="monk",O12&gt;=6),"Ki-Empowered Strikes"," "))</f>
        <v xml:space="preserve"> </v>
      </c>
      <c r="P27" s="33" t="str">
        <f ca="1">IF(AND(P15="battle master",O12&gt;=15),INDEX('Class Tables'!K40:K55,MATCH(8,('Class Tables'!I40:I55),0))," ")</f>
        <v xml:space="preserve"> </v>
      </c>
      <c r="Q27" s="33" t="str">
        <f ca="1">IF(AND(Q11="ranger",Q12&gt;=10),"Natural Explorer: "&amp;INDEX('Class Tables'!F212:F219,MATCH(3,('Class Tables'!D212:D219),0)),IF(AND(Q11="monk",Q12&gt;=6),"Ki-Empowered Strikes"," "))</f>
        <v xml:space="preserve"> </v>
      </c>
      <c r="AI27" s="29">
        <v>1</v>
      </c>
      <c r="AJ27" s="29" t="str">
        <f ca="1">IF(O11="barbarian",INDEX(#REF!,MATCH($AI$27,(#REF!),0))," ")</f>
        <v xml:space="preserve"> </v>
      </c>
      <c r="AK27" s="29" t="str">
        <f ca="1">IF(OR(O11="bard",Q11="bard"),INDEX(#REF!,MATCH($AI$27,(#REF!),0))," ")</f>
        <v xml:space="preserve"> </v>
      </c>
      <c r="AL27" s="29" t="str">
        <f ca="1">IF(O11="cleric",INDEX(#REF!,MATCH(AI27,(#REF!),0))," ")</f>
        <v xml:space="preserve"> </v>
      </c>
      <c r="AM27" s="29" t="str">
        <f ca="1">IF(O11="Druid",INDEX(#REF!,MATCH(AI27,(#REF!),0))," ")</f>
        <v xml:space="preserve"> </v>
      </c>
      <c r="AN27" s="29" t="str">
        <f ca="1">IF(O11="fighter",INDEX(#REF!,MATCH(AI27,(#REF!),0))," ")</f>
        <v xml:space="preserve"> </v>
      </c>
      <c r="AO27" s="29" t="str">
        <f ca="1">IF(O11="monk",INDEX(#REF!,MATCH(AI27,(#REF!),0))," ")</f>
        <v xml:space="preserve"> </v>
      </c>
      <c r="AP27" s="29" t="str">
        <f ca="1">IF(O11="Paladin",INDEX(#REF!,MATCH(AI27,(#REF!),0))," ")</f>
        <v xml:space="preserve"> </v>
      </c>
      <c r="AQ27" s="29" t="str">
        <f ca="1">IF(OR(O11="ranger",Q11="ranger"),INDEX(#REF!,MATCH(AI27,(#REF!),0))," ")</f>
        <v xml:space="preserve"> </v>
      </c>
      <c r="AR27" s="29" t="str">
        <f ca="1">IF(OR(O11="rogue",Q11="rogue"),INDEX(#REF!,MATCH(AI27,(#REF!),0))," ")</f>
        <v xml:space="preserve"> </v>
      </c>
      <c r="AS27" s="29" t="str">
        <f ca="1">IF(O11="sorcerer",INDEX(#REF!,MATCH(AI27,(#REF!),0))," ")</f>
        <v xml:space="preserve"> </v>
      </c>
      <c r="AT27" s="29" t="str">
        <f ca="1">IF(O11="Warlock",INDEX(#REF!,MATCH(AI27,(#REF!),0))," ")</f>
        <v xml:space="preserve"> </v>
      </c>
      <c r="AU27" s="29" t="str">
        <f ca="1">IF(O11="wizard",INDEX(#REF!,MATCH(AI27,(#REF!),0))," ")</f>
        <v xml:space="preserve"> </v>
      </c>
      <c r="AX27" s="29" t="s">
        <v>17</v>
      </c>
      <c r="AY27" s="29" t="s">
        <v>15</v>
      </c>
      <c r="AZ27" s="29" t="s">
        <v>15</v>
      </c>
      <c r="BA27" s="29" t="s">
        <v>12</v>
      </c>
      <c r="BB27" s="29" t="s">
        <v>29</v>
      </c>
      <c r="BC27" s="29" t="s">
        <v>17</v>
      </c>
      <c r="BD27" s="29" t="s">
        <v>20</v>
      </c>
      <c r="BE27" s="29" t="s">
        <v>1824</v>
      </c>
      <c r="BF27" s="29" t="s">
        <v>16</v>
      </c>
      <c r="BG27" s="29" t="s">
        <v>14</v>
      </c>
      <c r="BH27" s="29" t="s">
        <v>14</v>
      </c>
      <c r="BI27" s="29" t="s">
        <v>13</v>
      </c>
      <c r="BJ27" s="29" t="s">
        <v>14</v>
      </c>
      <c r="BK27" s="29" t="s">
        <v>14</v>
      </c>
      <c r="BL27" s="29" t="s">
        <v>26</v>
      </c>
      <c r="BN27" s="29">
        <f t="shared" ca="1" si="29"/>
        <v>1</v>
      </c>
      <c r="BO27" s="29">
        <f ca="1">IF(BP27="Animal Handling",RAND(),0)</f>
        <v>0</v>
      </c>
      <c r="BP27" s="29" t="str">
        <f t="shared" ref="BP27:BP43" ca="1" si="33">IF(OR(BM7&gt;=1,AV7&gt;=1),AH7," ")</f>
        <v xml:space="preserve"> </v>
      </c>
      <c r="BR27" s="29">
        <f t="shared" ca="1" si="30"/>
        <v>7</v>
      </c>
      <c r="BS27" s="29">
        <f t="shared" ca="1" si="31"/>
        <v>0.79340203614120497</v>
      </c>
      <c r="BU27" s="29">
        <f ca="1">_xlfn.RANK.EQ(BV27,$BV$26:$BV$29)</f>
        <v>1</v>
      </c>
      <c r="BV27" s="29">
        <f ca="1">IF(BW27="History",RAND(),0)</f>
        <v>0</v>
      </c>
      <c r="BW27" s="29" t="str">
        <f ca="1">IF(OR($AV$11&gt;=1,$BR$11&gt;=1,BM11&gt;=1),"History"," ")</f>
        <v xml:space="preserve"> </v>
      </c>
      <c r="BY27" s="29">
        <f ca="1">_xlfn.RANK.EQ(BZ27,$BZ$26:$BZ$29)</f>
        <v>4</v>
      </c>
      <c r="BZ27" s="29">
        <f t="shared" ca="1" si="32"/>
        <v>1.1801923773885448E-2</v>
      </c>
      <c r="CB27" s="35">
        <f t="shared" ca="1" si="14"/>
        <v>1</v>
      </c>
      <c r="CC27" s="36">
        <f t="shared" ca="1" si="15"/>
        <v>0.96817697130570202</v>
      </c>
      <c r="CD27" s="29" t="s">
        <v>28</v>
      </c>
    </row>
    <row r="28" spans="2:83" x14ac:dyDescent="0.3">
      <c r="O28" s="33" t="str">
        <f ca="1">IF(AND(O11="monk",O12&gt;=7),"Evasion"," ")</f>
        <v xml:space="preserve"> </v>
      </c>
      <c r="P28" s="33" t="str">
        <f ca="1">IF(AND(P15="battle master",O12&gt;=15),INDEX('Class Tables'!K40:K55,MATCH(9,('Class Tables'!I40:I55),0))," ")</f>
        <v xml:space="preserve"> </v>
      </c>
      <c r="Q28" s="33" t="str">
        <f ca="1">IF(AND(Q11="monk",Q12&gt;=7),"Evasion"," ")</f>
        <v xml:space="preserve"> </v>
      </c>
      <c r="AE28" s="29" t="s">
        <v>1804</v>
      </c>
      <c r="AI28" s="29">
        <v>2</v>
      </c>
      <c r="AJ28" s="29" t="str">
        <f ca="1">IF(O11="barbarian",INDEX(#REF!,MATCH($AI$28,(#REF!),0))," ")</f>
        <v xml:space="preserve"> </v>
      </c>
      <c r="AK28" s="29" t="str">
        <f ca="1">IF(O11="bard",INDEX(#REF!,MATCH(AI28,(#REF!),0))," ")</f>
        <v xml:space="preserve"> </v>
      </c>
      <c r="AL28" s="29" t="str">
        <f ca="1">IF(O11="cleric",INDEX(#REF!,MATCH(AI28,(#REF!),0))," ")</f>
        <v xml:space="preserve"> </v>
      </c>
      <c r="AM28" s="29" t="str">
        <f ca="1">IF(O11="druid",INDEX(#REF!,MATCH(AI28,(#REF!),0))," ")</f>
        <v xml:space="preserve"> </v>
      </c>
      <c r="AN28" s="29" t="str">
        <f ca="1">IF(O11="fighter",INDEX(#REF!,MATCH(AI28,(#REF!),0))," ")</f>
        <v xml:space="preserve"> </v>
      </c>
      <c r="AO28" s="29" t="str">
        <f ca="1">IF(O11="monk",INDEX(#REF!,MATCH(AI28,(#REF!),0))," ")</f>
        <v xml:space="preserve"> </v>
      </c>
      <c r="AP28" s="29" t="str">
        <f ca="1">IF(O11="paladin",INDEX(#REF!,MATCH(AI28,(#REF!),0))," ")</f>
        <v xml:space="preserve"> </v>
      </c>
      <c r="AQ28" s="29" t="str">
        <f ca="1">IF(O11="ranger",INDEX(#REF!,MATCH(AI28,(#REF!),0))," ")</f>
        <v xml:space="preserve"> </v>
      </c>
      <c r="AR28" s="29" t="str">
        <f ca="1">IF(O11="rogue",INDEX(#REF!,MATCH(AI28,(#REF!),0))," ")</f>
        <v xml:space="preserve"> </v>
      </c>
      <c r="AS28" s="29" t="str">
        <f ca="1">IF(O11="sorcerer",INDEX(#REF!,MATCH(AI28,(#REF!),0))," ")</f>
        <v xml:space="preserve"> </v>
      </c>
      <c r="AT28" s="29" t="str">
        <f ca="1">IF(O11="warlock",INDEX(#REF!,MATCH(AI28,(#REF!),0))," ")</f>
        <v xml:space="preserve"> </v>
      </c>
      <c r="AU28" s="29" t="str">
        <f ca="1">IF(O11="wizard",INDEX(#REF!,MATCH(AI28,(#REF!),0))," ")</f>
        <v xml:space="preserve"> </v>
      </c>
      <c r="AX28" s="29" t="s">
        <v>25</v>
      </c>
      <c r="AY28" s="29" t="s">
        <v>26</v>
      </c>
      <c r="AZ28" s="29" t="s">
        <v>27</v>
      </c>
      <c r="BA28" s="29" t="s">
        <v>23</v>
      </c>
      <c r="BB28" s="29" t="s">
        <v>28</v>
      </c>
      <c r="BC28" s="29" t="s">
        <v>24</v>
      </c>
      <c r="BD28" s="29" t="s">
        <v>25</v>
      </c>
      <c r="BE28" s="29" t="s">
        <v>24</v>
      </c>
      <c r="BF28" s="29" t="s">
        <v>24</v>
      </c>
      <c r="BG28" s="29" t="s">
        <v>28</v>
      </c>
      <c r="BH28" s="29" t="s">
        <v>22</v>
      </c>
      <c r="BI28" s="29" t="s">
        <v>16</v>
      </c>
      <c r="BJ28" s="29" t="s">
        <v>22</v>
      </c>
      <c r="BK28" s="29" t="s">
        <v>18</v>
      </c>
      <c r="BL28" s="29" t="s">
        <v>27</v>
      </c>
      <c r="BN28" s="29">
        <f t="shared" ca="1" si="29"/>
        <v>1</v>
      </c>
      <c r="BO28" s="29">
        <f ca="1">IF(BP28="Arcana",RAND(),0)</f>
        <v>0</v>
      </c>
      <c r="BP28" s="29" t="str">
        <f t="shared" ca="1" si="33"/>
        <v xml:space="preserve"> </v>
      </c>
      <c r="BR28" s="29">
        <f t="shared" ca="1" si="30"/>
        <v>3</v>
      </c>
      <c r="BS28" s="29">
        <f t="shared" ca="1" si="31"/>
        <v>0.98018977237666327</v>
      </c>
      <c r="BU28" s="29">
        <f ca="1">_xlfn.RANK.EQ(BV28,$BV$26:$BV$29)</f>
        <v>1</v>
      </c>
      <c r="BV28" s="29">
        <f ca="1">IF(BW28="Nature",RAND(),0)</f>
        <v>0</v>
      </c>
      <c r="BW28" s="29" t="str">
        <f ca="1">IF(OR($AV$16&gt;=1,$BR$16&gt;=1,BM16&gt;=1),"Nature"," ")</f>
        <v xml:space="preserve"> </v>
      </c>
      <c r="BY28" s="29">
        <f ca="1">_xlfn.RANK.EQ(BZ28,$BZ$26:$BZ$29)</f>
        <v>1</v>
      </c>
      <c r="BZ28" s="29">
        <f t="shared" ca="1" si="32"/>
        <v>0.92612174086288213</v>
      </c>
    </row>
    <row r="29" spans="2:83" x14ac:dyDescent="0.3">
      <c r="O29" s="33" t="str">
        <f ca="1">IF(AND(O11="monk",O12&gt;=7),"Stillness of Mind"," ")</f>
        <v xml:space="preserve"> </v>
      </c>
      <c r="Q29" s="33" t="str">
        <f ca="1">IF(AND(Q11="monk",Q12&gt;=7),"Stillness of Mind"," ")</f>
        <v xml:space="preserve"> </v>
      </c>
      <c r="AE29" s="29">
        <f ca="1">RANDBETWEEN(2,8)</f>
        <v>2</v>
      </c>
      <c r="BN29" s="29">
        <f t="shared" ca="1" si="29"/>
        <v>1</v>
      </c>
      <c r="BO29" s="29">
        <f ca="1">IF(BP29="Athletics",RAND(),0)</f>
        <v>0</v>
      </c>
      <c r="BP29" s="29" t="str">
        <f t="shared" ca="1" si="33"/>
        <v xml:space="preserve"> </v>
      </c>
      <c r="BR29" s="29">
        <f t="shared" ca="1" si="30"/>
        <v>10</v>
      </c>
      <c r="BS29" s="29">
        <f t="shared" ca="1" si="31"/>
        <v>0.63241211111123896</v>
      </c>
      <c r="BU29" s="29">
        <f ca="1">_xlfn.RANK.EQ(BV29,$BV$26:$BV$29)</f>
        <v>1</v>
      </c>
      <c r="BV29" s="29">
        <f ca="1">IF(BW29="Religion",RAND(),0)</f>
        <v>0</v>
      </c>
      <c r="BW29" s="29" t="str">
        <f ca="1">IF(AND($AV$20&gt;=1,$BR$20&gt;=1,BM20&gt;=1),"Religion"," ")</f>
        <v xml:space="preserve"> </v>
      </c>
      <c r="BY29" s="29">
        <f ca="1">_xlfn.RANK.EQ(BZ29,$BZ$26:$BZ$29)</f>
        <v>3</v>
      </c>
      <c r="BZ29" s="29">
        <f t="shared" ca="1" si="32"/>
        <v>0.18502550183646516</v>
      </c>
      <c r="CB29" s="31" t="s">
        <v>729</v>
      </c>
      <c r="CC29" s="36"/>
    </row>
    <row r="30" spans="2:83" x14ac:dyDescent="0.3">
      <c r="O30" s="33" t="str">
        <f ca="1">IF(AND(O11="monk",O12&gt;=10),"Purity of Body"," ")</f>
        <v xml:space="preserve"> </v>
      </c>
      <c r="Q30" s="33" t="str">
        <f ca="1">IF(AND(Q11="monk",Q12&gt;=10),"Purity of Body"," ")</f>
        <v xml:space="preserve"> </v>
      </c>
      <c r="AE30" s="29">
        <f ca="1">RANDBETWEEN(2,12)</f>
        <v>5</v>
      </c>
      <c r="AI30" s="29">
        <v>3</v>
      </c>
      <c r="AK30" s="29" t="str">
        <f ca="1">IF(O11="bard",INDEX(#REF!,MATCH(AI30,(#REF!),0))," ")</f>
        <v xml:space="preserve"> </v>
      </c>
      <c r="AP30" s="29" t="str">
        <f ca="1">IF($AG$30="druid",VLOOKUP(RANDBETWEEN(1,8),Table51350464806863920336393447[],2)," ")</f>
        <v xml:space="preserve"> </v>
      </c>
      <c r="AQ30" s="29" t="str">
        <f ca="1">IF(O11="ranger",INDEX(#REF!,MATCH(AI30,(#REF!),0))," ")</f>
        <v xml:space="preserve"> </v>
      </c>
      <c r="AR30" s="29" t="str">
        <f ca="1">IF(O11="rogue",INDEX(#REF!,MATCH(AI30,(#REF!),0))," ")</f>
        <v xml:space="preserve"> </v>
      </c>
      <c r="AT30" s="29" t="str">
        <f ca="1">IF(OR(COUNTIF(O18:O25,"*"&amp;"beguiling influence"&amp;"*"),COUNTIF(O13:O13,"*"&amp;"beguiling influence"&amp;"*")),"Deception"," ")</f>
        <v xml:space="preserve"> </v>
      </c>
      <c r="BN30" s="29">
        <f t="shared" ca="1" si="29"/>
        <v>1</v>
      </c>
      <c r="BO30" s="29">
        <f ca="1">IF(BP30="Deception",RAND(),0)</f>
        <v>0</v>
      </c>
      <c r="BP30" s="29" t="str">
        <f t="shared" ca="1" si="33"/>
        <v xml:space="preserve"> </v>
      </c>
      <c r="BR30" s="29">
        <f t="shared" ca="1" si="30"/>
        <v>6</v>
      </c>
      <c r="BS30" s="29">
        <f t="shared" ca="1" si="31"/>
        <v>0.85392166488750343</v>
      </c>
      <c r="BU30" s="29">
        <f ca="1">_xlfn.RANK.EQ(BV30,$BV$30:$BV$32)</f>
        <v>1</v>
      </c>
      <c r="BV30" s="29">
        <f ca="1">IF(BW30="Animal Handling",RAND(),0)</f>
        <v>0</v>
      </c>
      <c r="BW30" s="29" t="str">
        <f ca="1">IF(OR($AV$7&gt;=1,$BR$7&gt;=1,BM7&gt;=1),"Animal Handling"," ")</f>
        <v xml:space="preserve"> </v>
      </c>
      <c r="BY30" s="29">
        <f ca="1">_xlfn.RANK.EQ(BZ30,$BZ$30:$BZ$32)</f>
        <v>2</v>
      </c>
      <c r="BZ30" s="29">
        <f t="shared" ca="1" si="32"/>
        <v>0.75349095633682239</v>
      </c>
      <c r="CB30" s="35">
        <f ca="1">_xlfn.RANK.EQ(CC30,$CC$30:$CC$34)</f>
        <v>2</v>
      </c>
      <c r="CC30" s="36">
        <f ca="1">IF(BM11&gt;0,0,RAND())</f>
        <v>0.75285226485901635</v>
      </c>
      <c r="CD30" s="29" t="s">
        <v>16</v>
      </c>
    </row>
    <row r="31" spans="2:83" x14ac:dyDescent="0.3">
      <c r="O31" s="33" t="str">
        <f ca="1">IF(AND(O11="monk",O12&gt;=13),"Tongue of the Sun and Moon"," ")</f>
        <v xml:space="preserve"> </v>
      </c>
      <c r="AE31" s="29">
        <f ca="1">RANDBETWEEN(2,16)</f>
        <v>5</v>
      </c>
      <c r="AI31" s="29">
        <v>4</v>
      </c>
      <c r="AK31" s="29" t="str">
        <f ca="1">IF(P15="college of lore",INDEX(#REF!,MATCH(AI31,(#REF!),0))," ")</f>
        <v xml:space="preserve"> </v>
      </c>
      <c r="AR31" s="29" t="str">
        <f ca="1">IF(O11="rogue",INDEX(#REF!,MATCH(AI31,(#REF!),0))," ")</f>
        <v xml:space="preserve"> </v>
      </c>
      <c r="AT31" s="29" t="str">
        <f ca="1">IF(OR(COUNTIF(O18:O25,"*"&amp;"beguiling influence"&amp;"*"),COUNTIF(O13:O13,"*"&amp;"beguiling influence"&amp;"*")),"Persuasion"," ")</f>
        <v xml:space="preserve"> </v>
      </c>
      <c r="BN31" s="29">
        <f t="shared" ca="1" si="29"/>
        <v>1</v>
      </c>
      <c r="BO31" s="29">
        <f ca="1">IF(BP31="History",RAND(),0)</f>
        <v>0</v>
      </c>
      <c r="BP31" s="29" t="str">
        <f t="shared" ca="1" si="33"/>
        <v xml:space="preserve"> </v>
      </c>
      <c r="BR31" s="29">
        <f t="shared" ca="1" si="30"/>
        <v>13</v>
      </c>
      <c r="BS31" s="29">
        <f t="shared" ca="1" si="31"/>
        <v>0.48962103402712798</v>
      </c>
      <c r="BU31" s="29">
        <f ca="1">_xlfn.RANK.EQ(BV31,$BV$30:$BV$32)</f>
        <v>1</v>
      </c>
      <c r="BV31" s="29">
        <f ca="1">IF(BW31="Nature",RAND(),0)</f>
        <v>0</v>
      </c>
      <c r="BW31" s="29" t="str">
        <f ca="1">IF(OR($AV$16&gt;=1,$BR$16&gt;=1,BM16&gt;=1),"Nature"," ")</f>
        <v xml:space="preserve"> </v>
      </c>
      <c r="BY31" s="29">
        <f ca="1">_xlfn.RANK.EQ(BZ31,$BZ$30:$BZ$32)</f>
        <v>1</v>
      </c>
      <c r="BZ31" s="29">
        <f t="shared" ca="1" si="32"/>
        <v>0.94914123207571333</v>
      </c>
      <c r="CB31" s="35">
        <f ca="1">_xlfn.RANK.EQ(CC31,$CC$30:$CC$34)</f>
        <v>5</v>
      </c>
      <c r="CC31" s="36">
        <f ca="1">IF(BM12&gt;0,0,RAND())</f>
        <v>8.8888941807450328E-2</v>
      </c>
      <c r="CD31" s="29" t="s">
        <v>17</v>
      </c>
      <c r="CE31" s="31"/>
    </row>
    <row r="32" spans="2:83" x14ac:dyDescent="0.3">
      <c r="O32" s="33" t="str">
        <f ca="1">IF(AND(O11="monk",O12&gt;=14),"Diamond Soul"," ")</f>
        <v xml:space="preserve"> </v>
      </c>
      <c r="AE32" s="29">
        <f ca="1">RANDBETWEEN(2,20)</f>
        <v>12</v>
      </c>
      <c r="AI32" s="29">
        <v>5</v>
      </c>
      <c r="AK32" s="29" t="str">
        <f ca="1">IF(P15="college of lore",INDEX(#REF!,MATCH(AI32,(#REF!),0))," ")</f>
        <v xml:space="preserve"> </v>
      </c>
      <c r="BN32" s="29">
        <f t="shared" ca="1" si="29"/>
        <v>1</v>
      </c>
      <c r="BO32" s="29">
        <f ca="1">IF(BP32="Insight",RAND(),0)</f>
        <v>0</v>
      </c>
      <c r="BP32" s="29" t="str">
        <f t="shared" ca="1" si="33"/>
        <v xml:space="preserve"> </v>
      </c>
      <c r="BR32" s="29">
        <f t="shared" ca="1" si="30"/>
        <v>15</v>
      </c>
      <c r="BS32" s="29">
        <f t="shared" ca="1" si="31"/>
        <v>0.29529202056497861</v>
      </c>
      <c r="BU32" s="29">
        <f ca="1">_xlfn.RANK.EQ(BV32,$BV$30:$BV$32)</f>
        <v>1</v>
      </c>
      <c r="BV32" s="29">
        <f ca="1">IF(BW32="Survival",RAND(),0)</f>
        <v>0</v>
      </c>
      <c r="BW32" s="29" t="str">
        <f ca="1">IF(OR($AV$23&gt;=1,$BR$23&gt;=1,BM23&gt;=1),"Survival"," ")</f>
        <v xml:space="preserve"> </v>
      </c>
      <c r="BY32" s="29">
        <f ca="1">_xlfn.RANK.EQ(BZ32,$BZ$30:$BZ$32)</f>
        <v>3</v>
      </c>
      <c r="BZ32" s="29">
        <f t="shared" ca="1" si="32"/>
        <v>0.16880441671563329</v>
      </c>
      <c r="CB32" s="35">
        <f ca="1">_xlfn.RANK.EQ(CC32,$CC$30:$CC$34)</f>
        <v>3</v>
      </c>
      <c r="CC32" s="36">
        <f ca="1">IF(BM15&gt;0,0,RAND())</f>
        <v>0.52806345510476094</v>
      </c>
      <c r="CD32" s="29" t="s">
        <v>20</v>
      </c>
    </row>
    <row r="33" spans="1:83" x14ac:dyDescent="0.3">
      <c r="O33" s="33" t="str">
        <f ca="1">IF(AND(O11="monk",O12&gt;=15),"Timeless Body"," ")</f>
        <v xml:space="preserve"> </v>
      </c>
      <c r="AI33" s="29">
        <v>6</v>
      </c>
      <c r="AK33" s="29" t="str">
        <f ca="1">IF(P15="college of lore",INDEX(#REF!,MATCH(AI33,(#REF!),0))," ")</f>
        <v xml:space="preserve"> </v>
      </c>
      <c r="BN33" s="29">
        <f t="shared" ca="1" si="29"/>
        <v>1</v>
      </c>
      <c r="BO33" s="29">
        <f ca="1">IF(BP33="Intimidation",RAND(),0)</f>
        <v>0</v>
      </c>
      <c r="BP33" s="29" t="str">
        <f t="shared" ca="1" si="33"/>
        <v xml:space="preserve"> </v>
      </c>
      <c r="BR33" s="29">
        <f t="shared" ca="1" si="30"/>
        <v>9</v>
      </c>
      <c r="BS33" s="29">
        <f t="shared" ca="1" si="31"/>
        <v>0.73387737308375423</v>
      </c>
      <c r="CB33" s="35">
        <f ca="1">_xlfn.RANK.EQ(CC33,$CC$30:$CC$34)</f>
        <v>4</v>
      </c>
      <c r="CC33" s="36">
        <f ca="1">IF(BM19&gt;0,0,RAND())</f>
        <v>0.45714742546125664</v>
      </c>
      <c r="CD33" s="29" t="s">
        <v>24</v>
      </c>
    </row>
    <row r="34" spans="1:83" x14ac:dyDescent="0.3">
      <c r="O34" s="33" t="str">
        <f ca="1">IF(AND(O11="Monk",O12&gt;=18),"Empty Body"," ")</f>
        <v xml:space="preserve"> </v>
      </c>
      <c r="BN34" s="29">
        <f t="shared" ca="1" si="29"/>
        <v>1</v>
      </c>
      <c r="BO34" s="29">
        <f ca="1">IF(BP34="Investigation",RAND(),0)</f>
        <v>0</v>
      </c>
      <c r="BP34" s="29" t="str">
        <f t="shared" ca="1" si="33"/>
        <v xml:space="preserve"> </v>
      </c>
      <c r="BR34" s="29">
        <f t="shared" ca="1" si="30"/>
        <v>18</v>
      </c>
      <c r="BS34" s="29">
        <f t="shared" ca="1" si="31"/>
        <v>5.9208119001397663E-2</v>
      </c>
      <c r="CB34" s="35">
        <f ca="1">_xlfn.RANK.EQ(CC34,$CC$30:$CC$34)</f>
        <v>1</v>
      </c>
      <c r="CC34" s="36">
        <f ca="1">IF(BM20&gt;0,0,RAND())</f>
        <v>0.93131863970050388</v>
      </c>
      <c r="CD34" s="29" t="s">
        <v>25</v>
      </c>
    </row>
    <row r="35" spans="1:83" x14ac:dyDescent="0.3">
      <c r="O35" s="33" t="str">
        <f ca="1">IF(AND(O11="monk",O12&gt;=20),"Perfect Body"," ")</f>
        <v xml:space="preserve"> </v>
      </c>
      <c r="AE35" s="29" t="s">
        <v>2255</v>
      </c>
      <c r="AF35" s="29">
        <f ca="1">RANDBETWEEN(1,3)</f>
        <v>2</v>
      </c>
      <c r="BN35" s="29">
        <f t="shared" ca="1" si="29"/>
        <v>1</v>
      </c>
      <c r="BO35" s="29">
        <f ca="1">IF(BP35="Medicine",RAND(),0)</f>
        <v>0</v>
      </c>
      <c r="BP35" s="29" t="str">
        <f t="shared" ca="1" si="33"/>
        <v xml:space="preserve"> </v>
      </c>
      <c r="BR35" s="29">
        <f t="shared" ca="1" si="30"/>
        <v>1</v>
      </c>
      <c r="BS35" s="29">
        <f t="shared" ca="1" si="31"/>
        <v>0.98397206163505302</v>
      </c>
    </row>
    <row r="36" spans="1:83" ht="19.5" thickBot="1" x14ac:dyDescent="0.35">
      <c r="A36" s="33"/>
      <c r="B36" s="38"/>
      <c r="C36" s="38"/>
      <c r="D36" s="38"/>
      <c r="E36" s="38"/>
      <c r="F36" s="38"/>
      <c r="G36" s="38"/>
      <c r="H36" s="38"/>
      <c r="I36" s="38"/>
      <c r="J36" s="38"/>
      <c r="K36" s="38"/>
      <c r="L36" s="38"/>
      <c r="M36" s="38"/>
      <c r="N36" s="38"/>
      <c r="O36" s="38"/>
      <c r="P36" s="38"/>
      <c r="AE36" s="29" t="s">
        <v>2256</v>
      </c>
      <c r="AF36" s="29">
        <f ca="1">RANDBETWEEN(1,2)</f>
        <v>1</v>
      </c>
      <c r="BN36" s="29">
        <f t="shared" ca="1" si="29"/>
        <v>1</v>
      </c>
      <c r="BO36" s="29">
        <f ca="1">IF(BP36="Nature",RAND(),0)</f>
        <v>0</v>
      </c>
      <c r="BP36" s="29" t="str">
        <f t="shared" ca="1" si="33"/>
        <v xml:space="preserve"> </v>
      </c>
      <c r="BR36" s="29">
        <f t="shared" ca="1" si="30"/>
        <v>14</v>
      </c>
      <c r="BS36" s="29">
        <f t="shared" ca="1" si="31"/>
        <v>0.31528184653064806</v>
      </c>
      <c r="CB36" s="31" t="s">
        <v>730</v>
      </c>
      <c r="CE36" s="31"/>
    </row>
    <row r="37" spans="1:83" ht="30.75" thickBot="1" x14ac:dyDescent="0.45">
      <c r="A37" s="137"/>
      <c r="B37" s="122" t="s">
        <v>10</v>
      </c>
      <c r="C37" s="53" t="s">
        <v>710</v>
      </c>
      <c r="D37" s="53" t="s">
        <v>676</v>
      </c>
      <c r="E37" s="53" t="s">
        <v>677</v>
      </c>
      <c r="F37" s="53" t="s">
        <v>678</v>
      </c>
      <c r="G37" s="53" t="s">
        <v>679</v>
      </c>
      <c r="H37" s="53" t="s">
        <v>680</v>
      </c>
      <c r="I37" s="53" t="s">
        <v>675</v>
      </c>
      <c r="J37" s="53"/>
      <c r="K37" s="53"/>
      <c r="L37" s="53"/>
      <c r="M37" s="53"/>
      <c r="N37" s="53"/>
      <c r="O37" s="53" t="s">
        <v>8</v>
      </c>
      <c r="P37" s="116" t="s">
        <v>9</v>
      </c>
      <c r="BN37" s="29">
        <f t="shared" ca="1" si="29"/>
        <v>1</v>
      </c>
      <c r="BO37" s="29">
        <f ca="1">IF(BP37="Perception",RAND(),0)</f>
        <v>0</v>
      </c>
      <c r="BP37" s="29" t="str">
        <f t="shared" ca="1" si="33"/>
        <v xml:space="preserve"> </v>
      </c>
      <c r="BR37" s="29">
        <f t="shared" ca="1" si="30"/>
        <v>2</v>
      </c>
      <c r="BS37" s="29">
        <f t="shared" ca="1" si="31"/>
        <v>0.98218540827152112</v>
      </c>
      <c r="CB37" s="35">
        <f t="shared" ref="CB37:CB44" ca="1" si="34">_xlfn.RANK.EQ(CC37,$CC$37:$CC$44)</f>
        <v>4</v>
      </c>
      <c r="CC37" s="36">
        <f ca="1">IF(BM8&gt;0,0,RAND())</f>
        <v>0.83183338183548994</v>
      </c>
      <c r="CD37" s="29" t="s">
        <v>13</v>
      </c>
    </row>
    <row r="38" spans="1:83" ht="19.5" thickTop="1" x14ac:dyDescent="0.3">
      <c r="A38" s="137"/>
      <c r="B38" s="33" t="s">
        <v>1</v>
      </c>
      <c r="C38" s="33" t="str">
        <f ca="1">IF(O26="Primal Champion",4," ")</f>
        <v xml:space="preserve"> </v>
      </c>
      <c r="D38" s="33">
        <f ca="1">IF(AND($AF$2="strength",$AF$3="strength"),2,IF(OR($AF$2="strength",$AF$3="strength"),1," "))</f>
        <v>1</v>
      </c>
      <c r="E38" s="33">
        <f ca="1">IF(AND($AF$4="strength",$AF$5="strength"),2,IF(OR($AF$4="strength",$AF$5="strength"),1," "))</f>
        <v>1</v>
      </c>
      <c r="F38" s="33">
        <f ca="1">IF(AND($AF$6="strength",$AF$7="strength"),2,IF(OR($AF$6="strength",$AF$7="strength"),1," "))</f>
        <v>1</v>
      </c>
      <c r="G38" s="33" t="str">
        <f ca="1">IF(AND($AF$8="strength",$AF$9="strength"),2,IF(OR($AF$8="strength",$AF$9="strength"),1," "))</f>
        <v xml:space="preserve"> </v>
      </c>
      <c r="H38" s="33" t="str">
        <f ca="1">IF(AND($AF$10="strength",$AF$11="strength"),2,IF(OR($AF$10="strength",$AF$11="strength"),1," "))</f>
        <v xml:space="preserve"> </v>
      </c>
      <c r="I38" s="33">
        <f ca="1">IF(OR(Q2="dragonborn",P2="mountain",Q2="Half-orc"),SUM(J38:M38)-SMALL(J38:M38,1)+2,IF(Q2="human",(SUM(J38:M38)-SMALL(J38:M38,1)+1),(SUM(J38:M38)-SMALL(J38:M38,1))))</f>
        <v>9</v>
      </c>
      <c r="J38" s="33">
        <f t="shared" ref="J38:M43" ca="1" si="35">RANDBETWEEN(1,6)</f>
        <v>1</v>
      </c>
      <c r="K38" s="33">
        <f t="shared" ca="1" si="35"/>
        <v>2</v>
      </c>
      <c r="L38" s="33">
        <f t="shared" ca="1" si="35"/>
        <v>1</v>
      </c>
      <c r="M38" s="33">
        <f t="shared" ca="1" si="35"/>
        <v>6</v>
      </c>
      <c r="N38" s="33"/>
      <c r="O38" s="33">
        <f ca="1">IF(OR(O11="barbarian",O11="fighter",O11="paladin"),MAX(13,(SUM(C38:I38))),IF(OR(Q11="barbarian",Q11="fighter",Q11="paladin"),MAX(13,(SUM(C38:I38))),SUM(C38:I38)))</f>
        <v>12</v>
      </c>
      <c r="P38" s="117">
        <f ca="1">VLOOKUP(O38,Table1[],2)</f>
        <v>1</v>
      </c>
      <c r="BN38" s="29">
        <f t="shared" ca="1" si="29"/>
        <v>1</v>
      </c>
      <c r="BO38" s="29">
        <f ca="1">IF(BP38="Performance",RAND(),0)</f>
        <v>0</v>
      </c>
      <c r="BP38" s="29" t="str">
        <f t="shared" ca="1" si="33"/>
        <v xml:space="preserve"> </v>
      </c>
      <c r="BR38" s="29">
        <f t="shared" ca="1" si="30"/>
        <v>17</v>
      </c>
      <c r="BS38" s="29">
        <f t="shared" ca="1" si="31"/>
        <v>0.16516920523300782</v>
      </c>
      <c r="CB38" s="35">
        <f t="shared" ca="1" si="34"/>
        <v>7</v>
      </c>
      <c r="CC38" s="36">
        <f ca="1">IF(BM7&gt;0,0,RAND())</f>
        <v>0.50457328920912969</v>
      </c>
      <c r="CD38" s="29" t="s">
        <v>29</v>
      </c>
    </row>
    <row r="39" spans="1:83" x14ac:dyDescent="0.3">
      <c r="A39" s="137"/>
      <c r="B39" s="33" t="s">
        <v>2</v>
      </c>
      <c r="C39" s="33"/>
      <c r="D39" s="33" t="str">
        <f ca="1">IF(AND($AF$2="dexterity",$AF$3="dexterity"),2,IF(OR($AF$2="dexterity",$AF$3="dexterity"),1," "))</f>
        <v xml:space="preserve"> </v>
      </c>
      <c r="E39" s="33" t="str">
        <f ca="1">IF(AND($AF$4="dexterity",$AF$5="dexterity"),2,IF(OR($AF$4="dexterity",$AF$5="dexterity"),1," "))</f>
        <v xml:space="preserve"> </v>
      </c>
      <c r="F39" s="33" t="str">
        <f ca="1">IF(AND($AF$6="dexterity",$AF$7="dexterity"),2,IF(OR($AF$6="dexterity",$AF$7="dexterity"),1," "))</f>
        <v xml:space="preserve"> </v>
      </c>
      <c r="G39" s="33" t="str">
        <f ca="1">IF(AND($AF$8="dexterity",$AF$9="dexterity"),2,IF(OR($AF$8="dexterity",$AF$9="dexterity"),1," "))</f>
        <v xml:space="preserve"> </v>
      </c>
      <c r="H39" s="33" t="str">
        <f ca="1">IF(AND($AF$10="dexterity",$AF$11="dexterity"),2,IF(OR($AF$10="dexterity",$AF$11="dexterity"),1," "))</f>
        <v xml:space="preserve"> </v>
      </c>
      <c r="I39" s="33">
        <f ca="1">IF(OR(Q2="elf",Q2="halfling"),SUM(J39:M39)-SMALL(J39:M39,1)+2,IF(OR(Q2="human",P2="forest",Q2="half-elf"),SUM(J39:M39)-SMALL(J39:M39,1)+1,SUM(J39:M39)-SMALL(J39:M39,1)))</f>
        <v>10</v>
      </c>
      <c r="J39" s="33">
        <f t="shared" ca="1" si="35"/>
        <v>1</v>
      </c>
      <c r="K39" s="33">
        <f t="shared" ca="1" si="35"/>
        <v>2</v>
      </c>
      <c r="L39" s="33">
        <f t="shared" ca="1" si="35"/>
        <v>5</v>
      </c>
      <c r="M39" s="33">
        <f t="shared" ca="1" si="35"/>
        <v>1</v>
      </c>
      <c r="N39" s="33"/>
      <c r="O39" s="33">
        <f ca="1">IF(OR(O11="fighter",O11="ranger",O11="rogue"),MAX(13,(SUM(C39:I39))),IF(OR(Q11="fighter",Q11="ranger",Q11="rogue"),MAX(13,(SUM(C39:I39))),SUM(C39:I39)))</f>
        <v>10</v>
      </c>
      <c r="P39" s="117">
        <f ca="1">VLOOKUP(O39,Table1[],2)</f>
        <v>0</v>
      </c>
      <c r="BN39" s="29">
        <f t="shared" ca="1" si="29"/>
        <v>1</v>
      </c>
      <c r="BO39" s="29">
        <f ca="1">IF(BP39="Persuasion",RAND(),0)</f>
        <v>0</v>
      </c>
      <c r="BP39" s="29" t="str">
        <f t="shared" ca="1" si="33"/>
        <v xml:space="preserve"> </v>
      </c>
      <c r="BR39" s="29">
        <f t="shared" ca="1" si="30"/>
        <v>12</v>
      </c>
      <c r="BS39" s="29">
        <f t="shared" ca="1" si="31"/>
        <v>0.56574456022511566</v>
      </c>
      <c r="CB39" s="35">
        <f t="shared" ca="1" si="34"/>
        <v>3</v>
      </c>
      <c r="CC39" s="36">
        <f ca="1">IF(BM12&gt;0,0,RAND())</f>
        <v>0.92826860525406563</v>
      </c>
      <c r="CD39" s="29" t="s">
        <v>17</v>
      </c>
    </row>
    <row r="40" spans="1:83" x14ac:dyDescent="0.3">
      <c r="A40" s="137"/>
      <c r="B40" s="33" t="s">
        <v>3</v>
      </c>
      <c r="C40" s="33" t="str">
        <f ca="1">IF(O26="primal Champion",4," ")</f>
        <v xml:space="preserve"> </v>
      </c>
      <c r="D40" s="33" t="str">
        <f ca="1">IF(AND($AF$2="constitution",$AF$3="constitution"),2,IF(OR($AF$2="constitution",$AF$3="constitution"),1," "))</f>
        <v xml:space="preserve"> </v>
      </c>
      <c r="E40" s="33" t="str">
        <f ca="1">IF(AND($AF$4="constitution",$AF$5="constitution"),2,IF(OR($AF$4="constitution",$AF$5="constitution"),1," "))</f>
        <v xml:space="preserve"> </v>
      </c>
      <c r="F40" s="33" t="str">
        <f ca="1">IF(AND($AF$6="constitution",$AF$7="constitution"),2,IF(OR($AF$6="constitution",$AF$7="constitution"),1," "))</f>
        <v xml:space="preserve"> </v>
      </c>
      <c r="G40" s="33" t="str">
        <f ca="1">IF(AND($AF$8="constitution",$AF$9="constitution"),2,IF(OR($AF$8="constitution",$AF$9="constitution"),1," "))</f>
        <v xml:space="preserve"> </v>
      </c>
      <c r="H40" s="33" t="str">
        <f ca="1">IF(AND($AF$10="constitution",$AF$11="constitution"),2,IF(OR($AF$10="constitution",$AF$11="constitution"),1," "))</f>
        <v xml:space="preserve"> </v>
      </c>
      <c r="I40" s="33">
        <f ca="1">IF(Q2="dwarf",SUM(J40:M40)-SMALL(J40:M40,1)+2,IF(OR(P2="stout",Q2="human",P2="rock",Q2="half-elf",Q2="half-orc"),SUM(J40:M40)-SMALL(J40:M40,1)+1,SUM(J40:M40)-SMALL(J40:M40,1)))</f>
        <v>9</v>
      </c>
      <c r="J40" s="33">
        <f t="shared" ca="1" si="35"/>
        <v>3</v>
      </c>
      <c r="K40" s="33">
        <f t="shared" ca="1" si="35"/>
        <v>1</v>
      </c>
      <c r="L40" s="33">
        <f t="shared" ca="1" si="35"/>
        <v>3</v>
      </c>
      <c r="M40" s="33">
        <f t="shared" ca="1" si="35"/>
        <v>3</v>
      </c>
      <c r="N40" s="33"/>
      <c r="O40" s="33">
        <f ca="1">SUM(C40:I40)</f>
        <v>9</v>
      </c>
      <c r="P40" s="117">
        <f ca="1">IF(P2="hill",VLOOKUP(O40,Table1[],2)+1,VLOOKUP(O40,Table1[],2))</f>
        <v>-1</v>
      </c>
      <c r="AJ40" s="29" t="s">
        <v>1650</v>
      </c>
      <c r="AK40" s="29" t="s">
        <v>530</v>
      </c>
      <c r="BN40" s="29">
        <f t="shared" ca="1" si="29"/>
        <v>1</v>
      </c>
      <c r="BO40" s="29">
        <f ca="1">IF(BP40="Religion",RAND(),0)</f>
        <v>0</v>
      </c>
      <c r="BP40" s="29" t="str">
        <f t="shared" ca="1" si="33"/>
        <v xml:space="preserve"> </v>
      </c>
      <c r="BR40" s="29">
        <f t="shared" ca="1" si="30"/>
        <v>5</v>
      </c>
      <c r="BS40" s="29">
        <f t="shared" ca="1" si="31"/>
        <v>0.8923824150378139</v>
      </c>
      <c r="CB40" s="35">
        <f t="shared" ca="1" si="34"/>
        <v>8</v>
      </c>
      <c r="CC40" s="36">
        <f ca="1">IF(BM15&gt;0,0,RAND())</f>
        <v>0.38458231307795054</v>
      </c>
      <c r="CD40" s="29" t="s">
        <v>20</v>
      </c>
    </row>
    <row r="41" spans="1:83" x14ac:dyDescent="0.3">
      <c r="A41" s="137"/>
      <c r="B41" s="33" t="s">
        <v>4</v>
      </c>
      <c r="C41" s="33"/>
      <c r="D41" s="33" t="str">
        <f ca="1">IF(AND($AF$2="intelligence",$AF$3="intelligence"),2,IF(OR($AF$2="Intelligence",$AF$3="intelligence"),1," "))</f>
        <v xml:space="preserve"> </v>
      </c>
      <c r="E41" s="33" t="str">
        <f ca="1">IF(AND($AF$4="intelligence",$AF$5="intelligence"),2,IF(OR($AF$4="Intelligence",$AF$5="intelligence"),1," "))</f>
        <v xml:space="preserve"> </v>
      </c>
      <c r="F41" s="33" t="str">
        <f ca="1">IF(AND($AF$6="intelligence",$AF$7="intelligence"),2,IF(OR($AF$6="Intelligence",$AF$7="intelligence"),1," "))</f>
        <v xml:space="preserve"> </v>
      </c>
      <c r="G41" s="33" t="str">
        <f ca="1">IF(AND($AF$8="intelligence",$AF$9="intelligence"),2,IF(OR($AF$8="Intelligence",$AF$9="intelligence"),1," "))</f>
        <v xml:space="preserve"> </v>
      </c>
      <c r="H41" s="33" t="str">
        <f ca="1">IF(AND($AF$10="intelligence",$AF$11="intelligence"),2,IF(OR($AF$10="Intelligence",$AF$11="intelligence"),1," "))</f>
        <v xml:space="preserve"> </v>
      </c>
      <c r="I41" s="33">
        <f ca="1">IF(OR(P2="high",Q2="human",Q2="tiefling"),SUM(J41:M41)-SMALL(J41:M41,1)+1,IF(Q2="gnome",SUM(J41:M41)-SMALL(J41:M41,1)+2,SUM(J41:M41)-SMALL(J41:M41,1)))</f>
        <v>11</v>
      </c>
      <c r="J41" s="33">
        <f t="shared" ca="1" si="35"/>
        <v>5</v>
      </c>
      <c r="K41" s="33">
        <f t="shared" ca="1" si="35"/>
        <v>1</v>
      </c>
      <c r="L41" s="33">
        <f t="shared" ca="1" si="35"/>
        <v>2</v>
      </c>
      <c r="M41" s="33">
        <f t="shared" ca="1" si="35"/>
        <v>4</v>
      </c>
      <c r="N41" s="33"/>
      <c r="O41" s="33">
        <f ca="1">IF(O11="wizard",MAX(13,(SUM(C41:I41))),IF(Q11="wizard",MAX(13,(SUM(C41:I41))),SUM(C41:I41)))</f>
        <v>11</v>
      </c>
      <c r="P41" s="117">
        <f ca="1">VLOOKUP(O41,Table1[],2)</f>
        <v>0</v>
      </c>
      <c r="AJ41" s="29" t="s">
        <v>1649</v>
      </c>
      <c r="AK41" s="29" t="str">
        <f ca="1">IF(Q11="wizard",((Q12-1)*2)+6," ")</f>
        <v xml:space="preserve"> </v>
      </c>
      <c r="BN41" s="29">
        <f t="shared" ca="1" si="29"/>
        <v>1</v>
      </c>
      <c r="BO41" s="29">
        <f ca="1">IF(BP41="Sleight of Hand",RAND(),0)</f>
        <v>0</v>
      </c>
      <c r="BP41" s="29" t="str">
        <f t="shared" ca="1" si="33"/>
        <v xml:space="preserve"> </v>
      </c>
      <c r="BR41" s="29">
        <f t="shared" ca="1" si="30"/>
        <v>16</v>
      </c>
      <c r="BS41" s="29">
        <f t="shared" ca="1" si="31"/>
        <v>0.19961698613592205</v>
      </c>
      <c r="CB41" s="35">
        <f t="shared" ca="1" si="34"/>
        <v>6</v>
      </c>
      <c r="CC41" s="36">
        <f ca="1">IF(BM16&gt;0,0,RAND())</f>
        <v>0.54867898282517591</v>
      </c>
      <c r="CD41" s="29" t="s">
        <v>21</v>
      </c>
      <c r="CE41" s="31"/>
    </row>
    <row r="42" spans="1:83" x14ac:dyDescent="0.3">
      <c r="A42" s="137"/>
      <c r="B42" s="33" t="s">
        <v>5</v>
      </c>
      <c r="C42" s="33"/>
      <c r="D42" s="33" t="str">
        <f ca="1">IF(AND($AF$2="wisdom",$AF$3="wisdom"),2,IF(OR($AF$2="wisdom",$AF$3="wisdom"),1," "))</f>
        <v xml:space="preserve"> </v>
      </c>
      <c r="E42" s="33" t="str">
        <f ca="1">IF(AND($AF$4="wisdom",$AF$5="wisdom"),2,IF(OR($AF$4="wisdom",$AF$5="wisdom"),1," "))</f>
        <v xml:space="preserve"> </v>
      </c>
      <c r="F42" s="33" t="str">
        <f ca="1">IF(AND($AF$6="wisdom",$AF$7="wisdom"),2,IF(OR($AF$6="wisdom",$AF$7="wisdom"),1," "))</f>
        <v xml:space="preserve"> </v>
      </c>
      <c r="G42" s="33" t="str">
        <f ca="1">IF(AND($AF$8="wisdom",$AF$9="wisdom"),2,IF(OR($AF$8="wisdom",$AF$9="wisdom"),1," "))</f>
        <v xml:space="preserve"> </v>
      </c>
      <c r="H42" s="33" t="str">
        <f ca="1">IF(AND($AF$10="wisdom",$AF$11="wisdom"),2,IF(OR($AF$10="wisdom",$AF$11="wisdom"),1," "))</f>
        <v xml:space="preserve"> </v>
      </c>
      <c r="I42" s="33">
        <f ca="1">IF(OR(P2="hill",P2="wood",Q2="human"),SUM(J42:M42)-SMALL(J42:M42,1)+1,SUM(J42:M42)-SMALL(J42:M42,1))</f>
        <v>11</v>
      </c>
      <c r="J42" s="33">
        <f t="shared" ca="1" si="35"/>
        <v>2</v>
      </c>
      <c r="K42" s="33">
        <f t="shared" ca="1" si="35"/>
        <v>6</v>
      </c>
      <c r="L42" s="33">
        <f t="shared" ca="1" si="35"/>
        <v>2</v>
      </c>
      <c r="M42" s="33">
        <f t="shared" ca="1" si="35"/>
        <v>1</v>
      </c>
      <c r="N42" s="33"/>
      <c r="O42" s="33">
        <f ca="1">IF(OR(O11="cleric",O11="druid",O11="monk",O11="ranger"),MAX(13,(SUM(C42:I42))),IF(OR(Q11="cleric",Q11="druid",Q11="monk",Q11="ranger"),MAX(13,(SUM(C42:I42))),SUM(C42:I42)))</f>
        <v>11</v>
      </c>
      <c r="P42" s="117">
        <f ca="1">VLOOKUP(O42,Table1[],2)</f>
        <v>0</v>
      </c>
      <c r="BN42" s="29">
        <f t="shared" ca="1" si="29"/>
        <v>1</v>
      </c>
      <c r="BO42" s="29">
        <f ca="1">IF(BP42="Stealth",RAND(),0)</f>
        <v>0</v>
      </c>
      <c r="BP42" s="29" t="str">
        <f t="shared" ca="1" si="33"/>
        <v xml:space="preserve"> </v>
      </c>
      <c r="BR42" s="29">
        <f t="shared" ca="1" si="30"/>
        <v>8</v>
      </c>
      <c r="BS42" s="29">
        <f t="shared" ca="1" si="31"/>
        <v>0.76591306270246629</v>
      </c>
      <c r="CB42" s="35">
        <f t="shared" ca="1" si="34"/>
        <v>2</v>
      </c>
      <c r="CC42" s="36">
        <f ca="1">IF(BM17&gt;0,0,RAND())</f>
        <v>0.94487009605098249</v>
      </c>
      <c r="CD42" s="29" t="s">
        <v>22</v>
      </c>
    </row>
    <row r="43" spans="1:83" ht="19.5" thickBot="1" x14ac:dyDescent="0.35">
      <c r="A43" s="137"/>
      <c r="B43" s="38" t="s">
        <v>6</v>
      </c>
      <c r="C43" s="38"/>
      <c r="D43" s="38">
        <f ca="1">IF(AND($AF$2="charisma",$AF$3="charisma"),2,IF(OR($AF$2="charisma",$AF$3="charisma"),1," "))</f>
        <v>1</v>
      </c>
      <c r="E43" s="38">
        <f ca="1">IF(AND($AF$4="charisma",$AF$5="charisma"),2,IF(OR($AF$4="charisma",$AF$5="charisma"),1," "))</f>
        <v>1</v>
      </c>
      <c r="F43" s="38">
        <f ca="1">IF(AND($AF$6="charisma",$AF$7="charisma"),2,IF(OR($AF$6="charisma",$AF$7="charisma"),1," "))</f>
        <v>1</v>
      </c>
      <c r="G43" s="38" t="str">
        <f ca="1">IF(AND($AF$8="charisma",$AF$9="charisma"),2,IF(OR($AF$8="charisma",$AF$9="charisma"),1," "))</f>
        <v xml:space="preserve"> </v>
      </c>
      <c r="H43" s="38" t="str">
        <f ca="1">IF(AND($AF$10="charisma",$AF$11="charisma"),2,IF(OR($AF$10="charisma",$AF$11="charisma"),1," "))</f>
        <v xml:space="preserve"> </v>
      </c>
      <c r="I43" s="38">
        <f ca="1">IF(OR(P2="dark",P2="lightfoot",Q2="human",Q2="dragonborn"),SUM(J43:M43)-SMALL(J43:M43,1)+1,IF(OR(Q2="half-elf",Q2="tiefling"),SUM(J43:M43)-SMALL(J43:M43,1)+2,SUM(J43:M43)-SMALL(J43:M43,1)))</f>
        <v>12</v>
      </c>
      <c r="J43" s="38">
        <f t="shared" ca="1" si="35"/>
        <v>4</v>
      </c>
      <c r="K43" s="38">
        <f t="shared" ca="1" si="35"/>
        <v>4</v>
      </c>
      <c r="L43" s="38">
        <f t="shared" ca="1" si="35"/>
        <v>1</v>
      </c>
      <c r="M43" s="38">
        <f t="shared" ca="1" si="35"/>
        <v>4</v>
      </c>
      <c r="N43" s="38"/>
      <c r="O43" s="38">
        <f ca="1">IF(OR(O11="bard",O11="paladin",O11="sorcerer",O11="warlock"),MAX(13,(SUM(C43:I43))),IF(OR(Q11="bard",Q11="paladin",Q11="sorcerer",Q11="warlock"),MAX(13,(SUM(C43:I43))),SUM(C43:I43)))</f>
        <v>15</v>
      </c>
      <c r="P43" s="118">
        <f ca="1">VLOOKUP(O43,Table1[],2)</f>
        <v>2</v>
      </c>
      <c r="AJ43" s="31" t="s">
        <v>1166</v>
      </c>
      <c r="AO43" s="57"/>
      <c r="AP43" s="57"/>
      <c r="AQ43" s="57"/>
      <c r="BN43" s="29">
        <f t="shared" ca="1" si="29"/>
        <v>1</v>
      </c>
      <c r="BO43" s="29">
        <f ca="1">IF(BP43="Survival",RAND(),0)</f>
        <v>0</v>
      </c>
      <c r="BP43" s="29" t="str">
        <f t="shared" ca="1" si="33"/>
        <v xml:space="preserve"> </v>
      </c>
      <c r="BR43" s="29">
        <f t="shared" ca="1" si="30"/>
        <v>4</v>
      </c>
      <c r="BS43" s="29">
        <f t="shared" ca="1" si="31"/>
        <v>0.91322404128688506</v>
      </c>
      <c r="CB43" s="35">
        <f t="shared" ca="1" si="34"/>
        <v>1</v>
      </c>
      <c r="CC43" s="36">
        <f ca="1">IF(BM20&gt;0,0,RAND())</f>
        <v>0.97924425501331402</v>
      </c>
      <c r="CD43" s="29" t="s">
        <v>25</v>
      </c>
    </row>
    <row r="44" spans="1:83" ht="19.5" thickBot="1" x14ac:dyDescent="0.35">
      <c r="A44" s="33"/>
      <c r="B44" s="38"/>
      <c r="C44" s="38"/>
      <c r="D44" s="38"/>
      <c r="E44" s="38"/>
      <c r="F44" s="38"/>
      <c r="G44" s="38"/>
      <c r="H44" s="38"/>
      <c r="I44" s="38"/>
      <c r="J44" s="38"/>
      <c r="K44" s="38"/>
      <c r="L44" s="38"/>
      <c r="M44" s="38"/>
      <c r="N44" s="38"/>
      <c r="O44" s="38"/>
      <c r="P44" s="38"/>
      <c r="AJ44" s="58" t="str">
        <f ca="1">IF(Table200335449791848905314378432[[#This Row],[Column2]]=0," ",_xlfn.RANK.EQ(AK44,$AK$44:$AK$53))</f>
        <v xml:space="preserve"> </v>
      </c>
      <c r="AK44" s="29">
        <f ca="1">IF(Table200335449791848905314378432[[#This Row],[Column3]]=" ", 0,RAND())</f>
        <v>0</v>
      </c>
      <c r="AL44" s="29" t="str">
        <f t="shared" ref="AL44:AL53" ca="1" si="36">Q315</f>
        <v xml:space="preserve"> </v>
      </c>
      <c r="AO44" s="29" t="s">
        <v>1962</v>
      </c>
      <c r="CB44" s="35">
        <f t="shared" ca="1" si="34"/>
        <v>5</v>
      </c>
      <c r="CC44" s="36">
        <f ca="1">IF(BM23&gt;0,0,RAND())</f>
        <v>0.60514965667643472</v>
      </c>
      <c r="CD44" s="29" t="s">
        <v>28</v>
      </c>
    </row>
    <row r="45" spans="1:83" ht="30.75" thickBot="1" x14ac:dyDescent="0.45">
      <c r="A45" s="115"/>
      <c r="B45" s="122" t="s">
        <v>37</v>
      </c>
      <c r="C45" s="53"/>
      <c r="D45" s="53"/>
      <c r="E45" s="53"/>
      <c r="F45" s="53"/>
      <c r="G45" s="53"/>
      <c r="H45" s="53"/>
      <c r="I45" s="53"/>
      <c r="J45" s="53"/>
      <c r="K45" s="53"/>
      <c r="L45" s="53"/>
      <c r="M45" s="53"/>
      <c r="N45" s="53"/>
      <c r="O45" s="53" t="s">
        <v>30</v>
      </c>
      <c r="P45" s="116" t="s">
        <v>38</v>
      </c>
      <c r="AJ45" s="58" t="str">
        <f ca="1">IF(Table200335449791848905314378432[[#This Row],[Column2]]=0," ",_xlfn.RANK.EQ(AK45,$AK$44:$AK$53))</f>
        <v xml:space="preserve"> </v>
      </c>
      <c r="AK45" s="29">
        <f ca="1">IF(Table200335449791848905314378432[[#This Row],[Column3]]=" ", 0,RAND())</f>
        <v>0</v>
      </c>
      <c r="AL45" s="29" t="str">
        <f t="shared" ca="1" si="36"/>
        <v xml:space="preserve"> </v>
      </c>
      <c r="AO45" s="29" t="str">
        <f ca="1">IF(Table293375489831888945361417471[[#This Row],[Column2]]=0," ",_xlfn.RANK.EQ(Table293375489831888945361417471[[#This Row],[Column2]],$AP$45:$AP$59))</f>
        <v xml:space="preserve"> </v>
      </c>
      <c r="AP45" s="29">
        <f ca="1">IF(OR(Table293375489831888945361417471[[#This Row],[Column3]]=" ",Table293375489831888945361417471[[#This Row],[Column3]]="simple weapons"), 0,RAND())</f>
        <v>0</v>
      </c>
      <c r="AQ45" s="29" t="str">
        <f ca="1">P76</f>
        <v xml:space="preserve"> </v>
      </c>
    </row>
    <row r="46" spans="1:83" ht="19.5" thickTop="1" x14ac:dyDescent="0.3">
      <c r="A46" s="137"/>
      <c r="B46" s="33" t="s">
        <v>1</v>
      </c>
      <c r="C46" s="33"/>
      <c r="D46" s="33"/>
      <c r="E46" s="33"/>
      <c r="F46" s="33"/>
      <c r="G46" s="33"/>
      <c r="H46" s="33"/>
      <c r="I46" s="33"/>
      <c r="J46" s="33"/>
      <c r="K46" s="33"/>
      <c r="L46" s="33"/>
      <c r="M46" s="33"/>
      <c r="N46" s="33"/>
      <c r="O46" s="33" t="str">
        <f ca="1">IF(OR($O$11="barbarian",O11="fighter",O11="monk",O11="ranger"),"x"," ")</f>
        <v xml:space="preserve"> </v>
      </c>
      <c r="P46" s="72">
        <f t="shared" ref="P46:P51" ca="1" si="37">IF(O46="x",SUM(P38,$P$8),P38)</f>
        <v>1</v>
      </c>
      <c r="T46" s="49"/>
      <c r="U46" s="49"/>
      <c r="AJ46" s="58" t="str">
        <f ca="1">IF(Table200335449791848905314378432[[#This Row],[Column2]]=0," ",_xlfn.RANK.EQ(AK46,$AK$44:$AK$53))</f>
        <v xml:space="preserve"> </v>
      </c>
      <c r="AK46" s="29">
        <f ca="1">IF(Table200335449791848905314378432[[#This Row],[Column3]]=" ", 0,RAND())</f>
        <v>0</v>
      </c>
      <c r="AL46" s="29" t="str">
        <f t="shared" ca="1" si="36"/>
        <v xml:space="preserve"> </v>
      </c>
      <c r="AO46" s="29">
        <f ca="1">IF(Table293375489831888945361417471[[#This Row],[Column2]]=0," ",_xlfn.RANK.EQ(Table293375489831888945361417471[[#This Row],[Column2]],$AP$45:$AP$59))</f>
        <v>6</v>
      </c>
      <c r="AP46" s="29">
        <f ca="1">IF(OR(Table293375489831888945361417471[[#This Row],[Column3]]=" ",Table293375489831888945361417471[[#This Row],[Column3]]="martial weapons"), 0,RAND())</f>
        <v>0.22162282337309669</v>
      </c>
      <c r="AQ46" s="29" t="str">
        <f ca="1">P77</f>
        <v>Longsword</v>
      </c>
      <c r="CB46" s="31" t="s">
        <v>731</v>
      </c>
      <c r="CE46" s="31"/>
    </row>
    <row r="47" spans="1:83" x14ac:dyDescent="0.3">
      <c r="A47" s="137"/>
      <c r="B47" s="33" t="s">
        <v>2</v>
      </c>
      <c r="C47" s="33"/>
      <c r="D47" s="33"/>
      <c r="E47" s="33"/>
      <c r="F47" s="33"/>
      <c r="G47" s="33"/>
      <c r="H47" s="33"/>
      <c r="I47" s="33"/>
      <c r="J47" s="33"/>
      <c r="K47" s="33"/>
      <c r="L47" s="33"/>
      <c r="M47" s="33"/>
      <c r="N47" s="33"/>
      <c r="O47" s="33" t="str">
        <f ca="1">IF(OR($O$11="bard",O11="monk",O11="ranger",O11="rogue"),"x"," ")</f>
        <v xml:space="preserve"> </v>
      </c>
      <c r="P47" s="72">
        <f t="shared" ca="1" si="37"/>
        <v>0</v>
      </c>
      <c r="T47" s="49"/>
      <c r="U47" s="49"/>
      <c r="AJ47" s="58" t="str">
        <f ca="1">IF(Table200335449791848905314378432[[#This Row],[Column2]]=0," ",_xlfn.RANK.EQ(AK47,$AK$44:$AK$53))</f>
        <v xml:space="preserve"> </v>
      </c>
      <c r="AK47" s="29">
        <f ca="1">IF(Table200335449791848905314378432[[#This Row],[Column3]]=" ", 0,RAND())</f>
        <v>0</v>
      </c>
      <c r="AL47" s="29" t="str">
        <f t="shared" ca="1" si="36"/>
        <v xml:space="preserve"> </v>
      </c>
      <c r="AO47" s="29">
        <f ca="1">IF(Table293375489831888945361417471[[#This Row],[Column2]]=0," ",_xlfn.RANK.EQ(Table293375489831888945361417471[[#This Row],[Column2]],$AP$45:$AP$59))</f>
        <v>2</v>
      </c>
      <c r="AP47" s="29">
        <f ca="1">IF(Table293375489831888945361417471[[#This Row],[Column3]]=" ", 0,RAND())</f>
        <v>0.54678851894760994</v>
      </c>
      <c r="AQ47" s="29" t="str">
        <f ca="1">P78</f>
        <v>Shortbow</v>
      </c>
      <c r="CB47" s="35">
        <f t="shared" ref="CB47:CB54" ca="1" si="38">_xlfn.RANK.EQ(CC47,$CC$47:$CC$54)</f>
        <v>5</v>
      </c>
      <c r="CC47" s="36">
        <f ca="1">IF(BM6&gt;0,0,RAND())</f>
        <v>0.47858518913033399</v>
      </c>
      <c r="CD47" s="29" t="s">
        <v>12</v>
      </c>
    </row>
    <row r="48" spans="1:83" x14ac:dyDescent="0.3">
      <c r="A48" s="137"/>
      <c r="B48" s="33" t="s">
        <v>3</v>
      </c>
      <c r="C48" s="33"/>
      <c r="D48" s="33"/>
      <c r="E48" s="33"/>
      <c r="F48" s="33"/>
      <c r="G48" s="33"/>
      <c r="H48" s="33"/>
      <c r="I48" s="33"/>
      <c r="J48" s="33"/>
      <c r="K48" s="33"/>
      <c r="L48" s="33"/>
      <c r="M48" s="33"/>
      <c r="N48" s="33"/>
      <c r="O48" s="33" t="str">
        <f ca="1">IF(OR(O11="barbarian",O11="fighter",O11="sorcerer"),"x"," ")</f>
        <v xml:space="preserve"> </v>
      </c>
      <c r="P48" s="72">
        <f t="shared" ca="1" si="37"/>
        <v>-1</v>
      </c>
      <c r="T48" s="49"/>
      <c r="U48" s="49"/>
      <c r="AJ48" s="58" t="str">
        <f ca="1">IF(Table200335449791848905314378432[[#This Row],[Column2]]=0," ",_xlfn.RANK.EQ(AK48,$AK$44:$AK$53))</f>
        <v xml:space="preserve"> </v>
      </c>
      <c r="AK48" s="29">
        <f ca="1">IF(Table200335449791848905314378432[[#This Row],[Column3]]=" ", 0,RAND())</f>
        <v>0</v>
      </c>
      <c r="AL48" s="29" t="str">
        <f t="shared" ca="1" si="36"/>
        <v xml:space="preserve"> </v>
      </c>
      <c r="AO48" s="29">
        <f ca="1">IF(Table293375489831888945361417471[[#This Row],[Column2]]=0," ",_xlfn.RANK.EQ(Table293375489831888945361417471[[#This Row],[Column2]],$AP$45:$AP$59))</f>
        <v>7</v>
      </c>
      <c r="AP48" s="29">
        <f ca="1">IF(Table293375489831888945361417471[[#This Row],[Column3]]=" ", 0,RAND())</f>
        <v>0.18692504615570793</v>
      </c>
      <c r="AQ48" s="29" t="str">
        <f ca="1">P79</f>
        <v>Longbow</v>
      </c>
      <c r="CB48" s="35">
        <f t="shared" ca="1" si="38"/>
        <v>1</v>
      </c>
      <c r="CC48" s="36">
        <f ca="1">IF(BM7&gt;0,0,RAND())</f>
        <v>0.95943615700110441</v>
      </c>
      <c r="CD48" s="29" t="s">
        <v>29</v>
      </c>
    </row>
    <row r="49" spans="1:83" x14ac:dyDescent="0.3">
      <c r="A49" s="137"/>
      <c r="B49" s="33" t="s">
        <v>4</v>
      </c>
      <c r="C49" s="33"/>
      <c r="D49" s="33"/>
      <c r="E49" s="33"/>
      <c r="F49" s="33"/>
      <c r="G49" s="33"/>
      <c r="H49" s="33"/>
      <c r="I49" s="33"/>
      <c r="J49" s="33"/>
      <c r="K49" s="33"/>
      <c r="L49" s="33"/>
      <c r="M49" s="33"/>
      <c r="N49" s="33"/>
      <c r="O49" s="33" t="str">
        <f ca="1">IF(OR(O11="rogue",O11="druid",O11="wizard"),"x"," ")</f>
        <v xml:space="preserve"> </v>
      </c>
      <c r="P49" s="72">
        <f t="shared" ca="1" si="37"/>
        <v>0</v>
      </c>
      <c r="T49" s="49"/>
      <c r="U49" s="49"/>
      <c r="AJ49" s="58" t="str">
        <f ca="1">IF(Table200335449791848905314378432[[#This Row],[Column2]]=0," ",_xlfn.RANK.EQ(AK49,$AK$44:$AK$53))</f>
        <v xml:space="preserve"> </v>
      </c>
      <c r="AK49" s="29">
        <f ca="1">IF(Table200335449791848905314378432[[#This Row],[Column3]]=" ", 0,RAND())</f>
        <v>0</v>
      </c>
      <c r="AL49" s="29" t="str">
        <f t="shared" ca="1" si="36"/>
        <v xml:space="preserve"> </v>
      </c>
      <c r="AO49" s="29">
        <f ca="1">IF(Table293375489831888945361417471[[#This Row],[Column2]]=0," ",_xlfn.RANK.EQ(Table293375489831888945361417471[[#This Row],[Column2]],$AP$45:$AP$59))</f>
        <v>1</v>
      </c>
      <c r="AP49" s="29">
        <f ca="1">IF(Table293375489831888945361417471[[#This Row],[Column3]]=" ", 0,RAND())</f>
        <v>0.85453965855035752</v>
      </c>
      <c r="AQ49" s="29" t="str">
        <f ca="1">P80</f>
        <v>Shortsword</v>
      </c>
      <c r="CB49" s="35">
        <f t="shared" ca="1" si="38"/>
        <v>3</v>
      </c>
      <c r="CC49" s="36">
        <f ca="1">IF(BM9&gt;0,0,RAND())</f>
        <v>0.69423252248908529</v>
      </c>
      <c r="CD49" s="29" t="s">
        <v>14</v>
      </c>
    </row>
    <row r="50" spans="1:83" x14ac:dyDescent="0.3">
      <c r="A50" s="137"/>
      <c r="B50" s="33" t="s">
        <v>39</v>
      </c>
      <c r="C50" s="33"/>
      <c r="D50" s="33"/>
      <c r="E50" s="33"/>
      <c r="F50" s="33"/>
      <c r="G50" s="33"/>
      <c r="H50" s="33"/>
      <c r="I50" s="33"/>
      <c r="J50" s="33"/>
      <c r="K50" s="33"/>
      <c r="L50" s="33"/>
      <c r="M50" s="33"/>
      <c r="N50" s="33"/>
      <c r="O50" s="33" t="str">
        <f ca="1">IF(OR(O11="cleric",O11="druid",O11="paladin",O11="warlock",O11="wizard"),"x",IF(AND(O11="rogue",O12&gt;=15),"x"," "))</f>
        <v xml:space="preserve"> </v>
      </c>
      <c r="P50" s="72">
        <f t="shared" ca="1" si="37"/>
        <v>0</v>
      </c>
      <c r="T50" s="49"/>
      <c r="U50" s="49"/>
      <c r="AJ50" s="58" t="str">
        <f ca="1">IF(Table200335449791848905314378432[[#This Row],[Column2]]=0," ",_xlfn.RANK.EQ(AK50,$AK$44:$AK$53))</f>
        <v xml:space="preserve"> </v>
      </c>
      <c r="AK50" s="29">
        <f ca="1">IF(Table200335449791848905314378432[[#This Row],[Column3]]=" ", 0,RAND())</f>
        <v>0</v>
      </c>
      <c r="AL50" s="29" t="str">
        <f t="shared" ca="1" si="36"/>
        <v xml:space="preserve"> </v>
      </c>
      <c r="AO50" s="29">
        <f ca="1">IF(Table293375489831888945361417471[[#This Row],[Column2]]=0," ",_xlfn.RANK.EQ(Table293375489831888945361417471[[#This Row],[Column2]],$AP$45:$AP$59))</f>
        <v>3</v>
      </c>
      <c r="AP50" s="29">
        <f ca="1">IF(Table293375489831888945361417471[[#This Row],[Column3]]=" ", 0,RAND())</f>
        <v>0.5189436750820654</v>
      </c>
      <c r="AQ50" s="29" t="str">
        <f ca="1">Q76</f>
        <v>Club</v>
      </c>
      <c r="CB50" s="35">
        <f t="shared" ca="1" si="38"/>
        <v>2</v>
      </c>
      <c r="CC50" s="36">
        <f ca="1">IF(BM11&gt;0,0,RAND())</f>
        <v>0.8221323111129184</v>
      </c>
      <c r="CD50" s="29" t="s">
        <v>16</v>
      </c>
    </row>
    <row r="51" spans="1:83" ht="19.5" thickBot="1" x14ac:dyDescent="0.35">
      <c r="A51" s="137"/>
      <c r="B51" s="38" t="s">
        <v>6</v>
      </c>
      <c r="C51" s="38"/>
      <c r="D51" s="38"/>
      <c r="E51" s="38"/>
      <c r="F51" s="38"/>
      <c r="G51" s="38"/>
      <c r="H51" s="38"/>
      <c r="I51" s="38"/>
      <c r="J51" s="38"/>
      <c r="K51" s="38"/>
      <c r="L51" s="38"/>
      <c r="M51" s="38"/>
      <c r="N51" s="38"/>
      <c r="O51" s="38" t="str">
        <f ca="1">IF(OR($O$11="bard",O11="cleric",O11="paladin",O11="sorcerer",O11="warlock"),"x"," ")</f>
        <v xml:space="preserve"> </v>
      </c>
      <c r="P51" s="73">
        <f t="shared" ca="1" si="37"/>
        <v>2</v>
      </c>
      <c r="AJ51" s="58" t="str">
        <f ca="1">IF(Table200335449791848905314378432[[#This Row],[Column2]]=0," ",_xlfn.RANK.EQ(AK51,$AK$44:$AK$53))</f>
        <v xml:space="preserve"> </v>
      </c>
      <c r="AK51" s="29">
        <f ca="1">IF(Table200335449791848905314378432[[#This Row],[Column3]]=" ", 0,RAND())</f>
        <v>0</v>
      </c>
      <c r="AL51" s="29" t="str">
        <f t="shared" ca="1" si="36"/>
        <v xml:space="preserve"> </v>
      </c>
      <c r="AO51" s="29">
        <f ca="1">IF(Table293375489831888945361417471[[#This Row],[Column2]]=0," ",_xlfn.RANK.EQ(Table293375489831888945361417471[[#This Row],[Column2]],$AP$45:$AP$59))</f>
        <v>4</v>
      </c>
      <c r="AP51" s="29">
        <f ca="1">IF(Table293375489831888945361417471[[#This Row],[Column3]]=" ", 0,RAND())</f>
        <v>0.4099660857649442</v>
      </c>
      <c r="AQ51" s="29" t="str">
        <f ca="1">Q77</f>
        <v>Dagger</v>
      </c>
      <c r="CB51" s="35">
        <f t="shared" ca="1" si="38"/>
        <v>7</v>
      </c>
      <c r="CC51" s="36">
        <f ca="1">IF(BM12&gt;0,0,RAND())</f>
        <v>0.131068931562765</v>
      </c>
      <c r="CD51" s="29" t="s">
        <v>17</v>
      </c>
      <c r="CE51" s="31"/>
    </row>
    <row r="52" spans="1:83" ht="19.5" thickBot="1" x14ac:dyDescent="0.35">
      <c r="A52" s="138"/>
      <c r="B52" s="99"/>
      <c r="C52" s="99"/>
      <c r="D52" s="99"/>
      <c r="E52" s="99"/>
      <c r="F52" s="99"/>
      <c r="G52" s="99"/>
      <c r="H52" s="99"/>
      <c r="I52" s="99"/>
      <c r="J52" s="99"/>
      <c r="K52" s="99"/>
      <c r="L52" s="99"/>
      <c r="M52" s="99"/>
      <c r="N52" s="99"/>
      <c r="O52" s="99"/>
      <c r="P52" s="99"/>
      <c r="AJ52" s="58" t="str">
        <f ca="1">IF(Table200335449791848905314378432[[#This Row],[Column2]]=0," ",_xlfn.RANK.EQ(AK52,$AK$44:$AK$53))</f>
        <v xml:space="preserve"> </v>
      </c>
      <c r="AK52" s="29">
        <f ca="1">IF(Table200335449791848905314378432[[#This Row],[Column3]]=" ", 0,RAND())</f>
        <v>0</v>
      </c>
      <c r="AL52" s="29" t="str">
        <f t="shared" ca="1" si="36"/>
        <v xml:space="preserve"> </v>
      </c>
      <c r="AO52" s="29" t="str">
        <f ca="1">IF(Table293375489831888945361417471[[#This Row],[Column2]]=0," ",_xlfn.RANK.EQ(Table293375489831888945361417471[[#This Row],[Column2]],$AP$45:$AP$59))</f>
        <v xml:space="preserve"> </v>
      </c>
      <c r="AP52" s="29">
        <f ca="1">IF(Table293375489831888945361417471[[#This Row],[Column3]]=" ", 0,RAND())</f>
        <v>0</v>
      </c>
      <c r="AQ52" s="29" t="str">
        <f ca="1">Q78</f>
        <v xml:space="preserve"> </v>
      </c>
      <c r="CB52" s="35">
        <f t="shared" ca="1" si="38"/>
        <v>4</v>
      </c>
      <c r="CC52" s="36">
        <f ca="1">IF(BM13&gt;0,0,RAND())</f>
        <v>0.54690399401581191</v>
      </c>
      <c r="CD52" s="29" t="s">
        <v>18</v>
      </c>
    </row>
    <row r="53" spans="1:83" ht="30.75" thickBot="1" x14ac:dyDescent="0.45">
      <c r="A53" s="137"/>
      <c r="B53" s="122" t="s">
        <v>11</v>
      </c>
      <c r="C53" s="33"/>
      <c r="D53" s="33"/>
      <c r="E53" s="33"/>
      <c r="F53" s="33"/>
      <c r="G53" s="33"/>
      <c r="H53" s="33"/>
      <c r="I53" s="33"/>
      <c r="J53" s="33"/>
      <c r="K53" s="33"/>
      <c r="L53" s="33"/>
      <c r="M53" s="33"/>
      <c r="N53" s="33"/>
      <c r="O53" s="53" t="s">
        <v>30</v>
      </c>
      <c r="P53" s="119" t="s">
        <v>529</v>
      </c>
      <c r="AJ53" s="58" t="str">
        <f ca="1">IF(Table200335449791848905314378432[[#This Row],[Column2]]=0," ",_xlfn.RANK.EQ(AK53,$AK$44:$AK$53))</f>
        <v xml:space="preserve"> </v>
      </c>
      <c r="AK53" s="29">
        <f ca="1">IF(Table200335449791848905314378432[[#This Row],[Column3]]=" ", 0,RAND())</f>
        <v>0</v>
      </c>
      <c r="AL53" s="29" t="str">
        <f t="shared" ca="1" si="36"/>
        <v xml:space="preserve"> </v>
      </c>
      <c r="AO53" s="29" t="str">
        <f ca="1">IF(Table293375489831888945361417471[[#This Row],[Column2]]=0," ",_xlfn.RANK.EQ(Table293375489831888945361417471[[#This Row],[Column2]],$AP$45:$AP$59))</f>
        <v xml:space="preserve"> </v>
      </c>
      <c r="AP53" s="29">
        <f ca="1">IF(Table293375489831888945361417471[[#This Row],[Column3]]=" ", 0,RAND())</f>
        <v>0</v>
      </c>
      <c r="AQ53" s="29" t="str">
        <f ca="1">Q79</f>
        <v xml:space="preserve"> </v>
      </c>
      <c r="CB53" s="35">
        <f t="shared" ca="1" si="38"/>
        <v>6</v>
      </c>
      <c r="CC53" s="36">
        <f ca="1">IF(BM17&gt;0,0,RAND())</f>
        <v>0.32794467710853537</v>
      </c>
      <c r="CD53" s="29" t="s">
        <v>22</v>
      </c>
    </row>
    <row r="54" spans="1:83" ht="19.5" thickTop="1" x14ac:dyDescent="0.3">
      <c r="A54" s="137"/>
      <c r="B54" s="33" t="s">
        <v>12</v>
      </c>
      <c r="C54" s="59"/>
      <c r="D54" s="33"/>
      <c r="E54" s="33"/>
      <c r="F54" s="33"/>
      <c r="G54" s="33"/>
      <c r="H54" s="33"/>
      <c r="I54" s="33"/>
      <c r="J54" s="33"/>
      <c r="K54" s="33"/>
      <c r="L54" s="33"/>
      <c r="M54" s="33"/>
      <c r="N54" s="33"/>
      <c r="O54" s="33" t="str">
        <f t="shared" ref="O54:O71" ca="1" si="39">IF(BU6&gt;0,"x"," ")</f>
        <v xml:space="preserve"> </v>
      </c>
      <c r="P54" s="120">
        <f ca="1">SUM(BU6,P39)</f>
        <v>0</v>
      </c>
      <c r="AO54" s="29" t="str">
        <f ca="1">IF(Table293375489831888945361417471[[#This Row],[Column2]]=0," ",_xlfn.RANK.EQ(Table293375489831888945361417471[[#This Row],[Column2]],$AP$45:$AP$59))</f>
        <v xml:space="preserve"> </v>
      </c>
      <c r="AP54" s="29">
        <f ca="1">IF(Table293375489831888945361417471[[#This Row],[Column3]]=" ", 0,RAND())</f>
        <v>0</v>
      </c>
      <c r="AQ54" s="29" t="str">
        <f ca="1">Q80</f>
        <v xml:space="preserve"> </v>
      </c>
      <c r="CB54" s="35">
        <f t="shared" ca="1" si="38"/>
        <v>8</v>
      </c>
      <c r="CC54" s="36">
        <f ca="1">IF(BM23&gt;0,0,RAND())</f>
        <v>0.11290918328165145</v>
      </c>
      <c r="CD54" s="29" t="s">
        <v>28</v>
      </c>
    </row>
    <row r="55" spans="1:83" x14ac:dyDescent="0.3">
      <c r="A55" s="137"/>
      <c r="B55" s="33" t="s">
        <v>29</v>
      </c>
      <c r="C55" s="59"/>
      <c r="D55" s="33"/>
      <c r="E55" s="33"/>
      <c r="F55" s="33"/>
      <c r="G55" s="33"/>
      <c r="H55" s="33"/>
      <c r="I55" s="33"/>
      <c r="J55" s="33"/>
      <c r="K55" s="33"/>
      <c r="L55" s="33"/>
      <c r="M55" s="33"/>
      <c r="N55" s="33"/>
      <c r="O55" s="33" t="str">
        <f t="shared" ca="1" si="39"/>
        <v xml:space="preserve"> </v>
      </c>
      <c r="P55" s="120">
        <f ca="1">SUM(BU7,P42)</f>
        <v>0</v>
      </c>
      <c r="AJ55" s="31" t="s">
        <v>1167</v>
      </c>
      <c r="AO55" s="29">
        <f ca="1">IF(Table293375489831888945361417471[[#This Row],[Column2]]=0," ",_xlfn.RANK.EQ(Table293375489831888945361417471[[#This Row],[Column2]],$AP$45:$AP$59))</f>
        <v>5</v>
      </c>
      <c r="AP55" s="29">
        <f ca="1">IF(Table293375489831888945361417471[[#This Row],[Column3]]=" ", 0,RAND())</f>
        <v>0.40953601630178649</v>
      </c>
      <c r="AQ55" s="29" t="str">
        <f ca="1">R76</f>
        <v>Quarterstaff</v>
      </c>
    </row>
    <row r="56" spans="1:83" x14ac:dyDescent="0.3">
      <c r="A56" s="137"/>
      <c r="B56" s="33" t="s">
        <v>13</v>
      </c>
      <c r="C56" s="33"/>
      <c r="D56" s="33"/>
      <c r="E56" s="33"/>
      <c r="F56" s="33"/>
      <c r="G56" s="33"/>
      <c r="H56" s="33"/>
      <c r="I56" s="33"/>
      <c r="J56" s="33"/>
      <c r="K56" s="33"/>
      <c r="L56" s="33"/>
      <c r="M56" s="33"/>
      <c r="N56" s="33"/>
      <c r="O56" s="33" t="str">
        <f t="shared" ca="1" si="39"/>
        <v xml:space="preserve"> </v>
      </c>
      <c r="P56" s="120">
        <f ca="1">SUM(BU8,P41)</f>
        <v>0</v>
      </c>
      <c r="AJ56" s="58" t="str">
        <f ca="1">IF(Table201336450792849906315379433[[#This Row],[Column2]]=0," ",_xlfn.RANK.EQ(AK56,$AK$56:$AK$65))</f>
        <v xml:space="preserve"> </v>
      </c>
      <c r="AK56" s="29">
        <f ca="1">IF(AL56=" ", 0,RAND())</f>
        <v>0</v>
      </c>
      <c r="AL56" s="29" t="str">
        <f t="shared" ref="AL56:AL65" ca="1" si="40">R315</f>
        <v xml:space="preserve"> </v>
      </c>
      <c r="AO56" s="29" t="str">
        <f ca="1">IF(Table293375489831888945361417471[[#This Row],[Column2]]=0," ",_xlfn.RANK.EQ(Table293375489831888945361417471[[#This Row],[Column2]],$AP$45:$AP$59))</f>
        <v xml:space="preserve"> </v>
      </c>
      <c r="AP56" s="29">
        <f ca="1">IF(Table293375489831888945361417471[[#This Row],[Column3]]=" ", 0,RAND())</f>
        <v>0</v>
      </c>
      <c r="AQ56" s="29" t="str">
        <f ca="1">R77</f>
        <v xml:space="preserve"> </v>
      </c>
      <c r="CB56" s="31" t="s">
        <v>732</v>
      </c>
      <c r="CE56" s="31"/>
    </row>
    <row r="57" spans="1:83" x14ac:dyDescent="0.3">
      <c r="A57" s="137"/>
      <c r="B57" s="33" t="s">
        <v>14</v>
      </c>
      <c r="C57" s="33"/>
      <c r="D57" s="33"/>
      <c r="E57" s="33"/>
      <c r="F57" s="33"/>
      <c r="G57" s="33"/>
      <c r="H57" s="33"/>
      <c r="I57" s="33"/>
      <c r="J57" s="33"/>
      <c r="K57" s="33"/>
      <c r="L57" s="33"/>
      <c r="M57" s="33"/>
      <c r="N57" s="33"/>
      <c r="O57" s="33" t="str">
        <f t="shared" ca="1" si="39"/>
        <v xml:space="preserve"> </v>
      </c>
      <c r="P57" s="120">
        <f ca="1">SUM(BU9,P38)</f>
        <v>1</v>
      </c>
      <c r="AJ57" s="58" t="str">
        <f ca="1">IF(Table201336450792849906315379433[[#This Row],[Column2]]=0," ",_xlfn.RANK.EQ(AK57,$AK$56:$AK$65))</f>
        <v xml:space="preserve"> </v>
      </c>
      <c r="AK57" s="29">
        <f t="shared" ref="AK57:AK65" ca="1" si="41">IF(AL57=" ", 0,RAND())</f>
        <v>0</v>
      </c>
      <c r="AL57" s="29" t="str">
        <f t="shared" ca="1" si="40"/>
        <v xml:space="preserve"> </v>
      </c>
      <c r="AO57" s="29" t="str">
        <f ca="1">IF(Table293375489831888945361417471[[#This Row],[Column2]]=0," ",_xlfn.RANK.EQ(Table293375489831888945361417471[[#This Row],[Column2]],$AP$45:$AP$59))</f>
        <v xml:space="preserve"> </v>
      </c>
      <c r="AP57" s="29">
        <f ca="1">IF(Table293375489831888945361417471[[#This Row],[Column3]]=" ", 0,RAND())</f>
        <v>0</v>
      </c>
      <c r="AQ57" s="29" t="str">
        <f ca="1">R78</f>
        <v xml:space="preserve"> </v>
      </c>
      <c r="CB57" s="35">
        <f t="shared" ref="CB57:CB62" ca="1" si="42">_xlfn.RANK.EQ(CC57,$CC$57:$CC$62)</f>
        <v>6</v>
      </c>
      <c r="CC57" s="36">
        <f ca="1">IF(BM6&gt;0,0,RAND())</f>
        <v>0.10617518520000535</v>
      </c>
      <c r="CD57" s="29" t="s">
        <v>12</v>
      </c>
    </row>
    <row r="58" spans="1:83" x14ac:dyDescent="0.3">
      <c r="A58" s="137"/>
      <c r="B58" s="33" t="s">
        <v>15</v>
      </c>
      <c r="C58" s="33"/>
      <c r="D58" s="33"/>
      <c r="E58" s="33"/>
      <c r="F58" s="33"/>
      <c r="G58" s="33"/>
      <c r="H58" s="33"/>
      <c r="I58" s="33"/>
      <c r="J58" s="33"/>
      <c r="K58" s="33"/>
      <c r="L58" s="33"/>
      <c r="M58" s="33"/>
      <c r="N58" s="33"/>
      <c r="O58" s="33" t="str">
        <f t="shared" ca="1" si="39"/>
        <v xml:space="preserve"> </v>
      </c>
      <c r="P58" s="120">
        <f ca="1">SUM(BU10,P43)</f>
        <v>2</v>
      </c>
      <c r="AJ58" s="58" t="str">
        <f ca="1">IF(Table201336450792849906315379433[[#This Row],[Column2]]=0," ",_xlfn.RANK.EQ(AK58,$AK$56:$AK$65))</f>
        <v xml:space="preserve"> </v>
      </c>
      <c r="AK58" s="29">
        <f t="shared" ca="1" si="41"/>
        <v>0</v>
      </c>
      <c r="AL58" s="29" t="str">
        <f t="shared" ca="1" si="40"/>
        <v xml:space="preserve"> </v>
      </c>
      <c r="AO58" s="29" t="str">
        <f ca="1">IF(Table293375489831888945361417471[[#This Row],[Column2]]=0," ",_xlfn.RANK.EQ(Table293375489831888945361417471[[#This Row],[Column2]],$AP$45:$AP$59))</f>
        <v xml:space="preserve"> </v>
      </c>
      <c r="AP58" s="29">
        <f ca="1">IF(Table293375489831888945361417471[[#This Row],[Column3]]=" ", 0,RAND())</f>
        <v>0</v>
      </c>
      <c r="AQ58" s="29" t="str">
        <f ca="1">R79</f>
        <v xml:space="preserve"> </v>
      </c>
      <c r="CB58" s="35">
        <f t="shared" ca="1" si="42"/>
        <v>4</v>
      </c>
      <c r="CC58" s="36">
        <f ca="1">IF(BM9&gt;0,0,RAND())</f>
        <v>0.32843306359139324</v>
      </c>
      <c r="CD58" s="29" t="s">
        <v>14</v>
      </c>
    </row>
    <row r="59" spans="1:83" x14ac:dyDescent="0.3">
      <c r="A59" s="137"/>
      <c r="B59" s="33" t="s">
        <v>16</v>
      </c>
      <c r="C59" s="33"/>
      <c r="D59" s="33"/>
      <c r="E59" s="33"/>
      <c r="F59" s="33"/>
      <c r="G59" s="33"/>
      <c r="H59" s="33"/>
      <c r="I59" s="33"/>
      <c r="J59" s="33"/>
      <c r="K59" s="33"/>
      <c r="L59" s="33"/>
      <c r="M59" s="33"/>
      <c r="N59" s="33"/>
      <c r="O59" s="33" t="str">
        <f t="shared" ca="1" si="39"/>
        <v xml:space="preserve"> </v>
      </c>
      <c r="P59" s="120">
        <f ca="1">SUM(P41,BU11)</f>
        <v>0</v>
      </c>
      <c r="AJ59" s="58" t="str">
        <f ca="1">IF(Table201336450792849906315379433[[#This Row],[Column2]]=0," ",_xlfn.RANK.EQ(AK59,$AK$56:$AK$65))</f>
        <v xml:space="preserve"> </v>
      </c>
      <c r="AK59" s="29">
        <f t="shared" ca="1" si="41"/>
        <v>0</v>
      </c>
      <c r="AL59" s="29" t="str">
        <f t="shared" ca="1" si="40"/>
        <v xml:space="preserve"> </v>
      </c>
      <c r="AO59" s="29" t="str">
        <f ca="1">IF(Table293375489831888945361417471[[#This Row],[Column2]]=0," ",_xlfn.RANK.EQ(Table293375489831888945361417471[[#This Row],[Column2]],$AP$45:$AP$59))</f>
        <v xml:space="preserve"> </v>
      </c>
      <c r="AP59" s="29">
        <f ca="1">IF(Table293375489831888945361417471[[#This Row],[Column3]]=" ", 0,RAND())</f>
        <v>0</v>
      </c>
      <c r="AQ59" s="29" t="str">
        <f ca="1">R80</f>
        <v xml:space="preserve"> </v>
      </c>
      <c r="CB59" s="35">
        <f t="shared" ca="1" si="42"/>
        <v>2</v>
      </c>
      <c r="CC59" s="36">
        <f ca="1">IF(BM11&gt;0,0,RAND())</f>
        <v>0.60325333628033018</v>
      </c>
      <c r="CD59" s="29" t="s">
        <v>16</v>
      </c>
    </row>
    <row r="60" spans="1:83" x14ac:dyDescent="0.3">
      <c r="A60" s="137"/>
      <c r="B60" s="33" t="s">
        <v>17</v>
      </c>
      <c r="C60" s="33"/>
      <c r="D60" s="33"/>
      <c r="E60" s="33"/>
      <c r="F60" s="33"/>
      <c r="G60" s="33"/>
      <c r="H60" s="33"/>
      <c r="I60" s="33"/>
      <c r="J60" s="33"/>
      <c r="K60" s="33"/>
      <c r="L60" s="33"/>
      <c r="M60" s="33"/>
      <c r="N60" s="33"/>
      <c r="O60" s="33" t="str">
        <f t="shared" ca="1" si="39"/>
        <v xml:space="preserve"> </v>
      </c>
      <c r="P60" s="120">
        <f ca="1">SUM(BU12,P42)</f>
        <v>0</v>
      </c>
      <c r="AJ60" s="58" t="str">
        <f ca="1">IF(Table201336450792849906315379433[[#This Row],[Column2]]=0," ",_xlfn.RANK.EQ(AK60,$AK$56:$AK$65))</f>
        <v xml:space="preserve"> </v>
      </c>
      <c r="AK60" s="29">
        <f t="shared" ca="1" si="41"/>
        <v>0</v>
      </c>
      <c r="AL60" s="29" t="str">
        <f t="shared" ca="1" si="40"/>
        <v xml:space="preserve"> </v>
      </c>
      <c r="CB60" s="35">
        <f t="shared" ca="1" si="42"/>
        <v>5</v>
      </c>
      <c r="CC60" s="36">
        <f ca="1">IF(BM12&gt;0,0,RAND())</f>
        <v>0.13924289545687518</v>
      </c>
      <c r="CD60" s="29" t="s">
        <v>17</v>
      </c>
    </row>
    <row r="61" spans="1:83" x14ac:dyDescent="0.3">
      <c r="A61" s="137"/>
      <c r="B61" s="33" t="s">
        <v>18</v>
      </c>
      <c r="C61" s="33"/>
      <c r="D61" s="33"/>
      <c r="E61" s="33"/>
      <c r="F61" s="33"/>
      <c r="G61" s="33"/>
      <c r="H61" s="33"/>
      <c r="I61" s="33"/>
      <c r="J61" s="33"/>
      <c r="K61" s="33"/>
      <c r="L61" s="33"/>
      <c r="M61" s="33"/>
      <c r="N61" s="33"/>
      <c r="O61" s="33" t="str">
        <f t="shared" ca="1" si="39"/>
        <v xml:space="preserve"> </v>
      </c>
      <c r="P61" s="120">
        <f ca="1">SUM(BU13,P43)</f>
        <v>2</v>
      </c>
      <c r="AJ61" s="58" t="str">
        <f ca="1">IF(Table201336450792849906315379433[[#This Row],[Column2]]=0," ",_xlfn.RANK.EQ(AK61,$AK$56:$AK$65))</f>
        <v xml:space="preserve"> </v>
      </c>
      <c r="AK61" s="29">
        <f t="shared" ca="1" si="41"/>
        <v>0</v>
      </c>
      <c r="AL61" s="29" t="str">
        <f t="shared" ca="1" si="40"/>
        <v xml:space="preserve"> </v>
      </c>
      <c r="CB61" s="35">
        <f t="shared" ca="1" si="42"/>
        <v>1</v>
      </c>
      <c r="CC61" s="36">
        <f ca="1">IF(BM20&gt;0,0,RAND())</f>
        <v>0.63072678235681656</v>
      </c>
      <c r="CD61" s="29" t="s">
        <v>25</v>
      </c>
    </row>
    <row r="62" spans="1:83" x14ac:dyDescent="0.3">
      <c r="A62" s="137"/>
      <c r="B62" s="33" t="s">
        <v>19</v>
      </c>
      <c r="C62" s="33"/>
      <c r="D62" s="33"/>
      <c r="E62" s="33"/>
      <c r="F62" s="33"/>
      <c r="G62" s="33"/>
      <c r="H62" s="33"/>
      <c r="I62" s="33"/>
      <c r="J62" s="33"/>
      <c r="K62" s="33"/>
      <c r="L62" s="33"/>
      <c r="M62" s="33"/>
      <c r="N62" s="33"/>
      <c r="O62" s="33" t="str">
        <f t="shared" ca="1" si="39"/>
        <v xml:space="preserve"> </v>
      </c>
      <c r="P62" s="120">
        <f ca="1">SUM(BU14,P41)</f>
        <v>0</v>
      </c>
      <c r="AJ62" s="58" t="str">
        <f ca="1">IF(Table201336450792849906315379433[[#This Row],[Column2]]=0," ",_xlfn.RANK.EQ(AK62,$AK$56:$AK$65))</f>
        <v xml:space="preserve"> </v>
      </c>
      <c r="AK62" s="29">
        <f t="shared" ca="1" si="41"/>
        <v>0</v>
      </c>
      <c r="AL62" s="29" t="str">
        <f t="shared" ca="1" si="40"/>
        <v xml:space="preserve"> </v>
      </c>
      <c r="CB62" s="35">
        <f t="shared" ca="1" si="42"/>
        <v>3</v>
      </c>
      <c r="CC62" s="36">
        <f ca="1">IF(BM22&gt;0,0,RAND())</f>
        <v>0.53907088956343463</v>
      </c>
      <c r="CD62" s="29" t="s">
        <v>27</v>
      </c>
      <c r="CE62" s="31"/>
    </row>
    <row r="63" spans="1:83" x14ac:dyDescent="0.3">
      <c r="A63" s="137"/>
      <c r="B63" s="33" t="s">
        <v>20</v>
      </c>
      <c r="C63" s="33"/>
      <c r="D63" s="33"/>
      <c r="E63" s="33"/>
      <c r="F63" s="33"/>
      <c r="G63" s="33"/>
      <c r="H63" s="33"/>
      <c r="I63" s="33"/>
      <c r="J63" s="33"/>
      <c r="K63" s="33"/>
      <c r="L63" s="33"/>
      <c r="M63" s="33"/>
      <c r="N63" s="33"/>
      <c r="O63" s="33" t="str">
        <f t="shared" ca="1" si="39"/>
        <v xml:space="preserve"> </v>
      </c>
      <c r="P63" s="120">
        <f ca="1">SUM(BU15,P42)</f>
        <v>0</v>
      </c>
      <c r="AJ63" s="58" t="str">
        <f ca="1">IF(Table201336450792849906315379433[[#This Row],[Column2]]=0," ",_xlfn.RANK.EQ(AK63,$AK$56:$AK$65))</f>
        <v xml:space="preserve"> </v>
      </c>
      <c r="AK63" s="29">
        <f t="shared" ca="1" si="41"/>
        <v>0</v>
      </c>
      <c r="AL63" s="29" t="str">
        <f t="shared" ca="1" si="40"/>
        <v xml:space="preserve"> </v>
      </c>
    </row>
    <row r="64" spans="1:83" x14ac:dyDescent="0.3">
      <c r="A64" s="137"/>
      <c r="B64" s="33" t="s">
        <v>21</v>
      </c>
      <c r="C64" s="33"/>
      <c r="D64" s="33"/>
      <c r="E64" s="33"/>
      <c r="F64" s="33"/>
      <c r="G64" s="33"/>
      <c r="H64" s="33"/>
      <c r="I64" s="33"/>
      <c r="J64" s="33"/>
      <c r="K64" s="33"/>
      <c r="L64" s="33"/>
      <c r="M64" s="33"/>
      <c r="N64" s="33"/>
      <c r="O64" s="33" t="str">
        <f t="shared" ca="1" si="39"/>
        <v xml:space="preserve"> </v>
      </c>
      <c r="P64" s="120">
        <f ca="1">SUM(BU16,P41)</f>
        <v>0</v>
      </c>
      <c r="AJ64" s="58" t="str">
        <f ca="1">IF(Table201336450792849906315379433[[#This Row],[Column2]]=0," ",_xlfn.RANK.EQ(AK64,$AK$56:$AK$65))</f>
        <v xml:space="preserve"> </v>
      </c>
      <c r="AK64" s="29">
        <f t="shared" ca="1" si="41"/>
        <v>0</v>
      </c>
      <c r="AL64" s="29" t="str">
        <f t="shared" ca="1" si="40"/>
        <v xml:space="preserve"> </v>
      </c>
      <c r="CB64" s="31" t="s">
        <v>733</v>
      </c>
    </row>
    <row r="65" spans="1:82" x14ac:dyDescent="0.3">
      <c r="A65" s="137"/>
      <c r="B65" s="33" t="s">
        <v>22</v>
      </c>
      <c r="C65" s="33"/>
      <c r="D65" s="33"/>
      <c r="E65" s="33"/>
      <c r="F65" s="33"/>
      <c r="G65" s="33"/>
      <c r="H65" s="33"/>
      <c r="I65" s="33"/>
      <c r="J65" s="33"/>
      <c r="K65" s="33"/>
      <c r="L65" s="33"/>
      <c r="M65" s="33"/>
      <c r="N65" s="33"/>
      <c r="O65" s="33" t="str">
        <f t="shared" ca="1" si="39"/>
        <v xml:space="preserve"> </v>
      </c>
      <c r="P65" s="120">
        <f ca="1">SUM(BU17,P42)</f>
        <v>0</v>
      </c>
      <c r="AJ65" s="58" t="str">
        <f ca="1">IF(Table201336450792849906315379433[[#This Row],[Column2]]=0," ",_xlfn.RANK.EQ(AK65,$AK$56:$AK$65))</f>
        <v xml:space="preserve"> </v>
      </c>
      <c r="AK65" s="29">
        <f t="shared" ca="1" si="41"/>
        <v>0</v>
      </c>
      <c r="AL65" s="29" t="str">
        <f t="shared" ca="1" si="40"/>
        <v xml:space="preserve"> </v>
      </c>
      <c r="CB65" s="35">
        <f t="shared" ref="CB65:CB70" ca="1" si="43">_xlfn.RANK.EQ(CC65,$CC$65:$CC$70)</f>
        <v>5</v>
      </c>
      <c r="CC65" s="36">
        <f ca="1">IF(BM9&gt;0,0,RAND())</f>
        <v>0.10340614950221771</v>
      </c>
      <c r="CD65" s="29" t="s">
        <v>14</v>
      </c>
    </row>
    <row r="66" spans="1:82" x14ac:dyDescent="0.3">
      <c r="A66" s="137"/>
      <c r="B66" s="33" t="s">
        <v>23</v>
      </c>
      <c r="C66" s="33"/>
      <c r="D66" s="33"/>
      <c r="E66" s="33"/>
      <c r="F66" s="33"/>
      <c r="G66" s="33"/>
      <c r="H66" s="33"/>
      <c r="I66" s="33"/>
      <c r="J66" s="33"/>
      <c r="K66" s="33"/>
      <c r="L66" s="33"/>
      <c r="M66" s="33"/>
      <c r="N66" s="33"/>
      <c r="O66" s="33" t="str">
        <f t="shared" ca="1" si="39"/>
        <v xml:space="preserve"> </v>
      </c>
      <c r="P66" s="120">
        <f ca="1">SUM(BU18,P43)</f>
        <v>2</v>
      </c>
      <c r="CB66" s="35">
        <f t="shared" ca="1" si="43"/>
        <v>6</v>
      </c>
      <c r="CC66" s="36">
        <f ca="1">IF(BM12&gt;0,0,RAND())</f>
        <v>8.7196891493625195E-2</v>
      </c>
      <c r="CD66" s="29" t="s">
        <v>17</v>
      </c>
    </row>
    <row r="67" spans="1:82" x14ac:dyDescent="0.3">
      <c r="A67" s="137"/>
      <c r="B67" s="33" t="s">
        <v>24</v>
      </c>
      <c r="C67" s="33"/>
      <c r="D67" s="33"/>
      <c r="E67" s="33"/>
      <c r="F67" s="33"/>
      <c r="G67" s="33"/>
      <c r="H67" s="33"/>
      <c r="I67" s="33"/>
      <c r="J67" s="33"/>
      <c r="K67" s="33"/>
      <c r="L67" s="33"/>
      <c r="M67" s="33"/>
      <c r="N67" s="33"/>
      <c r="O67" s="33" t="str">
        <f t="shared" ca="1" si="39"/>
        <v xml:space="preserve"> </v>
      </c>
      <c r="P67" s="120">
        <f ca="1">SUM(BU19,P43)</f>
        <v>2</v>
      </c>
      <c r="AJ67" s="31" t="s">
        <v>1168</v>
      </c>
      <c r="CB67" s="35">
        <f t="shared" ca="1" si="43"/>
        <v>4</v>
      </c>
      <c r="CC67" s="36">
        <f ca="1">IF(BM13&gt;0,0,RAND())</f>
        <v>0.32766292217985105</v>
      </c>
      <c r="CD67" s="29" t="s">
        <v>18</v>
      </c>
    </row>
    <row r="68" spans="1:82" x14ac:dyDescent="0.3">
      <c r="A68" s="137"/>
      <c r="B68" s="33" t="s">
        <v>25</v>
      </c>
      <c r="C68" s="33"/>
      <c r="D68" s="33"/>
      <c r="E68" s="33"/>
      <c r="F68" s="33"/>
      <c r="G68" s="33"/>
      <c r="H68" s="33"/>
      <c r="I68" s="33"/>
      <c r="J68" s="33"/>
      <c r="K68" s="33"/>
      <c r="L68" s="33"/>
      <c r="M68" s="33"/>
      <c r="N68" s="33"/>
      <c r="O68" s="33" t="str">
        <f t="shared" ca="1" si="39"/>
        <v xml:space="preserve"> </v>
      </c>
      <c r="P68" s="120">
        <f ca="1">SUM(BU20,P41)</f>
        <v>0</v>
      </c>
      <c r="AJ68" s="58" t="str">
        <f ca="1">IF(Table202337451793850907320380434[[#This Row],[Column2]]=0," ",_xlfn.RANK.EQ(AK68,$AK$68:$AK$77))</f>
        <v xml:space="preserve"> </v>
      </c>
      <c r="AK68" s="60">
        <f t="shared" ref="AK68:AK77" ca="1" si="44">IF(AL68=" ", 0,RAND())</f>
        <v>0</v>
      </c>
      <c r="AL68" s="29" t="str">
        <f t="shared" ref="AL68:AL77" ca="1" si="45">S315</f>
        <v xml:space="preserve"> </v>
      </c>
      <c r="CB68" s="35">
        <f t="shared" ca="1" si="43"/>
        <v>1</v>
      </c>
      <c r="CC68" s="36">
        <f ca="1">IF(BM15&gt;0,0,RAND())</f>
        <v>0.65507039798778255</v>
      </c>
      <c r="CD68" s="29" t="s">
        <v>20</v>
      </c>
    </row>
    <row r="69" spans="1:82" x14ac:dyDescent="0.3">
      <c r="A69" s="137"/>
      <c r="B69" s="33" t="s">
        <v>26</v>
      </c>
      <c r="C69" s="33"/>
      <c r="D69" s="33"/>
      <c r="E69" s="33"/>
      <c r="F69" s="33"/>
      <c r="G69" s="33"/>
      <c r="H69" s="33"/>
      <c r="I69" s="33"/>
      <c r="J69" s="33"/>
      <c r="K69" s="33"/>
      <c r="L69" s="33"/>
      <c r="M69" s="33"/>
      <c r="N69" s="33"/>
      <c r="O69" s="33" t="str">
        <f t="shared" ca="1" si="39"/>
        <v xml:space="preserve"> </v>
      </c>
      <c r="P69" s="120">
        <f ca="1">SUM(BU21,P39)</f>
        <v>0</v>
      </c>
      <c r="AJ69" s="58" t="str">
        <f ca="1">IF(Table202337451793850907320380434[[#This Row],[Column2]]=0," ",_xlfn.RANK.EQ(AK69,$AK$68:$AK$77))</f>
        <v xml:space="preserve"> </v>
      </c>
      <c r="AK69" s="60">
        <f t="shared" ca="1" si="44"/>
        <v>0</v>
      </c>
      <c r="AL69" s="29" t="str">
        <f t="shared" ca="1" si="45"/>
        <v xml:space="preserve"> </v>
      </c>
      <c r="CB69" s="35">
        <f t="shared" ca="1" si="43"/>
        <v>2</v>
      </c>
      <c r="CC69" s="36">
        <f ca="1">IF(BM19&gt;0,0,RAND())</f>
        <v>0.59627483213497268</v>
      </c>
      <c r="CD69" s="29" t="s">
        <v>24</v>
      </c>
    </row>
    <row r="70" spans="1:82" x14ac:dyDescent="0.3">
      <c r="A70" s="137"/>
      <c r="B70" s="33" t="s">
        <v>27</v>
      </c>
      <c r="C70" s="33"/>
      <c r="D70" s="33"/>
      <c r="E70" s="33"/>
      <c r="F70" s="33"/>
      <c r="G70" s="33"/>
      <c r="H70" s="33"/>
      <c r="I70" s="33"/>
      <c r="J70" s="33"/>
      <c r="K70" s="33"/>
      <c r="L70" s="33"/>
      <c r="M70" s="33"/>
      <c r="N70" s="33"/>
      <c r="O70" s="33" t="str">
        <f t="shared" ca="1" si="39"/>
        <v xml:space="preserve"> </v>
      </c>
      <c r="P70" s="120">
        <f ca="1">SUM(BU22,P39)</f>
        <v>0</v>
      </c>
      <c r="AJ70" s="58" t="str">
        <f ca="1">IF(Table202337451793850907320380434[[#This Row],[Column2]]=0," ",_xlfn.RANK.EQ(AK70,$AK$68:$AK$77))</f>
        <v xml:space="preserve"> </v>
      </c>
      <c r="AK70" s="60">
        <f t="shared" ca="1" si="44"/>
        <v>0</v>
      </c>
      <c r="AL70" s="29" t="str">
        <f t="shared" ca="1" si="45"/>
        <v xml:space="preserve"> </v>
      </c>
      <c r="CB70" s="35">
        <f t="shared" ca="1" si="43"/>
        <v>3</v>
      </c>
      <c r="CC70" s="36">
        <f ca="1">IF(BM20&gt;0,0,RAND())</f>
        <v>0.53831254530915285</v>
      </c>
      <c r="CD70" s="29" t="s">
        <v>25</v>
      </c>
    </row>
    <row r="71" spans="1:82" x14ac:dyDescent="0.3">
      <c r="A71" s="137"/>
      <c r="B71" s="33" t="s">
        <v>28</v>
      </c>
      <c r="C71" s="33"/>
      <c r="D71" s="33"/>
      <c r="E71" s="33"/>
      <c r="F71" s="33"/>
      <c r="G71" s="33"/>
      <c r="H71" s="33"/>
      <c r="I71" s="33"/>
      <c r="J71" s="33"/>
      <c r="K71" s="33"/>
      <c r="L71" s="33"/>
      <c r="M71" s="33"/>
      <c r="N71" s="33"/>
      <c r="O71" s="33" t="str">
        <f t="shared" ca="1" si="39"/>
        <v xml:space="preserve"> </v>
      </c>
      <c r="P71" s="120">
        <f ca="1">SUM(BU23,P42)</f>
        <v>0</v>
      </c>
      <c r="AJ71" s="58" t="str">
        <f ca="1">IF(Table202337451793850907320380434[[#This Row],[Column2]]=0," ",_xlfn.RANK.EQ(AK71,$AK$68:$AK$77))</f>
        <v xml:space="preserve"> </v>
      </c>
      <c r="AK71" s="60">
        <f t="shared" ca="1" si="44"/>
        <v>0</v>
      </c>
      <c r="AL71" s="29" t="str">
        <f t="shared" ca="1" si="45"/>
        <v xml:space="preserve"> </v>
      </c>
    </row>
    <row r="72" spans="1:82" ht="19.5" thickBot="1" x14ac:dyDescent="0.35">
      <c r="A72" s="137"/>
      <c r="B72" s="38" t="str">
        <f ca="1">IF(O11="non-classed","Profession"," ")</f>
        <v>Profession</v>
      </c>
      <c r="C72" s="38"/>
      <c r="D72" s="38"/>
      <c r="E72" s="38"/>
      <c r="F72" s="38"/>
      <c r="G72" s="38"/>
      <c r="H72" s="38"/>
      <c r="I72" s="38"/>
      <c r="J72" s="38"/>
      <c r="K72" s="38"/>
      <c r="L72" s="38"/>
      <c r="M72" s="38"/>
      <c r="N72" s="38"/>
      <c r="O72" s="38" t="str">
        <f ca="1">IF(O11="non-classed","x"," ")</f>
        <v>x</v>
      </c>
      <c r="P72" s="121">
        <f ca="1">IF(O11="non-classed",P8*2," ")</f>
        <v>10</v>
      </c>
      <c r="AJ72" s="58" t="str">
        <f ca="1">IF(Table202337451793850907320380434[[#This Row],[Column2]]=0," ",_xlfn.RANK.EQ(AK72,$AK$68:$AK$77))</f>
        <v xml:space="preserve"> </v>
      </c>
      <c r="AK72" s="60">
        <f t="shared" ca="1" si="44"/>
        <v>0</v>
      </c>
      <c r="AL72" s="29" t="str">
        <f t="shared" ca="1" si="45"/>
        <v xml:space="preserve"> </v>
      </c>
      <c r="CB72" s="31" t="s">
        <v>734</v>
      </c>
    </row>
    <row r="73" spans="1:82" ht="19.5" thickBot="1" x14ac:dyDescent="0.35">
      <c r="AJ73" s="58" t="str">
        <f ca="1">IF(Table202337451793850907320380434[[#This Row],[Column2]]=0," ",_xlfn.RANK.EQ(AK73,$AK$68:$AK$77))</f>
        <v xml:space="preserve"> </v>
      </c>
      <c r="AK73" s="60">
        <f t="shared" ca="1" si="44"/>
        <v>0</v>
      </c>
      <c r="AL73" s="29" t="str">
        <f t="shared" ca="1" si="45"/>
        <v xml:space="preserve"> </v>
      </c>
      <c r="CB73" s="35">
        <f t="shared" ref="CB73:CB81" ca="1" si="46">_xlfn.RANK.EQ(CC73,$CC$73:$CC$81)</f>
        <v>8</v>
      </c>
      <c r="CC73" s="36">
        <f ca="1">IF(BM7&gt;0,0,RAND())</f>
        <v>5.4668911363561445E-2</v>
      </c>
      <c r="CD73" s="29" t="s">
        <v>29</v>
      </c>
    </row>
    <row r="74" spans="1:82" ht="30.75" thickBot="1" x14ac:dyDescent="0.45">
      <c r="B74" s="106" t="s">
        <v>2716</v>
      </c>
      <c r="AJ74" s="58" t="str">
        <f ca="1">IF(Table202337451793850907320380434[[#This Row],[Column2]]=0," ",_xlfn.RANK.EQ(AK74,$AK$68:$AK$77))</f>
        <v xml:space="preserve"> </v>
      </c>
      <c r="AK74" s="60">
        <f t="shared" ca="1" si="44"/>
        <v>0</v>
      </c>
      <c r="AL74" s="29" t="str">
        <f t="shared" ca="1" si="45"/>
        <v xml:space="preserve"> </v>
      </c>
      <c r="CB74" s="35">
        <f t="shared" ca="1" si="46"/>
        <v>7</v>
      </c>
      <c r="CC74" s="36">
        <f ca="1">IF(BM9&gt;0,0,RAND())</f>
        <v>0.1146573357914541</v>
      </c>
      <c r="CD74" s="29" t="s">
        <v>14</v>
      </c>
    </row>
    <row r="75" spans="1:82" ht="19.5" thickBot="1" x14ac:dyDescent="0.35">
      <c r="B75" s="55" t="s">
        <v>52</v>
      </c>
      <c r="O75" s="53" t="s">
        <v>121</v>
      </c>
      <c r="P75" s="26" t="s">
        <v>46</v>
      </c>
      <c r="Q75" s="61"/>
      <c r="R75" s="28"/>
      <c r="AJ75" s="58" t="str">
        <f ca="1">IF(Table202337451793850907320380434[[#This Row],[Column2]]=0," ",_xlfn.RANK.EQ(AK75,$AK$68:$AK$77))</f>
        <v xml:space="preserve"> </v>
      </c>
      <c r="AK75" s="60">
        <f t="shared" ca="1" si="44"/>
        <v>0</v>
      </c>
      <c r="AL75" s="29" t="str">
        <f t="shared" ca="1" si="45"/>
        <v xml:space="preserve"> </v>
      </c>
      <c r="CB75" s="35">
        <f t="shared" ca="1" si="46"/>
        <v>4</v>
      </c>
      <c r="CC75" s="36">
        <f ca="1">IF(BM12&gt;0,0,RAND())</f>
        <v>0.31030962269964835</v>
      </c>
      <c r="CD75" s="29" t="s">
        <v>17</v>
      </c>
    </row>
    <row r="76" spans="1:82" ht="19.5" thickTop="1" x14ac:dyDescent="0.3">
      <c r="B76" s="56" t="str">
        <f ca="1">IF(OR(O11="warlock",Q11="warlock",P2="mountain",O11="barbarian",O11="bard",Q11="barbarian",O11="cleric",Q11="bard",Q11="cleric",O11="druid",Q11="druid",O11="fighter",Q11="fighter",O11="paladin",Q11="paladin",O11="ranger",Q11="ranger",O11="rogue",Q11="rogue"),"Light Armor"," ")</f>
        <v xml:space="preserve"> </v>
      </c>
      <c r="O76" s="33" t="str">
        <f ca="1">IF(Q2="dwarf",VLOOKUP(RANDBETWEEN(1,3),Table3[],2),IF(P2="rock","Artisan's Tools"," "))</f>
        <v xml:space="preserve"> </v>
      </c>
      <c r="P76" s="62" t="str">
        <f ca="1">IF(OR(O11="warlock",Q11="warlock",O11="barbarian",O11="bard",Q11="barbarian",Q11="bard",O11="cleric",O11="fighter",Q11="fighter",O11="monk",Q11="monk",O11="paladin",Q11="paladin",O11="ranger",Q11="ranger",O11="rogue"),"Simple Weapons",IF(Q2="dwarf","Handaxe"," "))</f>
        <v xml:space="preserve"> </v>
      </c>
      <c r="Q76" s="60" t="str">
        <f ca="1">IF(AND(P76&lt;&gt;"simple weapons",OR($O$11="druid",O11="non-classed")),"Club",IF(P80="shortsword"," ",IF(AND(P77&lt;&gt;"martial weapons",OR(O11="monk",O11="bard",Q11="monk",O11="rogue")),"Shortsword"," ")))</f>
        <v>Club</v>
      </c>
      <c r="R76" s="63" t="str">
        <f ca="1">IF(AND(P76&lt;&gt;"simple weapons",OR($O$11="druid",O11="sorcerer",O11="wizard",O11="non-classed")),"Quarterstaff"," ")</f>
        <v>Quarterstaff</v>
      </c>
      <c r="AJ76" s="58" t="str">
        <f ca="1">IF(Table202337451793850907320380434[[#This Row],[Column2]]=0," ",_xlfn.RANK.EQ(AK76,$AK$68:$AK$77))</f>
        <v xml:space="preserve"> </v>
      </c>
      <c r="AK76" s="60">
        <f t="shared" ca="1" si="44"/>
        <v>0</v>
      </c>
      <c r="AL76" s="29" t="str">
        <f t="shared" ca="1" si="45"/>
        <v xml:space="preserve"> </v>
      </c>
      <c r="CB76" s="35">
        <f t="shared" ca="1" si="46"/>
        <v>1</v>
      </c>
      <c r="CC76" s="36">
        <f ca="1">IF(BM13&gt;0,0,RAND())</f>
        <v>0.91827908579269268</v>
      </c>
      <c r="CD76" s="29" t="s">
        <v>18</v>
      </c>
    </row>
    <row r="77" spans="1:82" x14ac:dyDescent="0.3">
      <c r="B77" s="56" t="str">
        <f ca="1">IF(OR(P2="mountain",O11="barbarian",Q11="barbarian",P15="college of valor",R15="college of valor",O11="cleric",Q11="cleric",O11="druid",Q11="druid",O11="fighter",Q11="fighter",O11="paladin",Q11="paladin",O11="ranger",Q11="ranger"),"Medium Armor"," ")</f>
        <v xml:space="preserve"> </v>
      </c>
      <c r="O77" s="33" t="str">
        <f ca="1">IF(AND(O11="monk",AF23=2),INDEX('Class Tables'!F25:F34,MATCH(1,('Class Tables'!D25:D34),0)),IF(AND(O11="monk",AF23=1),INDEX('Class Tables'!J80:J95,MATCH(1,('Class Tables'!I80:I95),0)),IF(P15="battle master",VLOOKUP(RANDBETWEEN(1,16),Table79[],2),IF(OR($O$11="bard"),INDEX('Class Tables'!$F$25:$F$34,MATCH(1,('Class Tables'!$D$25:$D$34),0))," "))))</f>
        <v xml:space="preserve"> </v>
      </c>
      <c r="P77" s="64" t="str">
        <f ca="1">IF(OR($O$11="barbarian",Q11="barbarian",P15="college of valor",R15="college of valor",R15="tempest",P15="tempest",P15="war",R15="war",O11="fighter",Q11="fighter",O11="paladin",Q11="paladin",O11="ranger",Q11="ranger"),"Martial Weapons",IF($Q$2="dwarf","Battleaxe",IF(OR($P$2="high",$P$2="wood"),"Longsword",IF($P$2="dark","Rapier"," "))))</f>
        <v>Longsword</v>
      </c>
      <c r="Q77" s="65" t="str">
        <f ca="1">IF(AND(OR($O$11="druid",O11="sorcerer",O11="wizard",O11="non-classed"),P76&lt;&gt;"Simple weapons"),"Dagger",IF(AND(O11="bard",P77&lt;&gt;"Martial Weapons"),"Hand Crossbow",IF(AND(O11="rogue",P77&lt;&gt;"martial weapons"),"Hand Crossbow"," ")))</f>
        <v>Dagger</v>
      </c>
      <c r="R77" s="66" t="str">
        <f ca="1">IF(AND(P77&lt;&gt;"martial weapons",$O$11="druid"),"Scimitar"," ")</f>
        <v xml:space="preserve"> </v>
      </c>
      <c r="AJ77" s="58" t="str">
        <f ca="1">IF(Table202337451793850907320380434[[#This Row],[Column2]]=0," ",_xlfn.RANK.EQ(AK77,$AK$68:$AK$77))</f>
        <v xml:space="preserve"> </v>
      </c>
      <c r="AK77" s="60">
        <f t="shared" ca="1" si="44"/>
        <v>0</v>
      </c>
      <c r="AL77" s="29" t="str">
        <f t="shared" ca="1" si="45"/>
        <v xml:space="preserve"> </v>
      </c>
      <c r="CB77" s="35">
        <f t="shared" ca="1" si="46"/>
        <v>9</v>
      </c>
      <c r="CC77" s="36">
        <f ca="1">IF(BM14&gt;0,0,RAND())</f>
        <v>6.6665998018751171E-3</v>
      </c>
      <c r="CD77" s="29" t="s">
        <v>19</v>
      </c>
    </row>
    <row r="78" spans="1:82" x14ac:dyDescent="0.3">
      <c r="B78" s="56" t="str">
        <f ca="1">IF(OR(O11="barbarian",Q11="barbarian",R15="college of valor",P15="college of valor",O11="cleric",Q11="cleric",O11="druid",Q11="Druid",O11="fighter",Q11="fighter",O11="paladin",Q11="paladin",O11="ranger",Q11="ranger"),"Shields"," ")</f>
        <v xml:space="preserve"> </v>
      </c>
      <c r="O78" s="33" t="str">
        <f ca="1">IF(OR($O$11="bard"),INDEX('Class Tables'!$F$25:$F$34,MATCH(2,('Class Tables'!$D$25:$D$34),0))," ")</f>
        <v xml:space="preserve"> </v>
      </c>
      <c r="P78" s="62" t="str">
        <f ca="1">IF(AND(P76&lt;&gt;"Simple Weapons",Q2="dwarf"),"Light Hammer",IF(AND(P2="high",P76&lt;&gt;"Simple Weapons"),"Shortbow",IF(AND(P76&lt;&gt;"Simple Weapons",P2="wood"),"Shortbow",IF(AND(P2="dark",P77&lt;&gt;"Martial Weapons"),"Hand Crossbow"," "))))</f>
        <v>Shortbow</v>
      </c>
      <c r="Q78" s="60" t="str">
        <f ca="1">IF(AND(OR($O$11="druid",O11="sorcerer",O11="wizard"),P76&lt;&gt;"Simple weapons"),"Dart",IF(AND(P77&lt;&gt;"martial weapons",OR(O11="bard",O11="rogue")),"Longsword"," "))</f>
        <v xml:space="preserve"> </v>
      </c>
      <c r="R78" s="63" t="str">
        <f ca="1">IF(AND(P76&lt;&gt;"simple weapons",$O$11="druid"),"Sickle"," ")</f>
        <v xml:space="preserve"> </v>
      </c>
      <c r="CB78" s="35">
        <f t="shared" ca="1" si="46"/>
        <v>2</v>
      </c>
      <c r="CC78" s="36">
        <f ca="1">IF(BM16&gt;0,0,RAND())</f>
        <v>0.842212156094579</v>
      </c>
      <c r="CD78" s="29" t="s">
        <v>21</v>
      </c>
    </row>
    <row r="79" spans="1:82" x14ac:dyDescent="0.3">
      <c r="B79" s="33" t="str">
        <f ca="1">IF(OR(P15="life",R15="life",P15="nature",R15="nature",P15="tempest",R15="tempest",P15="war",R15="war",O11="fighter",Q11="fighter",O11="paladin"),"Heavy Armor"," ")</f>
        <v xml:space="preserve"> </v>
      </c>
      <c r="O79" s="33" t="str">
        <f ca="1">IF(OR($O$11="bard",$Q$11="bard"),INDEX('Class Tables'!$F$25:$F$34,MATCH(3,('Class Tables'!$D$25:$D$34),0))," ")</f>
        <v xml:space="preserve"> </v>
      </c>
      <c r="P79" s="64" t="str">
        <f ca="1">IF(P77="martial weapons"," ",IF(Q2="dwarf","Warhammer",IF(OR(P2="high",P2="wood"),"Longbow"," ")))</f>
        <v>Longbow</v>
      </c>
      <c r="Q79" s="65" t="str">
        <f ca="1">IF(AND($O$11="druid",P76&lt;&gt;"simple weapons"),"Javelin",IF(AND(O11="sorcerer",P76&lt;&gt;"simple weapons"),"Light Crossbow",IF(AND(O11="wizard",P76&lt;&gt;"simple weapons"),"Light Crossbow",IF(AND(OR(O11="bard",O11="rogue"),P77&lt;&gt;"martial weapons"),"Rapier"," "))))</f>
        <v xml:space="preserve"> </v>
      </c>
      <c r="R79" s="66" t="str">
        <f ca="1">IF(AND(P76&lt;&gt;"simple weapons",OR($O$11="druid",O11="sorcerer",O11="wizard")),"Sling"," ")</f>
        <v xml:space="preserve"> </v>
      </c>
      <c r="AJ79" s="31" t="s">
        <v>676</v>
      </c>
      <c r="CB79" s="35">
        <f t="shared" ca="1" si="46"/>
        <v>3</v>
      </c>
      <c r="CC79" s="36">
        <f ca="1">IF(BM17&gt;0,0,RAND())</f>
        <v>0.43427995764778859</v>
      </c>
      <c r="CD79" s="29" t="s">
        <v>22</v>
      </c>
    </row>
    <row r="80" spans="1:82" ht="19.5" thickBot="1" x14ac:dyDescent="0.35">
      <c r="O80" s="33" t="str">
        <f ca="1">IF(OR(O11="druid",S11="hermit"),"Herbalism Kit"," ")</f>
        <v xml:space="preserve"> </v>
      </c>
      <c r="P80" s="51" t="str">
        <f ca="1">IF(AND(P77&lt;&gt;"martial weapons",OR(P2="high",P2="wood",P2="dark")),"Shortsword"," ")</f>
        <v>Shortsword</v>
      </c>
      <c r="Q80" s="67" t="str">
        <f ca="1">IF(AND(P76&lt;&gt;"simple weapons",$O$11="druid"),"Mace"," ")</f>
        <v xml:space="preserve"> </v>
      </c>
      <c r="R80" s="68" t="str">
        <f ca="1">IF(AND(P76&lt;&gt;"simple weapons",$O$11="druid"),"Spear"," ")</f>
        <v xml:space="preserve"> </v>
      </c>
      <c r="AJ80" s="58" t="str">
        <f ca="1">IF(Table203338452794851908321381435[[#This Row],[Column2]]=0," ",_xlfn.RANK.EQ(AK80,$AK$80:$AK$89))</f>
        <v xml:space="preserve"> </v>
      </c>
      <c r="AK80" s="60">
        <f t="shared" ref="AK80:AK89" ca="1" si="47">IF(AL80=" ", 0,RAND())</f>
        <v>0</v>
      </c>
      <c r="AL80" s="29" t="str">
        <f t="shared" ref="AL80:AL89" ca="1" si="48">T315</f>
        <v xml:space="preserve"> </v>
      </c>
      <c r="CB80" s="35">
        <f t="shared" ca="1" si="46"/>
        <v>6</v>
      </c>
      <c r="CC80" s="36">
        <f ca="1">IF(BM22&gt;0,0,RAND())</f>
        <v>0.21311531760495561</v>
      </c>
      <c r="CD80" s="29" t="s">
        <v>27</v>
      </c>
    </row>
    <row r="81" spans="1:82" x14ac:dyDescent="0.3">
      <c r="O81" s="33" t="str">
        <f ca="1">IF(AND(AF25=2,OR(O11="rogue",Q11="rogue")),"Thieves' Tools - Expert",IF(OR(O11="rogue",Q11="rogue"),"Thieves' Tools"," "))</f>
        <v xml:space="preserve"> </v>
      </c>
      <c r="AJ81" s="58" t="str">
        <f ca="1">IF(Table203338452794851908321381435[[#This Row],[Column2]]=0," ",_xlfn.RANK.EQ(AK81,$AK$80:$AK$89))</f>
        <v xml:space="preserve"> </v>
      </c>
      <c r="AK81" s="60">
        <f t="shared" ca="1" si="47"/>
        <v>0</v>
      </c>
      <c r="AL81" s="29" t="str">
        <f t="shared" ca="1" si="48"/>
        <v xml:space="preserve"> </v>
      </c>
      <c r="CB81" s="35">
        <f t="shared" ca="1" si="46"/>
        <v>5</v>
      </c>
      <c r="CC81" s="36">
        <f ca="1">IF(BM23&gt;0,0,RAND())</f>
        <v>0.27326433814268147</v>
      </c>
      <c r="CD81" s="29" t="s">
        <v>28</v>
      </c>
    </row>
    <row r="82" spans="1:82" x14ac:dyDescent="0.3">
      <c r="O82" s="33" t="str">
        <f ca="1">IF(P15="assassin","Disguise Kit"," ")</f>
        <v xml:space="preserve"> </v>
      </c>
      <c r="AJ82" s="58" t="str">
        <f ca="1">IF(Table203338452794851908321381435[[#This Row],[Column2]]=0," ",_xlfn.RANK.EQ(AK82,$AK$80:$AK$89))</f>
        <v xml:space="preserve"> </v>
      </c>
      <c r="AK82" s="60">
        <f t="shared" ca="1" si="47"/>
        <v>0</v>
      </c>
      <c r="AL82" s="29" t="str">
        <f t="shared" ca="1" si="48"/>
        <v xml:space="preserve"> </v>
      </c>
    </row>
    <row r="83" spans="1:82" x14ac:dyDescent="0.3">
      <c r="O83" s="33" t="str">
        <f ca="1">IF(P15="assassin","Poisoner's Kit"," ")</f>
        <v xml:space="preserve"> </v>
      </c>
      <c r="AJ83" s="58" t="str">
        <f ca="1">IF(Table203338452794851908321381435[[#This Row],[Column2]]=0," ",_xlfn.RANK.EQ(AK83,$AK$80:$AK$89))</f>
        <v xml:space="preserve"> </v>
      </c>
      <c r="AK83" s="60">
        <f t="shared" ca="1" si="47"/>
        <v>0</v>
      </c>
      <c r="AL83" s="29" t="str">
        <f t="shared" ca="1" si="48"/>
        <v xml:space="preserve"> </v>
      </c>
      <c r="CB83" s="31" t="s">
        <v>735</v>
      </c>
    </row>
    <row r="84" spans="1:82" x14ac:dyDescent="0.3">
      <c r="O84" s="33" t="str">
        <f ca="1">IF(S11="soldier",VLOOKUP(RANDBETWEEN(1,4),Table258[],2),IF(OR(S11="sailor",S11="pirate"),"Navigator's Tools",IF(OR(S11="folk hero",S11="Guild Artisan"),VLOOKUP(RANDBETWEEN(1,16),Table79[],2),IF(AND(OR(S11="criminal",S11="urchin"),OR(O81&lt;&gt;"Thieves' Tools",O81&lt;&gt;"Thieves' Tools - Expert")),"Thieves' Tools",IF(AND(OR(S11="charlatan",S11="entertainer"),O82&lt;&gt;"Disguise Kit"),"Disguise Kit"," ")))))</f>
        <v xml:space="preserve"> </v>
      </c>
      <c r="AJ84" s="58" t="str">
        <f ca="1">IF(Table203338452794851908321381435[[#This Row],[Column2]]=0," ",_xlfn.RANK.EQ(AK84,$AK$80:$AK$89))</f>
        <v xml:space="preserve"> </v>
      </c>
      <c r="AK84" s="60">
        <f t="shared" ca="1" si="47"/>
        <v>0</v>
      </c>
      <c r="AL84" s="29" t="str">
        <f t="shared" ca="1" si="48"/>
        <v xml:space="preserve"> </v>
      </c>
      <c r="CB84" s="35">
        <f t="shared" ref="CB84:CB94" ca="1" si="49">_xlfn.RANK.EQ(CC84,$CC$84:$CC$94)</f>
        <v>3</v>
      </c>
      <c r="CC84" s="36">
        <f ca="1">IF(BM6&gt;0,0,RAND())</f>
        <v>0.63503399131337923</v>
      </c>
      <c r="CD84" s="29" t="s">
        <v>12</v>
      </c>
    </row>
    <row r="85" spans="1:82" x14ac:dyDescent="0.3">
      <c r="O85" s="33" t="str">
        <f ca="1">IF(AND(S11="urchin",O82&lt;&gt;"Disguise Kit"),"Disguise Kit",IF(OR(S11="Sailor",S11="pirate"),"Vehicles (Water)",IF(OR(S11="folk hero",S11="Soldier"),"Vehicles (Land)",IF(OR(S11="entertainer",S11="outlander"),INDEX('Class Tables'!$F$25:$F$34,MATCH(4,('Class Tables'!$D$25:$D$34),0)),IF(OR(S11="criminal",S11="noble",S11="knight"),VLOOKUP(RANDBETWEEN(1,4),Table258[],2),IF(S11="charlatan","Forgery Kit"," "))))))</f>
        <v xml:space="preserve"> </v>
      </c>
      <c r="AJ85" s="58" t="str">
        <f ca="1">IF(Table203338452794851908321381435[[#This Row],[Column2]]=0," ",_xlfn.RANK.EQ(AK85,$AK$80:$AK$89))</f>
        <v xml:space="preserve"> </v>
      </c>
      <c r="AK85" s="60">
        <f t="shared" ca="1" si="47"/>
        <v>0</v>
      </c>
      <c r="AL85" s="29" t="str">
        <f t="shared" ca="1" si="48"/>
        <v xml:space="preserve"> </v>
      </c>
      <c r="CB85" s="35">
        <f t="shared" ca="1" si="49"/>
        <v>8</v>
      </c>
      <c r="CC85" s="36">
        <f ca="1">IF(BM9&gt;0,0,RAND())</f>
        <v>0.32795790889824539</v>
      </c>
      <c r="CD85" s="29" t="s">
        <v>14</v>
      </c>
    </row>
    <row r="86" spans="1:82" ht="19.5" thickBot="1" x14ac:dyDescent="0.35">
      <c r="AJ86" s="58" t="str">
        <f ca="1">IF(Table203338452794851908321381435[[#This Row],[Column2]]=0," ",_xlfn.RANK.EQ(AK86,$AK$80:$AK$89))</f>
        <v xml:space="preserve"> </v>
      </c>
      <c r="AK86" s="60">
        <f t="shared" ca="1" si="47"/>
        <v>0</v>
      </c>
      <c r="AL86" s="29" t="str">
        <f t="shared" ca="1" si="48"/>
        <v xml:space="preserve"> </v>
      </c>
      <c r="CB86" s="35">
        <f t="shared" ca="1" si="49"/>
        <v>9</v>
      </c>
      <c r="CC86" s="36">
        <f ca="1">IF(BM10&gt;0,0,RAND())</f>
        <v>0.1998862860862366</v>
      </c>
      <c r="CD86" s="29" t="s">
        <v>15</v>
      </c>
    </row>
    <row r="87" spans="1:82" ht="30.75" thickBot="1" x14ac:dyDescent="0.45">
      <c r="A87" s="72"/>
      <c r="B87" s="128" t="s">
        <v>1953</v>
      </c>
      <c r="AJ87" s="58" t="str">
        <f ca="1">IF(Table203338452794851908321381435[[#This Row],[Column2]]=0," ",_xlfn.RANK.EQ(AK87,$AK$80:$AK$89))</f>
        <v xml:space="preserve"> </v>
      </c>
      <c r="AK87" s="60">
        <f t="shared" ca="1" si="47"/>
        <v>0</v>
      </c>
      <c r="AL87" s="29" t="str">
        <f t="shared" ca="1" si="48"/>
        <v xml:space="preserve"> </v>
      </c>
      <c r="CB87" s="35">
        <f t="shared" ca="1" si="49"/>
        <v>1</v>
      </c>
      <c r="CC87" s="36">
        <f ca="1">IF(BM12&gt;0,0,RAND())</f>
        <v>0.93144820212745405</v>
      </c>
      <c r="CD87" s="29" t="s">
        <v>17</v>
      </c>
    </row>
    <row r="88" spans="1:82" x14ac:dyDescent="0.3">
      <c r="A88" s="115"/>
      <c r="B88" s="130" t="s">
        <v>1952</v>
      </c>
      <c r="C88" s="130"/>
      <c r="D88" s="130"/>
      <c r="E88" s="130"/>
      <c r="F88" s="130"/>
      <c r="G88" s="130"/>
      <c r="H88" s="130"/>
      <c r="I88" s="130"/>
      <c r="J88" s="130"/>
      <c r="K88" s="130"/>
      <c r="L88" s="130"/>
      <c r="M88" s="130"/>
      <c r="N88" s="130"/>
      <c r="O88" s="130" t="s">
        <v>1954</v>
      </c>
      <c r="P88" s="130" t="s">
        <v>1955</v>
      </c>
      <c r="Q88" s="130" t="s">
        <v>1956</v>
      </c>
      <c r="R88" s="130" t="s">
        <v>1088</v>
      </c>
      <c r="S88" s="130" t="s">
        <v>2480</v>
      </c>
      <c r="T88" s="130" t="s">
        <v>1957</v>
      </c>
      <c r="AJ88" s="58" t="str">
        <f ca="1">IF(Table203338452794851908321381435[[#This Row],[Column2]]=0," ",_xlfn.RANK.EQ(AK88,$AK$80:$AK$89))</f>
        <v xml:space="preserve"> </v>
      </c>
      <c r="AK88" s="60">
        <f t="shared" ca="1" si="47"/>
        <v>0</v>
      </c>
      <c r="AL88" s="29" t="str">
        <f t="shared" ca="1" si="48"/>
        <v xml:space="preserve"> </v>
      </c>
      <c r="CB88" s="35">
        <f t="shared" ca="1" si="49"/>
        <v>4</v>
      </c>
      <c r="CC88" s="36">
        <f ca="1">IF(BM13&gt;0,0,RAND())</f>
        <v>0.55796592965608804</v>
      </c>
      <c r="CD88" s="29" t="s">
        <v>18</v>
      </c>
    </row>
    <row r="89" spans="1:82" x14ac:dyDescent="0.3">
      <c r="A89" s="137"/>
      <c r="B89" s="33" t="str">
        <f ca="1">IF(OR(O15="unarmored defense",O16="unarmored defense",Q15="unarmored defense",Q16="unarmored defense"),"Unarmored Defense",IF(B79="heavy armor",VLOOKUP(RANDBETWEEN(1,4),Table286[],2),IF(B77="medium armor",VLOOKUP(RANDBETWEEN(1,5),Table285[],2),IF(B76="light armor",VLOOKUP(RANDBETWEEN(1,3),Table284[],2),VLOOKUP(RANDBETWEEN(1,3),Table291[],2)))))</f>
        <v>Fine Clothes</v>
      </c>
      <c r="C89" s="33"/>
      <c r="D89" s="33"/>
      <c r="E89" s="33"/>
      <c r="F89" s="33"/>
      <c r="G89" s="33"/>
      <c r="H89" s="33"/>
      <c r="I89" s="33"/>
      <c r="J89" s="33"/>
      <c r="K89" s="33"/>
      <c r="L89" s="33"/>
      <c r="M89" s="33"/>
      <c r="N89" s="33"/>
      <c r="O89" s="33">
        <f ca="1">IF(B89="unarmored Defense",10,INDEX(Items!C2:C22,MATCH(B89,(Items!B2:B22),0)))</f>
        <v>10</v>
      </c>
      <c r="P89" s="33">
        <f ca="1">IF(OR(B89="ring mail",B89="chain mail",B89="splint",B89="plate"),0,IF(B89="fine clothes",P39,IF(B89="common clothes",P39,IF(B89="traveler's clothes",P39,IF(B89="unarmored defense",P39,IF(B89="padded",P39,IF(B89="leather",P39,IF(B89="Studded Leather",P39,IF(B89="Hide",MIN(2,(P39)),IF(B89="chain shirt",MIN(2,(P39)),IF(B89="scale mail",MIN(2,(P39)),IF(B89="breastplate",MIN(2,(P39)),IF(B89="half plate",MIN(2,(Q2)),0)))))))))))))</f>
        <v>0</v>
      </c>
      <c r="Q89" s="33">
        <f ca="1">IF(AND(B89="unarmored defense",OR(O11="barbarian",Q11="barbarian")),P40,IF(AND(B89="unarmored defense",OR(O11="monk",Q11="monk")),P42,IF(AND(OR(O17="defense style",Q17="defense style",P18="defense style",O15="defense style",S18="defense style",Q15="defense style"),B89&lt;&gt;"unarmored defense"),2,0)))</f>
        <v>0</v>
      </c>
      <c r="R89" s="33">
        <f ca="1">IF(AND(B90="shield",COUNTIF(B109:P109,"*"&amp;"Shield +3"&amp;"*")),5,IF(AND(B90="shield",COUNTIF(B109:P109,"*"&amp;"Shield +2"&amp;"*")),4,IF(AND(B90="shield",COUNTIF(B109:P109,"*"&amp;"Shield +1"&amp;"*")),3,IF(B90="shield",2,0))))</f>
        <v>0</v>
      </c>
      <c r="S89" s="29" t="str">
        <f ca="1">IF(COUNTIF(B109:P109,"*"&amp;"Armor +3"&amp;"*"),3,IF(COUNTIF(B109:P109,"*"&amp;"Armor +2"&amp;"*"),2,IF(COUNTIF(B109:P109,"*"&amp;"Armor +1"&amp;"*"),1," ")))</f>
        <v xml:space="preserve"> </v>
      </c>
      <c r="T89" s="33">
        <f ca="1">SUM(C89:S89)</f>
        <v>10</v>
      </c>
      <c r="AJ89" s="58" t="str">
        <f ca="1">IF(Table203338452794851908321381435[[#This Row],[Column2]]=0," ",_xlfn.RANK.EQ(AK89,$AK$80:$AK$89))</f>
        <v xml:space="preserve"> </v>
      </c>
      <c r="AK89" s="60">
        <f t="shared" ca="1" si="47"/>
        <v>0</v>
      </c>
      <c r="AL89" s="29" t="str">
        <f t="shared" ca="1" si="48"/>
        <v xml:space="preserve"> </v>
      </c>
      <c r="CB89" s="35">
        <f t="shared" ca="1" si="49"/>
        <v>2</v>
      </c>
      <c r="CC89" s="36">
        <f ca="1">IF(BM14&gt;0,0,RAND())</f>
        <v>0.72188501863771948</v>
      </c>
      <c r="CD89" s="29" t="s">
        <v>19</v>
      </c>
    </row>
    <row r="90" spans="1:82" x14ac:dyDescent="0.3">
      <c r="A90" s="137"/>
      <c r="B90" s="33" t="str">
        <f ca="1">IF(B78="shields","Shield"," ")</f>
        <v xml:space="preserve"> </v>
      </c>
      <c r="C90" s="33"/>
      <c r="D90" s="33"/>
      <c r="E90" s="33"/>
      <c r="F90" s="33"/>
      <c r="G90" s="33"/>
      <c r="H90" s="33"/>
      <c r="I90" s="33"/>
      <c r="J90" s="33"/>
      <c r="K90" s="33"/>
      <c r="L90" s="33"/>
      <c r="M90" s="33"/>
      <c r="N90" s="33"/>
      <c r="O90" s="33"/>
      <c r="P90" s="33"/>
      <c r="Q90" s="33"/>
      <c r="R90" s="33"/>
      <c r="S90" s="33"/>
      <c r="CB90" s="35">
        <f t="shared" ca="1" si="49"/>
        <v>5</v>
      </c>
      <c r="CC90" s="36">
        <f ca="1">IF(BM17&gt;0,0,RAND())</f>
        <v>0.49692297062669921</v>
      </c>
      <c r="CD90" s="29" t="s">
        <v>22</v>
      </c>
    </row>
    <row r="91" spans="1:82" x14ac:dyDescent="0.3">
      <c r="A91" s="137"/>
      <c r="B91" s="69" t="s">
        <v>1962</v>
      </c>
      <c r="C91" s="69"/>
      <c r="D91" s="69"/>
      <c r="E91" s="69"/>
      <c r="F91" s="69"/>
      <c r="G91" s="69"/>
      <c r="H91" s="69"/>
      <c r="I91" s="69"/>
      <c r="J91" s="69"/>
      <c r="K91" s="69"/>
      <c r="L91" s="69"/>
      <c r="M91" s="69"/>
      <c r="N91" s="69"/>
      <c r="O91" s="69" t="s">
        <v>1963</v>
      </c>
      <c r="P91" s="69" t="s">
        <v>1982</v>
      </c>
      <c r="Q91" s="70" t="s">
        <v>1983</v>
      </c>
      <c r="R91" s="71" t="s">
        <v>2715</v>
      </c>
      <c r="S91" s="30"/>
      <c r="AJ91" s="31" t="s">
        <v>1169</v>
      </c>
      <c r="CB91" s="35">
        <f t="shared" ca="1" si="49"/>
        <v>10</v>
      </c>
      <c r="CC91" s="36">
        <f ca="1">IF(BM18&gt;0,0,RAND())</f>
        <v>0.1616690247766146</v>
      </c>
      <c r="CD91" s="29" t="s">
        <v>23</v>
      </c>
    </row>
    <row r="92" spans="1:82" x14ac:dyDescent="0.3">
      <c r="A92" s="137"/>
      <c r="B92" s="33" t="str">
        <f ca="1">IF(P77="martial weapons",VLOOKUP(RANDBETWEEN(1,18),Table289[],2),IF(P76="simple weapons",VLOOKUP(RANDBETWEEN(1,10),Table287[],2),INDEX(AQ45:AQ59,MATCH(1,(AO45:AO59),0))))</f>
        <v>Shortsword</v>
      </c>
      <c r="C92" s="33"/>
      <c r="D92" s="33"/>
      <c r="E92" s="33"/>
      <c r="F92" s="33"/>
      <c r="G92" s="33"/>
      <c r="H92" s="33"/>
      <c r="I92" s="33"/>
      <c r="J92" s="33"/>
      <c r="K92" s="33"/>
      <c r="L92" s="33"/>
      <c r="M92" s="33"/>
      <c r="N92" s="33"/>
      <c r="O92" s="33" t="str">
        <f ca="1">INDEX(Items!$G$2:$G$44,MATCH(B92,(Items!$F$2:$F$44),0))</f>
        <v>1d6p</v>
      </c>
      <c r="P92" s="33" t="str">
        <f ca="1">INDEX(Items!$I$2:$I$44,MATCH(B92,(Items!$F$2:$F$44),0))</f>
        <v>n/a</v>
      </c>
      <c r="Q92" s="72" t="str">
        <f ca="1">INDEX(Items!$H$2:$H$44,MATCH(B92,(Items!$F$2:$F$44),0))</f>
        <v>Light, Finesse</v>
      </c>
      <c r="R92" s="30"/>
      <c r="S92" s="30"/>
      <c r="AJ92" s="58" t="str">
        <f ca="1">IF(Table204339453795852909322382436[[#This Row],[Column2]]=0," ",_xlfn.RANK.EQ(AK92,$AK$92:$AK$101))</f>
        <v xml:space="preserve"> </v>
      </c>
      <c r="AK92" s="60">
        <f t="shared" ref="AK92:AK101" ca="1" si="50">IF(AL92=" ", 0,RAND())</f>
        <v>0</v>
      </c>
      <c r="AL92" s="29" t="str">
        <f t="shared" ref="AL92:AL101" ca="1" si="51">P334</f>
        <v xml:space="preserve"> </v>
      </c>
      <c r="CB92" s="35">
        <f t="shared" ca="1" si="49"/>
        <v>11</v>
      </c>
      <c r="CC92" s="36">
        <f ca="1">IF(BM19&gt;0,0,RAND())</f>
        <v>9.0865824483997826E-2</v>
      </c>
      <c r="CD92" s="29" t="s">
        <v>24</v>
      </c>
    </row>
    <row r="93" spans="1:82" x14ac:dyDescent="0.3">
      <c r="A93" s="137"/>
      <c r="B93" s="33" t="str">
        <f ca="1">IF(P77="martial weapons",VLOOKUP(RANDBETWEEN(1,18),Table289[],2),IF(P76="simple weapons",VLOOKUP(RANDBETWEEN(1,10),Table287[],2),INDEX(AQ45:AQ59,MATCH(2,(AO45:AO59),0))))</f>
        <v>Shortbow</v>
      </c>
      <c r="C93" s="33"/>
      <c r="D93" s="33"/>
      <c r="E93" s="33"/>
      <c r="F93" s="33"/>
      <c r="G93" s="33"/>
      <c r="H93" s="33"/>
      <c r="I93" s="33"/>
      <c r="J93" s="33"/>
      <c r="K93" s="33"/>
      <c r="L93" s="33"/>
      <c r="M93" s="33"/>
      <c r="N93" s="33"/>
      <c r="O93" s="33" t="str">
        <f ca="1">INDEX(Items!$G$2:$G$44,MATCH(B93,(Items!$F$2:$F$44),0))</f>
        <v>1d6p</v>
      </c>
      <c r="P93" s="33" t="str">
        <f ca="1">INDEX(Items!$I$2:$I$44,MATCH(B93,(Items!$F$2:$F$44),0))</f>
        <v>n/a</v>
      </c>
      <c r="Q93" s="72" t="str">
        <f ca="1">INDEX(Items!$H$2:$H$44,MATCH(B93,(Items!$F$2:$F$44),0))</f>
        <v xml:space="preserve">Ammo,80/320,2H </v>
      </c>
      <c r="R93" s="30"/>
      <c r="S93" s="30"/>
      <c r="AJ93" s="58" t="str">
        <f ca="1">IF(Table204339453795852909322382436[[#This Row],[Column2]]=0," ",_xlfn.RANK.EQ(AK93,$AK$92:$AK$101))</f>
        <v xml:space="preserve"> </v>
      </c>
      <c r="AK93" s="60">
        <f t="shared" ca="1" si="50"/>
        <v>0</v>
      </c>
      <c r="AL93" s="29" t="str">
        <f t="shared" ca="1" si="51"/>
        <v xml:space="preserve"> </v>
      </c>
      <c r="CB93" s="35">
        <f t="shared" ca="1" si="49"/>
        <v>6</v>
      </c>
      <c r="CC93" s="36">
        <f ca="1">IF(BM21&gt;0,0,RAND())</f>
        <v>0.42580658138370631</v>
      </c>
      <c r="CD93" s="29" t="s">
        <v>26</v>
      </c>
    </row>
    <row r="94" spans="1:82" x14ac:dyDescent="0.3">
      <c r="A94" s="137"/>
      <c r="B94" s="33" t="str">
        <f ca="1">IF(P77="martial weapons",VLOOKUP(RANDBETWEEN(1,5),Table290[],2),IF(P76="simple weapons",VLOOKUP(RANDBETWEEN(1,4),Table288[],2,),INDEX(AQ45:AQ59,MATCH(3,(AO45:AO59),0))))</f>
        <v>Club</v>
      </c>
      <c r="C94" s="33"/>
      <c r="D94" s="33"/>
      <c r="E94" s="33"/>
      <c r="F94" s="33"/>
      <c r="G94" s="33"/>
      <c r="H94" s="33"/>
      <c r="I94" s="33"/>
      <c r="J94" s="33"/>
      <c r="K94" s="33"/>
      <c r="L94" s="33"/>
      <c r="M94" s="33"/>
      <c r="N94" s="33"/>
      <c r="O94" s="33" t="str">
        <f ca="1">IF(B94=" "," ",INDEX(Items!$G$2:$G$44,MATCH(B94,(Items!$F$2:$F$44),0)))</f>
        <v>1d4b</v>
      </c>
      <c r="P94" s="33" t="str">
        <f ca="1">IF(B94=" "," ",INDEX(Items!$I$2:$I$44,MATCH(B94,(Items!$F$2:$F$44),0)))</f>
        <v>n/a</v>
      </c>
      <c r="Q94" s="72" t="str">
        <f ca="1">IF(B94=" "," ",INDEX(Items!$H$2:$H$44,MATCH(B94,(Items!$F$2:$F$44),0)))</f>
        <v>Light</v>
      </c>
      <c r="R94" s="30"/>
      <c r="S94" s="30"/>
      <c r="AJ94" s="58" t="str">
        <f ca="1">IF(Table204339453795852909322382436[[#This Row],[Column2]]=0," ",_xlfn.RANK.EQ(AK94,$AK$92:$AK$101))</f>
        <v xml:space="preserve"> </v>
      </c>
      <c r="AK94" s="60">
        <f t="shared" ca="1" si="50"/>
        <v>0</v>
      </c>
      <c r="AL94" s="29" t="str">
        <f t="shared" ca="1" si="51"/>
        <v xml:space="preserve"> </v>
      </c>
      <c r="CB94" s="35">
        <f t="shared" ca="1" si="49"/>
        <v>7</v>
      </c>
      <c r="CC94" s="36">
        <f ca="1">IF(BM22&gt;0,0,RAND())</f>
        <v>0.39168954525237387</v>
      </c>
      <c r="CD94" s="29" t="s">
        <v>27</v>
      </c>
    </row>
    <row r="95" spans="1:82" ht="19.5" thickBot="1" x14ac:dyDescent="0.35">
      <c r="A95" s="137"/>
      <c r="B95" s="38" t="str">
        <f ca="1">IF(O11="monk","Martial Arts"," ")</f>
        <v xml:space="preserve"> </v>
      </c>
      <c r="C95" s="33"/>
      <c r="D95" s="33"/>
      <c r="E95" s="33"/>
      <c r="F95" s="33"/>
      <c r="G95" s="33"/>
      <c r="H95" s="33"/>
      <c r="I95" s="33"/>
      <c r="J95" s="33"/>
      <c r="K95" s="33"/>
      <c r="L95" s="33"/>
      <c r="M95" s="33"/>
      <c r="N95" s="33"/>
      <c r="O95" s="38" t="str">
        <f ca="1">IF(B95="martial arts",INDEX('Class Tables'!J98:J117,MATCH(O12,('Class Tables'!I98:I117),0))," ")</f>
        <v xml:space="preserve"> </v>
      </c>
      <c r="P95" s="38" t="str">
        <f ca="1">IF(B95=" "," ",IF(B95="martial arts", " ",INDEX(Items!$I$2:$I$44,MATCH(B95,(Items!$F$2:$F$44),0))))</f>
        <v xml:space="preserve"> </v>
      </c>
      <c r="Q95" s="73" t="str">
        <f ca="1">IF(B95=" "," ",IF(B95="martial arts"," ",INDEX(Items!$H$2:$H$44,MATCH(B95,(Items!$F$2:$F$44),0))))</f>
        <v xml:space="preserve"> </v>
      </c>
      <c r="R95" s="41"/>
      <c r="S95" s="41"/>
      <c r="AJ95" s="58" t="str">
        <f ca="1">IF(Table204339453795852909322382436[[#This Row],[Column2]]=0," ",_xlfn.RANK.EQ(AK95,$AK$92:$AK$101))</f>
        <v xml:space="preserve"> </v>
      </c>
      <c r="AK95" s="60">
        <f t="shared" ca="1" si="50"/>
        <v>0</v>
      </c>
      <c r="AL95" s="29" t="str">
        <f t="shared" ca="1" si="51"/>
        <v xml:space="preserve"> </v>
      </c>
    </row>
    <row r="96" spans="1:82" x14ac:dyDescent="0.3">
      <c r="A96" s="137"/>
      <c r="O96" s="69" t="s">
        <v>1964</v>
      </c>
      <c r="P96" s="69" t="s">
        <v>34</v>
      </c>
      <c r="Q96" s="69" t="s">
        <v>1986</v>
      </c>
      <c r="R96" s="69" t="s">
        <v>2753</v>
      </c>
      <c r="S96" s="70" t="s">
        <v>2480</v>
      </c>
      <c r="AJ96" s="58" t="str">
        <f ca="1">IF(Table204339453795852909322382436[[#This Row],[Column2]]=0," ",_xlfn.RANK.EQ(AK96,$AK$92:$AK$101))</f>
        <v xml:space="preserve"> </v>
      </c>
      <c r="AK96" s="60">
        <f t="shared" ca="1" si="50"/>
        <v>0</v>
      </c>
      <c r="AL96" s="29" t="str">
        <f t="shared" ca="1" si="51"/>
        <v xml:space="preserve"> </v>
      </c>
      <c r="CB96" s="31" t="s">
        <v>736</v>
      </c>
    </row>
    <row r="97" spans="1:82" x14ac:dyDescent="0.3">
      <c r="A97" s="137"/>
      <c r="B97" s="29" t="str">
        <f ca="1">B92</f>
        <v>Shortsword</v>
      </c>
      <c r="O97" s="33">
        <f ca="1">IF(VLOOKUP(B92,Items!$F$2:$J$44,5,FALSE)="fin",SUM($P$38:$P$39)-SMALL($P$38:$P$39,1),IF(VLOOKUP(B92,(Items!$F$2:$J$44),5,FALSE)="str",$P$38,IF(VLOOKUP(B92,(Items!$F$2:$J$44),5,FALSE)="dex",$P$39,0)))</f>
        <v>1</v>
      </c>
      <c r="P97" s="33">
        <f ca="1">P8</f>
        <v>5</v>
      </c>
      <c r="Q97" s="33">
        <f ca="1">IF(AND(OR(B92&lt;&gt;"light crossbow",B92&lt;&gt;"dart",B92="shortbow",B92&lt;&gt;"Sling",B92&lt;&gt;"blowgun",B92&lt;&gt;"hand crossbow",B92&lt;&gt;"heavy crossbow",B92&lt;&gt;"longbow",B92&lt;&gt;"net",B92&lt;&gt;"greatclub",B92&lt;&gt;"glaive",B92&lt;&gt;"Greataxe",B92&lt;&gt;"Greatsword",B92&lt;&gt;"halbard",B92&lt;&gt;"maul",B92&lt;&gt;"pike"),OR($O$18="dueling style",$Q$18="dueling style",$P$18="dueling style",$S$18="dueling style",$O$15="dueling style",$Q$15="dueling style")),2,0)</f>
        <v>0</v>
      </c>
      <c r="R97" s="33">
        <f ca="1">IF(AND(OR(B92="light crossbow",B92="dart",B92="shortbow",B92="Sling",B92="blowgun",B92="hand crossbow",B92="heavy crossbow",B92="longbow",B92="net"),OR($P$18="archery style",$S$18="archery style",$O$15="archery style",$Q$15="archery style")),2,0)</f>
        <v>0</v>
      </c>
      <c r="S97" s="72" t="str">
        <f ca="1">IF(COUNTIF(B109:P109,"*"&amp;"Weapon +3"&amp;"*"),3,IF(COUNTIF(B109:P109,"*"&amp;"Weapon +2"&amp;"*"),2,IF(COUNTIF(B109:P109,"*"&amp;"Weapon +1"&amp;"*"),1," ")))</f>
        <v xml:space="preserve"> </v>
      </c>
      <c r="AJ97" s="58" t="str">
        <f ca="1">IF(Table204339453795852909322382436[[#This Row],[Column2]]=0," ",_xlfn.RANK.EQ(AK97,$AK$92:$AK$101))</f>
        <v xml:space="preserve"> </v>
      </c>
      <c r="AK97" s="60">
        <f t="shared" ca="1" si="50"/>
        <v>0</v>
      </c>
      <c r="AL97" s="29" t="str">
        <f t="shared" ca="1" si="51"/>
        <v xml:space="preserve"> </v>
      </c>
      <c r="CB97" s="35">
        <f t="shared" ref="CB97:CB102" ca="1" si="52">_xlfn.RANK.EQ(CC97,$CC$97:$CC$102)</f>
        <v>6</v>
      </c>
      <c r="CC97" s="36">
        <f ca="1">IF(BM8&gt;0,0,RAND())</f>
        <v>5.4248698329517619E-3</v>
      </c>
      <c r="CD97" s="29" t="s">
        <v>13</v>
      </c>
    </row>
    <row r="98" spans="1:82" x14ac:dyDescent="0.3">
      <c r="A98" s="137"/>
      <c r="B98" s="29" t="str">
        <f ca="1">B93</f>
        <v>Shortbow</v>
      </c>
      <c r="O98" s="33">
        <f ca="1">IF(VLOOKUP(B93,Items!$F$2:$J$44,5,FALSE)="fin",SUM($P$38:$P$39)-SMALL($P$38:$P$39,1),IF(VLOOKUP(B93,(Items!$F$2:$J$44),5,FALSE)="str",$P$38,IF(VLOOKUP(B93,(Items!$F$2:$J$44),5,FALSE)="dex",$P$39,0)))</f>
        <v>0</v>
      </c>
      <c r="P98" s="33">
        <f ca="1">P8</f>
        <v>5</v>
      </c>
      <c r="Q98" s="33">
        <f ca="1">IF(AND(OR(B93&lt;&gt;"light crossbow",B93&lt;&gt;"dart",B93="shortbow",B93&lt;&gt;"Sling",B93&lt;&gt;"blowgun",B93&lt;&gt;"hand crossbow",B93&lt;&gt;"heavy crossbow",B93&lt;&gt;"longbow",B93&lt;&gt;"net",B93&lt;&gt;"greatclub",B93&lt;&gt;"glaive",B93&lt;&gt;"Greataxe",B93&lt;&gt;"Greatsword",B93&lt;&gt;"halbard",B93&lt;&gt;"maul",B93&lt;&gt;"pike"),OR($O$18="dueling style",$Q$18="dueling style",$P$18="dueling style",$S$18="dueling style",$O$15="dueling style",$Q$15="dueling style")),2,0)</f>
        <v>0</v>
      </c>
      <c r="R98" s="33">
        <f ca="1">IF(AND(OR(B93="light crossbow",B93="dart",B93="shortbow",B93="Sling",B93="blowgun",B93="hand crossbow",B93="heavy crossbow",B93="longbow",B93="net"),OR($P$18="archery style",$S$18="archery style",$O$15="archery style",$Q$15="archery style")),2,0)</f>
        <v>0</v>
      </c>
      <c r="S98" s="72" t="str">
        <f ca="1">IF(AND(S97&lt;&gt;2,COUNTIF(B109:P109,"*"&amp;"Weapon +2"&amp;"*")),2,IF(AND(S97&lt;&gt;1,COUNTIF(B109:P109,"*"&amp;"Weapon +1"&amp;"*")),1," "))</f>
        <v xml:space="preserve"> </v>
      </c>
      <c r="AJ98" s="58" t="str">
        <f ca="1">IF(Table204339453795852909322382436[[#This Row],[Column2]]=0," ",_xlfn.RANK.EQ(AK98,$AK$92:$AK$101))</f>
        <v xml:space="preserve"> </v>
      </c>
      <c r="AK98" s="60">
        <f t="shared" ca="1" si="50"/>
        <v>0</v>
      </c>
      <c r="AL98" s="29" t="str">
        <f t="shared" ca="1" si="51"/>
        <v xml:space="preserve"> </v>
      </c>
      <c r="CB98" s="35">
        <f t="shared" ca="1" si="52"/>
        <v>2</v>
      </c>
      <c r="CC98" s="36">
        <f ca="1">IF(BM10&gt;0,0,RAND())</f>
        <v>0.49665371548752102</v>
      </c>
      <c r="CD98" s="29" t="s">
        <v>15</v>
      </c>
    </row>
    <row r="99" spans="1:82" x14ac:dyDescent="0.3">
      <c r="A99" s="137"/>
      <c r="B99" s="29" t="str">
        <f ca="1">B94</f>
        <v>Club</v>
      </c>
      <c r="O99" s="33">
        <f ca="1">IF(VLOOKUP(B94,Items!$F$2:$J$44,5,FALSE)="fin",SUM($P$38:$P$39)-SMALL($P$38:$P$39,1),IF(VLOOKUP(B94,(Items!$F$2:$J$44),5,FALSE)="str",$P$38,IF(VLOOKUP(B94,(Items!$F$2:$J$44),5,FALSE)="dex",$P$39,0)))</f>
        <v>1</v>
      </c>
      <c r="P99" s="33">
        <f ca="1">IF(B94=" "," ",P8)</f>
        <v>5</v>
      </c>
      <c r="Q99" s="33">
        <f ca="1">IF(AND(OR(B94&lt;&gt;"light crossbow",B94&lt;&gt;"dart",B94="shortbow",B94&lt;&gt;"Sling",B94&lt;&gt;"blowgun",B94&lt;&gt;"hand crossbow",B94&lt;&gt;"heavy crossbow",B94&lt;&gt;"longbow",B94&lt;&gt;"net",B94&lt;&gt;"greatclub",B94&lt;&gt;"glaive",B94&lt;&gt;"Greataxe",B94&lt;&gt;"Greatsword",B94&lt;&gt;"halbard",B94&lt;&gt;"maul",B94&lt;&gt;"pike"),OR($O$18="dueling style",$Q$18="dueling style",$P$18="dueling style",$S$18="dueling style",$O$15="dueling style",$Q$15="dueling style")),2,0)</f>
        <v>0</v>
      </c>
      <c r="R99" s="33">
        <f ca="1">IF(AND(OR(B94="light crossbow",B94="dart",B94="shortbow",B94="Sling",B94="blowgun",B94="hand crossbow",B94="heavy crossbow",B94="longbow",B94="net"),OR($P$18="archery style",$S$18="archery style",$O$15="archery style",$Q$15="archery style")),2,0)</f>
        <v>0</v>
      </c>
      <c r="S99" s="72" t="str">
        <f ca="1">IF(AND(S97&lt;&gt;1,S98&lt;&gt;1,COUNTIF(B109:P109,"*"&amp;"Weapon +1"&amp;"*")),1," ")</f>
        <v xml:space="preserve"> </v>
      </c>
      <c r="AJ99" s="58" t="str">
        <f ca="1">IF(Table204339453795852909322382436[[#This Row],[Column2]]=0," ",_xlfn.RANK.EQ(AK99,$AK$92:$AK$101))</f>
        <v xml:space="preserve"> </v>
      </c>
      <c r="AK99" s="60">
        <f t="shared" ca="1" si="50"/>
        <v>0</v>
      </c>
      <c r="AL99" s="29" t="str">
        <f t="shared" ca="1" si="51"/>
        <v xml:space="preserve"> </v>
      </c>
      <c r="CB99" s="35">
        <f t="shared" ca="1" si="52"/>
        <v>5</v>
      </c>
      <c r="CC99" s="36">
        <f ca="1">IF(BM12&gt;0,0,RAND())</f>
        <v>3.1774955340599598E-2</v>
      </c>
      <c r="CD99" s="29" t="s">
        <v>17</v>
      </c>
    </row>
    <row r="100" spans="1:82" x14ac:dyDescent="0.3">
      <c r="A100" s="138"/>
      <c r="B100" s="29" t="str">
        <f ca="1">B95</f>
        <v xml:space="preserve"> </v>
      </c>
      <c r="O100" s="33" t="str">
        <f ca="1">IF(B95="martial arts",SUM($P$38:$P$39)-SMALL($P$38:$P$39,1)," ")</f>
        <v xml:space="preserve"> </v>
      </c>
      <c r="P100" s="33" t="str">
        <f ca="1">IF(B95=" "," ",P8)</f>
        <v xml:space="preserve"> </v>
      </c>
      <c r="Q100" s="33">
        <f ca="1">IF(AND(OR(B95&lt;&gt;"light crossbow",B95&lt;&gt;"dart",B95="shortbow",B95&lt;&gt;"Sling",B95&lt;&gt;"blowgun",B95&lt;&gt;"hand crossbow",B95&lt;&gt;"heavy crossbow",B95&lt;&gt;"longbow",B95&lt;&gt;"net",B95&lt;&gt;"greatclub",B95&lt;&gt;"glaive",B95&lt;&gt;"Greataxe",B95&lt;&gt;"Greatsword",B95&lt;&gt;"halbard",B95&lt;&gt;"maul",B95&lt;&gt;"pike"),OR($O$18="dueling style",$Q$18="dueling style",$P$18="dueling style",$S$18="dueling style",$O$15="dueling style",$Q$15="dueling style")),2,0)</f>
        <v>0</v>
      </c>
      <c r="R100" s="33">
        <f ca="1">IF(AND(OR(B95="light crossbow",B95="dart",B95="shortbow",B95="Sling",B95="blowgun",B95="hand crossbow",B95="heavy crossbow",B95="longbow",B95="net"),OR($P$18="archery style",$S$18="archery style",$O$15="archery style",$Q$15="archery style")),2,0)</f>
        <v>0</v>
      </c>
      <c r="S100" s="72" t="str">
        <f ca="1">IF(AND(S98&lt;&gt;1,S99&lt;&gt;1,COUNTIF(B110:P110,"*"&amp;"Weapon +1"&amp;"*")),1," ")</f>
        <v xml:space="preserve"> </v>
      </c>
      <c r="AJ100" s="58" t="str">
        <f ca="1">IF(Table204339453795852909322382436[[#This Row],[Column2]]=0," ",_xlfn.RANK.EQ(AK100,$AK$92:$AK$101))</f>
        <v xml:space="preserve"> </v>
      </c>
      <c r="AK100" s="60">
        <f t="shared" ca="1" si="50"/>
        <v>0</v>
      </c>
      <c r="AL100" s="29" t="str">
        <f t="shared" ca="1" si="51"/>
        <v xml:space="preserve"> </v>
      </c>
      <c r="CB100" s="35">
        <f t="shared" ca="1" si="52"/>
        <v>4</v>
      </c>
      <c r="CC100" s="36">
        <f ca="1">IF(BM13&gt;0,0,RAND())</f>
        <v>0.20269723912525461</v>
      </c>
      <c r="CD100" s="29" t="s">
        <v>18</v>
      </c>
    </row>
    <row r="101" spans="1:82" x14ac:dyDescent="0.3">
      <c r="A101" s="138"/>
      <c r="AJ101" s="58" t="str">
        <f ca="1">IF(Table204339453795852909322382436[[#This Row],[Column2]]=0," ",_xlfn.RANK.EQ(AK101,$AK$92:$AK$101))</f>
        <v xml:space="preserve"> </v>
      </c>
      <c r="AK101" s="60">
        <f t="shared" ca="1" si="50"/>
        <v>0</v>
      </c>
      <c r="AL101" s="29" t="str">
        <f t="shared" ca="1" si="51"/>
        <v xml:space="preserve"> </v>
      </c>
      <c r="CB101" s="35">
        <f t="shared" ca="1" si="52"/>
        <v>3</v>
      </c>
      <c r="CC101" s="36">
        <f ca="1">IF(BM19&gt;0,0,RAND())</f>
        <v>0.25957887543455738</v>
      </c>
      <c r="CD101" s="29" t="s">
        <v>24</v>
      </c>
    </row>
    <row r="102" spans="1:82" x14ac:dyDescent="0.3">
      <c r="A102" s="137"/>
      <c r="B102" s="69" t="str">
        <f ca="1">IF(B40="non-classed","Shoulder Bag",IF(B103="diplomat's pack","Small Chest","Backpack"))</f>
        <v>Backpack</v>
      </c>
      <c r="C102" s="33"/>
      <c r="D102" s="33"/>
      <c r="E102" s="33"/>
      <c r="F102" s="33"/>
      <c r="G102" s="33"/>
      <c r="H102" s="33"/>
      <c r="I102" s="33"/>
      <c r="J102" s="33"/>
      <c r="K102" s="33"/>
      <c r="L102" s="33"/>
      <c r="M102" s="33"/>
      <c r="N102" s="33"/>
      <c r="O102" s="33"/>
      <c r="P102" s="33"/>
      <c r="Q102" s="69" t="s">
        <v>1988</v>
      </c>
      <c r="R102" s="69" t="str">
        <f ca="1">IF(OR(P15="eldritch knight",R15="eldritch knight",P15="arcane trickster",R15="arcane trickster",O11="ranger",Q11="ranger",O11="bard",Q11="bard",O11="cleric",Q11="cleric",O11="druid",Q11="druid",O11="paladin",Q11="paladin",O11="sorcerer",Q11="sorcerer",O11="warlock",Q11="warlock",O11="wizard",Q11="wizard"),"Component Pouch"," ")</f>
        <v xml:space="preserve"> </v>
      </c>
      <c r="CB102" s="35">
        <f t="shared" ca="1" si="52"/>
        <v>1</v>
      </c>
      <c r="CC102" s="36">
        <f ca="1">IF(BM20&gt;0,0,RAND())</f>
        <v>0.7820957247044803</v>
      </c>
      <c r="CD102" s="29" t="s">
        <v>25</v>
      </c>
    </row>
    <row r="103" spans="1:82" x14ac:dyDescent="0.3">
      <c r="A103" s="137"/>
      <c r="B103" s="33" t="str">
        <f ca="1">IF(AND(AF21=2,O11="wizard"),"Explorer's Pack",IF(AND(AF21=1,OR(O11="sorcerer",O11="wizard",O11="warlock")),"Scholar's Pack",IF(AND(AF20=1,O11="rogue"),"Dungeoneer's Pack",IF(AND(AF20=2,O11="rogue"),"Explorer's Pack",IF(AND(AF20=3,O11="rogue"),"Burglar's Pack",IF(AND(AF21=1,OR(O11="monk",O11="Fighter",O11="ranger",O11="Sorcerer")),"Explorer's Pack",IF(AND(AF21=2,OR(O11="fighter",O11="monk",O11="ranger",O11="sorcerer",O11="warlock")),"Dungeoneer's Pack",IF(O11="druid","Explorer's Pack",IF(AND(AF21=2,OR(O11="cleric",O11="paladin")),"Explorer's Pack",IF(AND(AF21=1,OR(O11="cleric",O11="paladin")),"Priest's Pack",IF(AND(AF21=1,O11="bard"),"Diplomat's Pack",IF(AND(AF21=2,O11="bard"),"Entertainer's Pack",IF(O11="barbarian","Explorer's Pack"," ")))))))))))))</f>
        <v xml:space="preserve"> </v>
      </c>
      <c r="C103" s="33"/>
      <c r="D103" s="33"/>
      <c r="E103" s="33"/>
      <c r="F103" s="33"/>
      <c r="G103" s="33"/>
      <c r="H103" s="33"/>
      <c r="I103" s="33"/>
      <c r="J103" s="33"/>
      <c r="K103" s="33"/>
      <c r="L103" s="33"/>
      <c r="M103" s="33"/>
      <c r="N103" s="33"/>
      <c r="O103" s="33" t="str">
        <f ca="1">IF(B103="Scholar's Pack","SP - Little Bag of Sand",IF(B103="Priest's Pack","PP - 2 Blocks of Incense",IF(B103="Entertainer's Pack","EP - Waterskin",IF(B103="Dungeoneer's Pack","DP - Tinderbox",IF(B103="Diplomat's Pack","DP - Lamp",IF(B103="Burglar's Pack","BP - Hammer",IF(B103="explorer's pack","EP - 10 Days Rations"," ")))))))</f>
        <v xml:space="preserve"> </v>
      </c>
      <c r="P103" s="33" t="str">
        <f ca="1">IF(B103="Diplomat's Pack","DP - Soap",IF(B103="Burglar's Pack","BP - Tinderbox"," "))</f>
        <v xml:space="preserve"> </v>
      </c>
      <c r="Q103" s="33" t="str">
        <f ca="1">INDEX(Items!C47:C66,MATCH(P6,(Items!A47:A66),0))&amp;" CP"</f>
        <v>0 CP</v>
      </c>
      <c r="R103" s="33" t="str">
        <f ca="1">IF(OR(,O11="bard",Q11="bard",O11="cleric",Q11="cleric",O11="druid",Q11="druid",O11="paladin",Q11="paladin",O11="sorcerer",Q11="sorcerer",O11="warlock",Q11="warlock",O11="wizard",Q11="wizard"),"Arcane Focus"," ")</f>
        <v xml:space="preserve"> </v>
      </c>
      <c r="AJ103" s="31" t="s">
        <v>1170</v>
      </c>
    </row>
    <row r="104" spans="1:82" x14ac:dyDescent="0.3">
      <c r="A104" s="137"/>
      <c r="B104" s="33" t="str">
        <f ca="1">IF(B103="Scholar's Pack","SP - Book of Lore",IF(B103="Priest's Pack","PP - Blanket",IF(B103="Entertainer's Pack","EP - Bedroll",IF(B103="Dungeoneer's Pack","DP - Crowbar",IF(B103="Diplomat's Pack","DP - 2 Map/Scroll Cases",IF(B103="Burglar's Pack","BP - 10' of String",IF(B103="explorer's pack"," EP - Bedroll"," ")))))))</f>
        <v xml:space="preserve"> </v>
      </c>
      <c r="C104" s="33"/>
      <c r="D104" s="33"/>
      <c r="E104" s="33"/>
      <c r="F104" s="33"/>
      <c r="G104" s="33"/>
      <c r="H104" s="33"/>
      <c r="I104" s="33"/>
      <c r="J104" s="33"/>
      <c r="K104" s="33"/>
      <c r="L104" s="33"/>
      <c r="M104" s="33"/>
      <c r="N104" s="33"/>
      <c r="O104" s="33" t="str">
        <f ca="1">IF(B103="Scholar's Pack","SP - Small Knife",IF(B103="Priest's Pack","PP - Censer",IF(B103="Entertainer's Pack","EP - Disguise Kit",IF(B103="Dungeoneer's Pack","DP - 10 Days Rations",IF(B103="Diplomat's Pack","DP - 2 Flasks of Oil",IF(B103="Burglar's Pack","BP - 10 Pitons",IF(B103="explorer's pack","EP - Waterskin"," ")))))))</f>
        <v xml:space="preserve"> </v>
      </c>
      <c r="P104" s="33" t="str">
        <f ca="1">IF(B103="Burglar's Pack","BP - Waterskin"," ")</f>
        <v xml:space="preserve"> </v>
      </c>
      <c r="Q104" s="33" t="str">
        <f ca="1">INDEX(Items!D47:D66,MATCH(P6,(Items!A47:A66),0))&amp;" SP"</f>
        <v>0 SP</v>
      </c>
      <c r="R104" s="69" t="str">
        <f ca="1">IF(COUNTIF(B92:B94,"*"&amp;"sling"&amp;"*"),"Sling Bullet Pouch"," ")</f>
        <v xml:space="preserve"> </v>
      </c>
      <c r="AJ104" s="58" t="str">
        <f ca="1">IF(AK104=0," ",_xlfn.RANK.EQ(AK104,$AK$104:$AK$113))</f>
        <v xml:space="preserve"> </v>
      </c>
      <c r="AK104" s="60">
        <f t="shared" ref="AK104:AK113" ca="1" si="53">IF(AL104=" ", 0,RAND())</f>
        <v>0</v>
      </c>
      <c r="AL104" s="29" t="str">
        <f t="shared" ref="AL104:AL113" ca="1" si="54">Q334</f>
        <v xml:space="preserve"> </v>
      </c>
      <c r="CB104" s="31" t="s">
        <v>737</v>
      </c>
    </row>
    <row r="105" spans="1:82" x14ac:dyDescent="0.3">
      <c r="A105" s="137"/>
      <c r="B105" s="33" t="str">
        <f ca="1">IF(B103="Scholar's Pack","SP - Bottle of Ink",IF(B103="Priest's Pack","PP - 10 Candles",IF(B103="Entertainer's Pack","EP - 2 Costumes",IF(B103="Dungeoneer's Pack","DP -Hammer ",IF(B103="Diplomat's Pack","DP - Set of Fine Clothes",IF(B103="Burglar's Pack","BP - Bell",IF(B103="explorer's pack","EP - Mess Kit"," ")))))))</f>
        <v xml:space="preserve"> </v>
      </c>
      <c r="C105" s="33"/>
      <c r="D105" s="33"/>
      <c r="E105" s="33"/>
      <c r="F105" s="33"/>
      <c r="G105" s="33"/>
      <c r="H105" s="33"/>
      <c r="I105" s="33"/>
      <c r="J105" s="33"/>
      <c r="K105" s="33"/>
      <c r="L105" s="33"/>
      <c r="M105" s="33"/>
      <c r="N105" s="33"/>
      <c r="O105" s="33" t="str">
        <f ca="1">IF(B103="Priest's Pack","PP - Vestments",IF(B103="Dungeoneer's Pack","DP - Waterskin",IF(B103="Diplomat's Pack","DP - 5 Sheets of Paper",IF(B103="Burglar's Pack","BP - Hooded Lantern",IF(B103="explorer's pack","EP - 50' Hempen Rope"," ")))))</f>
        <v xml:space="preserve"> </v>
      </c>
      <c r="P105" s="33" t="str">
        <f ca="1">IF(B103="Burglar's Pack","BP - 50' Hempen Rope"," ")</f>
        <v xml:space="preserve"> </v>
      </c>
      <c r="Q105" s="33" t="str">
        <f ca="1">INDEX(Items!E47:E66,MATCH(P6,(Items!A47:A66),0))&amp;" EP"</f>
        <v>0 EP</v>
      </c>
      <c r="R105" s="33" t="str">
        <f ca="1">IF(COUNTIF(B92:B94,"*"&amp;"sling"&amp;"*"),RANDBETWEEN(6,13)&amp;" Sling Bullets"," ")</f>
        <v xml:space="preserve"> </v>
      </c>
      <c r="AJ105" s="58" t="str">
        <f t="shared" ref="AJ105:AJ113" ca="1" si="55">IF(AK105=0," ",_xlfn.RANK.EQ(AK105,$AK$104:$AK$113))</f>
        <v xml:space="preserve"> </v>
      </c>
      <c r="AK105" s="60">
        <f t="shared" ca="1" si="53"/>
        <v>0</v>
      </c>
      <c r="AL105" s="29" t="str">
        <f t="shared" ca="1" si="54"/>
        <v xml:space="preserve"> </v>
      </c>
      <c r="CB105" s="35">
        <f t="shared" ref="CB105:CB111" ca="1" si="56">_xlfn.RANK.EQ(CC105,$CC$105:$CC$111)</f>
        <v>2</v>
      </c>
      <c r="CC105" s="36">
        <f ca="1">IF(BM8&gt;0,0,RAND())</f>
        <v>0.94188934780476907</v>
      </c>
      <c r="CD105" s="29" t="s">
        <v>13</v>
      </c>
    </row>
    <row r="106" spans="1:82" x14ac:dyDescent="0.3">
      <c r="A106" s="137"/>
      <c r="B106" s="33" t="str">
        <f ca="1">IF(B103="Scholar's Pack","SP - Ink Pen",IF(B103="Priest's Pack","PP - Tinderbox",IF(B103="Entertainer's Pack","EP - 5 Candles",IF(B103="Dungeoneer's Pack","DP - 10 Pitons",IF(B103="Diplomat's Pack","DP - Bottle of Ink",IF(B103="Burglar's Pack","BP - 5 Candles",IF(B103="explorer's pack","EP - Tinderbox"," ")))))))</f>
        <v xml:space="preserve"> </v>
      </c>
      <c r="C106" s="33"/>
      <c r="D106" s="33"/>
      <c r="E106" s="33"/>
      <c r="F106" s="33"/>
      <c r="G106" s="33"/>
      <c r="H106" s="33"/>
      <c r="I106" s="33"/>
      <c r="J106" s="33"/>
      <c r="K106" s="33"/>
      <c r="L106" s="33"/>
      <c r="M106" s="33"/>
      <c r="N106" s="33"/>
      <c r="O106" s="33" t="str">
        <f ca="1">IF(B103="Priest's Pack","PP - 2 Days Rations",IF(B103="Dungeoneer's Pack","DP - 50' Hempen Rope",IF(B103="Diplomat's Pack","DP - Vial of Perfume",IF(B103="Burglar's Pack","BP - 2 Flasks of Oil"," "))))</f>
        <v xml:space="preserve"> </v>
      </c>
      <c r="P106" s="33" t="str">
        <f ca="1">VLOOKUP(RANDBETWEEN(1,58),Table296[],2)</f>
        <v>Signal Whistle</v>
      </c>
      <c r="Q106" s="33" t="str">
        <f ca="1">INDEX(Items!F47:F66,MATCH(P6,(Items!A47:A66),0))&amp;" GP"</f>
        <v>1187 GP</v>
      </c>
      <c r="R106" s="69" t="str">
        <f ca="1">IF(COUNTIF(B92:B94,"*"&amp;"light crossbow"&amp;"*"),"Quiver",IF(COUNTIF(B92:B94,"*"&amp;"hand crossbow"&amp;"*"),"Quiver",IF(COUNTIF(B92:B94,"*"&amp;"heavy crossbow"&amp;"*"),"Quiver",IF(COUNTIF(B92:B94,"*"&amp;"longbow"&amp;"*"),"Quiver",IF(COUNTIF(B92:B94,"*"&amp;"shortbow"&amp;"*"),"Quiver"," ")))))</f>
        <v>Quiver</v>
      </c>
      <c r="AJ106" s="58" t="str">
        <f t="shared" ca="1" si="55"/>
        <v xml:space="preserve"> </v>
      </c>
      <c r="AK106" s="60">
        <f t="shared" ca="1" si="53"/>
        <v>0</v>
      </c>
      <c r="AL106" s="29" t="str">
        <f t="shared" ca="1" si="54"/>
        <v xml:space="preserve"> </v>
      </c>
      <c r="CB106" s="35">
        <f t="shared" ca="1" si="56"/>
        <v>4</v>
      </c>
      <c r="CC106" s="36">
        <f ca="1">IF(BM10&gt;0,0,RAND())</f>
        <v>0.65559094556483399</v>
      </c>
      <c r="CD106" s="29" t="s">
        <v>15</v>
      </c>
    </row>
    <row r="107" spans="1:82" x14ac:dyDescent="0.3">
      <c r="A107" s="137"/>
      <c r="B107" s="33" t="str">
        <f ca="1">IF(B103="Scholar's Pack","SP - 10 Sheets of Parchment",IF(B103="Priest's Pack","PP - Alms Box",IF(B103="Entertainer's Pack","EP - 5 Days Rations",IF(B103="Dungeoneer's Pack","DP - 10 Torches",IF(B103="Diplomat's Pack","DP - Ink Pen",IF(B103="Burglar's Pack","BP - Crowbar",IF(B103="explorer's pack","EP - 10 Torches"," ")))))))</f>
        <v xml:space="preserve"> </v>
      </c>
      <c r="C107" s="33"/>
      <c r="D107" s="33"/>
      <c r="E107" s="33"/>
      <c r="F107" s="33"/>
      <c r="G107" s="33"/>
      <c r="H107" s="33"/>
      <c r="I107" s="33"/>
      <c r="J107" s="33"/>
      <c r="K107" s="33"/>
      <c r="L107" s="33"/>
      <c r="M107" s="33"/>
      <c r="N107" s="33"/>
      <c r="O107" s="33" t="str">
        <f ca="1">IF(B103="Priest's Pack","PP - Waterskin",IF(B103="Diplomat's Pack","DP - Sealing Wax",IF(B103="Burglar's Pack","BP - 5 Days Rations"," ")))</f>
        <v xml:space="preserve"> </v>
      </c>
      <c r="P107" s="33" t="str">
        <f ca="1">VLOOKUP(RANDBETWEEN(1,58),Table296[],2)</f>
        <v>Hooded Lantern</v>
      </c>
      <c r="Q107" s="33" t="str">
        <f ca="1">INDEX(Items!G47:G66,MATCH(P6,(Items!A47:A66),0))&amp;" PP"</f>
        <v>81 PP</v>
      </c>
      <c r="R107" s="33" t="str">
        <f ca="1">IF(COUNTIF(B92:B94,"*"&amp;"longbow"&amp;"*"),RANDBETWEEN(10,24)&amp;" Arrows",IF(COUNTIF(B92:B94,"*"&amp;"shortbow"&amp;"*"),RANDBETWEEN(10,24)&amp;" Arrows",IF(COUNTIF(B92:B94,"*"&amp;"light crossbow"&amp;"*"),RANDBETWEEN(10,24)&amp;" Bolts",IF(COUNTIF(B92:B94,"*"&amp;"hand crossbow"&amp;"*"),RANDBETWEEN(10,24)&amp;" Bolts",IF(COUNTIF(B92:B94,"*"&amp;"heavy crossbow"&amp;"*"),RANDBETWEEN(10,24)&amp;" Bolts"," ")))))</f>
        <v>15 Arrows</v>
      </c>
      <c r="AJ107" s="58" t="str">
        <f t="shared" ca="1" si="55"/>
        <v xml:space="preserve"> </v>
      </c>
      <c r="AK107" s="60">
        <f t="shared" ca="1" si="53"/>
        <v>0</v>
      </c>
      <c r="AL107" s="29" t="str">
        <f t="shared" ca="1" si="54"/>
        <v xml:space="preserve"> </v>
      </c>
      <c r="CB107" s="35">
        <f t="shared" ca="1" si="56"/>
        <v>7</v>
      </c>
      <c r="CC107" s="36">
        <f ca="1">IF(BM11&gt;0,0,RAND())</f>
        <v>0.18450973204717325</v>
      </c>
      <c r="CD107" s="29" t="s">
        <v>16</v>
      </c>
    </row>
    <row r="108" spans="1:82" x14ac:dyDescent="0.3">
      <c r="A108" s="137"/>
      <c r="B108" s="33" t="str">
        <f ca="1">IF(AF35&gt;=1,VLOOKUP(RANDBETWEEN(1,200),Table298[],2)," ")</f>
        <v>a scrap of leather with arcane runes in blue paint</v>
      </c>
      <c r="C108" s="33"/>
      <c r="D108" s="33"/>
      <c r="E108" s="33"/>
      <c r="F108" s="33"/>
      <c r="G108" s="33"/>
      <c r="H108" s="33"/>
      <c r="I108" s="33"/>
      <c r="J108" s="33"/>
      <c r="K108" s="33"/>
      <c r="L108" s="33"/>
      <c r="M108" s="33"/>
      <c r="N108" s="33"/>
      <c r="O108" s="33" t="str">
        <f ca="1">IF(AF35&gt;=2,VLOOKUP(RANDBETWEEN(1,200),Table298[],2)," ")</f>
        <v>a pair of six sided dice</v>
      </c>
      <c r="P108" s="33" t="str">
        <f ca="1">IF(AF35&gt;=3,VLOOKUP(RANDBETWEEN(1,200),Table298[],2)," ")</f>
        <v xml:space="preserve"> </v>
      </c>
      <c r="AJ108" s="58" t="str">
        <f t="shared" ca="1" si="55"/>
        <v xml:space="preserve"> </v>
      </c>
      <c r="AK108" s="60">
        <f t="shared" ca="1" si="53"/>
        <v>0</v>
      </c>
      <c r="AL108" s="29" t="str">
        <f t="shared" ca="1" si="54"/>
        <v xml:space="preserve"> </v>
      </c>
      <c r="CB108" s="35">
        <f t="shared" ca="1" si="56"/>
        <v>1</v>
      </c>
      <c r="CC108" s="36">
        <f ca="1">IF(BM13&gt;0,0,RAND())</f>
        <v>0.96795349936960817</v>
      </c>
      <c r="CD108" s="29" t="s">
        <v>18</v>
      </c>
    </row>
    <row r="109" spans="1:82" ht="19.5" thickBot="1" x14ac:dyDescent="0.35">
      <c r="B109" s="38" t="str">
        <f ca="1">IF(AND(P6&gt;=5,O11&lt;&gt;"non-classed"),VLOOKUP(RANDBETWEEN(1,100),Table5764[],2)," ")</f>
        <v xml:space="preserve"> </v>
      </c>
      <c r="O109" s="29" t="str">
        <f ca="1">IF(AND(P6&gt;=11,O11&lt;&gt;"non-classed"),VLOOKUP(RANDBETWEEN(1,100),Table576465[],2)," ")</f>
        <v xml:space="preserve"> </v>
      </c>
      <c r="P109" s="29" t="str">
        <f ca="1">IF(AND(P6&gt;=17,O11&lt;&gt;"non-classed"),VLOOKUP(RANDBETWEEN(1,100),Table576466[],2)," ")</f>
        <v xml:space="preserve"> </v>
      </c>
      <c r="AJ109" s="58" t="str">
        <f t="shared" ca="1" si="55"/>
        <v xml:space="preserve"> </v>
      </c>
      <c r="AK109" s="60">
        <f t="shared" ca="1" si="53"/>
        <v>0</v>
      </c>
      <c r="AL109" s="29" t="str">
        <f t="shared" ca="1" si="54"/>
        <v xml:space="preserve"> </v>
      </c>
      <c r="CB109" s="35">
        <f t="shared" ca="1" si="56"/>
        <v>6</v>
      </c>
      <c r="CC109" s="36">
        <f ca="1">IF(BM14&gt;0,0,RAND())</f>
        <v>0.41938009634961015</v>
      </c>
      <c r="CD109" s="29" t="s">
        <v>19</v>
      </c>
    </row>
    <row r="110" spans="1:82" ht="19.5" thickBot="1" x14ac:dyDescent="0.35">
      <c r="A110" s="33"/>
      <c r="AJ110" s="58" t="str">
        <f t="shared" ca="1" si="55"/>
        <v xml:space="preserve"> </v>
      </c>
      <c r="AK110" s="60">
        <f t="shared" ca="1" si="53"/>
        <v>0</v>
      </c>
      <c r="AL110" s="29" t="str">
        <f t="shared" ca="1" si="54"/>
        <v xml:space="preserve"> </v>
      </c>
      <c r="CB110" s="35">
        <f t="shared" ca="1" si="56"/>
        <v>5</v>
      </c>
      <c r="CC110" s="36">
        <f ca="1">IF(BM16&gt;0,0,RAND())</f>
        <v>0.59705647932849304</v>
      </c>
      <c r="CD110" s="29" t="s">
        <v>21</v>
      </c>
    </row>
    <row r="111" spans="1:82" ht="30.75" thickBot="1" x14ac:dyDescent="0.45">
      <c r="B111" s="105" t="s">
        <v>1327</v>
      </c>
      <c r="AJ111" s="58" t="str">
        <f t="shared" ca="1" si="55"/>
        <v xml:space="preserve"> </v>
      </c>
      <c r="AK111" s="60">
        <f t="shared" ca="1" si="53"/>
        <v>0</v>
      </c>
      <c r="AL111" s="29" t="str">
        <f t="shared" ca="1" si="54"/>
        <v xml:space="preserve"> </v>
      </c>
      <c r="CB111" s="35">
        <f t="shared" ca="1" si="56"/>
        <v>3</v>
      </c>
      <c r="CC111" s="36">
        <f ca="1">IF(BM20&gt;0,0,RAND())</f>
        <v>0.67062629816382147</v>
      </c>
      <c r="CD111" s="29" t="s">
        <v>25</v>
      </c>
    </row>
    <row r="112" spans="1:82" x14ac:dyDescent="0.3">
      <c r="B112" s="74"/>
      <c r="C112" s="75"/>
      <c r="D112" s="75"/>
      <c r="E112" s="75"/>
      <c r="F112" s="75"/>
      <c r="G112" s="75"/>
      <c r="H112" s="75"/>
      <c r="I112" s="75"/>
      <c r="J112" s="75"/>
      <c r="K112" s="75"/>
      <c r="L112" s="75"/>
      <c r="M112" s="75"/>
      <c r="N112" s="75"/>
      <c r="O112" s="75"/>
      <c r="P112" s="76" t="s">
        <v>1124</v>
      </c>
      <c r="Q112" s="76" t="s">
        <v>1166</v>
      </c>
      <c r="R112" s="77" t="s">
        <v>1167</v>
      </c>
      <c r="AJ112" s="58" t="str">
        <f t="shared" ca="1" si="55"/>
        <v xml:space="preserve"> </v>
      </c>
      <c r="AK112" s="60">
        <f t="shared" ca="1" si="53"/>
        <v>0</v>
      </c>
      <c r="AL112" s="29" t="str">
        <f t="shared" ca="1" si="54"/>
        <v xml:space="preserve"> </v>
      </c>
    </row>
    <row r="113" spans="2:82" x14ac:dyDescent="0.3">
      <c r="B113" s="78" t="s">
        <v>1122</v>
      </c>
      <c r="C113" s="33"/>
      <c r="D113" s="33"/>
      <c r="E113" s="33"/>
      <c r="F113" s="33"/>
      <c r="G113" s="33"/>
      <c r="H113" s="33"/>
      <c r="I113" s="33"/>
      <c r="J113" s="33"/>
      <c r="K113" s="33"/>
      <c r="L113" s="33"/>
      <c r="M113" s="33"/>
      <c r="N113" s="33"/>
      <c r="O113" s="34">
        <v>1</v>
      </c>
      <c r="P113" s="33" t="str">
        <f ca="1">IF(P2="forest","Minor Illusion",IF(Q2="tiefling","Thaumaturgy",IF(P2="dark","Dancing Lights",IF(P2="high",INDEX('Spell Tables'!P242:P257,MATCH(1,('Spell Tables'!N242:N257),0))," "))))</f>
        <v xml:space="preserve"> </v>
      </c>
      <c r="Q113" s="33" t="str">
        <f ca="1">IF(AND($P$2="Dark",$P$6&gt;=3),"Faerie Fire (1/day)",IF(AND(Q2="tiefling",P6&gt;=3),"Hellish Rebuke (as 2nd Level - 1/day)"," "))</f>
        <v xml:space="preserve"> </v>
      </c>
      <c r="R113" s="72" t="str">
        <f ca="1">IF(AND($P$2="Dark",$P$6&gt;=5),"Darkness (1/day)",IF(AND(Q2="tiefling",P6&gt;=5),"Darkness (1/day)"," "))</f>
        <v xml:space="preserve"> </v>
      </c>
      <c r="AJ113" s="58" t="str">
        <f t="shared" ca="1" si="55"/>
        <v xml:space="preserve"> </v>
      </c>
      <c r="AK113" s="60">
        <f t="shared" ca="1" si="53"/>
        <v>0</v>
      </c>
      <c r="AL113" s="29" t="str">
        <f t="shared" ca="1" si="54"/>
        <v xml:space="preserve"> </v>
      </c>
      <c r="CB113" s="31" t="s">
        <v>738</v>
      </c>
    </row>
    <row r="114" spans="2:82" x14ac:dyDescent="0.3">
      <c r="B114" s="79" t="str">
        <f ca="1">IF(OR(P2="dark",Q2="tiefling"),8+$P$8+$N$43,IF(P2="Forest",8+$P$8+$N$41," "))</f>
        <v xml:space="preserve"> </v>
      </c>
      <c r="C114" s="33"/>
      <c r="D114" s="33"/>
      <c r="E114" s="33"/>
      <c r="F114" s="33"/>
      <c r="G114" s="33"/>
      <c r="H114" s="33"/>
      <c r="I114" s="33"/>
      <c r="J114" s="33"/>
      <c r="K114" s="33"/>
      <c r="L114" s="33"/>
      <c r="M114" s="33"/>
      <c r="N114" s="33"/>
      <c r="O114" s="34">
        <v>2</v>
      </c>
      <c r="P114" s="33"/>
      <c r="Q114" s="33"/>
      <c r="R114" s="72"/>
      <c r="CB114" s="35">
        <f t="shared" ref="CB114:CB119" ca="1" si="57">_xlfn.RANK.EQ(CC114,$CC$114:$CC$119)</f>
        <v>3</v>
      </c>
      <c r="CC114" s="36">
        <f ca="1">IF(BM8&gt;0,0,RAND())</f>
        <v>0.80453302788796299</v>
      </c>
      <c r="CD114" s="29" t="s">
        <v>13</v>
      </c>
    </row>
    <row r="115" spans="2:82" x14ac:dyDescent="0.3">
      <c r="B115" s="78" t="s">
        <v>1123</v>
      </c>
      <c r="C115" s="33"/>
      <c r="D115" s="33"/>
      <c r="E115" s="33"/>
      <c r="F115" s="33"/>
      <c r="G115" s="33"/>
      <c r="H115" s="33"/>
      <c r="I115" s="33"/>
      <c r="J115" s="33"/>
      <c r="K115" s="33"/>
      <c r="L115" s="33"/>
      <c r="M115" s="33"/>
      <c r="N115" s="33"/>
      <c r="O115" s="34">
        <v>3</v>
      </c>
      <c r="P115" s="33"/>
      <c r="Q115" s="33"/>
      <c r="R115" s="72"/>
      <c r="AJ115" s="31" t="s">
        <v>1171</v>
      </c>
      <c r="CB115" s="35">
        <f t="shared" ca="1" si="57"/>
        <v>6</v>
      </c>
      <c r="CC115" s="36">
        <f ca="1">IF(BM11&gt;0,0,RAND())</f>
        <v>7.6348450419295721E-3</v>
      </c>
      <c r="CD115" s="29" t="s">
        <v>16</v>
      </c>
    </row>
    <row r="116" spans="2:82" ht="19.5" thickBot="1" x14ac:dyDescent="0.35">
      <c r="B116" s="80" t="str">
        <f ca="1">IF(OR(P2="dark",Q2="tiefling"),P8+$N$43,IF(P2="forest",P8+$N$41," "))</f>
        <v xml:space="preserve"> </v>
      </c>
      <c r="C116" s="38"/>
      <c r="D116" s="38"/>
      <c r="E116" s="38"/>
      <c r="F116" s="38"/>
      <c r="G116" s="38"/>
      <c r="H116" s="38"/>
      <c r="I116" s="38"/>
      <c r="J116" s="38"/>
      <c r="K116" s="38"/>
      <c r="L116" s="38"/>
      <c r="M116" s="38"/>
      <c r="N116" s="38"/>
      <c r="O116" s="38"/>
      <c r="P116" s="38"/>
      <c r="Q116" s="38"/>
      <c r="R116" s="73"/>
      <c r="AJ116" s="58" t="str">
        <f ca="1">IF(AK116=0," ",_xlfn.RANK.EQ(AK116,$AK$116:$AK$125))</f>
        <v xml:space="preserve"> </v>
      </c>
      <c r="AK116" s="60">
        <f t="shared" ref="AK116:AK125" ca="1" si="58">IF(AL116=" ", 0,RAND())</f>
        <v>0</v>
      </c>
      <c r="AL116" s="29" t="str">
        <f t="shared" ref="AL116:AL125" ca="1" si="59">R334</f>
        <v xml:space="preserve"> </v>
      </c>
      <c r="CB116" s="35">
        <f t="shared" ca="1" si="57"/>
        <v>4</v>
      </c>
      <c r="CC116" s="36">
        <f ca="1">IF(BM12&gt;0,0,RAND())</f>
        <v>0.46690606869834406</v>
      </c>
      <c r="CD116" s="29" t="s">
        <v>17</v>
      </c>
    </row>
    <row r="117" spans="2:82" ht="19.5" thickBot="1" x14ac:dyDescent="0.35">
      <c r="AJ117" s="58" t="str">
        <f t="shared" ref="AJ117:AJ125" ca="1" si="60">IF(AK117=0," ",_xlfn.RANK.EQ(AK117,$AK$116:$AK$125))</f>
        <v xml:space="preserve"> </v>
      </c>
      <c r="AK117" s="60">
        <f t="shared" ca="1" si="58"/>
        <v>0</v>
      </c>
      <c r="AL117" s="29" t="str">
        <f t="shared" ca="1" si="59"/>
        <v xml:space="preserve"> </v>
      </c>
      <c r="CB117" s="35">
        <f t="shared" ca="1" si="57"/>
        <v>1</v>
      </c>
      <c r="CC117" s="36">
        <f ca="1">IF(BM14&gt;0,0,RAND())</f>
        <v>0.99774963560839736</v>
      </c>
      <c r="CD117" s="29" t="s">
        <v>19</v>
      </c>
    </row>
    <row r="118" spans="2:82" ht="30.75" thickBot="1" x14ac:dyDescent="0.45">
      <c r="B118" s="105" t="s">
        <v>1334</v>
      </c>
      <c r="AJ118" s="58" t="str">
        <f t="shared" ca="1" si="60"/>
        <v xml:space="preserve"> </v>
      </c>
      <c r="AK118" s="60">
        <f t="shared" ca="1" si="58"/>
        <v>0</v>
      </c>
      <c r="AL118" s="29" t="str">
        <f t="shared" ca="1" si="59"/>
        <v xml:space="preserve"> </v>
      </c>
      <c r="CB118" s="35">
        <f t="shared" ca="1" si="57"/>
        <v>5</v>
      </c>
      <c r="CC118" s="36">
        <f ca="1">IF(BM15&gt;0,0,RAND())</f>
        <v>0.3901524067048816</v>
      </c>
      <c r="CD118" s="29" t="s">
        <v>20</v>
      </c>
    </row>
    <row r="119" spans="2:82" x14ac:dyDescent="0.3">
      <c r="B119" s="79"/>
      <c r="C119" s="27"/>
      <c r="D119" s="27"/>
      <c r="E119" s="27"/>
      <c r="F119" s="27"/>
      <c r="G119" s="27"/>
      <c r="H119" s="27"/>
      <c r="I119" s="27"/>
      <c r="J119" s="27"/>
      <c r="K119" s="27"/>
      <c r="L119" s="27"/>
      <c r="M119" s="27"/>
      <c r="N119" s="27"/>
      <c r="O119" s="27"/>
      <c r="P119" s="76" t="s">
        <v>1124</v>
      </c>
      <c r="Q119" s="76" t="s">
        <v>1166</v>
      </c>
      <c r="R119" s="76" t="s">
        <v>1167</v>
      </c>
      <c r="S119" s="76" t="s">
        <v>1168</v>
      </c>
      <c r="T119" s="77" t="s">
        <v>676</v>
      </c>
      <c r="AJ119" s="58" t="str">
        <f t="shared" ca="1" si="60"/>
        <v xml:space="preserve"> </v>
      </c>
      <c r="AK119" s="60">
        <f t="shared" ca="1" si="58"/>
        <v>0</v>
      </c>
      <c r="AL119" s="29" t="str">
        <f t="shared" ca="1" si="59"/>
        <v xml:space="preserve"> </v>
      </c>
      <c r="CB119" s="35">
        <f t="shared" ca="1" si="57"/>
        <v>2</v>
      </c>
      <c r="CC119" s="36">
        <f ca="1">IF(BM20&gt;0,0,RAND())</f>
        <v>0.89257195611314732</v>
      </c>
      <c r="CD119" s="29" t="s">
        <v>25</v>
      </c>
    </row>
    <row r="120" spans="2:82" x14ac:dyDescent="0.3">
      <c r="B120" s="78" t="str">
        <f ca="1">IF(P15="way of the four elements","Way of the Four Elements",IF(AND(O11="wizard",O12&gt;=20),"Signature Spell",IF(AND($O$11="paladin",$O$12&gt;=3),"Oath Spells",IF(AND($P$15="moon",$O$12&gt;=14),"Thousand Forms",IF($P$15="way of the shadow","Shadow Arts",IF(AND($O$11="druid",$P$15="land"),"Land Circle Spells",IF($O$11="cleric","Domain Spells",IF($O$11="bard","Magical Secrets",IF($P$15="path of the totem warrior","Totem Warrior Spells",IF(AND($O$11="warlock",$O$12&gt;=2),"Mystic Arcanum and Invocation",IF($P$15="arcane trickster","4th,8th,14th,20th non E&amp;I spells",IF($P$15="eldritch knight","4th,8th,14th,20th non A&amp;E spells"," "))))))))))))</f>
        <v xml:space="preserve"> </v>
      </c>
      <c r="C120" s="33"/>
      <c r="D120" s="33"/>
      <c r="E120" s="33"/>
      <c r="F120" s="33"/>
      <c r="G120" s="33"/>
      <c r="H120" s="33"/>
      <c r="I120" s="33"/>
      <c r="J120" s="33"/>
      <c r="K120" s="33"/>
      <c r="L120" s="33"/>
      <c r="M120" s="33"/>
      <c r="N120" s="33"/>
      <c r="O120" s="34">
        <v>1</v>
      </c>
      <c r="P120" s="33" t="str">
        <f ca="1">IF($O$16="pact of the tome",INDEX('Spell Tables'!$BD$19:$BD$37,MATCH(1,('Spell Tables'!$BB$19:$BB$37),0)),IF($P$15="way of the shadow","Minor Illusion (free)",IF($P$15="land",INDEX('Spell Tables'!P48:P55,MATCH(8,('Spell Tables'!N48:N55),0)),IF($P$15="nature",INDEX('Spell Tables'!P48:P55,MATCH(6,('Spell Tables'!N48:N55),0)),IF($P$15="light","Light",IF(AND($O$11="bard",AL191="c"),INDEX('Spell Tables'!$BD$2:$BD$16,MATCH(10,('Spell Tables'!$BB$2:$BB$16),0))," "))))))</f>
        <v xml:space="preserve"> </v>
      </c>
      <c r="Q120" s="33" t="str">
        <f ca="1">IF(COUNTIF(P18:P21,"*"&amp;"Fist of Four Thunders"&amp;"*"),"Thunderwave (2 ki)",IF(COUNTIF($O$18:$O$25,"*"&amp;"armor of shadows"&amp;"*"),"Mage Armor*",IF($P$15="oath of vengeance","Bane",IF($P$15="Oath of the Ancients","Ensnaring Strike",IF($P$15="Oath of Devotion","Protection from Good and Evil",IF(AND($P$15="war",$O$12&gt;=1),"Divine Favor",IF(AND($P$15="Trickery",$O$12&gt;=1),"Charm Person",IF(AND($P$15="tempest",$O$12&gt;=1),"Fog Cloud",IF(AND($P$15="nature",$O$12&gt;=1),"Animal Friendship",IF(AND($P$15="light",$O$12&gt;=1),"Burning Hands",IF($P$15="life","Bless",IF($P$15="knowledge","Command",IF(AND($O$11="bard",AL155=1),INDEX('Spell Tables'!$BH$2:$BH$41,MATCH($O$120,('Spell Tables'!$BF$2:$BF$41),0)),IF($P$15="arcane trickster",INDEX('Spell Tables'!$X$141:$X$163,MATCH(O120,('Spell Tables'!$V$141:$V$163),0)),IF($P$15="path of the totem warrior","Speak with Animals (as ritual)",IF($P$15="eldritch knight",INDEX('Spell Tables'!$X$70:$X$90,MATCH($O$120,('Spell Tables'!$V$70:$V$90),0))," "))))))))))))))))</f>
        <v xml:space="preserve"> </v>
      </c>
      <c r="R120" s="33" t="str">
        <f ca="1">IF(COUNTIF(P18:P21,"*"&amp;"Clench of the North Wind"&amp;"*"),"Hold Person (3 ki)",IF(COUNTIF(P18:P21,"*"&amp;"Clench of the North Wind"&amp;"*"),"Hold Person (3 ki)",IF(COUNTIF(O18:O25,"*"&amp;"ascendant step"&amp;"*"),"Levitate*",IF(AND(P15="oath of vengeance",O12&gt;=5),"Hold Person",IF(AND(P15="Oath of the Ancients",O12&gt;=5),"Moonbeam",IF(AND(P15="Oath of Devotion",O12&gt;=5),"Lesser Restoration",IF(AND(P15="moon",O12&gt;=14),"Alter Self",IF(P15="Way of the Shadow","Darkness",IF(AND($P$20="Underdark",$O$12&gt;=3),"Spider Climb",IF(AND($P$20="Swamp",$O$12&gt;=3),"Darkness",IF(AND($P$20="Mountain",$O$12&gt;=3),"Spider Climb",IF(AND($P$20="Grassland",$O$12&gt;=3),"Invisibility",IF(AND($P$20="Forest",$O$12&gt;=3),"Barkskin",IF(AND($P$20="Desert",$O$12&gt;=3),"Blur",IF(AND($P$20="Coast",$O$12&gt;=3),"Mirror Image",IF(AND($P$20="arctic",$O$12&gt;=3),"Hold Person",IF(AND(P15="war",O12&gt;=3),"Magic Weapon",IF(AND(P15="Trickery",O12&gt;=3),"Mirror Image",IF(AND(P15="tempest",O12&gt;=3),"Gust of Wind",IF(AND(P15="nature",O12&gt;=3),"Barkskin",IF(AND(P15="light",O12&gt;=3),"Flaming Sphere",IF(AND(P15="Life",O12&gt;=3),"Lesser Restoration",IF(AND(P15="knowledge",O12&gt;=3),"Augury",IF(AND(O11="bard",AL155=2),INDEX('Spell Tables'!BL2:BL37,MATCH(O120,('Spell Tables'!BJ2:BJ37),0)),IF(P15="path of the totem warrior","Beast Sense (as ritual)",IF(AND(P15="eldritch knight",O12&gt;=8),INDEX('Spell Tables'!AF70:AF94,MATCH(#REF!,('Spell Tables'!AD70:AD94),0)),IF(AND(P15="arcane trickster",O12&gt;=8),INDEX('Spell Tables'!AF141:AF165,MATCH(#REF!,('Spell Tables'!AD141:AD165),0))," ")))))))))))))))))))))))))))</f>
        <v xml:space="preserve"> </v>
      </c>
      <c r="S120" s="33" t="str">
        <f ca="1">IF(COUNTIF(P18:P21,"*"&amp;"Mist Stance"&amp;"*"),"Gaseous Form (4 ki)",IF(AND($O$11="wizard",O12&gt;=20),INDEX('Spell Tables'!$AB$242:$AB$270,MATCH(29,('Spell Tables'!$Z$242:$Z$270),0)),IF(COUNTIF(O18:O25,"*"&amp;"mire the mind"&amp;"*"),"Slow**",IF(AND(P15="oath of vengeance",O12&gt;=9),"Haste",IF(AND(P15="Oath of the Ancients",O12&gt;=9),"Plant Growth",IF(AND(P15="Oath of Devotion",O12&gt;=9),"Beacon of Hope",IF(AND($P$20="Underdark",$O$12&gt;=5),"Gaseous Form",IF(AND($P$20="Swamp",$O$12&gt;=5),"Water Walk",IF(AND($P$20="Mountain",$O$12&gt;=5),"Lightning Bolt",IF(AND($P$20="Grassland",$O$12&gt;=5),"Daylight",IF(AND($P$20="Forest",$O$12&gt;=5),"Call Lightning",IF(AND($P$20="Desert",$O$12&gt;=5),"Create Food and Water",IF(AND($P$20="Coast",$O$12&gt;=5),"Water Breathing",IF(AND($P$20="arctic",$O$12&gt;=5),"Sleet Storm",IF(AND(P15="war",O12&gt;=5),"Crusader's Mantle",IF(AND(P15="trickery",O12&gt;=5),"Blink",IF(AND(P15="tempest",O12&gt;=5),"Call Lightning",IF(AND(P15="nature",O12&gt;=5),"Plant Growth",IF(AND(P15="light",O12&gt;=5),"Daylight",IF(AND(P15="life",O12&gt;=5),"Beacon of Hope",IF(AND(P15="knowledge",O12&gt;=5),"Nondetection",IF(AND(O11="bard",AL155=3),INDEX('Spell Tables'!BP2:BP35,MATCH(O120,('Spell Tables'!BN2:BN35),0)),IF(AND(P15="arcane trickster",O12&gt;=14),INDEX('Spell Tables'!AN141:AN165,MATCH(O120,('Spell Tables'!AL141:AL165),0)),IF(AND(P15="eldritch knight",O12&gt;=14),INDEX('Spell Tables'!AN70:AN88,MATCH(O120,('Spell Tables'!AL70:AL88),0))," "))))))))))))))))))))))))</f>
        <v xml:space="preserve"> </v>
      </c>
      <c r="T120" s="72" t="str">
        <f ca="1">IF(COUNTIF(P18:P21,"*"&amp;"Eternal Mountain Defense"&amp;"*"),"Stoneskin (5 ki)",IF(COUNTIF(O18:O25,"*"&amp;"bewitching whispers"&amp;"*"),"Compulsion**",IF(AND(P15="oath of vengeance",O12&gt;=13),"Banishment",IF(AND(P15="Oath of the Ancients",O12&gt;=13),"Ice Storm",IF(AND(P15="Oath of Devotion",O12&gt;=13),"Freedom of Movement",IF(AND($P$20="Underdark",$O$12&gt;=7),"Greater Invisibility",IF(AND($P$20="Swamp",$O$12&gt;=7),"Freedom of Movement",IF(AND($P$20="Mountain",$O$12&gt;=7),"Stone Shape",IF(AND($P$20="Grassland",$O$12&gt;=7),"Divination",IF(AND($P$20="Forest",$O$12&gt;=7),"Divination",IF(AND($P$20="Desert",$O$12&gt;=7),"Blight",IF(AND($P$20="Coast",$O$12&gt;=7),"Control Water",IF(AND($P$20="arctic",$O$12&gt;=7),"Freedom of Movement",IF(AND(P15="war",O12&gt;=7),"Freedom of Movement",IF(AND(P15="trickery",O12&gt;=7),"Dimension Door",IF(AND(P15="tempest",O12&gt;=7),"Control Water",IF(AND(P15="nature",O12&gt;=7),"Dominate Beast",IF(AND(P15="light",O12&gt;=7),"Guardian of Faith",IF(AND(P15="life",O12&gt;=7),"Death Ward",IF(AND(P15="knowledge",O12&gt;=7),"Arcane Eye",IF(AND(O11="bard",AL155=4),INDEX('Spell Tables'!BT2:BT29,MATCH(O120,('Spell Tables'!BR2:BR29),0)),IF(AND(P15="arcane trickster",O12&gt;=20),INDEX('Spell Tables'!AV141:AV159,MATCH(O120,('Spell Tables'!AT141:AT159),0)),IF(AND(P15="eldritch knight",O12&gt;=20),INDEX('Spell Tables'!AV70:AV86,MATCH(O120,('Spell Tables'!AT70:AT86),0))," ")))))))))))))))))))))))</f>
        <v xml:space="preserve"> </v>
      </c>
      <c r="AJ120" s="58" t="str">
        <f t="shared" ca="1" si="60"/>
        <v xml:space="preserve"> </v>
      </c>
      <c r="AK120" s="60">
        <f t="shared" ca="1" si="58"/>
        <v>0</v>
      </c>
      <c r="AL120" s="29" t="str">
        <f t="shared" ca="1" si="59"/>
        <v xml:space="preserve"> </v>
      </c>
    </row>
    <row r="121" spans="2:82" x14ac:dyDescent="0.3">
      <c r="B121" s="79" t="str">
        <f ca="1">IF(P15="way of the four elements","Elemental Disciplines - cost Ki",IF(AND(O11="wizard",O12&gt;=20),"Always Prepared",IF(AND($O$11="warlock",$O$12&gt;=2),"* = at will - no slot use",IF($P$15="land",$P$20," "))))</f>
        <v xml:space="preserve"> </v>
      </c>
      <c r="C121" s="33"/>
      <c r="D121" s="33"/>
      <c r="E121" s="33"/>
      <c r="F121" s="33"/>
      <c r="G121" s="33"/>
      <c r="H121" s="33"/>
      <c r="I121" s="33"/>
      <c r="J121" s="33"/>
      <c r="K121" s="33"/>
      <c r="L121" s="33"/>
      <c r="M121" s="33"/>
      <c r="N121" s="33"/>
      <c r="O121" s="34">
        <v>2</v>
      </c>
      <c r="P121" s="33" t="str">
        <f ca="1">IF($O$16="pact of the tome",INDEX('Spell Tables'!$BD$19:$BD$37,MATCH(2,('Spell Tables'!$BB$19:$BB$37),0)),IF(AND($O$11="bard",AL192="c"),INDEX('Spell Tables'!$BD$2:$BD$16,MATCH(11,('Spell Tables'!$BB$2:$BB$16),0))," "))</f>
        <v xml:space="preserve"> </v>
      </c>
      <c r="Q121" s="33" t="str">
        <f ca="1">IF(COUNTIF(P18:P21,"*"&amp;"Sweeping Cinder Strike"&amp;"*"),"Burning Hands (2 ki)",IF(COUNTIF(O18:O25,"*"&amp;"beast speech"&amp;"*"),"Speak with Animals*",IF(P15="Oath of the Ancients","Speak with Animals",IF(P15="Oath of vengeance","Hunter's Mark",IF(P15="Oath of Devotion","Sanctuary",IF(AND(P15="war",O12&gt;=1),"Shield of Faith",IF(AND(P15="trickery",O12&gt;=1),"Disguise Self",IF(AND(P15="tempest",O12&gt;=1),"Thunderwave",IF(AND(P15="Nature",O12&gt;=1),"Speak with Animals",IF(AND(P15="light",O12&gt;=1),"Faerie Fire",IF(P15="life","Cure Wounds",IF(P15="knowledge","Identify",IF(AND($O$11="bard",AL156=1),INDEX('Spell Tables'!$BH$2:$BH$41,MATCH(O121,('Spell Tables'!$BF$2:$BF$41),0))," ")))))))))))))</f>
        <v xml:space="preserve"> </v>
      </c>
      <c r="R121" s="33" t="str">
        <f ca="1">IF(COUNTIF(P18:P21,"*"&amp;"Gong of the Summit"&amp;"*"),"Shatter (3 ki)",IF(COUNTIF(O18:O25,"*"&amp;"master of myriad forms"&amp;"*"),"Alter Self*",IF(AND(P15="oath of vengeance",O12&gt;=5),"Misty Step",IF(AND(P15="Oath of the Ancients",O12&gt;=5),"Misty Step",IF(AND(P15="Oath of Devotion",O12&gt;=5),"Zone of Truth",IF(P15="way of the shadow","Darkvision",IF(AND($P$20="Underdark",$O$12&gt;=3),"Web",IF(AND($P$20="Swamp",$O$12&gt;=3),"Melf's Acid Arrow",IF(AND($P$20="Mountain",$O$12&gt;=3),"Spike Growth",IF(AND($P$20="Grassland",$O$12&gt;=3),"Pass Without Trace",IF(AND($P$20="Forest",$O$12&gt;=3),"Spider Climb",IF(AND($P$20="Desert",$O$12&gt;=3),"Silence",IF(AND($P$20="Coast",$O$12&gt;=3),"Misty Step",IF(AND($P$20="arctic",$O$12&gt;=3),"Spike Growth",IF(AND(P15="war",O12&gt;=3),"Spiritual Weapon",IF(AND(P15="trickery",O12&gt;=3),"Pass Without Trace",IF(AND(P15="tempest",O12&gt;=3),"Shatter",IF(AND(P15="nature",O12&gt;=3),"Spike Growth",IF(AND(P15="light",O12&gt;=3),"Scorching Ray",IF(AND(P15="life",O12&gt;=3),"Spiritual Weapon",IF(AND(P15="knowledge",O12&gt;=3),"Suggestion",IF(AND($O$11="bard",AL156=2),INDEX('Spell Tables'!$BL$2:$BL$37,MATCH(O121,('Spell Tables'!$BJ$2:$BJ$37),0))," "))))))))))))))))))))))</f>
        <v xml:space="preserve"> </v>
      </c>
      <c r="S121" s="33" t="str">
        <f ca="1">IF(COUNTIF(P18:P21,"*"&amp;"Ride the Wind"&amp;"*"),"Fly (4 ki)",IF(AND($O$11="wizard",O12&gt;=20),INDEX('Spell Tables'!$AB$242:$AB$270,MATCH(28,('Spell Tables'!$Z$242:$Z$270),0)),IF(COUNTIF(O18:O25,"*"&amp;"sign of ill omen"&amp;"*"),"Bestow Curse**",IF(AND(P15="oath of vengeance",O12&gt;=9),"Protection from Energy",IF(AND(P15="Oath of the Ancients",O12&gt;=9),"Protection from Energy",IF(AND(P15="Oath of Devotion",O12&gt;=9),"Dispel Magic",IF(AND($P$20="Underdark",$O$12&gt;=5),"Stinking Cloud",IF(AND($P$20="Swamp",$O$12&gt;=5),"Stinking Cloud",IF(AND($P$20="Mountain",$O$12&gt;=5),"Meld Into Stone",IF(AND($P$20="Grassland",$O$12&gt;=5),"Haste",IF(AND($P$20="Forest",$O$12&gt;=5),"Plant Growth",IF(AND($P$20="Desert",$O$12&gt;=5),"Protection from Energy",IF(AND($P$20="Coast",$O$12&gt;=5),"Water Walk",IF(AND($P$20="arctic",$O$12&gt;=5),"Slow",IF(AND(P15="war",O12&gt;=5),"Spirit Guardians",IF(AND(P15="trickery",O12&gt;=5),"Dispel Magic",IF(AND(P15="Tempest",O12&gt;=5),"Sleet Storm",IF(AND(P15="nature",O12&gt;=5),"Wind Wall",IF(AND(P15="light",O12&gt;=5),"Fireball",IF(AND(P15="life",O12&gt;=5),"Revivify",IF(AND(P15="knowledge",O12&gt;=5),"Speak with Dead",IF(AND($O$11="bard",AL156=3),INDEX('Spell Tables'!$BP$2:$BP$35,MATCH(O121,('Spell Tables'!$BN$2:$BN$35),0))," "))))))))))))))))))))))</f>
        <v xml:space="preserve"> </v>
      </c>
      <c r="T121" s="72" t="str">
        <f ca="1">IF(COUNTIF(P18:P21,"*"&amp;"River of Hungry Flame"&amp;"*"),"Wall of Fire (5 ki)",IF(COUNTIF(O18:O25,"*"&amp;"Dreadful word"&amp;"*"),"Confusion**",IF(AND(P15="oath of vengeance",O12&gt;=13),"Dimension Door",IF(AND(P15="Oath of the Ancients",O12&gt;=13),"Stoneskin",IF(AND(P15="Oath of Devotion",O12&gt;=13),"Guardian of Faith",IF(AND($P$20="Underdark",$O$12&gt;=7),"Stone Shape",IF(AND($P$20="Swamp",$O$12&gt;=7),"Locate Creature",IF(AND($P$20="Mountain",$O$12&gt;=7),"Stonekin",IF(AND($P$20="Grassland",$O$12&gt;=7),"Freedom of Movement",IF(AND($P$20="Forest",$O$12&gt;=7),"Freedom of Movement",IF(AND($P$20="Desert",$O$12&gt;=7),"Hallucinatory Terrain",IF(AND($P$20="Coast",$O$12&gt;=7),"Freedom of Movement",IF(AND($P$20="arctic",$O$12&gt;=7),"Ice Storm",IF(AND(P15="war",O12&gt;=7),"Stoneskin",IF(AND(P15="trickery",O12&gt;=7),"Polymorph",IF(AND(P15="tempest",O12&gt;=7),"Ice Storm",IF(AND(P15="nature",O12&gt;=7),"Grasping Vine",IF(AND(P15="light",O12&gt;=7),"Wall of Fire",IF(AND(P15="life",O12&gt;=7),"Guardian of Faith",IF(AND(P15="knowledge",O12&gt;=7),"Confusion",IF(AND($O$11="bard",AL156=4),INDEX('Spell Tables'!$BT$2:$BT$29,MATCH(O121,('Spell Tables'!$BR$2:$BR$29),0))," ")))))))))))))))))))))</f>
        <v xml:space="preserve"> </v>
      </c>
      <c r="AJ121" s="58" t="str">
        <f t="shared" ca="1" si="60"/>
        <v xml:space="preserve"> </v>
      </c>
      <c r="AK121" s="60">
        <f t="shared" ca="1" si="58"/>
        <v>0</v>
      </c>
      <c r="AL121" s="29" t="str">
        <f t="shared" ca="1" si="59"/>
        <v xml:space="preserve"> </v>
      </c>
    </row>
    <row r="122" spans="2:82" x14ac:dyDescent="0.3">
      <c r="B122" s="79" t="str">
        <f ca="1">IF(AND(O11="wizard",O12&gt;=20),"Cast once at 3rd level - no slot use",IF(AND($O$11="warlock",$O$12&gt;=2),"** = once per long rest - uses slot",IF(AND($O$11="paladin",$O$12&gt;=3),"Free Preparation",IF(AND($P$15="moon",$O$12&gt;=14),"At Will",IF($P$15="way of the shadow","Cost 2 Ki Points",IF(OR($P$15="land",$O$11="cleric"),"Free Preparation",IF(AND($O$11="bard",$O$12&gt;=10),"Count Toward Known"," ")))))))</f>
        <v xml:space="preserve"> </v>
      </c>
      <c r="C122" s="33"/>
      <c r="D122" s="33"/>
      <c r="E122" s="33"/>
      <c r="F122" s="33"/>
      <c r="G122" s="33"/>
      <c r="H122" s="33"/>
      <c r="I122" s="33"/>
      <c r="J122" s="33"/>
      <c r="K122" s="33"/>
      <c r="L122" s="33"/>
      <c r="M122" s="33"/>
      <c r="N122" s="33"/>
      <c r="O122" s="34">
        <v>3</v>
      </c>
      <c r="P122" s="33" t="str">
        <f ca="1">IF($O$16="pact of the tome",INDEX('Spell Tables'!$BD$19:$BD$37,MATCH(3,('Spell Tables'!$BB$19:$BB$37),0))," ")</f>
        <v xml:space="preserve"> </v>
      </c>
      <c r="Q122" s="29" t="str">
        <f ca="1">IF(COUNTIF(O18:O25,"*"&amp;"eldritch sight"&amp;"*"),"Detect Magic*",IF(AND($O$11="bard",AL191=1),INDEX('Spell Tables'!$BH$2:$BH$41,MATCH(O122,('Spell Tables'!$BF$2:$BF$41),0))," "))</f>
        <v xml:space="preserve"> </v>
      </c>
      <c r="R122" s="33" t="str">
        <f ca="1">IF(COUNTIF(P18:P21,"*"&amp;"Rush of the Gale Spirits"&amp;"*"),"Gust of Wind (2 ki)",IF(P15="way of the shadow","Pass Without Trace",IF(AND($O$11="bard",AL191=2),INDEX('Spell Tables'!$BL$2:$BL$37,MATCH(O122,('Spell Tables'!$BJ$2:$BJ$37),0))," ")))</f>
        <v xml:space="preserve"> </v>
      </c>
      <c r="S122" s="33" t="str">
        <f ca="1">IF(COUNTIF(O18:O25,"*"&amp;"whispers of the grave"&amp;"*"),"Speak with Dead*",IF(AND($O$11="bard",AL191=3),INDEX('Spell Tables'!$BP$2:$BP$35,MATCH(O122,('Spell Tables'!$BN$2:$BN$35),0))," "))</f>
        <v xml:space="preserve"> </v>
      </c>
      <c r="T122" s="72" t="str">
        <f ca="1">IF(COUNTIF(O18:O25,"*"&amp;"Sculptor of Flesh"&amp;"*"),"Polymorph**"," ")</f>
        <v xml:space="preserve"> </v>
      </c>
      <c r="AJ122" s="58" t="str">
        <f t="shared" ca="1" si="60"/>
        <v xml:space="preserve"> </v>
      </c>
      <c r="AK122" s="60">
        <f t="shared" ca="1" si="58"/>
        <v>0</v>
      </c>
      <c r="AL122" s="29" t="str">
        <f t="shared" ca="1" si="59"/>
        <v xml:space="preserve"> </v>
      </c>
    </row>
    <row r="123" spans="2:82" x14ac:dyDescent="0.3">
      <c r="B123" s="79" t="str">
        <f ca="1">IF(AND($O$11="warlock",$O$12&gt;=2),"6th level and up = *"," ")</f>
        <v xml:space="preserve"> </v>
      </c>
      <c r="O123" s="81">
        <v>4</v>
      </c>
      <c r="Q123" s="29" t="str">
        <f ca="1">IF(COUNTIF(O18:O25,"*"&amp;"fiendish vigor"&amp;"*"),"False Life*",IF(AND($O$11="bard",AL192=1),INDEX('Spell Tables'!$BH$2:$BH$41,MATCH(O123,('Spell Tables'!$BF$2:$BF$41),0))," "))</f>
        <v xml:space="preserve"> </v>
      </c>
      <c r="R123" s="29" t="str">
        <f ca="1">IF(P15="way of the shadow","Silence",IF(AND($O$11="bard",AL192=2),INDEX('Spell Tables'!$BL$2:$BL$37,MATCH(O123,('Spell Tables'!$BJ$2:$BJ$37),0))," "))</f>
        <v xml:space="preserve"> </v>
      </c>
      <c r="S123" s="29" t="str">
        <f ca="1">IF(AND($O$11="bard",AL192=3),INDEX('Spell Tables'!$BP$2:$BP$35,MATCH(O123,('Spell Tables'!$BN$2:$BN$35),0))," ")</f>
        <v xml:space="preserve"> </v>
      </c>
      <c r="T123" s="72" t="str">
        <f ca="1">IF(COUNTIF(O18:O25,"*"&amp;"visions of distant realms"&amp;"*"),"Arcane Eye*"," ")</f>
        <v xml:space="preserve"> </v>
      </c>
      <c r="AJ123" s="58" t="str">
        <f t="shared" ca="1" si="60"/>
        <v xml:space="preserve"> </v>
      </c>
      <c r="AK123" s="60">
        <f t="shared" ca="1" si="58"/>
        <v>0</v>
      </c>
      <c r="AL123" s="29" t="str">
        <f t="shared" ca="1" si="59"/>
        <v xml:space="preserve"> </v>
      </c>
    </row>
    <row r="124" spans="2:82" x14ac:dyDescent="0.3">
      <c r="B124" s="79"/>
      <c r="O124" s="81">
        <v>5</v>
      </c>
      <c r="Q124" s="29" t="str">
        <f ca="1">IF(COUNTIF(O18:O25,"*"&amp;"Mask of many faces"&amp;"*"),"Disguise Self*","")</f>
        <v/>
      </c>
      <c r="T124" s="72"/>
      <c r="AJ124" s="58" t="str">
        <f t="shared" ca="1" si="60"/>
        <v xml:space="preserve"> </v>
      </c>
      <c r="AK124" s="60">
        <f t="shared" ca="1" si="58"/>
        <v>0</v>
      </c>
      <c r="AL124" s="29" t="str">
        <f t="shared" ca="1" si="59"/>
        <v xml:space="preserve"> </v>
      </c>
    </row>
    <row r="125" spans="2:82" x14ac:dyDescent="0.3">
      <c r="B125" s="79"/>
      <c r="O125" s="81">
        <v>6</v>
      </c>
      <c r="Q125" s="29" t="str">
        <f ca="1">IF(COUNTIF(O18:O25,"*"&amp;"misty vision"&amp;"*"),"Silent Image*"," " )</f>
        <v xml:space="preserve"> </v>
      </c>
      <c r="T125" s="72"/>
      <c r="AJ125" s="58" t="str">
        <f t="shared" ca="1" si="60"/>
        <v xml:space="preserve"> </v>
      </c>
      <c r="AK125" s="60">
        <f t="shared" ca="1" si="58"/>
        <v>0</v>
      </c>
      <c r="AL125" s="29" t="str">
        <f t="shared" ca="1" si="59"/>
        <v xml:space="preserve"> </v>
      </c>
    </row>
    <row r="126" spans="2:82" x14ac:dyDescent="0.3">
      <c r="B126" s="79"/>
      <c r="O126" s="81">
        <v>7</v>
      </c>
      <c r="Q126" s="29" t="str">
        <f ca="1">IF(COUNTIF(O18:O25,"*"&amp;"otherworldly leap"&amp;"*"),"Jump*"," ")</f>
        <v xml:space="preserve"> </v>
      </c>
      <c r="T126" s="72"/>
    </row>
    <row r="127" spans="2:82" x14ac:dyDescent="0.3">
      <c r="B127" s="79"/>
      <c r="O127" s="81">
        <v>8</v>
      </c>
      <c r="Q127" s="29" t="str">
        <f ca="1">IF(COUNTIF(O18:O25,"*"&amp;"Thief of five fates"&amp;"*"),"Bane**"," ")</f>
        <v xml:space="preserve"> </v>
      </c>
      <c r="T127" s="72"/>
      <c r="AJ127" s="31" t="s">
        <v>677</v>
      </c>
    </row>
    <row r="128" spans="2:82" x14ac:dyDescent="0.3">
      <c r="B128" s="79" t="str">
        <f ca="1">IF(AND($O$16="pact of the tome",COUNTIF($O$13:$O$13,"*"&amp;"book of ancient secrets"&amp;"*")),"Book of Ancient Secrets"," ")</f>
        <v xml:space="preserve"> </v>
      </c>
      <c r="O128" s="81">
        <v>9</v>
      </c>
      <c r="Q128" s="29" t="str">
        <f ca="1">IF(AND(O16="pact of the tome",COUNTIF(O18:O25,"*"&amp;"book of ancient secrets"&amp;"*")),INDEX('Spell Tables'!BD40:BD46,MATCH(1,('Spell Tables'!BB40:BB46),0))," ")</f>
        <v xml:space="preserve"> </v>
      </c>
      <c r="T128" s="72"/>
      <c r="AJ128" s="58" t="str">
        <f ca="1">IF(AK128=0," ",_xlfn.RANK.EQ(AK128,$AK$128:$AK$137))</f>
        <v xml:space="preserve"> </v>
      </c>
      <c r="AK128" s="60">
        <f t="shared" ref="AK128:AK137" ca="1" si="61">IF(AL128=" ", 0,RAND())</f>
        <v>0</v>
      </c>
      <c r="AL128" s="29" t="str">
        <f t="shared" ref="AL128:AL137" ca="1" si="62">S334</f>
        <v xml:space="preserve"> </v>
      </c>
    </row>
    <row r="129" spans="1:38" ht="19.5" thickBot="1" x14ac:dyDescent="0.35">
      <c r="B129" s="80" t="str">
        <f ca="1">IF($O$16="pact of the chain",$O$16,IF(OR(P129="minor illusion",S129="animate dead",T129="polymorph"),"School Spells - in Spellbook"," "))</f>
        <v xml:space="preserve"> </v>
      </c>
      <c r="C129" s="38"/>
      <c r="D129" s="38"/>
      <c r="E129" s="38"/>
      <c r="F129" s="38"/>
      <c r="G129" s="38"/>
      <c r="H129" s="38"/>
      <c r="I129" s="38"/>
      <c r="J129" s="38"/>
      <c r="K129" s="38"/>
      <c r="L129" s="38"/>
      <c r="M129" s="38"/>
      <c r="N129" s="38"/>
      <c r="O129" s="82">
        <v>10</v>
      </c>
      <c r="P129" s="38" t="str">
        <f ca="1">IF(AND(P15="school of Illusion",COUNTIF(P315:P324,"*"&amp;"Minor Illusion"&amp;"*"))," ",IF(P15="school of illusion","Minor Illusion"," "))</f>
        <v xml:space="preserve"> </v>
      </c>
      <c r="Q129" s="38" t="str">
        <f ca="1">IF(AND(O16="pact of the tome",COUNTIF(O18:O25,"*"&amp;"book of ancient secrets"&amp;"*")),INDEX('Spell Tables'!BD40:BD46,MATCH(2,('Spell Tables'!BB40:BB46),0)),IF(O16="pact of the chain","Find Familiar (as ritual)"," "))</f>
        <v xml:space="preserve"> </v>
      </c>
      <c r="R129" s="38"/>
      <c r="S129" s="38" t="str">
        <f ca="1">IF(AND(P15="school of necromancy",O12&gt;=6,COUNTIF(S315:S324,"*"&amp;"Animate Dead"&amp;"*"))," ",IF(AND(P15="school of necromancy",O12&gt;=6),"Animate Dead"," "))</f>
        <v xml:space="preserve"> </v>
      </c>
      <c r="T129" s="73" t="str">
        <f ca="1">IF(AND(P15="school of transmutation",O12&gt;=10,COUNTIF(T315:T324,"*"&amp;"Polymorph"&amp;"*"))," ",IF(AND(P15="school of transmutation",O12&gt;=6),"Polymorph"," "))</f>
        <v xml:space="preserve"> </v>
      </c>
      <c r="AJ129" s="58" t="str">
        <f t="shared" ref="AJ129:AJ137" ca="1" si="63">IF(AK129=0," ",_xlfn.RANK.EQ(AK129,$AK$128:$AK$137))</f>
        <v xml:space="preserve"> </v>
      </c>
      <c r="AK129" s="60">
        <f t="shared" ca="1" si="61"/>
        <v>0</v>
      </c>
      <c r="AL129" s="29" t="str">
        <f t="shared" ca="1" si="62"/>
        <v xml:space="preserve"> </v>
      </c>
    </row>
    <row r="130" spans="1:38" x14ac:dyDescent="0.3">
      <c r="A130" s="33"/>
      <c r="B130" s="27"/>
      <c r="AJ130" s="58" t="str">
        <f t="shared" ca="1" si="63"/>
        <v xml:space="preserve"> </v>
      </c>
      <c r="AK130" s="60">
        <f t="shared" ca="1" si="61"/>
        <v>0</v>
      </c>
      <c r="AL130" s="29" t="str">
        <f t="shared" ca="1" si="62"/>
        <v xml:space="preserve"> </v>
      </c>
    </row>
    <row r="131" spans="1:38" ht="19.5" thickBot="1" x14ac:dyDescent="0.35">
      <c r="A131" s="131"/>
      <c r="B131" s="33"/>
      <c r="O131" s="38"/>
      <c r="AJ131" s="58" t="str">
        <f t="shared" ca="1" si="63"/>
        <v xml:space="preserve"> </v>
      </c>
      <c r="AK131" s="60">
        <f t="shared" ca="1" si="61"/>
        <v>0</v>
      </c>
      <c r="AL131" s="29" t="str">
        <f t="shared" ca="1" si="62"/>
        <v xml:space="preserve"> </v>
      </c>
    </row>
    <row r="132" spans="1:38" x14ac:dyDescent="0.3">
      <c r="A132" s="131"/>
      <c r="B132" s="129"/>
      <c r="O132" s="132"/>
      <c r="P132" s="76" t="s">
        <v>1169</v>
      </c>
      <c r="Q132" s="76" t="s">
        <v>1170</v>
      </c>
      <c r="R132" s="76" t="s">
        <v>1171</v>
      </c>
      <c r="S132" s="76" t="s">
        <v>677</v>
      </c>
      <c r="T132" s="77" t="s">
        <v>1172</v>
      </c>
      <c r="AJ132" s="58" t="str">
        <f t="shared" ca="1" si="63"/>
        <v xml:space="preserve"> </v>
      </c>
      <c r="AK132" s="60">
        <f t="shared" ca="1" si="61"/>
        <v>0</v>
      </c>
      <c r="AL132" s="29" t="str">
        <f t="shared" ca="1" si="62"/>
        <v xml:space="preserve"> </v>
      </c>
    </row>
    <row r="133" spans="1:38" x14ac:dyDescent="0.3">
      <c r="A133" s="131"/>
      <c r="B133" s="129"/>
      <c r="O133" s="86">
        <v>1</v>
      </c>
      <c r="P133" s="65" t="str">
        <f ca="1">IF(COUNTIF(P18:P21,"*"&amp;"Breath of Winter"&amp;"*"),"Cone of Cold (6 ki)",IF(COUNTIF(O18:O25,"*"&amp;"chains of carceri"&amp;"*"),"Hold Monster**(c,f,e only)",IF(AND(P15="oath of vengeance",O12&gt;=17),"Hold Monster",IF(AND(P15="Oath of the Ancients",O12&gt;=17),"Commune with Nature",IF(AND(P15="Oath of Devotion",O12&gt;=17),"Commune",IF(AND($P$20="Underdark",$O$12&gt;=9),"Cloudkill",IF(AND($P$20="Swamp",$O$12&gt;=9),"Insect Plague",IF(AND($P$20="Mountain",$O$12&gt;=9),"Passwall",IF(AND($P$20="Grassland",$O$12&gt;=9),"Dream",IF(AND($P$20="Forest",$O$12&gt;=9),"Commune with Nature",IF(AND($P$20="Desert",$O$12&gt;=9),"Insect Plague",IF(AND($P$20="Coast",$O$12&gt;=9),"Conjure Elemental",IF(AND($P$20="arctic",$O$12&gt;=9),"Commune with Nature",IF(AND($P$15="war",$O$12&gt;=9),"Flame Strike",IF(AND($P$15="trickery",$O$12&gt;=9),"Dominate Person",IF(AND($P$15="tempest",$O$12&gt;=9),"Destructive Wave",IF(AND($P$15="nature",$O$12&gt;=9),"Insect Plague",IF(AND(P15="light",O12&gt;=9),"Flame Strike",IF(AND(P15="life",O12&gt;=9),"Mass Cure Wounds",IF(AND(P15="knowledge",O12&gt;=9),"Legend Lore",IF(AND(O11="bard",AL156=5),INDEX('Spell Tables'!BX2:BX24,MATCH(O120,('Spell Tables'!BV2:BV24),0)),IF(AND(P15="path of the totem warrior",O12&gt;=10),"Commune with Nature (as ritual)"," "))))))))))))))))))))))</f>
        <v xml:space="preserve"> </v>
      </c>
      <c r="Q133" s="65" t="str">
        <f ca="1">IF(AND(O11="bard",AL167=6),INDEX('Spell Tables'!CB2:CB27,MATCH(O120,('Spell Tables'!BZ2:BZ27),0)),IF(AND($O$11="warlock",$O$12&gt;=11),INDEX('Spell Tables'!AN194:AN201,MATCH(1,('Spell Tables'!AL194:AL201),0))," "))</f>
        <v xml:space="preserve"> </v>
      </c>
      <c r="R133" s="65" t="str">
        <f ca="1">IF(AND(O11="bard",AL167=7),INDEX('Spell Tables'!CF2:CF11,MATCH(O120,('Spell Tables'!CD2:CD11),0)),IF(AND($O$11="warlock",$O$12&gt;=13),INDEX('Spell Tables'!AR194:AR197,MATCH(1,('Spell Tables'!AP194:AP197),0))," "))</f>
        <v xml:space="preserve"> </v>
      </c>
      <c r="S133" s="65" t="str">
        <f ca="1">IF(AND(O11="bard",AL179=8),INDEX('Spell Tables'!CJ2:CJ14,MATCH(O120,('Spell Tables'!CH2:CH14),0)),IF(AND($O$11="warlock",$O$12&gt;=15),INDEX('Spell Tables'!AV194:AV198,MATCH(1,('Spell Tables'!AT194:AT198),0))," "))</f>
        <v xml:space="preserve"> </v>
      </c>
      <c r="T133" s="66" t="str">
        <f ca="1">IF(AND(O11="bard",AL180=9),INDEX('Spell Tables'!CN2:CN11,MATCH(O120,('Spell Tables'!CL2:CL11),0)),IF(AND($O$11="warlock",$O$12&gt;=17),INDEX('Spell Tables'!AZ194:AZ198,MATCH(1,('Spell Tables'!AX194:AX198),0))," "))</f>
        <v xml:space="preserve"> </v>
      </c>
      <c r="AJ133" s="58" t="str">
        <f t="shared" ca="1" si="63"/>
        <v xml:space="preserve"> </v>
      </c>
      <c r="AK133" s="60">
        <f t="shared" ca="1" si="61"/>
        <v>0</v>
      </c>
      <c r="AL133" s="29" t="str">
        <f t="shared" ca="1" si="62"/>
        <v xml:space="preserve"> </v>
      </c>
    </row>
    <row r="134" spans="1:38" x14ac:dyDescent="0.3">
      <c r="A134" s="131"/>
      <c r="B134" s="129"/>
      <c r="O134" s="133">
        <v>2</v>
      </c>
      <c r="P134" s="60" t="str">
        <f ca="1">IF(COUNTIF(P18:P21,"*"&amp;"Wave of Rolling Earth"&amp;"*"),"Wall of Stone (6 ki)",IF(COUNTIF(O18:O25,"*"&amp;"minions of chaos"&amp;"*"),"Conjure Elemental**",IF(AND(P15="oath of vengeance",O12&gt;=17),"Scrying",IF(AND(P15="Oath of the Ancients",O12&gt;=17),"Tree Stride",IF(AND(P15="Oath of Devotion",O12&gt;=17),"Flame Strike",IF(AND($P$20="Underdark",$O$12&gt;=9),"Insect Plague",IF(AND($P$20="Swamp",$O$12&gt;=9),"Scrying",IF(AND($P$20="Mountain",$O$12&gt;=9),"Wall of Stone",IF(AND($P$20="Grassland",$O$12&gt;=9),"Insect Plague",IF(AND($P$20="Forest",$O$12&gt;=9),"Tree Stride",IF(AND($P$20="Desert",$O$12&gt;=9),"Wall of Stone",IF(AND($P$20="Coast",$O$12&gt;=9),"Scrying",IF(AND($P$20="arctic",$O$12&gt;=9),"Cone of Cold",IF(AND($P$15="war",$O$12&gt;=9),"Hold Monster",IF(AND($P$15="trickery",$O$12&gt;=9),"Modify Memory",IF(AND($P$15="tempest",$O$12&gt;=9),"Insect Plague",IF(AND($P$15="nature",$O$12&gt;=9),"Tree Stride",IF(AND(P15="light",O12&gt;=9),"Scrying",IF(AND(P15="life",O12&gt;=9),"Raise Dead",IF(AND(P15="knowledge",O12&gt;=9),"Scrying",IF(AND($O$11="bard",AL157=5),INDEX('Spell Tables'!$BX$2:$BX$24,MATCH(O121,('Spell Tables'!$BV$2:$BV$24),0))," ")))))))))))))))))))))</f>
        <v xml:space="preserve"> </v>
      </c>
      <c r="Q134" s="60" t="str">
        <f ca="1">IF(AND(O11="bard",AL168=6),INDEX('Spell Tables'!CB2:CB27,MATCH(O121,('Spell Tables'!BZ2:BZ27),0))," ")</f>
        <v xml:space="preserve"> </v>
      </c>
      <c r="R134" s="60" t="str">
        <f ca="1">IF(AND(O11="bard",AL168=7),INDEX('Spell Tables'!CF2:CF11,MATCH(O121,('Spell Tables'!CD2:CD11),0))," ")</f>
        <v xml:space="preserve"> </v>
      </c>
      <c r="S134" s="60" t="str">
        <f ca="1">IF(AND(O11="bard",AL179=8),INDEX('Spell Tables'!CJ2:CJ14,MATCH(O121,('Spell Tables'!CH2:CH14),0))," ")</f>
        <v xml:space="preserve"> </v>
      </c>
      <c r="T134" s="63" t="str">
        <f ca="1">IF(AND(O11="bard",AL180=9),INDEX('Spell Tables'!CN2:CN11,MATCH(O121,('Spell Tables'!CL2:CL11),0))," ")</f>
        <v xml:space="preserve"> </v>
      </c>
      <c r="AJ134" s="58" t="str">
        <f t="shared" ca="1" si="63"/>
        <v xml:space="preserve"> </v>
      </c>
      <c r="AK134" s="60">
        <f t="shared" ca="1" si="61"/>
        <v>0</v>
      </c>
      <c r="AL134" s="29" t="str">
        <f t="shared" ca="1" si="62"/>
        <v xml:space="preserve"> </v>
      </c>
    </row>
    <row r="135" spans="1:38" x14ac:dyDescent="0.3">
      <c r="A135" s="33"/>
      <c r="O135" s="86">
        <v>3</v>
      </c>
      <c r="P135" s="65"/>
      <c r="Q135" s="65"/>
      <c r="R135" s="65"/>
      <c r="S135" s="65"/>
      <c r="T135" s="66"/>
      <c r="AJ135" s="58" t="str">
        <f t="shared" ca="1" si="63"/>
        <v xml:space="preserve"> </v>
      </c>
      <c r="AK135" s="60">
        <f t="shared" ca="1" si="61"/>
        <v>0</v>
      </c>
      <c r="AL135" s="29" t="str">
        <f t="shared" ca="1" si="62"/>
        <v xml:space="preserve"> </v>
      </c>
    </row>
    <row r="136" spans="1:38" x14ac:dyDescent="0.3">
      <c r="A136" s="33"/>
      <c r="O136" s="133">
        <v>4</v>
      </c>
      <c r="P136" s="60"/>
      <c r="Q136" s="60"/>
      <c r="R136" s="60"/>
      <c r="S136" s="60"/>
      <c r="T136" s="63"/>
      <c r="AJ136" s="58" t="str">
        <f t="shared" ca="1" si="63"/>
        <v xml:space="preserve"> </v>
      </c>
      <c r="AK136" s="60">
        <f t="shared" ca="1" si="61"/>
        <v>0</v>
      </c>
      <c r="AL136" s="29" t="str">
        <f t="shared" ca="1" si="62"/>
        <v xml:space="preserve"> </v>
      </c>
    </row>
    <row r="137" spans="1:38" x14ac:dyDescent="0.3">
      <c r="A137" s="33"/>
      <c r="O137" s="86">
        <v>5</v>
      </c>
      <c r="P137" s="65"/>
      <c r="Q137" s="65"/>
      <c r="R137" s="65"/>
      <c r="S137" s="65"/>
      <c r="T137" s="66"/>
      <c r="AJ137" s="58" t="str">
        <f t="shared" ca="1" si="63"/>
        <v xml:space="preserve"> </v>
      </c>
      <c r="AK137" s="60">
        <f t="shared" ca="1" si="61"/>
        <v>0</v>
      </c>
      <c r="AL137" s="29" t="str">
        <f t="shared" ca="1" si="62"/>
        <v xml:space="preserve"> </v>
      </c>
    </row>
    <row r="138" spans="1:38" x14ac:dyDescent="0.3">
      <c r="A138" s="33"/>
      <c r="O138" s="133">
        <v>6</v>
      </c>
      <c r="P138" s="60"/>
      <c r="Q138" s="60"/>
      <c r="R138" s="60"/>
      <c r="S138" s="60"/>
      <c r="T138" s="63"/>
    </row>
    <row r="139" spans="1:38" x14ac:dyDescent="0.3">
      <c r="A139" s="33"/>
      <c r="O139" s="86">
        <v>7</v>
      </c>
      <c r="P139" s="65"/>
      <c r="Q139" s="65"/>
      <c r="R139" s="65"/>
      <c r="S139" s="65"/>
      <c r="T139" s="66"/>
      <c r="AJ139" s="31" t="s">
        <v>1172</v>
      </c>
    </row>
    <row r="140" spans="1:38" x14ac:dyDescent="0.3">
      <c r="A140" s="33"/>
      <c r="O140" s="133">
        <v>8</v>
      </c>
      <c r="P140" s="60"/>
      <c r="Q140" s="60"/>
      <c r="R140" s="60"/>
      <c r="S140" s="60"/>
      <c r="T140" s="63"/>
      <c r="AJ140" s="58" t="str">
        <f ca="1">IF(AK140=0," ",_xlfn.RANK.EQ(AK140,$AK$140:$AK$149))</f>
        <v xml:space="preserve"> </v>
      </c>
      <c r="AK140" s="60">
        <f t="shared" ref="AK140:AK149" ca="1" si="64">IF(AL140=" ", 0,RAND())</f>
        <v>0</v>
      </c>
      <c r="AL140" s="29" t="str">
        <f t="shared" ref="AL140:AL149" ca="1" si="65">T334</f>
        <v xml:space="preserve"> </v>
      </c>
    </row>
    <row r="141" spans="1:38" x14ac:dyDescent="0.3">
      <c r="A141" s="33"/>
      <c r="O141" s="86">
        <v>9</v>
      </c>
      <c r="P141" s="65"/>
      <c r="Q141" s="65"/>
      <c r="R141" s="65"/>
      <c r="S141" s="65"/>
      <c r="T141" s="66"/>
      <c r="AJ141" s="58" t="str">
        <f t="shared" ref="AJ141:AJ149" ca="1" si="66">IF(AK141=0," ",_xlfn.RANK.EQ(AK141,$AK$140:$AK$149))</f>
        <v xml:space="preserve"> </v>
      </c>
      <c r="AK141" s="60">
        <f t="shared" ca="1" si="64"/>
        <v>0</v>
      </c>
      <c r="AL141" s="29" t="str">
        <f t="shared" ca="1" si="65"/>
        <v xml:space="preserve"> </v>
      </c>
    </row>
    <row r="142" spans="1:38" ht="19.5" thickBot="1" x14ac:dyDescent="0.35">
      <c r="A142" s="33"/>
      <c r="O142" s="134">
        <v>10</v>
      </c>
      <c r="P142" s="67"/>
      <c r="Q142" s="67"/>
      <c r="R142" s="67"/>
      <c r="S142" s="67"/>
      <c r="T142" s="68"/>
      <c r="AJ142" s="58" t="str">
        <f t="shared" ca="1" si="66"/>
        <v xml:space="preserve"> </v>
      </c>
      <c r="AK142" s="60">
        <f t="shared" ca="1" si="64"/>
        <v>0</v>
      </c>
      <c r="AL142" s="29" t="str">
        <f t="shared" ca="1" si="65"/>
        <v xml:space="preserve"> </v>
      </c>
    </row>
    <row r="143" spans="1:38" ht="19.5" thickBot="1" x14ac:dyDescent="0.35">
      <c r="AJ143" s="58" t="str">
        <f t="shared" ca="1" si="66"/>
        <v xml:space="preserve"> </v>
      </c>
      <c r="AK143" s="60">
        <f t="shared" ca="1" si="64"/>
        <v>0</v>
      </c>
      <c r="AL143" s="29" t="str">
        <f t="shared" ca="1" si="65"/>
        <v xml:space="preserve"> </v>
      </c>
    </row>
    <row r="144" spans="1:38" ht="30.75" thickBot="1" x14ac:dyDescent="0.45">
      <c r="B144" s="105" t="s">
        <v>1335</v>
      </c>
      <c r="AJ144" s="58" t="str">
        <f t="shared" ca="1" si="66"/>
        <v xml:space="preserve"> </v>
      </c>
      <c r="AK144" s="60">
        <f t="shared" ca="1" si="64"/>
        <v>0</v>
      </c>
      <c r="AL144" s="29" t="str">
        <f t="shared" ca="1" si="65"/>
        <v xml:space="preserve"> </v>
      </c>
    </row>
    <row r="145" spans="1:38" x14ac:dyDescent="0.3">
      <c r="B145" s="79"/>
      <c r="C145" s="27"/>
      <c r="D145" s="27"/>
      <c r="E145" s="27"/>
      <c r="F145" s="27"/>
      <c r="G145" s="27"/>
      <c r="H145" s="27"/>
      <c r="I145" s="27"/>
      <c r="J145" s="27"/>
      <c r="K145" s="27"/>
      <c r="L145" s="27"/>
      <c r="M145" s="27"/>
      <c r="N145" s="27"/>
      <c r="O145" s="27"/>
      <c r="P145" s="76" t="s">
        <v>1124</v>
      </c>
      <c r="Q145" s="76" t="s">
        <v>1166</v>
      </c>
      <c r="R145" s="76" t="s">
        <v>1167</v>
      </c>
      <c r="S145" s="76" t="s">
        <v>1168</v>
      </c>
      <c r="T145" s="77" t="s">
        <v>676</v>
      </c>
      <c r="AJ145" s="58" t="str">
        <f t="shared" ca="1" si="66"/>
        <v xml:space="preserve"> </v>
      </c>
      <c r="AK145" s="60">
        <f t="shared" ca="1" si="64"/>
        <v>0</v>
      </c>
      <c r="AL145" s="29" t="str">
        <f t="shared" ca="1" si="65"/>
        <v xml:space="preserve"> </v>
      </c>
    </row>
    <row r="146" spans="1:38" x14ac:dyDescent="0.3">
      <c r="B146" s="86" t="str">
        <f ca="1">IF(R15="way of the four elements","Way of the Four Elements",IF(AND(Q11="paladin",Q12&gt;=3),"Oath Spells",IF(AND(R15="moon",Q12&gt;=14),"Thousand Forms",IF(R15="way of the shadow","Shadow Arts",IF(AND(Q11="druid",R15="land"),"Land Circle Spells",IF(Q11="cleric","Domain Spells",IF(Q11="bard","Magical Secrets",IF(R15="path of the totem warrior","Totem Warrior Spells",IF(AND(Q11="warlock",Q12&gt;=2),"Mystic Arcanum and Invocation",IF(R15="arcane trickster","4th,8th,14th,20th non E&amp;I spells",IF(R15="eldritch knight","4th,8th,14th,20th non A&amp;E spells"," ")))))))))))</f>
        <v xml:space="preserve"> </v>
      </c>
      <c r="C146" s="33"/>
      <c r="D146" s="33"/>
      <c r="E146" s="33"/>
      <c r="F146" s="33"/>
      <c r="G146" s="33"/>
      <c r="H146" s="33"/>
      <c r="I146" s="33"/>
      <c r="J146" s="33"/>
      <c r="K146" s="33"/>
      <c r="L146" s="33"/>
      <c r="M146" s="33"/>
      <c r="N146" s="33"/>
      <c r="O146" s="34">
        <v>1</v>
      </c>
      <c r="P146" s="33" t="str">
        <f ca="1">IF(R15="school of illusion","Minor Illusion",IF(Q16="pact of the tome",INDEX('Spell Tables'!$BD$19:$BD$37,MATCH(1,('Spell Tables'!$BB$19:$BB$37),0)),IF(R15="way of the shadow","Minor Illusion (free)",IF(R15="land",INDEX('Spell Tables'!P48:P55,MATCH(8,('Spell Tables'!N48:N55),0)),IF(R15="nature",INDEX('Spell Tables'!P48:P55,MATCH(6,('Spell Tables'!N48:N55),0)),IF(R15="light","Light",IF(AND(Q11="bard",AL191="c"),INDEX('Spell Tables'!$BD$2:$BD$16,MATCH(10,('Spell Tables'!$BB$2:$BB$16),0))," ")))))))</f>
        <v xml:space="preserve"> </v>
      </c>
      <c r="Q146" s="33" t="str">
        <f ca="1">IF(COUNTIF(R18:R21,"*"&amp;"Fist of Four Thunders"&amp;"*"),"Thunderwave (2 ki)",IF(COUNTIF($Q$18:$Q$22,"*"&amp;"armor of shadows"&amp;"*"),"Mage Armor*",IF(R15="oath of vengeance","Bane",IF(R15="Oath of the Ancients","Ensnaring Strike",IF(R15="Oath of Devotion","Protection from Good and Evil",IF(AND(R15="war",Q12&gt;=1),"Divine Favor",IF(AND(R15="Trickery",Q12&gt;=1),"Charm Person",IF(AND(R15="tempest",Q12&gt;=1),"Fog Cloud",IF(AND(R15="nature",Q12&gt;=1),"Animal Friendship",IF(AND(R15="light",Q12&gt;=1),"Burning Hands",IF(R15="life","Bless",IF(R15="knowledge","Command",IF(AND(Q11="bard",AL155=1),INDEX('Spell Tables'!$BH$2:$BH$41,MATCH($O$120,('Spell Tables'!$BF$2:$BF$41),0)),IF(R15="arcane trickster",INDEX('Spell Tables'!$X$141:$X$163,MATCH(O120,('Spell Tables'!$V$141:$V$163),0)),IF(R15="path of the totem warrior","Speak with Animals (as ritual)",IF(R15="eldritch knight",INDEX('Spell Tables'!$X$70:$X$90,MATCH($O$120,('Spell Tables'!$V$70:W90),0))," "))))))))))))))))</f>
        <v xml:space="preserve"> </v>
      </c>
      <c r="R146" s="33" t="str">
        <f ca="1">IF(COUNTIF(R18:R21,"*"&amp;"Clench of the North Wind"&amp;"*"),"Hold Person (3 ki)",IF(COUNTIF(Q18:Q22,"*"&amp;"ascendant step"&amp;"*"),"Levitate*",IF(AND(R15="oath of vengeance",Q12&gt;=5),"Hold Person",IF(AND(R15="Oath of the Ancients",Q12&gt;=5),"Moonbeam",IF(AND(R15="Oath of Devotion",Q12&gt;=5),"Lesser Restoration",IF(AND(R15="moon",Q12&gt;=14),"Alter Self",IF(R15="Way of the Shadow","Darkness",IF(AND($P$20="Underdark",Q12&gt;=3),"Spider Climb",IF(AND($P$20="Swamp",Q12&gt;=3),"Darkness",IF(AND($P$20="Mountain",Q12&gt;=3),"Spider Climb",IF(AND($P$20="Grassland",Q12&gt;=3),"Invisibility",IF(AND($P$20="Forest",Q12&gt;=3),"Barkskin",IF(AND($P$20="Desert",Q12&gt;=3),"Blur",IF(AND($P$20="Coast",Q12&gt;=3),"Mirror Image",IF(AND($P$20="arctic",Q12&gt;=3),"Hold Person",IF(AND(R15="war",Q12&gt;=3),"Magic Weapon",IF(AND(R15="Trickery",Q12&gt;=3),"Mirror Image",IF(AND(R15="tempest",Q12&gt;=3),"Gust of Wind",IF(AND(R15="nature",Q12&gt;=3),"Barkskin",IF(AND(R15="light",Q12&gt;=3),"Flaming Sphere",IF(AND(R15="Life",Q12&gt;=3),"Lesser Restoration",IF(AND(R15="knowledge",Q12&gt;=3),"Augury",IF(AND(Q11="bard",AL155=2),INDEX('Spell Tables'!BL2:BL37,MATCH(O120,('Spell Tables'!BJ2:BJ37),0)),IF(R15="path of the totem warrior","Beast Sense (as ritual)",IF(AND(R15="eldritch knight",Q12&gt;=8),INDEX('Spell Tables'!AF70:AF94,MATCH(#REF!,('Spell Tables'!AD70:AD94),0)),IF(AND(R15="arcane trickster",Q12&gt;=8),INDEX('Spell Tables'!AF141:AF165,MATCH(#REF!,('Spell Tables'!AD141:AD165),0))," "))))))))))))))))))))))))))</f>
        <v xml:space="preserve"> </v>
      </c>
      <c r="S146" s="33" t="str">
        <f ca="1">IF(COUNTIF(Q18:Q22,"*"&amp;"mire the mind"&amp;"*"),"Slow**",IF(AND(R15="oath of vengeance",Q12&gt;=9),"Haste",IF(AND(R15="Oath of the Ancients",Q12&gt;=9),"Plant Growth",IF(AND(R15="Oath of Devotion",Q12&gt;=9),"Beacon of Hope",IF(AND($P$20="Underdark",Q12&gt;=5),"Gaseous Form",IF(AND($P$20="Swamp",Q12&gt;=5),"Water Walk",IF(AND($P$20="Mountain",Q12&gt;=5),"Lightning Bolt",IF(AND($P$20="Grassland",Q12&gt;=5),"Daylight",IF(AND($P$20="Forest",Q12&gt;=5),"Call Lightning",IF(AND($P$20="Desert",Q12&gt;=5),"Create Food and Water",IF(AND($P$20="Coast",Q12&gt;=5),"Water Breathing",IF(AND($P$20="arctic",Q12&gt;=5),"Sleet Storm",IF(AND(R15="war",Q12&gt;=5),"Crusader's Mantle",IF(AND(R15="trickery",Q12&gt;=5),"Blink",IF(AND(R15="tempest",Q12&gt;=5),"Call Lightning",IF(AND(R15="nature",Q12&gt;=5),"Plant Growth",IF(AND(R15="light",Q12&gt;=5),"Daylight",IF(AND(R15="life",Q12&gt;=5),"Beacon of Hope",IF(AND(R15="knowledge",Q12&gt;=5),"Nondetection",IF(AND(Q11="bard",AL155=3),INDEX('Spell Tables'!BP2:BP35,MATCH(O120,('Spell Tables'!BN2:BN35),0)),IF(AND(R15="arcane trickster",Q12&gt;=14),INDEX('Spell Tables'!AN141:AN165,MATCH(O120,('Spell Tables'!AL141:AL165),0)),IF(AND(R15="eldritch knight",Q12&gt;=14),INDEX('Spell Tables'!AN70:AN88,MATCH(O120,('Spell Tables'!AL70:AL88),0))," "))))))))))))))))))))))</f>
        <v xml:space="preserve"> </v>
      </c>
      <c r="T146" s="72" t="str">
        <f ca="1">IF(COUNTIF(Q18:Q22,"*"&amp;"bewitching whispers"&amp;"*"),"Compulsion**",IF(AND(R15="oath of vengeance",Q12&gt;=13),"Banishment",IF(AND(R15="Oath of the Ancients",Q12&gt;=13),"Ice Storm",IF(AND(R15="Oath of Devotion",Q12&gt;=13),"Freedom of Movement",IF(AND($P$20="Underdark",Q12&gt;=7),"Greater Invisibility",IF(AND($P$20="Swamp",Q12&gt;=7),"Freedom of Movement",IF(AND($P$20="Mountain",Q12&gt;=7),"Stone Shape",IF(AND($P$20="Grassland",Q12&gt;=7),"Divination",IF(AND($P$20="Forest",Q12&gt;=7),"Divination",IF(AND($P$20="Desert",Q12&gt;=7),"Blight",IF(AND($P$20="Coast",Q12&gt;=7),"Control Water",IF(AND($P$20="arctic",Q12&gt;=7),"Freedom of Movement",IF(AND(R15="war",Q12&gt;=7),"Freedom of Movement",IF(AND(R15="trickery",Q12&gt;=7),"Dimension Door",IF(AND(R15="tempest",Q12&gt;=7),"Control Water",IF(AND(R15="nature",Q12&gt;=7),"Dominate Beast",IF(AND(R15="light",Q12&gt;=7),"Guardian of Faith",IF(AND(R15="life",Q12&gt;=7),"Death Ward",IF(AND(R15="knowledge",Q12&gt;=7),"Arcane Eye",IF(AND(Q11="bard",AL155=4),INDEX('Spell Tables'!BT2:BT29,MATCH(O120,('Spell Tables'!BR2:BR29),0)),IF(AND(R15="arcane trickster",Q12&gt;=20),INDEX('Spell Tables'!AV141:AV159,MATCH(O120,('Spell Tables'!AT267:AT285),0)),IF(AND(R15="eldritch knight",Q12&gt;=20),INDEX('Spell Tables'!AV70:AV86,MATCH(O120,('Spell Tables'!AT70:AT86),0))," "))))))))))))))))))))))</f>
        <v xml:space="preserve"> </v>
      </c>
      <c r="AJ146" s="58" t="str">
        <f t="shared" ca="1" si="66"/>
        <v xml:space="preserve"> </v>
      </c>
      <c r="AK146" s="60">
        <f t="shared" ca="1" si="64"/>
        <v>0</v>
      </c>
      <c r="AL146" s="29" t="str">
        <f t="shared" ca="1" si="65"/>
        <v xml:space="preserve"> </v>
      </c>
    </row>
    <row r="147" spans="1:38" x14ac:dyDescent="0.3">
      <c r="B147" s="79" t="str">
        <f ca="1">IF(R15="way of the four elements","Elemental Disciplines - cost ki",IF(AND(Q11="warlock",Q12&gt;=2),"* = at will - no slot use",IF(R15="land",$P$20," ")))</f>
        <v xml:space="preserve"> </v>
      </c>
      <c r="C147" s="33"/>
      <c r="D147" s="33"/>
      <c r="E147" s="33"/>
      <c r="F147" s="33"/>
      <c r="G147" s="33"/>
      <c r="H147" s="33"/>
      <c r="I147" s="33"/>
      <c r="J147" s="33"/>
      <c r="K147" s="33"/>
      <c r="L147" s="33"/>
      <c r="M147" s="33"/>
      <c r="N147" s="33"/>
      <c r="O147" s="34">
        <v>2</v>
      </c>
      <c r="P147" s="33" t="str">
        <f ca="1">IF(Q16="pact of the tome",INDEX('Spell Tables'!$BD$19:$BD$37,MATCH(2,('Spell Tables'!$BB$19:$BB$37),0)),IF(AND(Q11="bard",AL192="c"),INDEX('Spell Tables'!$BD$2:$BD$16,MATCH(11,('Spell Tables'!$BB$2:$BB$16),0))," "))</f>
        <v xml:space="preserve"> </v>
      </c>
      <c r="Q147" s="33" t="str">
        <f ca="1">IF(COUNTIF(R18:R21,"*"&amp;"Sweeping Cinder Strike"&amp;"*"),"Burning Hands (2 ki)",IF(COUNTIF(Q18:Q22,"*"&amp;"beast speech"&amp;"*"),"Speak with Animals*",IF(R15="Oath of the Ancients","Speak with Animals",IF(R15="Oath of vengeance","Hunter's Mark",IF(R15="Oath of Devotion","Sanctuary",IF(AND(R15="war",Q12&gt;=1),"Shield of Faith",IF(AND(R15="trickery",Q12&gt;=1),"Disguise Self",IF(AND(R15="tempest",Q12&gt;=1),"Thunderwave",IF(AND(R15="Nature",Q12&gt;=1),"Speak with Animals",IF(AND(R15="light",Q12&gt;=1),"Faerie Fire",IF(R15="life","Cure Wounds",IF(R15="knowledge","Identify",IF(AND(Q11="bard",AL156=1),INDEX('Spell Tables'!$BH$2:$BH$41,MATCH(O121,('Spell Tables'!$BF$2:$BF$41),0))," ")))))))))))))</f>
        <v xml:space="preserve"> </v>
      </c>
      <c r="R147" s="33" t="str">
        <f ca="1">IF(COUNTIF(R18:R21,"*"&amp;"Gong of the Summit"&amp;"*"),"Shatter (3 ki)",IF(COUNTIF(Q18:Q22,"*"&amp;"master of myriad forms"&amp;"*"),"Alter Self*",IF(AND(R15="oath of vengeance",Q12&gt;=5),"Misty Step",IF(AND(R15="Oath of the Ancients",Q12&gt;=5),"Misty Step",IF(AND(R15="Oath of Devotion",Q12&gt;=5),"Zone of Truth",IF(R15="way of the shadow","Darkvision",IF(AND($P$20="Underdark",Q12&gt;=3),"Web",IF(AND($P$20="Swamp",Q12&gt;=3),"Melf's Acid Arrow",IF(AND($P$20="Mountain",Q12&gt;=3),"Spike Growth",IF(AND($P$20="Grassland",Q12&gt;=3),"Pass Without Trace",IF(AND($P$20="Forest",Q12&gt;=3),"Spider Climb",IF(AND($P$20="Desert",Q12&gt;=3),"Silence",IF(AND($P$20="Coast",Q12&gt;=3),"Misty Step",IF(AND($P$20="arctic",Q12&gt;=3),"Spike Growth",IF(AND(R15="war",Q12&gt;=3),"Spiritual Weapon",IF(AND(R15="trickery",Q12&gt;=3),"Pass Without Trace",IF(AND(R15="tempest",Q12&gt;=3),"Shatter",IF(AND(R15="nature",Q12&gt;=3),"Spike Growth",IF(AND(R15="light",Q12&gt;=3),"Scorching Ray",IF(AND(R15="life",Q12&gt;=3),"Spiritual Weapon",IF(AND(R15="knowledge",Q12&gt;=3),"Suggestion",IF(AND(Q11="bard",AL156=2),INDEX('Spell Tables'!$BL$2:$BL$37,MATCH(O121,('Spell Tables'!$BJ$2:$BJ$37),0))," "))))))))))))))))))))))</f>
        <v xml:space="preserve"> </v>
      </c>
      <c r="S147" s="33" t="str">
        <f ca="1">IF(COUNTIF(Q18:Q22,"*"&amp;"sign of ill omen"&amp;"*"),"Bestow Curse**",IF(AND(R15="oath of vengeance",Q12&gt;=9),"Protection from Energy",IF(AND(R15="Oath of the Ancients",Q12&gt;=9),"Protection from Energy",IF(AND(R15="Oath of Devotion",Q12&gt;=9),"Dispel Magic",IF(AND($P$20="Underdark",Q12&gt;=5),"Stinking Cloud",IF(AND($P$20="Swamp",Q12&gt;=5),"Stinking Cloud",IF(AND($P$20="Mountain",Q12&gt;=5),"Meld Into Stone",IF(AND($P$20="Grassland",Q12&gt;=5),"Haste",IF(AND($P$20="Forest",Q12&gt;=5),"Plant Growth",IF(AND($P$20="Desert",Q12&gt;=5),"Protection from Energy",IF(AND($P$20="Coast",Q12&gt;=5),"Water Walk",IF(AND($P$20="arctic",Q12&gt;=5),"Slow",IF(AND(R15="war",Q12&gt;=5),"Spirit Guardians",IF(AND(R15="trickery",Q12&gt;=5),"Dispel Magic",IF(AND(R15="Tempest",Q12&gt;=5),"Sleet Storm",IF(AND(R15="nature",Q12&gt;=5),"Wind Wall",IF(AND(R15="light",Q12&gt;=5),"Fireball",IF(AND(R15="life",Q12&gt;=5),"Revivify",IF(AND(R15="knowledge",Q12&gt;=5),"Speak with Dead",IF(AND(Q11="bard",AL156=3),INDEX('Spell Tables'!$BP$2:$BP$35,MATCH(O121,('Spell Tables'!$BN$2:$BN$35),0))," "))))))))))))))))))))</f>
        <v xml:space="preserve"> </v>
      </c>
      <c r="T147" s="72" t="str">
        <f ca="1">IF(COUNTIF(Q18:Q22,"*"&amp;"dreadful word"&amp;"*"),"Confusion**",IF(AND(R15="oath of vengeance",Q12&gt;=13),"Dimension Door",IF(AND(R15="Oath of the Ancients",Q12&gt;=13),"Stoneskin",IF(AND(R15="Oath of Devotion",Q12&gt;=13),"Guardian of Faith",IF(AND($P$20="Underdark",Q12&gt;=7),"Stone Shape",IF(AND($P$20="Swamp",Q12&gt;=7),"Locate Creature",IF(AND($P$20="Mountain",Q12&gt;=7),"Stonekin",IF(AND($P$20="Grassland",Q12&gt;=7),"Freedom of Movement",IF(AND($P$20="Forest",Q12&gt;=7),"Freedom of Movement",IF(AND($P$20="Desert",Q12&gt;=7),"Hallucinatory Terrain",IF(AND($P$20="Coast",Q12&gt;=7),"Freedom of Movement",IF(AND($P$20="arctic",Q12&gt;=7),"Ice Storm",IF(AND(R15="war",Q12&gt;=7),"Stoneskin",IF(AND(R15="trickery",Q12&gt;=7),"Polymorph",IF(AND(R15="tempest",Q12&gt;=7),"Ice Storm",IF(AND(R15="nature",Q12&gt;=7),"Grasping Vine",IF(AND(R15="light",Q12&gt;=7),"Wall of Fire",IF(AND(R15="life",Q12&gt;=7),"Guardian of Faith",IF(AND(R15="knowledge",Q12&gt;=7),"Confusion",IF(AND(Q11="bard",AL156=4),INDEX('Spell Tables'!$BT$2:$BT$29,MATCH(O121,('Spell Tables'!$BR$2:$BR$29),0))," "))))))))))))))))))))</f>
        <v xml:space="preserve"> </v>
      </c>
      <c r="AJ147" s="58" t="str">
        <f t="shared" ca="1" si="66"/>
        <v xml:space="preserve"> </v>
      </c>
      <c r="AK147" s="60">
        <f t="shared" ca="1" si="64"/>
        <v>0</v>
      </c>
      <c r="AL147" s="29" t="str">
        <f t="shared" ca="1" si="65"/>
        <v xml:space="preserve"> </v>
      </c>
    </row>
    <row r="148" spans="1:38" x14ac:dyDescent="0.3">
      <c r="B148" s="79" t="str">
        <f ca="1">IF(AND(Q11="warlock",Q12&gt;=2),"** = once per long rest - uses slot",IF(AND(Q11="paladin",Q12&gt;=3),"Free Preparation",IF(AND(R15="moon",Q12&gt;=14),"At Will",IF(R15="way of the shadow","Cost 2 Ki Points",IF(OR(R15="land",Q11="cleric"),"Free Preparation",IF(AND(Q11="bard",Q12&gt;=10),"Count Toward Known"," "))))))</f>
        <v xml:space="preserve"> </v>
      </c>
      <c r="C148" s="33"/>
      <c r="D148" s="33"/>
      <c r="E148" s="33"/>
      <c r="F148" s="33"/>
      <c r="G148" s="33"/>
      <c r="H148" s="33"/>
      <c r="I148" s="33"/>
      <c r="J148" s="33"/>
      <c r="K148" s="33"/>
      <c r="L148" s="33"/>
      <c r="M148" s="33"/>
      <c r="N148" s="33"/>
      <c r="O148" s="34">
        <v>3</v>
      </c>
      <c r="P148" s="33" t="str">
        <f ca="1">IF(Q16="pact of the tome",INDEX('Spell Tables'!$BD$19:$BD$37,MATCH(3,('Spell Tables'!$BB$19:$BB$37),0))," ")</f>
        <v xml:space="preserve"> </v>
      </c>
      <c r="Q148" s="33" t="str">
        <f ca="1">IF(COUNTIF(Q18:Q22,"*"&amp;"eldritch sight"&amp;"*"),"Detect Magic*"," ")</f>
        <v xml:space="preserve"> </v>
      </c>
      <c r="R148" s="33" t="str">
        <f ca="1">IF(COUNTIF(R18:R21,"*"&amp;"Rush of the Gale Spirits"&amp;"*"),"Gust of Wind (2 ki)",IF(R15="way of the shadow","Pass Without Trace"," "))</f>
        <v xml:space="preserve"> </v>
      </c>
      <c r="S148" s="33" t="str">
        <f ca="1">IF(COUNTIF(Q18:Q22,"*"&amp;"whispers of the grave"&amp;"*"),"Speak with Dead*"," ")</f>
        <v xml:space="preserve"> </v>
      </c>
      <c r="T148" s="72" t="str">
        <f ca="1">IF(COUNTIF(Q18:Q22,"*"&amp;"Sculptor of Flesh"&amp;"*"),"Polymorph**"," ")</f>
        <v xml:space="preserve"> </v>
      </c>
      <c r="AJ148" s="58" t="str">
        <f t="shared" ca="1" si="66"/>
        <v xml:space="preserve"> </v>
      </c>
      <c r="AK148" s="60">
        <f t="shared" ca="1" si="64"/>
        <v>0</v>
      </c>
      <c r="AL148" s="29" t="str">
        <f t="shared" ca="1" si="65"/>
        <v xml:space="preserve"> </v>
      </c>
    </row>
    <row r="149" spans="1:38" x14ac:dyDescent="0.3">
      <c r="B149" s="79"/>
      <c r="O149" s="81">
        <v>4</v>
      </c>
      <c r="Q149" s="29" t="str">
        <f ca="1">IF(COUNTIF(Q18:Q22,"*"&amp;"fiendish vigor"&amp;"*"),"False Life*"," ")</f>
        <v xml:space="preserve"> </v>
      </c>
      <c r="R149" s="29" t="str">
        <f ca="1">IF(R15="way of the shadow","Silence"," ")</f>
        <v xml:space="preserve"> </v>
      </c>
      <c r="T149" s="72" t="str">
        <f ca="1">IF(COUNTIF(Q18:Q22,"*"&amp;"visions of distant realms"&amp;"*"),"Arcane Eye*"," ")</f>
        <v xml:space="preserve"> </v>
      </c>
      <c r="AJ149" s="58" t="str">
        <f t="shared" ca="1" si="66"/>
        <v xml:space="preserve"> </v>
      </c>
      <c r="AK149" s="60">
        <f t="shared" ca="1" si="64"/>
        <v>0</v>
      </c>
      <c r="AL149" s="29" t="str">
        <f t="shared" ca="1" si="65"/>
        <v xml:space="preserve"> </v>
      </c>
    </row>
    <row r="150" spans="1:38" x14ac:dyDescent="0.3">
      <c r="B150" s="79"/>
      <c r="O150" s="81">
        <v>5</v>
      </c>
      <c r="Q150" s="29" t="str">
        <f ca="1">IF(COUNTIF(Q18:Q22,"*"&amp;"mask of many faces"&amp;"*"),"Disguise Self*","")</f>
        <v/>
      </c>
      <c r="T150" s="72"/>
    </row>
    <row r="151" spans="1:38" x14ac:dyDescent="0.3">
      <c r="B151" s="79"/>
      <c r="O151" s="81">
        <v>6</v>
      </c>
      <c r="Q151" s="29" t="str">
        <f ca="1">IF(COUNTIF(Q18:Q22,"*"&amp;"misty vision"&amp;"*"),"Silent Image*"," " )</f>
        <v xml:space="preserve"> </v>
      </c>
      <c r="T151" s="72"/>
      <c r="AJ151" s="31" t="s">
        <v>1666</v>
      </c>
    </row>
    <row r="152" spans="1:38" x14ac:dyDescent="0.3">
      <c r="B152" s="79"/>
      <c r="O152" s="81">
        <v>7</v>
      </c>
      <c r="Q152" s="29" t="str">
        <f ca="1">IF(COUNTIF(Q18:Q22,"*"&amp;"otherworldly leap"&amp;"*"),"Jump*"," ")</f>
        <v xml:space="preserve"> </v>
      </c>
      <c r="T152" s="72"/>
      <c r="AJ152" s="29">
        <v>1</v>
      </c>
      <c r="AK152" s="29">
        <v>1</v>
      </c>
    </row>
    <row r="153" spans="1:38" x14ac:dyDescent="0.3">
      <c r="B153" s="79"/>
      <c r="O153" s="81">
        <v>8</v>
      </c>
      <c r="Q153" s="29" t="str">
        <f ca="1">IF(COUNTIF(Q18:Q22,"*"&amp;"thief of five fates"&amp;"*"),"Bane**"," ")</f>
        <v xml:space="preserve"> </v>
      </c>
      <c r="T153" s="72"/>
      <c r="AJ153" s="29">
        <v>2</v>
      </c>
      <c r="AK153" s="29">
        <v>2</v>
      </c>
    </row>
    <row r="154" spans="1:38" x14ac:dyDescent="0.3">
      <c r="B154" s="79" t="str">
        <f ca="1">IF(AND(Q16="pact of the tome",COUNTIF($O$13:$O$13,"*"&amp;"book of ancient secrets"&amp;"*")),"Book of Ancient Secrets"," ")</f>
        <v xml:space="preserve"> </v>
      </c>
      <c r="O154" s="81">
        <v>9</v>
      </c>
      <c r="Q154" s="29" t="str">
        <f ca="1">IF(AND(Q16="pact of the tome",COUNTIF(Q18:Q22,"*"&amp;"book of ancient secrets"&amp;"*")),INDEX('Spell Tables'!BD40:BD46,MATCH(1,('Spell Tables'!BB40:BB46),0))," ")</f>
        <v xml:space="preserve"> </v>
      </c>
      <c r="T154" s="72"/>
      <c r="AJ154" s="29">
        <v>3</v>
      </c>
      <c r="AK154" s="29">
        <v>3</v>
      </c>
    </row>
    <row r="155" spans="1:38" ht="19.5" thickBot="1" x14ac:dyDescent="0.35">
      <c r="B155" s="80" t="str">
        <f ca="1">IF(Q16="pact of the chain",Q16,IF(OR(P155="minor illusion",S155="animate dead",T155="polymorph"),"School Spells - in Spellbook"," "))</f>
        <v xml:space="preserve"> </v>
      </c>
      <c r="C155" s="38"/>
      <c r="D155" s="38"/>
      <c r="E155" s="38"/>
      <c r="F155" s="38"/>
      <c r="G155" s="38"/>
      <c r="H155" s="38"/>
      <c r="I155" s="38"/>
      <c r="J155" s="38"/>
      <c r="K155" s="38"/>
      <c r="L155" s="38"/>
      <c r="M155" s="38"/>
      <c r="N155" s="38"/>
      <c r="O155" s="82">
        <v>10</v>
      </c>
      <c r="P155" s="38" t="str">
        <f ca="1">IF(AND(R15="school of Illusion",COUNTIF(P315:P324,"*Minor Illusion*"))," ",IF(R15="school of illusion","Minor Illusion"," "))</f>
        <v xml:space="preserve"> </v>
      </c>
      <c r="Q155" s="38" t="str">
        <f ca="1">IF(AND(Q16="pact of the tome",COUNTIF(Q18:Q22,"*"&amp;"book of ancient secrets"&amp;"*")),INDEX('Spell Tables'!BD40:BD46,MATCH(2,('Spell Tables'!BB40:BB46),0)),IF(Q16="pact of the chain","Find Familiar (as ritual)"," "))</f>
        <v xml:space="preserve"> </v>
      </c>
      <c r="R155" s="38"/>
      <c r="S155" s="38" t="str">
        <f ca="1">IF(AND(R15="school of necromancy",Q12&gt;=6,COUNTIF(S315:S324,"*"&amp;"Animate Dead"&amp;"*"))," ",IF(AND(R15="school of necromancy",Q12&gt;=6),"Animate Dead"," "))</f>
        <v xml:space="preserve"> </v>
      </c>
      <c r="T155" s="73" t="str">
        <f ca="1">IF(AND(R15="school of transmutation",Q12&gt;=10,COUNTIF(T315:T324,"*"&amp;"Polymorph"&amp;"*"))," ",IF(AND(R15="school of transmutation",Q12&gt;=6),"Polymorph"," "))</f>
        <v xml:space="preserve"> </v>
      </c>
      <c r="AJ155" s="29">
        <v>4</v>
      </c>
      <c r="AK155" s="29">
        <v>3</v>
      </c>
      <c r="AL155" s="29" t="str">
        <f ca="1">IF(AND(O11="bard",O12&gt;=10),VLOOKUP(RANDBETWEEN(1,10),Table219344458800857914330387441[],2),IF(AND(Q11="bard",Q12&gt;=10),VLOOKUP(RANDBETWEEN(1,10),Table219344458800857914330387441[],2)," "))</f>
        <v xml:space="preserve"> </v>
      </c>
    </row>
    <row r="156" spans="1:38" ht="19.5" thickBot="1" x14ac:dyDescent="0.35">
      <c r="B156" s="27"/>
      <c r="O156" s="99"/>
      <c r="AJ156" s="29">
        <v>5</v>
      </c>
      <c r="AK156" s="29">
        <v>4</v>
      </c>
      <c r="AL156" s="29" t="str">
        <f ca="1">IF(AND(O11="bard",O12&gt;=10),VLOOKUP(RANDBETWEEN(1,10),Table219344458800857914330387441[],2),IF(AND(Q11="bard",Q12&gt;=10),VLOOKUP(RANDBETWEEN(1,10),Table219344458800857914330387441[],2)," "))</f>
        <v xml:space="preserve"> </v>
      </c>
    </row>
    <row r="157" spans="1:38" x14ac:dyDescent="0.3">
      <c r="A157" s="33"/>
      <c r="B157" s="72"/>
      <c r="P157" s="76" t="s">
        <v>1169</v>
      </c>
      <c r="Q157" s="76" t="s">
        <v>1170</v>
      </c>
      <c r="R157" s="76" t="s">
        <v>1171</v>
      </c>
      <c r="S157" s="76" t="s">
        <v>677</v>
      </c>
      <c r="T157" s="104" t="s">
        <v>1172</v>
      </c>
      <c r="AJ157" s="29">
        <v>6</v>
      </c>
      <c r="AK157" s="29">
        <v>4</v>
      </c>
    </row>
    <row r="158" spans="1:38" x14ac:dyDescent="0.3">
      <c r="A158" s="33"/>
      <c r="B158" s="72"/>
      <c r="O158" s="83">
        <v>1</v>
      </c>
      <c r="P158" s="65" t="str">
        <f ca="1">IF(COUNTIF(Q18:Q22,"*"&amp;"chains of carceri"&amp;"*"),"Hold Monster**(c,f,e only)",IF(AND(R15="oath of vengeance",Q12&gt;=17),"Hold Monster",IF(AND(R15="Oath of the Ancients",Q12&gt;=17),"Commune with Nature",IF(AND(R15="Oath of Devotion",Q12&gt;=17),"Commune",IF(AND($P$20="Underdark",Q12&gt;=9),"Cloudkill",IF(AND($P$20="Swamp",Q12&gt;=9),"Insect Plague",IF(AND($P$20="Mountain",Q12&gt;=9),"Passwall",IF(AND($P$20="Grassland",Q12&gt;=9),"Dream",IF(AND($P$20="Forest",Q12&gt;=9),"Commune with Nature",IF(AND($P$20="Desert",Q12&gt;=9),"Insect Plague",IF(AND($P$20="Coast",Q12&gt;=9),"Conjure Elemental",IF(AND($P$20="arctic",Q12&gt;=9),"Commune with Nature",IF(AND(R15="war",Q12&gt;=9),"Flame Strike",IF(AND(R15="trickery",Q12&gt;=9),"Dominate Person",IF(AND(R15="tempest",Q12&gt;=9),"Destructive Wave",IF(AND(R15="nature",Q12&gt;=9),"Insect Plague",IF(AND(R15="light",Q12&gt;=9),"Flame Strike",IF(AND(R15="life",Q12&gt;=9),"Mass Cure Wounds",IF(AND(R15="knowledge",Q12&gt;=9),"Legend Lore",IF(AND(Q11="bard",AL155=5),INDEX('Spell Tables'!BX2:BX24,MATCH(O120,('Spell Tables'!BV2:BV24),0)),IF(AND(R15="path of the totem warrior",Q12&gt;=10),"Commune with Nature (as ritual)"," ")))))))))))))))))))))</f>
        <v xml:space="preserve"> </v>
      </c>
      <c r="Q158" s="65" t="str">
        <f ca="1">IF(AND(Q11="bard",AL167=6),INDEX('Spell Tables'!CB2:CB27,MATCH(O120,('Spell Tables'!BZ2:BZ27),0)),IF(AND(Q11="warlock",Q12&gt;=11),INDEX('Spell Tables'!AN194:AN201,MATCH(1,('Spell Tables'!AL194:AL201),0))," "))</f>
        <v xml:space="preserve"> </v>
      </c>
      <c r="R158" s="65" t="str">
        <f ca="1">IF(AND(Q11="bard",AL167=7),INDEX('Spell Tables'!CF2:CF11,MATCH(O120,('Spell Tables'!CD2:CD11),0)),IF(AND(Q11="warlock",Q12&gt;=13),INDEX('Spell Tables'!AR194:AR197,MATCH(1,('Spell Tables'!AP194:AP197),0))," "))</f>
        <v xml:space="preserve"> </v>
      </c>
      <c r="S158" s="65" t="str">
        <f ca="1">IF(AND(Q11="bard",AL179=8),INDEX('Spell Tables'!CJ2:CJ14,MATCH(O120,('Spell Tables'!CH2:CH14),0)),IF(AND(Q11="warlock",Q12&gt;=15),INDEX('Spell Tables'!AV194:AV198,MATCH(1,('Spell Tables'!AT295:AT299),0))," "))</f>
        <v xml:space="preserve"> </v>
      </c>
      <c r="T158" s="66" t="str">
        <f ca="1">IF(AND(Q11="bard",AL179=9),INDEX('Spell Tables'!CN2:CN11,MATCH(O120,('Spell Tables'!CL2:CL11),0)),IF(AND(Q11="warlock",Q12&gt;=17),INDEX('Spell Tables'!AZ194:AZ198,MATCH(1,('Spell Tables'!AX194:AX198),0))," "))</f>
        <v xml:space="preserve"> </v>
      </c>
      <c r="AJ158" s="29">
        <v>7</v>
      </c>
      <c r="AK158" s="29">
        <v>4</v>
      </c>
    </row>
    <row r="159" spans="1:38" x14ac:dyDescent="0.3">
      <c r="A159" s="33"/>
      <c r="B159" s="72"/>
      <c r="O159" s="84">
        <v>2</v>
      </c>
      <c r="P159" s="60" t="str">
        <f ca="1">IF(COUNTIF(Q18:Q22,"*"&amp;"minions of chaos"&amp;"*"),"Conjure Elemental**",IF(AND(R15="oath of vengeance",Q12&gt;=17),"Scrying",IF(AND(R15="Oath of the Ancients",Q12&gt;=17),"Tree Stride",IF(AND(R15="Oath of Devotion",Q12&gt;=17),"Flame Strike",IF(AND($P$20="Underdark",Q12&gt;=9),"Insect Plague",IF(AND($P$20="Swamp",Q12&gt;=9),"Scrying",IF(AND($P$20="Mountain",Q12&gt;=9),"Wall of Stone",IF(AND($P$20="Grassland",Q12&gt;=9),"Insect Plague",IF(AND($P$20="Forest",Q12&gt;=9),"Tree Stride",IF(AND($P$20="Desert",Q12&gt;=9),"Wall of Stone",IF(AND($P$20="Coast",Q12&gt;=9),"Scrying",IF(AND($P$20="arctic",Q12&gt;=9),"Cone of Cold",IF(AND(R15="war",Q12&gt;=9),"Hold Monster",IF(AND(R15="trickery",Q12&gt;=9),"Modify Memory",IF(AND(R15="tempest",Q12&gt;=9),"Insect Plague",IF(AND(R15="nature",Q12&gt;=9),"Tree Stride",IF(AND(R15="light",Q12&gt;=9),"Scrying",IF(AND(R15="life",Q12&gt;=9),"Raise Dead",IF(AND(R15="knowledge",Q12&gt;=9),"Scrying",IF(AND(Q11="bard",AL156=5),INDEX('Spell Tables'!$BX$2:$BX$24,MATCH(O121,('Spell Tables'!$BV$2:$BV$24),0))," "))))))))))))))))))))</f>
        <v xml:space="preserve"> </v>
      </c>
      <c r="Q159" s="60" t="str">
        <f ca="1">IF(AND(Q11="bard",AL168=6),INDEX('Spell Tables'!CB2:CB27,MATCH(O121,('Spell Tables'!BZ2:BZ27),0))," ")</f>
        <v xml:space="preserve"> </v>
      </c>
      <c r="R159" s="60" t="str">
        <f ca="1">IF(AND(Q11="bard",AL168=7),INDEX('Spell Tables'!CF2:CF11,MATCH(O121,('Spell Tables'!CD2:CD11),0))," ")</f>
        <v xml:space="preserve"> </v>
      </c>
      <c r="S159" s="60" t="str">
        <f ca="1">IF(AND(Q11="bard",AL180=8),INDEX('Spell Tables'!CJ2:CJ14,MATCH(O121,('Spell Tables'!CH2:CH14),0))," ")</f>
        <v xml:space="preserve"> </v>
      </c>
      <c r="T159" s="63" t="str">
        <f ca="1">IF(AND(Q11="bard",AL180=9),INDEX('Spell Tables'!CN2:CN11,MATCH(O121,('Spell Tables'!CL2:CL11),0))," ")</f>
        <v xml:space="preserve"> </v>
      </c>
      <c r="AJ159" s="29">
        <v>8</v>
      </c>
      <c r="AK159" s="29">
        <v>5</v>
      </c>
    </row>
    <row r="160" spans="1:38" x14ac:dyDescent="0.3">
      <c r="A160" s="33"/>
      <c r="B160" s="72"/>
      <c r="O160" s="83">
        <v>3</v>
      </c>
      <c r="P160" s="65"/>
      <c r="Q160" s="65"/>
      <c r="R160" s="65"/>
      <c r="S160" s="65"/>
      <c r="T160" s="66"/>
      <c r="AJ160" s="29">
        <v>9</v>
      </c>
      <c r="AK160" s="29">
        <v>5</v>
      </c>
    </row>
    <row r="161" spans="1:38" x14ac:dyDescent="0.3">
      <c r="A161" s="33"/>
      <c r="B161" s="72"/>
      <c r="O161" s="84">
        <v>4</v>
      </c>
      <c r="P161" s="60"/>
      <c r="Q161" s="60"/>
      <c r="R161" s="60"/>
      <c r="S161" s="60"/>
      <c r="T161" s="63"/>
      <c r="AJ161" s="29">
        <v>10</v>
      </c>
      <c r="AK161" s="29">
        <v>5</v>
      </c>
    </row>
    <row r="162" spans="1:38" x14ac:dyDescent="0.3">
      <c r="A162" s="33"/>
      <c r="B162" s="72"/>
      <c r="O162" s="83">
        <v>5</v>
      </c>
      <c r="P162" s="65"/>
      <c r="Q162" s="65"/>
      <c r="R162" s="65"/>
      <c r="S162" s="65"/>
      <c r="T162" s="66"/>
    </row>
    <row r="163" spans="1:38" x14ac:dyDescent="0.3">
      <c r="A163" s="33"/>
      <c r="B163" s="72"/>
      <c r="O163" s="84">
        <v>6</v>
      </c>
      <c r="P163" s="60"/>
      <c r="Q163" s="60"/>
      <c r="R163" s="60"/>
      <c r="S163" s="60"/>
      <c r="T163" s="63"/>
      <c r="AJ163" s="31" t="s">
        <v>1667</v>
      </c>
    </row>
    <row r="164" spans="1:38" x14ac:dyDescent="0.3">
      <c r="A164" s="33"/>
      <c r="B164" s="72"/>
      <c r="O164" s="83">
        <v>7</v>
      </c>
      <c r="P164" s="65"/>
      <c r="Q164" s="65"/>
      <c r="R164" s="65"/>
      <c r="S164" s="65"/>
      <c r="T164" s="66"/>
      <c r="AJ164" s="29">
        <v>1</v>
      </c>
      <c r="AK164" s="29">
        <v>6</v>
      </c>
    </row>
    <row r="165" spans="1:38" x14ac:dyDescent="0.3">
      <c r="A165" s="33"/>
      <c r="B165" s="72"/>
      <c r="O165" s="84">
        <v>8</v>
      </c>
      <c r="P165" s="60"/>
      <c r="Q165" s="60"/>
      <c r="R165" s="60"/>
      <c r="S165" s="60"/>
      <c r="T165" s="63"/>
      <c r="AJ165" s="29">
        <v>2</v>
      </c>
      <c r="AK165" s="29">
        <v>6</v>
      </c>
    </row>
    <row r="166" spans="1:38" x14ac:dyDescent="0.3">
      <c r="A166" s="33"/>
      <c r="B166" s="72"/>
      <c r="O166" s="83">
        <v>9</v>
      </c>
      <c r="P166" s="65"/>
      <c r="Q166" s="65"/>
      <c r="R166" s="65"/>
      <c r="S166" s="65"/>
      <c r="T166" s="66"/>
      <c r="U166" s="57"/>
      <c r="V166" s="57"/>
      <c r="W166" s="57"/>
      <c r="X166" s="57"/>
      <c r="AJ166" s="29">
        <v>3</v>
      </c>
      <c r="AK166" s="29">
        <v>6</v>
      </c>
    </row>
    <row r="167" spans="1:38" ht="19.5" thickBot="1" x14ac:dyDescent="0.35">
      <c r="A167" s="33"/>
      <c r="B167" s="72"/>
      <c r="O167" s="85">
        <v>10</v>
      </c>
      <c r="P167" s="67"/>
      <c r="Q167" s="67"/>
      <c r="R167" s="67"/>
      <c r="S167" s="67"/>
      <c r="T167" s="68"/>
      <c r="AJ167" s="29">
        <v>4</v>
      </c>
      <c r="AK167" s="29">
        <v>6</v>
      </c>
      <c r="AL167" s="29" t="str">
        <f ca="1">IF(AND(O11="bard",O12&gt;=14),VLOOKUP(RANDBETWEEN(1,10),Table220345459801858915331388442[],2)," ")</f>
        <v xml:space="preserve"> </v>
      </c>
    </row>
    <row r="168" spans="1:38" ht="19.5" thickBot="1" x14ac:dyDescent="0.35">
      <c r="AJ168" s="29">
        <v>5</v>
      </c>
      <c r="AK168" s="29">
        <v>7</v>
      </c>
      <c r="AL168" s="29" t="str">
        <f ca="1">IF(AND(O11="bard",O12&gt;=14),VLOOKUP(RANDBETWEEN(1,10),Table220345459801858915331388442[],2)," ")</f>
        <v xml:space="preserve"> </v>
      </c>
    </row>
    <row r="169" spans="1:38" ht="30.75" thickBot="1" x14ac:dyDescent="0.45">
      <c r="B169" s="105" t="s">
        <v>1243</v>
      </c>
      <c r="AJ169" s="29">
        <v>6</v>
      </c>
      <c r="AK169" s="29">
        <v>7</v>
      </c>
    </row>
    <row r="170" spans="1:38" ht="19.5" thickBot="1" x14ac:dyDescent="0.35">
      <c r="B170" s="79"/>
      <c r="C170" s="27"/>
      <c r="D170" s="27"/>
      <c r="E170" s="27"/>
      <c r="F170" s="27"/>
      <c r="G170" s="27"/>
      <c r="H170" s="27"/>
      <c r="I170" s="27"/>
      <c r="J170" s="27"/>
      <c r="K170" s="27"/>
      <c r="L170" s="27"/>
      <c r="M170" s="27"/>
      <c r="N170" s="27"/>
      <c r="O170" s="27"/>
      <c r="P170" s="87" t="s">
        <v>1341</v>
      </c>
      <c r="Q170" s="88" t="str">
        <f ca="1">IF($O$11="warlock",INDEX('Spell Tables'!$D$194:$D$213,MATCH($O$12,('Spell Tables'!$A$194:$A$213),0))," ")</f>
        <v xml:space="preserve"> </v>
      </c>
      <c r="R170" s="89" t="s">
        <v>1340</v>
      </c>
      <c r="S170" s="90" t="str">
        <f ca="1">IF($O$11="warlock",INDEX('Spell Tables'!$E$194:$E$213,MATCH($O$12,('Spell Tables'!$A$194:$A$213),0))," ")</f>
        <v xml:space="preserve"> </v>
      </c>
      <c r="T170" s="91"/>
      <c r="AJ170" s="29">
        <v>7</v>
      </c>
      <c r="AK170" s="29">
        <v>7</v>
      </c>
    </row>
    <row r="171" spans="1:38" x14ac:dyDescent="0.3">
      <c r="B171" s="112"/>
      <c r="C171" s="33"/>
      <c r="D171" s="33"/>
      <c r="E171" s="33"/>
      <c r="F171" s="33"/>
      <c r="G171" s="33"/>
      <c r="H171" s="33"/>
      <c r="I171" s="33"/>
      <c r="J171" s="33"/>
      <c r="K171" s="33"/>
      <c r="L171" s="33"/>
      <c r="M171" s="33"/>
      <c r="N171" s="33"/>
      <c r="O171" s="33"/>
      <c r="P171" s="92" t="s">
        <v>1342</v>
      </c>
      <c r="Q171" s="33" t="str">
        <f ca="1">IF(AND(AF14=2,OR(O11="monk",O11="barbarian",O11="warlock"),OR(Q11="fighter",Q11="rogue"),OR(P15&lt;&gt;"arcane trickster",R15&lt;&gt;"arcane trickster",P15&lt;&gt;"eldritch knight",R15&lt;&gt;"eldritch knight")),0,IF(AND(AF14=2,OR(O11="monk",O11="barbarian",O11="warlock"),OR(Q11="monk",Q11="barbarian",Q11="warlock")),0,IF(AND(AF14=2,OR(O11="monk",O11="barbarian",O11="warlock",Q11="monk",Q11="barbarian",Q11="warlock"),OR(P15="arcane trickster",R15="arcane trickster",P15="eldritch knight",R15="eldritch knight")),INDEX('Spell Tables'!D141:D160,MATCH(AF18,('Spell Tables'!A141:A160),0)),IF(AND(AF14=2,OR(O11="monk",O11="barbarian",O11="warlock",Q11="monk",Q11="barbarian",Q11="warlock"),OR(O11="paladin",Q11="paladin",O11="ranger",Q11="ranger")),INDEX('Spell Tables'!D119:D138,MATCH(AF18,('Spell Tables'!B119:B138),0)),IF(AF14=2,INDEX('Spell Tables'!D242:D261,MATCH(AF18,('Spell Tables'!B242:B261),0)),IF(AND(AF14=1,$P$15="arcane trickster"),INDEX('Spell Tables'!$D$141:$D$161,MATCH($O$12,('Spell Tables'!$A$141:$A$160),0)),IF(AND(AF14=1,(OR($O$11="bard",$O$11="cleric",$O$11="druid",$O$11="sorcerer",$O$11="wizard"))),INDEX('Spell Tables'!$D$2:$D$21,MATCH($O$12,('Spell Tables'!$A$2:$A$21),0)),IF(AND(AF14=1,$P$15)="Eldritch Knight",INDEX('Spell Tables'!$D$70:$D$89,MATCH($O$12,('Spell Tables'!$A$70:$A$89),0))," "))))))))</f>
        <v xml:space="preserve"> </v>
      </c>
      <c r="R171" s="33" t="str">
        <f ca="1">IF(AND(AF14=2,OR(O11="monk",O11="barbarian",O11="warlock"),OR(Q11="fighter",Q11="rogue"),OR(P15&lt;&gt;"arcane trickster",R15&lt;&gt;"arcane trickster",P15&lt;&gt;"eldritch knight",R15&lt;&gt;"eldritch knight")),0,IF(AND(AF14=2,OR(O11="monk",O11="barbarian",O11="warlock"),OR(Q11="monk",Q11="barbarian",Q11="warlock")),0,IF(AND(AF14=2,OR(O11="monk",O11="barbarian",O11="warlock",Q11="monk",Q11="barbarian",Q11="warlock"),OR(P15="arcane trickster",R15="arcane trickster",P15="eldritch knight",R15="eldritch knight")),INDEX('Spell Tables'!E141:E160,MATCH(AF18,('Spell Tables'!A141:A160),0)),IF(AND(AF14=2,OR(O11="monk",O11="barbarian",O11="warlock",Q11="monk",Q11="barbarian",Q11="warlock"),OR(O11="paladin",Q11="paladin",O11="ranger",Q11="ranger")),INDEX('Spell Tables'!E119:E138,MATCH(AF18,('Spell Tables'!B119:B138),0)),IF(AF14=2,INDEX('Spell Tables'!E242:E261,MATCH(AF18,('Spell Tables'!B242:B261),0)),IF($P$15="arcane trickster",INDEX('Spell Tables'!$E$141:$E$161,MATCH($O$12,('Spell Tables'!$A$141:$A$160),0)),IF(OR($O$11="bard",$O$11="cleric",$O$11="druid",O11="sorcerer",O11="wizard"),INDEX('Spell Tables'!E$2:E$21,MATCH($O$12,('Spell Tables'!$A$2:$A$21),0)),IF($P$15="Eldritch Knight",INDEX('Spell Tables'!E70:E89,MATCH($O$12,('Spell Tables'!$A$70:$A$89),0))," "))))))))</f>
        <v xml:space="preserve"> </v>
      </c>
      <c r="S171" s="33" t="str">
        <f ca="1">IF(AND(AF14=2,OR(O11="monk",O11="barbarian",O11="warlock"),OR(Q11="fighter",Q11="rogue"),OR(P15&lt;&gt;"arcane trickster",R15&lt;&gt;"arcane trickster",P15&lt;&gt;"eldritch knight",R15&lt;&gt;"eldritch knight")),0,IF(AND(AF14=2,OR(O11="monk",O11="barbarian",O11="warlock"),OR(Q11="monk",Q11="barbarian",Q11="warlock")),0,IF(AND(AF14=2,OR(O11="monk",O11="barbarian",O11="warlock",Q11="monk",Q11="barbarian",Q11="warlock"),OR(P15="arcane trickster",R15="arcane trickster",P15="eldritch knight",R15="eldritch knight")),INDEX('Spell Tables'!F141:F160,MATCH(AF18,('Spell Tables'!A141:A160),0)),IF(AND(AF14=2,OR(O11="monk",O11="barbarian",O11="warlock",Q11="monk",Q11="barbarian",Q11="warlock"),OR(O11="paladin",Q11="paladin",O11="ranger",Q11="ranger")),INDEX('Spell Tables'!F119:F1383,MATCH(AF18,('Spell Tables'!B119:B138),0)),IF(AF14=2,INDEX('Spell Tables'!F242:F261,MATCH(AF18,('Spell Tables'!B242:B261),0)),IF($P$15="arcane trickster",INDEX('Spell Tables'!$F$141:$F$161,MATCH($O$12,('Spell Tables'!$A$141:$A$160),0)),IF(OR($O$11="bard",$O$11="cleric",$O$11="druid",O11="sorcerer",O11="wizard"),INDEX('Spell Tables'!F$2:F$21,MATCH($O$12,('Spell Tables'!$A$2:$A$21),0)),IF($P$15="Eldritch Knight",INDEX('Spell Tables'!F70:F89,MATCH($O$12,('Spell Tables'!$A$70:$A$89),0))," "))))))))</f>
        <v xml:space="preserve"> </v>
      </c>
      <c r="T171" s="72" t="str">
        <f ca="1">IF(AND(AF14=2,OR(O11="monk",O11="barbarian",O11="warlock"),OR(Q11="fighter",Q11="rogue"),OR(P15&lt;&gt;"arcane trickster",R15&lt;&gt;"arcane trickster",P15&lt;&gt;"eldritch knight",R15&lt;&gt;"eldritch knight")),0,IF(AND(AF14=2,OR(O11="monk",O11="barbarian",O11="warlock"),OR(Q11="monk",Q11="barbarian",Q11="warlock")),0,IF(AND(AF14=2,OR(O11="monk",O11="barbarian",O11="warlock",Q11="monk",Q11="barbarian",Q11="warlock"),OR(P15="arcane trickster",R15="arcane trickster",P15="eldritch knight",R15="eldritch knight")),INDEX('Spell Tables'!G141:G160,MATCH(AF18,('Spell Tables'!A141:A160),0)),IF(AND(AF14=2,OR(O11="monk",O11="barbarian",O11="warlock",Q11="monk",Q11="barbarian",Q11="warlock"),OR(O11="paladin",Q11="paladin",O11="ranger",Q11="ranger")),INDEX('Spell Tables'!G119:G138,MATCH(AF18,('Spell Tables'!B119:B138),0)),IF(AF14=2,INDEX('Spell Tables'!G242:G261,MATCH(AF18,('Spell Tables'!B242:B261),0)),IF($P$15="arcane trickster",INDEX('Spell Tables'!$G$141:$G$161,MATCH($O$12,('Spell Tables'!$A$141:$A$160),0)),IF(OR($O$11="bard",$O$11="cleric",$O$11="druid",O11="sorcerer",O11="wizard"),INDEX('Spell Tables'!G$2:G$21,MATCH($O$12,('Spell Tables'!$A$2:$A$21),0)),IF($P$15="Eldritch Knight",INDEX('Spell Tables'!G70:G89,MATCH($O$12,('Spell Tables'!$A$70:$A$89),0))," "))))))))</f>
        <v xml:space="preserve"> </v>
      </c>
      <c r="AJ171" s="29">
        <v>8</v>
      </c>
      <c r="AK171" s="29">
        <v>7</v>
      </c>
    </row>
    <row r="172" spans="1:38" hidden="1" x14ac:dyDescent="0.3">
      <c r="B172" s="112" t="s">
        <v>1270</v>
      </c>
      <c r="C172" s="33"/>
      <c r="D172" s="33"/>
      <c r="E172" s="33"/>
      <c r="F172" s="33"/>
      <c r="G172" s="33"/>
      <c r="H172" s="33"/>
      <c r="I172" s="33"/>
      <c r="J172" s="33"/>
      <c r="K172" s="33"/>
      <c r="L172" s="33"/>
      <c r="M172" s="33"/>
      <c r="N172" s="33"/>
      <c r="O172" s="33" t="s">
        <v>530</v>
      </c>
      <c r="P172" s="92" t="s">
        <v>530</v>
      </c>
      <c r="Q172" s="33" t="str">
        <f ca="1">IF(AND(O11="wizard",O12&gt;=3),"x",IF(O11="wizard","xx"," "))</f>
        <v xml:space="preserve"> </v>
      </c>
      <c r="R172" s="33" t="str">
        <f ca="1">IF(AND(O11="wizard",O12&gt;=5),"x",IF(AND($O$11="wizard",$O$12&gt;3),"xx",IF(AND(O11="wizard",O12=3),"xxx"," ")))</f>
        <v xml:space="preserve"> </v>
      </c>
      <c r="S172" s="33" t="str">
        <f ca="1">IF(AND(O11="Wizard",O12&gt;=7),"x",IF(AND($O$11="wizard",$O$12&gt;5),"xx",IF(AND(O11="wizard",O12=5),"xxx"," ")))</f>
        <v xml:space="preserve"> </v>
      </c>
      <c r="T172" s="33" t="str">
        <f ca="1">IF(AND(O11="wizard",O12&gt;=9),"x",IF(AND($O$11="wizard",$O$12&gt;7),"xx",IF(AND(O11="wizard",O12=7),"xxx"," ")))</f>
        <v xml:space="preserve"> </v>
      </c>
      <c r="AJ172" s="29">
        <v>9</v>
      </c>
      <c r="AK172" s="29">
        <v>7</v>
      </c>
    </row>
    <row r="173" spans="1:38" hidden="1" x14ac:dyDescent="0.3">
      <c r="B173" s="112" t="s">
        <v>1272</v>
      </c>
      <c r="C173" s="33"/>
      <c r="D173" s="33"/>
      <c r="E173" s="33"/>
      <c r="F173" s="33"/>
      <c r="G173" s="33"/>
      <c r="H173" s="33"/>
      <c r="I173" s="33"/>
      <c r="J173" s="33"/>
      <c r="K173" s="33"/>
      <c r="L173" s="33"/>
      <c r="M173" s="33"/>
      <c r="N173" s="33"/>
      <c r="O173" s="33" t="str">
        <f ca="1">IF(O11="wizard",P41+O12," ")</f>
        <v xml:space="preserve"> </v>
      </c>
      <c r="P173" s="92">
        <f ca="1">IF(O11="wizard",INDEX('Spell Tables'!C242:C261,MATCH(O12,('Spell Tables'!B242:B261),0)),0)</f>
        <v>0</v>
      </c>
      <c r="Q173" s="33">
        <f ca="1">IF($Q172="x",RANDBETWEEN(1,2),IF($Q172="xx",$O$173,0))</f>
        <v>0</v>
      </c>
      <c r="R173" s="33">
        <f ca="1">IF(R172="x",RANDBETWEEN(1,2),IF(R172="xx",$O$173-Q173,0))</f>
        <v>0</v>
      </c>
      <c r="S173" s="33">
        <f ca="1">IF(S172="x",O173-SUM(Q173:R173,U122:X122),IF(S172="xx",$O$173-SUM(Q173:R173),0))</f>
        <v>0</v>
      </c>
      <c r="T173" s="33">
        <f ca="1">IF(T172="x",RANDBETWEEN(1,2),IF(T172="xx",RANDBETWEEN(2,3),IF(T172="xxx",RANDBETWEEN(1,2),0)))</f>
        <v>0</v>
      </c>
      <c r="AJ173" s="29">
        <v>10</v>
      </c>
      <c r="AK173" s="29">
        <v>7</v>
      </c>
    </row>
    <row r="174" spans="1:38" hidden="1" x14ac:dyDescent="0.3">
      <c r="B174" s="112" t="s">
        <v>1269</v>
      </c>
      <c r="C174" s="33"/>
      <c r="D174" s="33"/>
      <c r="E174" s="33"/>
      <c r="F174" s="33"/>
      <c r="G174" s="33"/>
      <c r="H174" s="33"/>
      <c r="I174" s="33"/>
      <c r="J174" s="33"/>
      <c r="K174" s="33"/>
      <c r="L174" s="33"/>
      <c r="M174" s="33"/>
      <c r="N174" s="33"/>
      <c r="O174" s="33" t="s">
        <v>530</v>
      </c>
      <c r="P174" s="92" t="s">
        <v>530</v>
      </c>
      <c r="Q174" s="33" t="str">
        <f ca="1">IF(AND($O$11="warlock",$O$12&gt;=3),"x",IF(O11="warlock","xx"," "))</f>
        <v xml:space="preserve"> </v>
      </c>
      <c r="R174" s="33" t="str">
        <f ca="1">IF(AND($O$11="warlock",$O$12&gt;=5),"x",IF(AND($O$11="warlock",$O$12&gt;=3),"xx"," "))</f>
        <v xml:space="preserve"> </v>
      </c>
      <c r="S174" s="33" t="str">
        <f ca="1">IF(AND($O$11="warlock",$O$12&gt;=7),"x",IF(AND($O$11="warlock",$O$12&gt;=5),"xx"," "))</f>
        <v xml:space="preserve"> </v>
      </c>
      <c r="T174" s="33" t="str">
        <f ca="1">IF(AND($O$11="warlock",$O$12&gt;=9),"x",IF(AND($O$11="warlock",$O$12&gt;=7),"xx"," "))</f>
        <v xml:space="preserve"> </v>
      </c>
    </row>
    <row r="175" spans="1:38" hidden="1" x14ac:dyDescent="0.3">
      <c r="B175" s="112" t="s">
        <v>1268</v>
      </c>
      <c r="C175" s="33"/>
      <c r="D175" s="33"/>
      <c r="E175" s="33"/>
      <c r="F175" s="33"/>
      <c r="G175" s="33"/>
      <c r="H175" s="33"/>
      <c r="I175" s="33"/>
      <c r="J175" s="33"/>
      <c r="K175" s="33"/>
      <c r="L175" s="33"/>
      <c r="M175" s="33"/>
      <c r="N175" s="33"/>
      <c r="O175" s="33" t="str">
        <f ca="1">IF(O11="warlock",INDEX('Spell Tables'!C194:C213,MATCH($O$12,('Spell Tables'!A194:A213),0))," ")</f>
        <v xml:space="preserve"> </v>
      </c>
      <c r="P175" s="92">
        <f ca="1">IF($O$11="warlock",INDEX('Spell Tables'!B194:B213,MATCH($O$12,('Spell Tables'!A194:A213),0)),0)</f>
        <v>0</v>
      </c>
      <c r="Q175" s="33">
        <f ca="1">IF($Q174="x",RANDBETWEEN(1,2),IF($Q174="xx",$O$175,0))</f>
        <v>0</v>
      </c>
      <c r="R175" s="33">
        <f ca="1">IF(R174="x",RANDBETWEEN(1,2),IF(R174="xx",$O$175-Q175,0))</f>
        <v>0</v>
      </c>
      <c r="S175" s="33">
        <f ca="1">IF(S174="x",O175-SUM(Q175:R175,U124:X124),IF(S174="xx",$O$175-SUM(Q175:R175),0))</f>
        <v>0</v>
      </c>
      <c r="T175" s="33">
        <f ca="1">IF(T174="x",RANDBETWEEN(1,2),IF(T174="xx",RANDBETWEEN(2,3),0))</f>
        <v>0</v>
      </c>
      <c r="AJ175" s="31" t="s">
        <v>1668</v>
      </c>
    </row>
    <row r="176" spans="1:38" hidden="1" x14ac:dyDescent="0.3">
      <c r="B176" s="112" t="s">
        <v>1267</v>
      </c>
      <c r="C176" s="33"/>
      <c r="D176" s="33"/>
      <c r="E176" s="33"/>
      <c r="F176" s="33"/>
      <c r="G176" s="33"/>
      <c r="H176" s="33"/>
      <c r="I176" s="33"/>
      <c r="J176" s="33"/>
      <c r="K176" s="33"/>
      <c r="L176" s="33"/>
      <c r="M176" s="33"/>
      <c r="N176" s="33"/>
      <c r="O176" s="33" t="s">
        <v>530</v>
      </c>
      <c r="P176" s="92" t="s">
        <v>530</v>
      </c>
      <c r="Q176" s="33" t="str">
        <f ca="1">IF(AND($O$11="sorcerer",$O$12&gt;=3),"x",IF($O$11="sorcerer","xx"," "))</f>
        <v xml:space="preserve"> </v>
      </c>
      <c r="R176" s="33" t="str">
        <f ca="1">IF(AND($O$11="sorcerer",$O$12&gt;=5),"x",IF(AND($O$11="sorcerer",$O$12&gt;=3),"xx"," "))</f>
        <v xml:space="preserve"> </v>
      </c>
      <c r="S176" s="33" t="str">
        <f ca="1">IF(AND($O$11="sorcerer",$O$12&gt;=7),"x",IF(AND($O$11="sorcerer",$O$12&gt;=5),"xx"," "))</f>
        <v xml:space="preserve"> </v>
      </c>
      <c r="T176" s="33" t="str">
        <f ca="1">IF(AND($O$11="sorcerer",$O$12&gt;=9),"x",IF(AND($O$11="sorcerer",$O$12&gt;=7),"xx"," "))</f>
        <v xml:space="preserve"> </v>
      </c>
      <c r="AJ176" s="29">
        <v>1</v>
      </c>
      <c r="AK176" s="29">
        <v>8</v>
      </c>
    </row>
    <row r="177" spans="2:38" hidden="1" x14ac:dyDescent="0.3">
      <c r="B177" s="112" t="s">
        <v>1266</v>
      </c>
      <c r="C177" s="33"/>
      <c r="D177" s="33"/>
      <c r="E177" s="33"/>
      <c r="F177" s="33"/>
      <c r="G177" s="33"/>
      <c r="H177" s="33"/>
      <c r="I177" s="33"/>
      <c r="J177" s="33"/>
      <c r="K177" s="33"/>
      <c r="L177" s="33"/>
      <c r="M177" s="33"/>
      <c r="N177" s="33"/>
      <c r="O177" s="33" t="str">
        <f ca="1">IF(O11="sorcerer",INDEX('Spell Tables'!C168:C187,MATCH($O$12,('Spell Tables'!A168:A187),0))," ")</f>
        <v xml:space="preserve"> </v>
      </c>
      <c r="P177" s="92">
        <f ca="1">IF($O$11="sorcerer",INDEX('Spell Tables'!B168:B187,MATCH($O$12,('Spell Tables'!A168:A187),0)),0)</f>
        <v>0</v>
      </c>
      <c r="Q177" s="33">
        <f ca="1">IF($Q176="x",RANDBETWEEN(1,2),IF($Q176="xx",$O$177,0))</f>
        <v>0</v>
      </c>
      <c r="R177" s="33">
        <f ca="1">IF(R176="x",RANDBETWEEN(1,2),IF(R176="xx",$O$177-Q177,0))</f>
        <v>0</v>
      </c>
      <c r="S177" s="33">
        <f ca="1">IF(S176="x",O177-SUM(Q177:R177,U126:X126),IF(S176="xx",$O$177-SUM(Q177:R177),0))</f>
        <v>0</v>
      </c>
      <c r="T177" s="33">
        <f ca="1">IF(T176="x",RANDBETWEEN(1,2),IF(T176="xx",RANDBETWEEN(2,3),0))</f>
        <v>0</v>
      </c>
      <c r="AJ177" s="29">
        <v>2</v>
      </c>
      <c r="AK177" s="29">
        <v>8</v>
      </c>
    </row>
    <row r="178" spans="2:38" hidden="1" x14ac:dyDescent="0.3">
      <c r="B178" s="112" t="s">
        <v>1254</v>
      </c>
      <c r="C178" s="33"/>
      <c r="D178" s="33"/>
      <c r="E178" s="33"/>
      <c r="F178" s="33"/>
      <c r="G178" s="33"/>
      <c r="H178" s="33"/>
      <c r="I178" s="33"/>
      <c r="J178" s="33"/>
      <c r="K178" s="33"/>
      <c r="L178" s="33"/>
      <c r="M178" s="33"/>
      <c r="N178" s="33"/>
      <c r="O178" s="33" t="s">
        <v>530</v>
      </c>
      <c r="P178" s="92" t="s">
        <v>530</v>
      </c>
      <c r="Q178" s="33" t="str">
        <f ca="1">IF(AND(P15="arcane trickster",O12&gt;=7),"x",IF(P15="arcane trickster","xx"," "))</f>
        <v xml:space="preserve"> </v>
      </c>
      <c r="R178" s="33" t="str">
        <f ca="1">IF(AND(P15="arcane trickster",O12=13),"x",IF(AND(P15="arcane trickster",$O$12&gt;=7),"xx"," "))</f>
        <v xml:space="preserve"> </v>
      </c>
      <c r="S178" s="33" t="str">
        <f ca="1">IF(AND(P15="arcane trickster",O12&gt;=19),"x",IF(AND(P15="arcane trickster",$O$12&gt;=13),"xx"," "))</f>
        <v xml:space="preserve"> </v>
      </c>
      <c r="T178" s="33" t="str">
        <f ca="1">IF(AND(P15="arcane trickster",$O$12&gt;=19),"xx"," ")</f>
        <v xml:space="preserve"> </v>
      </c>
      <c r="AJ178" s="29">
        <v>3</v>
      </c>
      <c r="AK178" s="29">
        <v>8</v>
      </c>
    </row>
    <row r="179" spans="2:38" hidden="1" x14ac:dyDescent="0.3">
      <c r="B179" s="112" t="s">
        <v>1253</v>
      </c>
      <c r="C179" s="33"/>
      <c r="D179" s="33"/>
      <c r="E179" s="33"/>
      <c r="F179" s="33"/>
      <c r="G179" s="33"/>
      <c r="H179" s="33"/>
      <c r="I179" s="33"/>
      <c r="J179" s="33"/>
      <c r="K179" s="33"/>
      <c r="L179" s="33"/>
      <c r="M179" s="33"/>
      <c r="N179" s="33"/>
      <c r="O179" s="33" t="str">
        <f ca="1">IF(P15="arcane trickster",INDEX('Spell Tables'!C141:C160,MATCH($O$12,('Spell Tables'!A141:A160),0))," ")</f>
        <v xml:space="preserve"> </v>
      </c>
      <c r="P179" s="92">
        <f ca="1">IF($P$15="arcane trickster",INDEX('Spell Tables'!B141:B160,MATCH($O$12,('Spell Tables'!A141:A160),0)),0)</f>
        <v>0</v>
      </c>
      <c r="Q179" s="33">
        <f ca="1">IF($Q178="x",RANDBETWEEN(2,3),IF($Q178="xx",$O$179,0))</f>
        <v>0</v>
      </c>
      <c r="R179" s="33">
        <f ca="1">IF(R178="x",RANDBETWEEN(2,3),IF(R178="xx",$O$179-Q179,0))</f>
        <v>0</v>
      </c>
      <c r="S179" s="33">
        <f ca="1">IF(S178="x",O179-SUM(Q179:R179,U128:X128),IF(S178="xx",$O$179-SUM(Q179:R179),0))</f>
        <v>0</v>
      </c>
      <c r="T179" s="33">
        <f ca="1">IF(T178="x",RANDBETWEEN(1,2),IF(T178="xx",RANDBETWEEN(2,3),0))</f>
        <v>0</v>
      </c>
      <c r="AJ179" s="29">
        <v>4</v>
      </c>
      <c r="AK179" s="29">
        <v>8</v>
      </c>
      <c r="AL179" s="29" t="str">
        <f ca="1">IF(AND(O11="bard",O12&gt;=18),VLOOKUP(RANDBETWEEN(1,10),Table222346460802859916332389443[],2)," ")</f>
        <v xml:space="preserve"> </v>
      </c>
    </row>
    <row r="180" spans="2:38" hidden="1" x14ac:dyDescent="0.3">
      <c r="B180" s="112" t="s">
        <v>1247</v>
      </c>
      <c r="C180" s="33"/>
      <c r="D180" s="33"/>
      <c r="E180" s="33"/>
      <c r="F180" s="33"/>
      <c r="G180" s="33"/>
      <c r="H180" s="33"/>
      <c r="I180" s="33"/>
      <c r="J180" s="33"/>
      <c r="K180" s="33"/>
      <c r="L180" s="33"/>
      <c r="M180" s="33"/>
      <c r="N180" s="33"/>
      <c r="O180" s="33" t="s">
        <v>530</v>
      </c>
      <c r="P180" s="92" t="s">
        <v>1324</v>
      </c>
      <c r="Q180" s="33" t="str">
        <f ca="1">IF(AND($O$11="ranger",$O$12&gt;=5),"x",IF(AND(O11="ranger",O12&gt;=2),"xx"," "))</f>
        <v xml:space="preserve"> </v>
      </c>
      <c r="R180" s="33" t="str">
        <f ca="1">IF(AND($O$11="ranger",$O$12&gt;=9),"x",IF(AND($O$11="ranger",$O$12&gt;=5),"xx"," "))</f>
        <v xml:space="preserve"> </v>
      </c>
      <c r="S180" s="33" t="str">
        <f ca="1">IF(AND($O$11="ranger",$O$12&gt;=13),"x",IF(AND($O$11="ranger",$O$12&gt;=9),"xx"," "))</f>
        <v xml:space="preserve"> </v>
      </c>
      <c r="T180" s="33" t="str">
        <f ca="1">IF(AND($O$11="ranger",$O$12&gt;=17),"x",IF(AND($O$11="ranger",$O$12&gt;=13),"xx"," "))</f>
        <v xml:space="preserve"> </v>
      </c>
      <c r="AJ180" s="29">
        <v>5</v>
      </c>
      <c r="AK180" s="29">
        <v>9</v>
      </c>
      <c r="AL180" s="29" t="str">
        <f ca="1">IF(AND(O11="bard",O12&gt;=18),VLOOKUP(RANDBETWEEN(1,10),Table222346460802859916332389443[],2)," ")</f>
        <v xml:space="preserve"> </v>
      </c>
    </row>
    <row r="181" spans="2:38" hidden="1" x14ac:dyDescent="0.3">
      <c r="B181" s="112" t="s">
        <v>1246</v>
      </c>
      <c r="C181" s="33"/>
      <c r="D181" s="33"/>
      <c r="E181" s="33"/>
      <c r="F181" s="33"/>
      <c r="G181" s="33"/>
      <c r="H181" s="33"/>
      <c r="I181" s="33"/>
      <c r="J181" s="33"/>
      <c r="K181" s="33"/>
      <c r="L181" s="33"/>
      <c r="M181" s="33"/>
      <c r="N181" s="33"/>
      <c r="O181" s="33" t="str">
        <f ca="1">IF($O$11="ranger",INDEX('Spell Tables'!C119:C138,MATCH($O$12,('Spell Tables'!B119:B138),0))," ")</f>
        <v xml:space="preserve"> </v>
      </c>
      <c r="P181" s="92" t="s">
        <v>1324</v>
      </c>
      <c r="Q181" s="33">
        <f ca="1">IF($Q180="x",RANDBETWEEN(1,2),IF($Q180="xx",$O$181,0))</f>
        <v>0</v>
      </c>
      <c r="R181" s="33">
        <f ca="1">IF(R180="x",RANDBETWEEN(1,2),IF(R180="xx",$O$181-Q181,0))</f>
        <v>0</v>
      </c>
      <c r="S181" s="33">
        <f ca="1">IF(S180="x",O181-SUM(Q181:R181,T130:X130),IF(S180="xx",$O$181-SUM(Q181:R181),0))</f>
        <v>0</v>
      </c>
      <c r="T181" s="33">
        <f ca="1">IF(T180="x",RANDBETWEEN(1,2),IF(T180="xx",RANDBETWEEN(2,3),0))</f>
        <v>0</v>
      </c>
      <c r="AJ181" s="29">
        <v>6</v>
      </c>
      <c r="AK181" s="29">
        <v>9</v>
      </c>
    </row>
    <row r="182" spans="2:38" hidden="1" x14ac:dyDescent="0.3">
      <c r="B182" s="112" t="s">
        <v>1245</v>
      </c>
      <c r="C182" s="33"/>
      <c r="D182" s="33"/>
      <c r="E182" s="33"/>
      <c r="F182" s="33"/>
      <c r="G182" s="33"/>
      <c r="H182" s="33"/>
      <c r="I182" s="33"/>
      <c r="J182" s="33"/>
      <c r="K182" s="33"/>
      <c r="L182" s="33"/>
      <c r="M182" s="33"/>
      <c r="N182" s="33"/>
      <c r="O182" s="33" t="s">
        <v>530</v>
      </c>
      <c r="P182" s="92" t="s">
        <v>1324</v>
      </c>
      <c r="Q182" s="33" t="str">
        <f ca="1">IF(AND($O$11="paladin",$O$12&gt;=5),"x",IF($O$11="paladin","xx"," "))</f>
        <v xml:space="preserve"> </v>
      </c>
      <c r="R182" s="33" t="str">
        <f ca="1">IF(AND(O11="paladin",O12&gt;=9),"x",IF(AND($O$11="paladin",$O$12&gt;=5),"xx"," "))</f>
        <v xml:space="preserve"> </v>
      </c>
      <c r="S182" s="33" t="str">
        <f ca="1">IF(AND(O11="paladin",O12&gt;=13),"x",IF(AND($O$11="paladin",$O$12&gt;=9),"xx"," "))</f>
        <v xml:space="preserve"> </v>
      </c>
      <c r="T182" s="33" t="str">
        <f ca="1">IF(AND(O11="paladin",O12&gt;=17),"x",IF(AND($O$11="paladin",$O$12&gt;=13),"xx"," "))</f>
        <v xml:space="preserve"> </v>
      </c>
      <c r="AJ182" s="29">
        <v>7</v>
      </c>
      <c r="AK182" s="29">
        <v>9</v>
      </c>
    </row>
    <row r="183" spans="2:38" hidden="1" x14ac:dyDescent="0.3">
      <c r="B183" s="112" t="s">
        <v>1244</v>
      </c>
      <c r="C183" s="33"/>
      <c r="D183" s="33"/>
      <c r="E183" s="33"/>
      <c r="F183" s="33"/>
      <c r="G183" s="33"/>
      <c r="H183" s="33"/>
      <c r="I183" s="33"/>
      <c r="J183" s="33"/>
      <c r="K183" s="33"/>
      <c r="L183" s="33"/>
      <c r="M183" s="33"/>
      <c r="N183" s="33"/>
      <c r="O183" s="33" t="str">
        <f ca="1">IF(O11="paladin",ROUNDDOWN(P43+(O12*0.5),0)," ")</f>
        <v xml:space="preserve"> </v>
      </c>
      <c r="P183" s="92" t="s">
        <v>1324</v>
      </c>
      <c r="Q183" s="33">
        <f ca="1">IF($Q182="x",RANDBETWEEN(1,2),IF($Q182="xx",$O$183,0))</f>
        <v>0</v>
      </c>
      <c r="R183" s="33">
        <f ca="1">IF(R182="x",RANDBETWEEN(1,2),IF(R182="xx",$O$183-Q183,0))</f>
        <v>0</v>
      </c>
      <c r="S183" s="33">
        <f ca="1">IF(S182="x",O183-SUM(Q183:R183,U132:X132),IF(S182="xx",$O$183-SUM(Q183:R183),0))</f>
        <v>0</v>
      </c>
      <c r="T183" s="33">
        <f ca="1">IF(T182="x",RANDBETWEEN(1,2),IF(T182="xx",RANDBETWEEN(2,3),0))</f>
        <v>0</v>
      </c>
      <c r="AJ183" s="29">
        <v>8</v>
      </c>
      <c r="AK183" s="29">
        <v>9</v>
      </c>
    </row>
    <row r="184" spans="2:38" hidden="1" x14ac:dyDescent="0.3">
      <c r="B184" s="112" t="s">
        <v>1226</v>
      </c>
      <c r="C184" s="33"/>
      <c r="D184" s="33"/>
      <c r="E184" s="33"/>
      <c r="F184" s="33"/>
      <c r="G184" s="33"/>
      <c r="H184" s="33"/>
      <c r="I184" s="33"/>
      <c r="J184" s="33"/>
      <c r="K184" s="33"/>
      <c r="L184" s="33"/>
      <c r="M184" s="33"/>
      <c r="N184" s="33"/>
      <c r="O184" s="33" t="s">
        <v>530</v>
      </c>
      <c r="P184" s="92" t="s">
        <v>530</v>
      </c>
      <c r="Q184" s="33" t="str">
        <f ca="1">IF(AND(P15="eldritch knight",O12&gt;=7),"x",IF(P15="eldritch knight","xx"," "))</f>
        <v xml:space="preserve"> </v>
      </c>
      <c r="R184" s="33" t="str">
        <f ca="1">IF(AND(P15="eldritch knight",O12&gt;=13),"x",IF(AND(P15="eldritch knight",$O$12&gt;=7),"xx"," "))</f>
        <v xml:space="preserve"> </v>
      </c>
      <c r="S184" s="33" t="str">
        <f ca="1">IF(AND(P15="eldritch knight",O12&gt;=19),"x",IF(AND(P15="eldritch knight",$O$12&gt;=13),"xx"," "))</f>
        <v xml:space="preserve"> </v>
      </c>
      <c r="T184" s="33" t="str">
        <f ca="1">IF(AND(P15="eldritch knight",$O$12&gt;=19),"xx"," ")</f>
        <v xml:space="preserve"> </v>
      </c>
      <c r="AJ184" s="29">
        <v>9</v>
      </c>
      <c r="AK184" s="29">
        <v>9</v>
      </c>
    </row>
    <row r="185" spans="2:38" hidden="1" x14ac:dyDescent="0.3">
      <c r="B185" s="112" t="s">
        <v>1222</v>
      </c>
      <c r="C185" s="33"/>
      <c r="D185" s="33"/>
      <c r="E185" s="33"/>
      <c r="F185" s="33"/>
      <c r="G185" s="33"/>
      <c r="H185" s="33"/>
      <c r="I185" s="33"/>
      <c r="J185" s="33"/>
      <c r="K185" s="33"/>
      <c r="L185" s="33"/>
      <c r="M185" s="33"/>
      <c r="N185" s="33"/>
      <c r="O185" s="33" t="str">
        <f ca="1">IF($P$15="eldritch knight",INDEX('Spell Tables'!C70:C89,MATCH($O$12,('Spell Tables'!$A$70:$A$89),0))," ")</f>
        <v xml:space="preserve"> </v>
      </c>
      <c r="P185" s="92">
        <f ca="1">IF($P$15="eldritch knight",INDEX('Spell Tables'!B70:B89,MATCH($O$12,('Spell Tables'!A70:A89),0)),0)</f>
        <v>0</v>
      </c>
      <c r="Q185" s="33">
        <f ca="1">IF($Q184="x",RANDBETWEEN(2,3),IF($Q184="xx",$O$185,0))</f>
        <v>0</v>
      </c>
      <c r="R185" s="33">
        <f ca="1">IF(R184="x",RANDBETWEEN(2,3),IF(R184="xx",$O$185-Q185,0))</f>
        <v>0</v>
      </c>
      <c r="S185" s="33">
        <f ca="1">IF(S184="x",O185-SUM(Q185:R185,U134:X134),IF(S184="xx",$O$185-SUM(Q185:R185),0))</f>
        <v>0</v>
      </c>
      <c r="T185" s="33">
        <f ca="1">IF(T184="x",RANDBETWEEN(1,2),IF(T184="xx",RANDBETWEEN(2,3),0))</f>
        <v>0</v>
      </c>
      <c r="AJ185" s="29">
        <v>10</v>
      </c>
      <c r="AK185" s="29">
        <v>9</v>
      </c>
    </row>
    <row r="186" spans="2:38" hidden="1" x14ac:dyDescent="0.3">
      <c r="B186" s="112" t="s">
        <v>1219</v>
      </c>
      <c r="C186" s="33"/>
      <c r="D186" s="33"/>
      <c r="E186" s="33"/>
      <c r="F186" s="33"/>
      <c r="G186" s="33"/>
      <c r="H186" s="33"/>
      <c r="I186" s="33"/>
      <c r="J186" s="33"/>
      <c r="K186" s="33"/>
      <c r="L186" s="33"/>
      <c r="M186" s="33"/>
      <c r="N186" s="33"/>
      <c r="O186" s="33" t="s">
        <v>530</v>
      </c>
      <c r="P186" s="92" t="s">
        <v>530</v>
      </c>
      <c r="Q186" s="33" t="str">
        <f ca="1">IF(AND($O$11="druid",$O$12&gt;=3),"x",IF($O$11="druid","xx"," "))</f>
        <v xml:space="preserve"> </v>
      </c>
      <c r="R186" s="33" t="str">
        <f ca="1">IF(AND($O$11="druid",$O$12&gt;=5),"x",IF(AND($O$11="druid",$O$12&gt;=3),"xx"," "))</f>
        <v xml:space="preserve"> </v>
      </c>
      <c r="S186" s="33" t="str">
        <f ca="1">IF(AND($O$11="druid",$O$12&gt;=7),"x",IF(AND($O$11="druid",$O$12&gt;=5),"xx"," "))</f>
        <v xml:space="preserve"> </v>
      </c>
      <c r="T186" s="33" t="str">
        <f ca="1">IF(AND($O$11="druid",$O$12&gt;=9),"x",IF(AND($O$11="druid",$O$12&gt;=7),"xx"," "))</f>
        <v xml:space="preserve"> </v>
      </c>
    </row>
    <row r="187" spans="2:38" hidden="1" x14ac:dyDescent="0.3">
      <c r="B187" s="112" t="s">
        <v>1220</v>
      </c>
      <c r="C187" s="33"/>
      <c r="D187" s="33"/>
      <c r="E187" s="33"/>
      <c r="F187" s="33"/>
      <c r="G187" s="33"/>
      <c r="H187" s="33"/>
      <c r="I187" s="33"/>
      <c r="J187" s="33"/>
      <c r="K187" s="33"/>
      <c r="L187" s="33"/>
      <c r="M187" s="33"/>
      <c r="N187" s="33"/>
      <c r="O187" s="33" t="str">
        <f ca="1">IF(O11="druid",O12+P42," ")</f>
        <v xml:space="preserve"> </v>
      </c>
      <c r="P187" s="92">
        <f ca="1">IF($O$11="druid",INDEX('Spell Tables'!C48:C67,MATCH($O$12,('Spell Tables'!B48:B67),0)),0)</f>
        <v>0</v>
      </c>
      <c r="Q187" s="33">
        <f ca="1">IF($Q186="x",RANDBETWEEN(1,2),IF($Q186="xx",$O$187,0))</f>
        <v>0</v>
      </c>
      <c r="R187" s="33">
        <f ca="1">IF(R186="x",RANDBETWEEN(1,2),IF(R186="xx",$O$187-Q187,0))</f>
        <v>0</v>
      </c>
      <c r="S187" s="33">
        <f ca="1">IF(S186="x",O187-SUM(Q187:R187,U136:X136),IF(S186="xx",$O$187-SUM(Q187:R187),0))</f>
        <v>0</v>
      </c>
      <c r="T187" s="33">
        <f ca="1">IF(T186="x",RANDBETWEEN(1,2),IF(T186="xx",RANDBETWEEN(2,3),0))</f>
        <v>0</v>
      </c>
      <c r="AJ187" s="31" t="s">
        <v>1670</v>
      </c>
    </row>
    <row r="188" spans="2:38" hidden="1" x14ac:dyDescent="0.3">
      <c r="B188" s="112" t="s">
        <v>1143</v>
      </c>
      <c r="C188" s="33"/>
      <c r="D188" s="33"/>
      <c r="E188" s="33"/>
      <c r="F188" s="33"/>
      <c r="G188" s="33"/>
      <c r="H188" s="33"/>
      <c r="I188" s="33"/>
      <c r="J188" s="33"/>
      <c r="K188" s="33"/>
      <c r="L188" s="33"/>
      <c r="M188" s="33"/>
      <c r="N188" s="33"/>
      <c r="O188" s="33" t="s">
        <v>530</v>
      </c>
      <c r="P188" s="92" t="s">
        <v>530</v>
      </c>
      <c r="Q188" s="33" t="str">
        <f ca="1">IF(AND(O11="cleric",O12&gt;=3),"x",IF(O11="cleric","xx"," "))</f>
        <v xml:space="preserve"> </v>
      </c>
      <c r="R188" s="33" t="str">
        <f ca="1">IF(AND(O11="cleric",O12&gt;=5),"x",IF(AND($O$11="cleric",$O$12&gt;=3),"xx"," "))</f>
        <v xml:space="preserve"> </v>
      </c>
      <c r="S188" s="33" t="str">
        <f ca="1">IF(AND(O11="cleric",O12&gt;=7),"x",IF(AND($O$11="cleric",$O$12&gt;=5),"xx"," "))</f>
        <v xml:space="preserve"> </v>
      </c>
      <c r="T188" s="33" t="str">
        <f ca="1">IF(AND(O11="cleric",O12&gt;=9),"x",IF(AND($O$11="cleric",$O$12&gt;=7),"xx"," "))</f>
        <v xml:space="preserve"> </v>
      </c>
      <c r="AJ188" s="29">
        <v>1</v>
      </c>
      <c r="AK188" s="29" t="s">
        <v>1671</v>
      </c>
    </row>
    <row r="189" spans="2:38" hidden="1" x14ac:dyDescent="0.3">
      <c r="B189" s="112" t="s">
        <v>1142</v>
      </c>
      <c r="C189" s="33"/>
      <c r="D189" s="33"/>
      <c r="E189" s="33"/>
      <c r="F189" s="33"/>
      <c r="G189" s="33"/>
      <c r="H189" s="33"/>
      <c r="I189" s="33"/>
      <c r="J189" s="33"/>
      <c r="K189" s="33"/>
      <c r="L189" s="33"/>
      <c r="M189" s="33"/>
      <c r="N189" s="33"/>
      <c r="O189" s="33" t="str">
        <f ca="1">IF(O11="cleric",O12+P42," ")</f>
        <v xml:space="preserve"> </v>
      </c>
      <c r="P189" s="92">
        <f ca="1">IF($O$11="cleric",INDEX('Spell Tables'!C26:C45,MATCH($O$12,('Spell Tables'!B26:B45),0)),0)</f>
        <v>0</v>
      </c>
      <c r="Q189" s="33">
        <f ca="1">IF($Q188="x",RANDBETWEEN(1,2),IF($Q188="xx",$O$189,0))</f>
        <v>0</v>
      </c>
      <c r="R189" s="33">
        <f ca="1">IF(R188="x",RANDBETWEEN(1,2),IF(R188="xx",$O$189-Q189,0))</f>
        <v>0</v>
      </c>
      <c r="S189" s="33">
        <f ca="1">IF(S188="x",O189-SUM(Q189:R189,U138:X138),IF(S188="xx",$O$189-SUM(Q189:R189),0))</f>
        <v>0</v>
      </c>
      <c r="T189" s="33">
        <f ca="1">IF(T188="x",RANDBETWEEN(1,2),IF(T188="xx",RANDBETWEEN(2,3),0))</f>
        <v>0</v>
      </c>
      <c r="AJ189" s="29">
        <v>2</v>
      </c>
      <c r="AK189" s="29">
        <v>1</v>
      </c>
    </row>
    <row r="190" spans="2:38" hidden="1" x14ac:dyDescent="0.3">
      <c r="B190" s="112" t="s">
        <v>1248</v>
      </c>
      <c r="C190" s="33"/>
      <c r="D190" s="33"/>
      <c r="E190" s="33"/>
      <c r="F190" s="33"/>
      <c r="G190" s="33"/>
      <c r="H190" s="33"/>
      <c r="I190" s="33"/>
      <c r="J190" s="33"/>
      <c r="K190" s="33"/>
      <c r="L190" s="33"/>
      <c r="M190" s="33"/>
      <c r="N190" s="33"/>
      <c r="O190" s="33" t="s">
        <v>530</v>
      </c>
      <c r="P190" s="92" t="s">
        <v>530</v>
      </c>
      <c r="Q190" s="33" t="str">
        <f ca="1">IF(AND($O$11="bard",$O$12&gt;=3),"x",IF($O$11="bard","xx"," "))</f>
        <v xml:space="preserve"> </v>
      </c>
      <c r="R190" s="33" t="str">
        <f ca="1">IF(AND($O$11="bard",$O$12&gt;=5),"x",IF(AND($O$11="bard",$O$12&gt;=3),"xx"," "))</f>
        <v xml:space="preserve"> </v>
      </c>
      <c r="S190" s="33" t="str">
        <f ca="1">IF(AND($O$11="bard",$O$12&gt;=7),"x",IF(AND($O$11="bard",$O$12&gt;=5),"xx"," "))</f>
        <v xml:space="preserve"> </v>
      </c>
      <c r="T190" s="33" t="str">
        <f ca="1">IF(AND($O$11="bard",$O$12&gt;=9),"x",IF(AND($O$11="bard",$O$12&gt;=7),"xx"," "))</f>
        <v xml:space="preserve"> </v>
      </c>
      <c r="AJ190" s="29">
        <v>3</v>
      </c>
      <c r="AK190" s="29">
        <v>1</v>
      </c>
    </row>
    <row r="191" spans="2:38" hidden="1" x14ac:dyDescent="0.3">
      <c r="B191" s="112" t="s">
        <v>1141</v>
      </c>
      <c r="C191" s="33"/>
      <c r="D191" s="33"/>
      <c r="E191" s="33"/>
      <c r="F191" s="33"/>
      <c r="G191" s="33"/>
      <c r="H191" s="33"/>
      <c r="I191" s="33"/>
      <c r="J191" s="33"/>
      <c r="K191" s="33"/>
      <c r="L191" s="33"/>
      <c r="M191" s="33"/>
      <c r="N191" s="33"/>
      <c r="O191" s="33" t="str">
        <f ca="1">IF($O$11="bard",INDEX('Spell Tables'!C$2:C$21,MATCH($O$12,('Spell Tables'!$A$2:$A$21),0))," ")</f>
        <v xml:space="preserve"> </v>
      </c>
      <c r="P191" s="92">
        <f ca="1">IF($O$11="bard",INDEX('Spell Tables'!B2:B21,MATCH($O$12,('Spell Tables'!A2:A21),0)),0)</f>
        <v>0</v>
      </c>
      <c r="Q191" s="33">
        <f ca="1">IF($Q190="x",RANDBETWEEN(1,2),IF($Q190="xx",$O$191,0))</f>
        <v>0</v>
      </c>
      <c r="R191" s="33">
        <f ca="1">IF(R190="x",RANDBETWEEN(1,2),IF(R190="xx",$O$191-Q191,0))</f>
        <v>0</v>
      </c>
      <c r="S191" s="33">
        <f ca="1">IF(S190="x",O191-SUM(Q191:R191,U140:X140),IF(S190="xx",$O$191-SUM(Q191:R191),0))</f>
        <v>0</v>
      </c>
      <c r="T191" s="33">
        <f ca="1">IF(T190="x",RANDBETWEEN(1,2),IF(T190="xx",RANDBETWEEN(2,3),0))</f>
        <v>0</v>
      </c>
      <c r="AJ191" s="29">
        <v>4</v>
      </c>
      <c r="AK191" s="29">
        <v>2</v>
      </c>
      <c r="AL191" s="29" t="str">
        <f ca="1">IF(AND(P15="college of lore",O12&gt;=6),VLOOKUP(RANDBETWEEN(1,10),Table250347461803860917333390444[],2),IF(AND(R15="college of lore",Q12&gt;=6),VLOOKUP(RANDBETWEEN(1,10),Table250347461803860917333390444[],2)," "))</f>
        <v xml:space="preserve"> </v>
      </c>
    </row>
    <row r="192" spans="2:38" x14ac:dyDescent="0.3">
      <c r="B192" s="112" t="s">
        <v>1122</v>
      </c>
      <c r="C192" s="33"/>
      <c r="D192" s="33"/>
      <c r="E192" s="33"/>
      <c r="F192" s="33"/>
      <c r="G192" s="33"/>
      <c r="H192" s="33"/>
      <c r="I192" s="33"/>
      <c r="J192" s="33"/>
      <c r="K192" s="33"/>
      <c r="L192" s="33"/>
      <c r="M192" s="33"/>
      <c r="N192" s="33"/>
      <c r="O192" s="33"/>
      <c r="P192" s="92" t="s">
        <v>1124</v>
      </c>
      <c r="Q192" s="92" t="s">
        <v>1326</v>
      </c>
      <c r="R192" s="92" t="s">
        <v>1167</v>
      </c>
      <c r="S192" s="92" t="s">
        <v>1168</v>
      </c>
      <c r="T192" s="92" t="s">
        <v>676</v>
      </c>
      <c r="AJ192" s="29">
        <v>5</v>
      </c>
      <c r="AK192" s="29">
        <v>2</v>
      </c>
      <c r="AL192" s="29" t="str">
        <f ca="1">IF(AND(P15="college of lore",O12&gt;=6),VLOOKUP(RANDBETWEEN(1,10),Table250347461803860917333390444[],2),IF(AND(R15="college of lore",Q12&gt;=6),VLOOKUP(RANDBETWEEN(1,10),Table250347461803860917333390444[],2)," "))</f>
        <v xml:space="preserve"> </v>
      </c>
    </row>
    <row r="193" spans="2:37" x14ac:dyDescent="0.3">
      <c r="B193" s="79" t="str">
        <f ca="1">IF(OR(O11="bard",O11="paladin",O11="sorcerer",O11="warlock"),8+$P$8+$P$43,IF(OR(O11="druid",O11="cleric",O11="ranger"),8+P8+P42,IF(OR(P15="eldritch knight",P15="arcane trickster",O11="wizard"),8+P8+P41," ")))</f>
        <v xml:space="preserve"> </v>
      </c>
      <c r="C193" s="33"/>
      <c r="D193" s="33"/>
      <c r="E193" s="33"/>
      <c r="F193" s="33"/>
      <c r="G193" s="33"/>
      <c r="H193" s="33"/>
      <c r="I193" s="33"/>
      <c r="J193" s="33"/>
      <c r="K193" s="33"/>
      <c r="L193" s="33"/>
      <c r="M193" s="33"/>
      <c r="N193" s="33"/>
      <c r="O193" s="34">
        <v>1</v>
      </c>
      <c r="P193" s="33" t="str">
        <f ca="1">IF(P$173&gt;=O193,INDEX('Spell Tables'!$P$242:$P$257,MATCH(O193,('Spell Tables'!$N$242:$N$257),0)),IF(P$175&gt;=O193,INDEX('Spell Tables'!$P$194:$P$201,MATCH(O193,('Spell Tables'!$N$194:$N$201),0)),IF(P$177&gt;=O193,INDEX('Spell Tables'!$P$168:$P$183,MATCH(O193,('Spell Tables'!$N$168:$N$183),0)),IF(P$179&gt;=O193,INDEX('Spell Tables'!$P$141:$P$156,MATCH(O193,('Spell Tables'!$N$141:$N$157),0)),IF(P$185&gt;=O193,INDEX('Spell Tables'!$P$70:$P$83,MATCH(O193,('Spell Tables'!$N$70:$N$83),0)),IF(P$187&gt;=O193,INDEX('Spell Tables'!$P$48:$P$55,MATCH(O193,('Spell Tables'!$N$48:$N$55),0)),IF(P$189&gt;=O193,INDEX('Spell Tables'!$P$26:$P$32,MATCH(O193,('Spell Tables'!$N$26:$N$32),0)),IF(P$191&gt;=O193,INDEX('Spell Tables'!$P$2:$P$12,MATCH(O193,('Spell Tables'!$N$2:$N$12),0))," "))))))))</f>
        <v xml:space="preserve"> </v>
      </c>
      <c r="Q193" s="33" t="str">
        <f ca="1">IF(AND($O$15="Otherworldly patron - great old one",Q$175&gt;=O193),INDEX('Spell Tables'!$T$226:$T$238,MATCH(O193,('Spell Tables'!$R$226:$R$238),0)),IF(AND($O$15="Otherworldly patron - fiend",Q$175&gt;=O193),INDEX('Spell Tables'!$T$210:$T$222,MATCH(O193,('Spell Tables'!$R$210:$R$222),0)),IF(Q$173&gt;=O193,INDEX($AL$44:$AL$53,MATCH(O193,($AJ$44:$AJ$53),0)),IF(AND($O$15="Otherworldly patron - archfey",Q$175&gt;=O193),INDEX('Spell Tables'!$T$194:$T$206,MATCH(O193,('Spell Tables'!$R$194:$R$206),0)),IF(Q$177&gt;=O193,INDEX('Spell Tables'!$T$168:$T$187,MATCH(O193,('Spell Tables'!$R$168:$R$187),0)),IF(Q$179&gt;=O193,INDEX('Spell Tables'!$T$141:$T$147,MATCH(O193,('Spell Tables'!$R$141:$R$147),0)),IF(Q$181&gt;=O193,INDEX('Spell Tables'!$P$119:$P$131,MATCH(O193,('Spell Tables'!$N$119:$N$131),0)),IF(Q$183&gt;=O193,INDEX('Spell Tables'!$P$97:$P$111,MATCH(O193,('Spell Tables'!$N$97:$N$111),0)),IF(Q$185&gt;=O193,INDEX('Spell Tables'!$T$70:$T$78,MATCH(O193,('Spell Tables'!$R$70:$R$78),0)),IF(Q$187&gt;=O193,INDEX('Spell Tables'!$T$48:$T$63,MATCH(O193,('Spell Tables'!$R$48:$R$63),0)),IF(Q$189&gt;=O193,INDEX('Spell Tables'!$T$26:$T$40,MATCH(O193,('Spell Tables'!$R$26:$R$40),0)),IF(Q$191&gt;=O193,INDEX('Spell Tables'!$T$2:$T$22,MATCH(O193,('Spell Tables'!$R$2:$R$22),0))," "))))))))))))</f>
        <v xml:space="preserve"> </v>
      </c>
      <c r="R193" s="33" t="str">
        <f ca="1">IF(AND($O$15="Otherworldly patron - great old one",R$175&gt;=O193),INDEX('Spell Tables'!$X$226:$X$239,MATCH(O193,('Spell Tables'!$V$226:$V$239),0)),IF(AND($O$15="Otherworldly patron - fiend",R$175&gt;=O193),INDEX('Spell Tables'!$X$210:$X$223,MATCH(O193,('Spell Tables'!$V$210:$V$223),0)),IF(AND($O$15="Otherworldly patron - archfey",R$175&gt;=O193),INDEX('Spell Tables'!$X$194:$X$207,MATCH(O193,('Spell Tables'!$V$194:$V$207),0)),IF($R$173&gt;=O193,INDEX($AL$56:$AL$65,MATCH(O193,($AJ$56:$AJ$65),0)),IF($R$177&gt;=O193,INDEX('Spell Tables'!$X$168:$X$191,MATCH(O193,('Spell Tables'!$V$168:$V$191),0)),IF($R$179&gt;=O193,INDEX('Spell Tables'!$AB$141:$AB$149,MATCH(O193,('Spell Tables'!$Z$141:$Z$149),0)),IF($R$181&gt;=O193,INDEX('Spell Tables'!$T$119:$T$131,MATCH(O193,('Spell Tables'!$R$119:$R$131),0)),IF($R$183&gt;=O193,INDEX('Spell Tables'!$T$97:$T$104,MATCH(O193,('Spell Tables'!$R$97:$R$104),0)),IF($R$185&gt;=O193,INDEX('Spell Tables'!$AB$70:$AB$75,MATCH(O193,('Spell Tables'!$Z$70:$Z$75),0)),IF($R$187&gt;=O193,INDEX('Spell Tables'!$X$48:$X$65,MATCH(O193,('Spell Tables'!$V$48:$V$65),0)),IF($R$189&gt;=O193,INDEX('Spell Tables'!$X$26:$X$42,MATCH(O193,('Spell Tables'!$V$26:$V$42),0)),IF($R$191&gt;=O193,INDEX('Spell Tables'!$X$2:$X$23,MATCH(O193,('Spell Tables'!$V$2:$V$23),0))," "))))))))))))</f>
        <v xml:space="preserve"> </v>
      </c>
      <c r="S193" s="33" t="str">
        <f ca="1">IF(AND($O$15="Otherworldly patron - great old one",S$175&gt;=O193),INDEX('Spell Tables'!$AB$226:$AB$238,MATCH(O193,('Spell Tables'!$Z$226:$Z$238),0)),IF(AND($O$15="Otherworldly patron - fiend",S$175&gt;=O193),INDEX('Spell Tables'!$AB$210:$AB$222,MATCH(O193,('Spell Tables'!$Z$210:$Z$222),0)),IF(AND($O$15="Otherworldly patron - archfey",S$175&gt;=O193),INDEX('Spell Tables'!$AB$194:$AB$206,MATCH(O193,('Spell Tables'!$Z$194:$Z$206),0)),IF($S$173&gt;=O193,INDEX($AL$68:$AL$77,MATCH(O193,($AJ$68:$AJ$77),0)),IF($S$177&gt;=O193,INDEX('Spell Tables'!$AB$168:$AB$187,MATCH(O193,('Spell Tables'!$Z$168:$Z$187),0)),IF($S$179&gt;=O193,INDEX('Spell Tables'!$AJ$141:$AJ$144,MATCH(O193,('Spell Tables'!$AH$141:$AH$144),0)),IF($S$181&gt;=O193,INDEX('Spell Tables'!$X$119:$X$129,MATCH(O193,('Spell Tables'!$V$119:$V$129),0)),IF($S$183&gt;=O193,INDEX('Spell Tables'!$X$97:$X$106,MATCH(O193,('Spell Tables'!$V$97:$V$106),0)),IF($S$185&gt;=O193,INDEX('Spell Tables'!$AJ$70:$AJ$79,MATCH(O193,('Spell Tables'!$AH$70:$AH$79),0)),IF($S$187&gt;=O193,INDEX('Spell Tables'!$AB$48:$AB$60,MATCH(O193,('Spell Tables'!$Z$48:$Z$60),0)),IF($S$189&gt;=O193,INDEX('Spell Tables'!$AB$26:$AB$45,MATCH(O193,('Spell Tables'!$Z$26:$Z$45),0)),IF($S$191&gt;=O193,INDEX('Spell Tables'!$AB$2:$AB$17,MATCH(O193,('Spell Tables'!$Z$2:$Z$17),0))," "))))))))))))</f>
        <v xml:space="preserve"> </v>
      </c>
      <c r="T193" s="33" t="str">
        <f ca="1">IF(AND($O$15="Otherworldly patron - great old one",T$175&gt;=O193),INDEX('Spell Tables'!$AF$226:$AF$231,MATCH(O193,('Spell Tables'!$AD$226:$AD$231),0)),IF(AND($O$15="Otherworldly patron - fiend",T$175&gt;=O193),INDEX('Spell Tables'!$AF$210:$AF$215,MATCH(O193,('Spell Tables'!$AD$210:$AD$215),0)),IF(AND($O$15="Otherworldly patron - archfey",T$175&gt;=O193),INDEX('Spell Tables'!$AF$194:$AF$199,MATCH(O193,('Spell Tables'!$AD$194:$AD$199),0)),IF($T$173&gt;=O193,INDEX($AL$80:$AL$89,MATCH(O193,($AJ$80:$AJ$89),0)),IF($T$177&gt;=O193,INDEX('Spell Tables'!$AF$168:$AF$177,MATCH(O193,('Spell Tables'!$AD$168:$AD$177),0)),IF($T$179&gt;=O193,INDEX('Spell Tables'!$AR$141:$AR$144,MATCH(O193,('Spell Tables'!$AP$141:$AP$144),0)),IF($T$181&gt;=O193,INDEX('Spell Tables'!$AB$119:$AB$123,MATCH(O193,('Spell Tables'!$Z$119:$Z$123),0)),IF($T$183&gt;=O193,INDEX('Spell Tables'!$AB$97:$AB$102,MATCH(O193,('Spell Tables'!$Z$97:$Z$102),0)),IF($T$185&gt;=O193,INDEX('Spell Tables'!$AR$70:$AR$75,MATCH(O193,('Spell Tables'!$AP$70:$AP$75),0)),IF($T$187&gt;=O193,INDEX('Spell Tables'!$AF$48:$AF$63,MATCH(O193,('Spell Tables'!$AD$48:$AD$63),0)),IF($T$189&gt;=O193,INDEX('Spell Tables'!$AF$26:$AF$33,MATCH(O193,('Spell Tables'!$AD$26:$AD$33),0)),IF($T$191&gt;=O193,INDEX('Spell Tables'!$AF$2:$AF$9,MATCH(O193,('Spell Tables'!$AD$2:$AD$9),0))," "))))))))))))</f>
        <v xml:space="preserve"> </v>
      </c>
      <c r="AJ193" s="29">
        <v>6</v>
      </c>
      <c r="AK193" s="29">
        <v>2</v>
      </c>
    </row>
    <row r="194" spans="2:37" x14ac:dyDescent="0.3">
      <c r="B194" s="112" t="s">
        <v>1123</v>
      </c>
      <c r="C194" s="33"/>
      <c r="D194" s="33"/>
      <c r="E194" s="33"/>
      <c r="F194" s="33"/>
      <c r="G194" s="33"/>
      <c r="H194" s="33"/>
      <c r="I194" s="33"/>
      <c r="J194" s="33"/>
      <c r="K194" s="33"/>
      <c r="L194" s="33"/>
      <c r="M194" s="33"/>
      <c r="N194" s="33"/>
      <c r="O194" s="34">
        <v>2</v>
      </c>
      <c r="P194" s="33" t="str">
        <f ca="1">IF(P$173&gt;=O194,INDEX('Spell Tables'!$P$242:$P$257,MATCH(O194,('Spell Tables'!$N$242:$N$257),0)),IF(P$175&gt;=O194,INDEX('Spell Tables'!$P$194:$P$201,MATCH(O194,('Spell Tables'!$N$194:$N$201),0)),IF(P$177&gt;=O194,INDEX('Spell Tables'!$P$168:$P$183,MATCH(O194,('Spell Tables'!$N$168:$N$183),0)),IF(P$179&gt;=O194,INDEX('Spell Tables'!$P$141:$P$156,MATCH(O194,('Spell Tables'!$N$141:$N$157),0)),IF(P$185&gt;=O194,INDEX('Spell Tables'!$P$70:$P$83,MATCH(O194,('Spell Tables'!$N$70:$N$83),0)),IF(P$187&gt;=O194,INDEX('Spell Tables'!$P$48:$P$55,MATCH(O194,('Spell Tables'!$N$48:$N$55),0)),IF(P$189&gt;=O194,INDEX('Spell Tables'!$P$26:$P$32,MATCH(O194,('Spell Tables'!$N$26:$N$32),0)),IF(P$191&gt;=O194,INDEX('Spell Tables'!$P$2:$P$12,MATCH(O194,('Spell Tables'!$N$2:$N$12),0))," "))))))))</f>
        <v xml:space="preserve"> </v>
      </c>
      <c r="Q194" s="33" t="str">
        <f ca="1">IF(AND($O$15="Otherworldly patron - great old one",Q$175&gt;=O194),INDEX('Spell Tables'!$T$226:$T$238,MATCH(O194,('Spell Tables'!$R$226:$R$238),0)),IF(AND($O$15="Otherworldly patron - fiend",Q$175&gt;=O194),INDEX('Spell Tables'!$T$210:$T$222,MATCH(O194,('Spell Tables'!$R$210:$R$222),0)),IF(Q$173&gt;=O194,INDEX($AL$44:$AL$53,MATCH(O194,($AJ$44:$AJ$53),0)),IF(AND($O$15="Otherworldly patron - archfey",Q$175&gt;=O194),INDEX('Spell Tables'!$T$194:$T$206,MATCH(O194,('Spell Tables'!$R$194:$R$206),0)),IF(Q$177&gt;=O194,INDEX('Spell Tables'!$T$168:$T$187,MATCH(O194,('Spell Tables'!$R$168:$R$187),0)),IF(Q$179&gt;=O194,INDEX('Spell Tables'!$T$141:$T$147,MATCH(O194,('Spell Tables'!$R$141:$R$147),0)),IF(Q$181&gt;=O194,INDEX('Spell Tables'!$P$119:$P$131,MATCH(O194,('Spell Tables'!$N$119:$N$131),0)),IF(Q$183&gt;=O194,INDEX('Spell Tables'!$P$97:$P$111,MATCH(O194,('Spell Tables'!$N$97:$N$111),0)),IF(Q$185&gt;=O194,INDEX('Spell Tables'!$T$70:$T$78,MATCH(O194,('Spell Tables'!$R$70:$R$78),0)),IF(Q$187&gt;=O194,INDEX('Spell Tables'!$T$48:$T$63,MATCH(O194,('Spell Tables'!$R$48:$R$63),0)),IF(Q$189&gt;=O194,INDEX('Spell Tables'!$T$26:$T$40,MATCH(O194,('Spell Tables'!$R$26:$R$40),0)),IF(Q$191&gt;=O194,INDEX('Spell Tables'!$T$2:$T$22,MATCH(O194,('Spell Tables'!$R$2:$R$22),0))," "))))))))))))</f>
        <v xml:space="preserve"> </v>
      </c>
      <c r="R194" s="33" t="str">
        <f ca="1">IF(AND($O$15="Otherworldly patron - great old one",R$175&gt;=O194),INDEX('Spell Tables'!$X$226:$X$239,MATCH(O194,('Spell Tables'!$V$226:$V$239),0)),IF(AND($O$15="Otherworldly patron - fiend",R$175&gt;=O194),INDEX('Spell Tables'!$X$210:$X$223,MATCH(O194,('Spell Tables'!$V$210:$V$223),0)),IF(AND($O$15="Otherworldly patron - archfey",R$175&gt;=O194),INDEX('Spell Tables'!$X$194:$X$207,MATCH(O194,('Spell Tables'!$V$194:$V$207),0)),IF($R$173&gt;=O194,INDEX($AL$56:$AL$65,MATCH(O194,($AJ$56:$AJ$65),0)),IF($R$177&gt;=O194,INDEX('Spell Tables'!$X$168:$X$191,MATCH(O194,('Spell Tables'!$V$168:$V$191),0)),IF($R$179&gt;=O194,INDEX('Spell Tables'!$AB$141:$AB$149,MATCH(O194,('Spell Tables'!$Z$141:$Z$149),0)),IF($R$181&gt;=O194,INDEX('Spell Tables'!$T$119:$T$131,MATCH(O194,('Spell Tables'!$R$119:$R$131),0)),IF($R$183&gt;=O194,INDEX('Spell Tables'!$T$97:$T$104,MATCH(O194,('Spell Tables'!$R$97:$R$104),0)),IF($R$185&gt;=O194,INDEX('Spell Tables'!$AB$70:$AB$75,MATCH(O194,('Spell Tables'!$Z$70:$Z$75),0)),IF($R$187&gt;=O194,INDEX('Spell Tables'!$X$48:$X$65,MATCH(O194,('Spell Tables'!$V$48:$V$65),0)),IF($R$189&gt;=O194,INDEX('Spell Tables'!$X$26:$X$42,MATCH(O194,('Spell Tables'!$V$26:$V$42),0)),IF($R$191&gt;=O194,INDEX('Spell Tables'!$X$2:$X$23,MATCH(O194,('Spell Tables'!$V$2:$V$23),0))," "))))))))))))</f>
        <v xml:space="preserve"> </v>
      </c>
      <c r="S194" s="33" t="str">
        <f ca="1">IF(AND($O$15="Otherworldly patron - great old one",S$175&gt;=O194),INDEX('Spell Tables'!$AB$226:$AB$238,MATCH(O194,('Spell Tables'!$Z$226:$Z$238),0)),IF(AND($O$15="Otherworldly patron - fiend",S$175&gt;=O194),INDEX('Spell Tables'!$AB$210:$AB$222,MATCH(O194,('Spell Tables'!$Z$210:$Z$222),0)),IF(AND($O$15="Otherworldly patron - archfey",S$175&gt;=O194),INDEX('Spell Tables'!$AB$194:$AB$206,MATCH(O194,('Spell Tables'!$Z$194:$Z$206),0)),IF($S$173&gt;=O194,INDEX($AL$68:$AL$77,MATCH(O194,($AJ$68:$AJ$77),0)),IF($S$177&gt;=O194,INDEX('Spell Tables'!$AB$168:$AB$187,MATCH(O194,('Spell Tables'!$Z$168:$Z$187),0)),IF($S$179&gt;=O194,INDEX('Spell Tables'!$AJ$141:$AJ$144,MATCH(O194,('Spell Tables'!$AH$141:$AH$144),0)),IF($S$181&gt;=O194,INDEX('Spell Tables'!$X$119:$X$129,MATCH(O194,('Spell Tables'!$V$119:$V$129),0)),IF($S$183&gt;=O194,INDEX('Spell Tables'!$X$97:$X$106,MATCH(O194,('Spell Tables'!$V$97:$V$106),0)),IF($S$185&gt;=O194,INDEX('Spell Tables'!$AJ$70:$AJ$79,MATCH(O194,('Spell Tables'!$AH$70:$AH$79),0)),IF($S$187&gt;=O194,INDEX('Spell Tables'!$AB$48:$AB$60,MATCH(O194,('Spell Tables'!$Z$48:$Z$60),0)),IF($S$189&gt;=O194,INDEX('Spell Tables'!$AB$26:$AB$45,MATCH(O194,('Spell Tables'!$Z$26:$Z$45),0)),IF($S$191&gt;=O194,INDEX('Spell Tables'!$AB$2:$AB$17,MATCH(O194,('Spell Tables'!$Z$2:$Z$17),0))," "))))))))))))</f>
        <v xml:space="preserve"> </v>
      </c>
      <c r="T194" s="33" t="str">
        <f ca="1">IF(AND($O$15="Otherworldly patron - great old one",T$175&gt;=O194),INDEX('Spell Tables'!$AF$226:$AF$231,MATCH(O194,('Spell Tables'!$AD$226:$AD$231),0)),IF(AND($O$15="Otherworldly patron - fiend",T$175&gt;=O194),INDEX('Spell Tables'!$AF$210:$AF$215,MATCH(O194,('Spell Tables'!$AD$210:$AD$215),0)),IF(AND($O$15="Otherworldly patron - archfey",T$175&gt;=O194),INDEX('Spell Tables'!$AF$194:$AF$199,MATCH(O194,('Spell Tables'!$AD$194:$AD$199),0)),IF($T$173&gt;=O194,INDEX($AL$80:$AL$89,MATCH(O194,($AJ$80:$AJ$89),0)),IF($T$177&gt;=O194,INDEX('Spell Tables'!$AF$168:$AF$177,MATCH(O194,('Spell Tables'!$AD$168:$AD$177),0)),IF($T$179&gt;=O194,INDEX('Spell Tables'!$AR$141:$AR$144,MATCH(O194,('Spell Tables'!$AP$141:$AP$144),0)),IF($T$181&gt;=O194,INDEX('Spell Tables'!$AB$119:$AB$123,MATCH(O194,('Spell Tables'!$Z$119:$Z$123),0)),IF($T$183&gt;=O194,INDEX('Spell Tables'!$AB$97:$AB$102,MATCH(O194,('Spell Tables'!$Z$97:$Z$102),0)),IF($T$185&gt;=O194,INDEX('Spell Tables'!$AR$70:$AR$75,MATCH(O194,('Spell Tables'!$AP$70:$AP$75),0)),IF($T$187&gt;=O194,INDEX('Spell Tables'!$AF$48:$AF$63,MATCH(O194,('Spell Tables'!$AD$48:$AD$63),0)),IF($T$189&gt;=O194,INDEX('Spell Tables'!$AF$26:$AF$33,MATCH(O194,('Spell Tables'!$AD$26:$AD$33),0)),IF($T$191&gt;=O194,INDEX('Spell Tables'!$AF$2:$AF$9,MATCH(O194,('Spell Tables'!$AD$2:$AD$9),0))," "))))))))))))</f>
        <v xml:space="preserve"> </v>
      </c>
      <c r="AJ194" s="29">
        <v>7</v>
      </c>
      <c r="AK194" s="29">
        <v>3</v>
      </c>
    </row>
    <row r="195" spans="2:37" x14ac:dyDescent="0.3">
      <c r="B195" s="79" t="str">
        <f ca="1">IF(OR(O11="bard",O11="paladin",O11="sorcerer",O11="warlock"),P8+$P$43,IF(OR(O11="druid",O11="cleric",O11="ranger"),P8+P42,IF(OR(P15="eldritch knight",P15="arcane trickster",O11="wizard"),P8+P41," ")))</f>
        <v xml:space="preserve"> </v>
      </c>
      <c r="C195" s="33"/>
      <c r="D195" s="33"/>
      <c r="E195" s="33"/>
      <c r="F195" s="33"/>
      <c r="G195" s="33"/>
      <c r="H195" s="33"/>
      <c r="I195" s="33"/>
      <c r="J195" s="33"/>
      <c r="K195" s="33"/>
      <c r="L195" s="33"/>
      <c r="M195" s="33"/>
      <c r="N195" s="33"/>
      <c r="O195" s="34">
        <v>3</v>
      </c>
      <c r="P195" s="33" t="str">
        <f ca="1">IF(P$173&gt;=O195,INDEX('Spell Tables'!$P$242:$P$257,MATCH(O195,('Spell Tables'!$N$242:$N$257),0)),IF(P$175&gt;=O195,INDEX('Spell Tables'!$P$194:$P$201,MATCH(O195,('Spell Tables'!$N$194:$N$201),0)),IF(P$177&gt;=O195,INDEX('Spell Tables'!$P$168:$P$183,MATCH(O195,('Spell Tables'!$N$168:$N$183),0)),IF(P$179&gt;=O195,INDEX('Spell Tables'!$P$141:$P$156,MATCH(O195,('Spell Tables'!$N$141:$N$157),0)),IF(P$185&gt;=O195,INDEX('Spell Tables'!$P$70:$P$83,MATCH(O195,('Spell Tables'!$N$70:$N$83),0)),IF(P$187&gt;=O195,INDEX('Spell Tables'!$P$48:$P$55,MATCH(O195,('Spell Tables'!$N$48:$N$55),0)),IF(P$189&gt;=O195,INDEX('Spell Tables'!$P$26:$P$32,MATCH(O195,('Spell Tables'!$N$26:$N$32),0)),IF(P$191&gt;=O195,INDEX('Spell Tables'!$P$2:$P$12,MATCH(O195,('Spell Tables'!$N$2:$N$12),0))," "))))))))</f>
        <v xml:space="preserve"> </v>
      </c>
      <c r="Q195" s="33" t="str">
        <f ca="1">IF(AND($O$15="Otherworldly patron - great old one",Q$175&gt;=O195),INDEX('Spell Tables'!$T$226:$T$238,MATCH(O195,('Spell Tables'!$R$226:$R$238),0)),IF(AND($O$15="Otherworldly patron - fiend",Q$175&gt;=O195),INDEX('Spell Tables'!$T$210:$T$222,MATCH(O195,('Spell Tables'!$R$210:$R$222),0)),IF(Q$173&gt;=O195,INDEX($AL$44:$AL$53,MATCH(O195,($AJ$44:$AJ$53),0)),IF(AND($O$15="Otherworldly patron - archfey",Q$175&gt;=O195),INDEX('Spell Tables'!$T$194:$T$206,MATCH(O195,('Spell Tables'!$R$194:$R$206),0)),IF(Q$177&gt;=O195,INDEX('Spell Tables'!$T$168:$T$187,MATCH(O195,('Spell Tables'!$R$168:$R$187),0)),IF(Q$179&gt;=O195,INDEX('Spell Tables'!$T$141:$T$147,MATCH(O195,('Spell Tables'!$R$141:$R$147),0)),IF(Q$181&gt;=O195,INDEX('Spell Tables'!$P$119:$P$131,MATCH(O195,('Spell Tables'!$N$119:$N$131),0)),IF(Q$183&gt;=O195,INDEX('Spell Tables'!$P$97:$P$111,MATCH(O195,('Spell Tables'!$N$97:$N$111),0)),IF(Q$185&gt;=O195,INDEX('Spell Tables'!$T$70:$T$78,MATCH(O195,('Spell Tables'!$R$70:$R$78),0)),IF(Q$187&gt;=O195,INDEX('Spell Tables'!$T$48:$T$63,MATCH(O195,('Spell Tables'!$R$48:$R$63),0)),IF(Q$189&gt;=O195,INDEX('Spell Tables'!$T$26:$T$40,MATCH(O195,('Spell Tables'!$R$26:$R$40),0)),IF(Q$191&gt;=O195,INDEX('Spell Tables'!$T$2:$T$22,MATCH(O195,('Spell Tables'!$R$2:$R$22),0))," "))))))))))))</f>
        <v xml:space="preserve"> </v>
      </c>
      <c r="R195" s="33" t="str">
        <f ca="1">IF(AND($O$15="Otherworldly patron - great old one",R$175&gt;=O195),INDEX('Spell Tables'!$X$226:$X$239,MATCH(O195,('Spell Tables'!$V$226:$V$239),0)),IF(AND($O$15="Otherworldly patron - fiend",R$175&gt;=O195),INDEX('Spell Tables'!$X$210:$X$223,MATCH(O195,('Spell Tables'!$V$210:$V$223),0)),IF(AND($O$15="Otherworldly patron - archfey",R$175&gt;=O195),INDEX('Spell Tables'!$X$194:$X$207,MATCH(O195,('Spell Tables'!$V$194:$V$207),0)),IF($R$173&gt;=O195,INDEX($AL$56:$AL$65,MATCH(O195,($AJ$56:$AJ$65),0)),IF($R$177&gt;=O195,INDEX('Spell Tables'!$X$168:$X$191,MATCH(O195,('Spell Tables'!$V$168:$V$191),0)),IF($R$179&gt;=O195,INDEX('Spell Tables'!$AB$141:$AB$149,MATCH(O195,('Spell Tables'!$Z$141:$Z$149),0)),IF($R$181&gt;=O195,INDEX('Spell Tables'!$T$119:$T$131,MATCH(O195,('Spell Tables'!$R$119:$R$131),0)),IF($R$183&gt;=O195,INDEX('Spell Tables'!$T$97:$T$104,MATCH(O195,('Spell Tables'!$R$97:$R$104),0)),IF($R$185&gt;=O195,INDEX('Spell Tables'!$AB$70:$AB$75,MATCH(O195,('Spell Tables'!$Z$70:$Z$75),0)),IF($R$187&gt;=O195,INDEX('Spell Tables'!$X$48:$X$65,MATCH(O195,('Spell Tables'!$V$48:$V$65),0)),IF($R$189&gt;=O195,INDEX('Spell Tables'!$X$26:$X$42,MATCH(O195,('Spell Tables'!$V$26:$V$42),0)),IF($R$191&gt;=O195,INDEX('Spell Tables'!$X$2:$X$23,MATCH(O195,('Spell Tables'!$V$2:$V$23),0))," "))))))))))))</f>
        <v xml:space="preserve"> </v>
      </c>
      <c r="S195" s="33" t="str">
        <f ca="1">IF(AND($O$15="Otherworldly patron - great old one",S$175&gt;=O195),INDEX('Spell Tables'!$AB$226:$AB$238,MATCH(O195,('Spell Tables'!$Z$226:$Z$238),0)),IF(AND($O$15="Otherworldly patron - fiend",S$175&gt;=O195),INDEX('Spell Tables'!$AB$210:$AB$222,MATCH(O195,('Spell Tables'!$Z$210:$Z$222),0)),IF(AND($O$15="Otherworldly patron - archfey",S$175&gt;=O195),INDEX('Spell Tables'!$AB$194:$AB$206,MATCH(O195,('Spell Tables'!$Z$194:$Z$206),0)),IF($S$173&gt;=O197,INDEX($AL$68:$AL$77,MATCH(O195,($AJ$68:$AJ$77),0)),IF($S$177&gt;=O195,INDEX('Spell Tables'!$AB$168:$AB$187,MATCH(O195,('Spell Tables'!$Z$168:$Z$187),0)),IF($S$179&gt;=O195,INDEX('Spell Tables'!$AJ$141:$AJ$144,MATCH(O195,('Spell Tables'!$AH$141:$AH$144),0)),IF($S$181&gt;=O195,INDEX('Spell Tables'!$X$119:$X$129,MATCH(O195,('Spell Tables'!$V$119:$V$129),0)),IF($S$183&gt;=O195,INDEX('Spell Tables'!$X$97:$X$106,MATCH(O195,('Spell Tables'!$V$97:$V$106),0)),IF($S$185&gt;=O195,INDEX('Spell Tables'!$AJ$70:$AJ$79,MATCH(O195,('Spell Tables'!$AH$70:$AH$79),0)),IF($S$187&gt;=O195,INDEX('Spell Tables'!$AB$48:$AB$60,MATCH(O195,('Spell Tables'!$Z$48:$Z$60),0)),IF($S$189&gt;=O195,INDEX('Spell Tables'!$AB$26:$AB$45,MATCH(O195,('Spell Tables'!$Z$26:$Z$45),0)),IF($S$191&gt;=O195,INDEX('Spell Tables'!$AB$2:$AB$17,MATCH(O195,('Spell Tables'!$Z$2:$Z$17),0))," "))))))))))))</f>
        <v xml:space="preserve"> </v>
      </c>
      <c r="T195" s="33" t="str">
        <f ca="1">IF(AND($O$15="Otherworldly patron - great old one",T$175&gt;=O195),INDEX('Spell Tables'!$AF$226:$AF$231,MATCH(O195,('Spell Tables'!$AD$226:$AD$231),0)),IF(AND($O$15="Otherworldly patron - fiend",T$175&gt;=O195),INDEX('Spell Tables'!$AF$210:$AF$215,MATCH(O195,('Spell Tables'!$AD$210:$AD$215),0)),IF(AND($O$15="Otherworldly patron - archfey",T$175&gt;=O195),INDEX('Spell Tables'!$AF$194:$AF$199,MATCH(O195,('Spell Tables'!$AD$194:$AD$199),0)),IF($T$173&gt;=O195,INDEX($AL$80:$AL$89,MATCH(O195,($AJ$80:$AJ$89),0)),IF($T$177&gt;=O195,INDEX('Spell Tables'!$AF$168:$AF$177,MATCH(O195,('Spell Tables'!$AD$168:$AD$177),0)),IF($T$179&gt;=O195,INDEX('Spell Tables'!$AR$141:$AR$144,MATCH(O195,('Spell Tables'!$AP$141:$AP$144),0)),IF($T$181&gt;=O195,INDEX('Spell Tables'!$AB$119:$AB$123,MATCH(O195,('Spell Tables'!$Z$119:$Z$123),0)),IF($T$183&gt;=O195,INDEX('Spell Tables'!$AB$97:$AB$102,MATCH(O195,('Spell Tables'!$Z$97:$Z$102),0)),IF($T$185&gt;=O195,INDEX('Spell Tables'!$AR$70:$AR$75,MATCH(O195,('Spell Tables'!$AP$70:$AP$75),0)),IF($T$187&gt;=O195,INDEX('Spell Tables'!$AF$48:$AF$63,MATCH(O195,('Spell Tables'!$AD$48:$AD$63),0)),IF($T$189&gt;=O195,INDEX('Spell Tables'!$AF$26:$AF$33,MATCH(O195,('Spell Tables'!$AD$26:$AD$33),0)),IF($T$191&gt;=O195,INDEX('Spell Tables'!$AF$2:$AF$9,MATCH(O195,('Spell Tables'!$AD$2:$AD$9),0))," "))))))))))))</f>
        <v xml:space="preserve"> </v>
      </c>
      <c r="AJ195" s="29">
        <v>8</v>
      </c>
      <c r="AK195" s="29">
        <v>3</v>
      </c>
    </row>
    <row r="196" spans="2:37" x14ac:dyDescent="0.3">
      <c r="B196" s="79"/>
      <c r="C196" s="33"/>
      <c r="D196" s="33"/>
      <c r="E196" s="33"/>
      <c r="F196" s="33"/>
      <c r="G196" s="33"/>
      <c r="H196" s="33"/>
      <c r="I196" s="33"/>
      <c r="J196" s="33"/>
      <c r="K196" s="33"/>
      <c r="L196" s="33"/>
      <c r="M196" s="33"/>
      <c r="N196" s="33"/>
      <c r="O196" s="34">
        <v>4</v>
      </c>
      <c r="P196" s="33" t="str">
        <f ca="1">IF(P$173&gt;=O196,INDEX('Spell Tables'!$P$242:$P$257,MATCH(O196,('Spell Tables'!$N$242:$N$257),0)),IF(P$175&gt;=O196,INDEX('Spell Tables'!$P$194:$P$201,MATCH(O196,('Spell Tables'!$N$194:$N$201),0)),IF(P$177&gt;=O196,INDEX('Spell Tables'!$P$168:$P$183,MATCH(O196,('Spell Tables'!$N$168:$N$183),0)),IF(P$179&gt;=O196,INDEX('Spell Tables'!$P$141:$P$156,MATCH(O196,('Spell Tables'!$N$141:$N$157),0)),IF(P$185&gt;=O196,INDEX('Spell Tables'!$P$70:$P$83,MATCH(O196,('Spell Tables'!$N$70:$N$83),0)),IF(P$187&gt;=O196,INDEX('Spell Tables'!$P$48:$P$55,MATCH(O196,('Spell Tables'!$N$48:$N$55),0)),IF(P$189&gt;=O196,INDEX('Spell Tables'!$P$26:$P$32,MATCH(O196,('Spell Tables'!$N$26:$N$32),0)),IF(P$191&gt;=O196,INDEX('Spell Tables'!$P$2:$P$12,MATCH(O196,('Spell Tables'!$N$2:$N$12),0))," "))))))))</f>
        <v xml:space="preserve"> </v>
      </c>
      <c r="Q196" s="33" t="str">
        <f ca="1">IF(AND($O$15="Otherworldly patron - great old one",Q$175&gt;=O196),INDEX('Spell Tables'!$T$226:$T$238,MATCH(O196,('Spell Tables'!$R$226:$R$238),0)),IF(AND($O$15="Otherworldly patron - fiend",Q$175&gt;=O196),INDEX('Spell Tables'!$T$210:$T$222,MATCH(O196,('Spell Tables'!$R$210:$R$222),0)),IF(Q$173&gt;=O196,INDEX($AL$44:$AL$53,MATCH(O196,($AJ$44:$AJ$53),0)),IF(AND($O$15="Otherworldly patron - archfey",Q$175&gt;=O196),INDEX('Spell Tables'!$T$194:$T$206,MATCH(O196,('Spell Tables'!$R$194:$R$206),0)),IF(Q$177&gt;=O196,INDEX('Spell Tables'!$T$168:$T$187,MATCH(O196,('Spell Tables'!$R$168:$R$187),0)),IF(Q$179&gt;=O196,INDEX('Spell Tables'!$T$141:$T$147,MATCH(O196,('Spell Tables'!$R$141:$R$147),0)),IF(Q$181&gt;=O196,INDEX('Spell Tables'!$P$119:$P$131,MATCH(O196,('Spell Tables'!$N$119:$N$131),0)),IF(Q$183&gt;=O196,INDEX('Spell Tables'!$P$97:$P$111,MATCH(O196,('Spell Tables'!$N$97:$N$111),0)),IF(Q$185&gt;=O196,INDEX('Spell Tables'!$T$70:$T$78,MATCH(O196,('Spell Tables'!$R$70:$R$78),0)),IF(Q$187&gt;=O196,INDEX('Spell Tables'!$T$48:$T$63,MATCH(O196,('Spell Tables'!$R$48:$R$63),0)),IF(Q$189&gt;=O196,INDEX('Spell Tables'!$T$26:$T$40,MATCH(O196,('Spell Tables'!$R$26:$R$40),0)),IF(Q$191&gt;=O196,INDEX('Spell Tables'!$T$2:$T$22,MATCH(O196,('Spell Tables'!$R$2:$R$22),0))," "))))))))))))</f>
        <v xml:space="preserve"> </v>
      </c>
      <c r="R196" s="33" t="str">
        <f ca="1">IF(AND($O$15="Otherworldly patron - great old one",R$175&gt;=O196),INDEX('Spell Tables'!$X$226:$X$239,MATCH(O196,('Spell Tables'!$V$226:$V$239),0)),IF(AND($O$15="Otherworldly patron - fiend",R$175&gt;=O196),INDEX('Spell Tables'!$X$210:$X$223,MATCH(O196,('Spell Tables'!$V$210:$V$223),0)),IF(AND($O$15="Otherworldly patron - archfey",R$175&gt;=O196),INDEX('Spell Tables'!$X$194:$X$207,MATCH(O196,('Spell Tables'!$V$194:$V$207),0)),IF($R$173&gt;=O196,INDEX($AL$56:$AL$65,MATCH(O196,($AJ$56:$AJ$65),0)),IF($R$177&gt;=O196,INDEX('Spell Tables'!$X$168:$X$191,MATCH(O196,('Spell Tables'!$V$168:$V$191),0)),IF($R$179&gt;=O196,INDEX('Spell Tables'!$AB$141:$AB$149,MATCH(O196,('Spell Tables'!$Z$141:$Z$149),0)),IF($R$181&gt;=O196,INDEX('Spell Tables'!$T$119:$T$131,MATCH(O196,('Spell Tables'!$R$119:$R$131),0)),IF($R$183&gt;=O196,INDEX('Spell Tables'!$T$97:$T$104,MATCH(O196,('Spell Tables'!$R$97:$R$104),0)),IF($R$185&gt;=O196,INDEX('Spell Tables'!$AB$70:$AB$75,MATCH(O196,('Spell Tables'!$Z$70:$Z$75),0)),IF($R$187&gt;=O196,INDEX('Spell Tables'!$X$48:$X$65,MATCH(O196,('Spell Tables'!$V$48:$V$65),0)),IF($R$189&gt;=O196,INDEX('Spell Tables'!$X$26:$X$42,MATCH(O196,('Spell Tables'!$V$26:$V$42),0)),IF($R$191&gt;=O196,INDEX('Spell Tables'!$X$2:$X$23,MATCH(O196,('Spell Tables'!$V$2:$V$23),0))," "))))))))))))</f>
        <v xml:space="preserve"> </v>
      </c>
      <c r="S196" s="33" t="str">
        <f ca="1">IF(AND($O$15="Otherworldly patron - great old one",S$175&gt;=O196),INDEX('Spell Tables'!$AB$226:$AB$238,MATCH(O196,('Spell Tables'!$Z$226:$Z$238),0)),IF(AND($O$15="Otherworldly patron - fiend",S$175&gt;=O196),INDEX('Spell Tables'!$AB$210:$AB$222,MATCH(O196,('Spell Tables'!$Z$210:$Z$222),0)),IF(AND($O$15="Otherworldly patron - archfey",S$175&gt;=O196),INDEX('Spell Tables'!$AB$194:$AB$206,MATCH(O196,('Spell Tables'!$Z$194:$Z$206),0)),IF($S$173&gt;=O196,INDEX($AL$68:$AL$77,MATCH(O196,($AJ$68:$AJ$77),0)),IF($S$177&gt;=O196,INDEX('Spell Tables'!$AB$168:$AB$187,MATCH(O196,('Spell Tables'!$Z$168:$Z$187),0)),IF($S$179&gt;=O196,INDEX('Spell Tables'!$AJ$141:$AJ$144,MATCH(O196,('Spell Tables'!$AH$141:$AH$144),0)),IF($S$181&gt;=O196,INDEX('Spell Tables'!$X$119:$X$129,MATCH(O196,('Spell Tables'!$V$119:$V$129),0)),IF($S$183&gt;=O196,INDEX('Spell Tables'!$X$97:$X$106,MATCH(O196,('Spell Tables'!$V$97:$V$106),0)),IF($S$185&gt;=O196,INDEX('Spell Tables'!$AJ$70:$AJ$79,MATCH(O196,('Spell Tables'!$AH$70:$AH$79),0)),IF($S$187&gt;=O196,INDEX('Spell Tables'!$AB$48:$AB$60,MATCH(O196,('Spell Tables'!$Z$48:$Z$60),0)),IF($S$189&gt;=O196,INDEX('Spell Tables'!$AB$26:$AB$45,MATCH(O196,('Spell Tables'!$Z$26:$Z$45),0)),IF($S$191&gt;=O196,INDEX('Spell Tables'!$AB$2:$AB$17,MATCH(O196,('Spell Tables'!$Z$2:$Z$17),0))," "))))))))))))</f>
        <v xml:space="preserve"> </v>
      </c>
      <c r="T196" s="33" t="str">
        <f ca="1">IF(AND($O$15="Otherworldly patron - great old one",T$175&gt;=O196),INDEX('Spell Tables'!$AF$226:$AF$231,MATCH(O196,('Spell Tables'!$AD$226:$AD$231),0)),IF(AND($O$15="Otherworldly patron - fiend",T$175&gt;=O196),INDEX('Spell Tables'!$AF$210:$AF$215,MATCH(O196,('Spell Tables'!$AD$210:$AD$215),0)),IF(AND($O$15="Otherworldly patron - archfey",T$175&gt;=O196),INDEX('Spell Tables'!$AF$194:$AF$199,MATCH(O196,('Spell Tables'!$AD$194:$AD$199),0)),IF($T$173&gt;=O196,INDEX($AL$80:$AL$89,MATCH(O196,($AJ$80:$AJ$89),0)),IF($T$177&gt;=O196,INDEX('Spell Tables'!$AF$168:$AF$177,MATCH(O196,('Spell Tables'!$AD$168:$AD$177),0)),IF($T$179&gt;=O196,INDEX('Spell Tables'!$AR$141:$AR$144,MATCH(O196,('Spell Tables'!$AP$141:$AP$144),0)),IF($T$181&gt;=O196,INDEX('Spell Tables'!$AB$119:$AB$123,MATCH(O196,('Spell Tables'!$Z$119:$Z$123),0)),IF($T$183&gt;=O196,INDEX('Spell Tables'!$AB$97:$AB$102,MATCH(O196,('Spell Tables'!$Z$97:$Z$102),0)),IF($T$185&gt;=O196,INDEX('Spell Tables'!$AR$70:$AR$75,MATCH(O196,('Spell Tables'!$AP$70:$AP$75),0)),IF($T$187&gt;=O196,INDEX('Spell Tables'!$AF$48:$AF$63,MATCH(O196,('Spell Tables'!$AD$48:$AD$63),0)),IF($T$189&gt;=O196,INDEX('Spell Tables'!$AF$26:$AF$33,MATCH(O196,('Spell Tables'!$AD$26:$AD$33),0)),IF($T$191&gt;=O196,INDEX('Spell Tables'!$AF$2:$AF$9,MATCH(O196,('Spell Tables'!$AD$2:$AD$9),0))," "))))))))))))</f>
        <v xml:space="preserve"> </v>
      </c>
      <c r="AJ196" s="29">
        <v>9</v>
      </c>
      <c r="AK196" s="29">
        <v>3</v>
      </c>
    </row>
    <row r="197" spans="2:37" x14ac:dyDescent="0.3">
      <c r="B197" s="79"/>
      <c r="C197" s="33"/>
      <c r="D197" s="33"/>
      <c r="E197" s="33"/>
      <c r="F197" s="33"/>
      <c r="G197" s="33"/>
      <c r="H197" s="33"/>
      <c r="I197" s="33"/>
      <c r="J197" s="33"/>
      <c r="K197" s="33"/>
      <c r="L197" s="33"/>
      <c r="M197" s="33"/>
      <c r="N197" s="33"/>
      <c r="O197" s="34">
        <v>5</v>
      </c>
      <c r="P197" s="33" t="str">
        <f ca="1">IF(P$173&gt;=O197,INDEX('Spell Tables'!$P$242:$P$257,MATCH(O197,('Spell Tables'!$N$242:$N$257),0)),IF(P$175&gt;=O197,INDEX('Spell Tables'!$P$194:$P$201,MATCH(O197,('Spell Tables'!$N$194:$N$201),0)),IF(P$177&gt;=O197,INDEX('Spell Tables'!$P$168:$P$183,MATCH(O197,('Spell Tables'!$N$168:$N$183),0)),IF(P$179&gt;=O197,INDEX('Spell Tables'!$P$141:$P$156,MATCH(O197,('Spell Tables'!$N$141:$N$157),0)),IF(P$185&gt;=O197,INDEX('Spell Tables'!$P$70:$P$83,MATCH(O197,('Spell Tables'!$N$70:$N$83),0)),IF(P$187&gt;=O197,INDEX('Spell Tables'!$P$48:$P$55,MATCH(O197,('Spell Tables'!$N$48:$N$55),0)),IF(P$189&gt;=O197,INDEX('Spell Tables'!$P$26:$P$32,MATCH(O197,('Spell Tables'!$N$26:$N$32),0)),IF(P$191&gt;=O197,INDEX('Spell Tables'!$P$2:$P$12,MATCH(O197,('Spell Tables'!$N$2:$N$12),0))," "))))))))</f>
        <v xml:space="preserve"> </v>
      </c>
      <c r="Q197" s="33" t="str">
        <f ca="1">IF(AND($O$15="Otherworldly patron - great old one",Q$175&gt;=O197),INDEX('Spell Tables'!$T$226:$T$238,MATCH(O197,('Spell Tables'!$R$226:$R$238),0)),IF(AND($O$15="Otherworldly patron - fiend",Q$175&gt;=O197),INDEX('Spell Tables'!$T$210:$T$222,MATCH(O197,('Spell Tables'!$R$210:$R$222),0)),IF(Q$173&gt;=O197,INDEX($AL$44:$AL$53,MATCH(O197,($AJ$44:$AJ$53),0)),IF(AND($O$15="Otherworldly patron - archfey",Q$175&gt;=O197),INDEX('Spell Tables'!$T$194:$T$206,MATCH(O197,('Spell Tables'!$R$194:$R$206),0)),IF(Q$177&gt;=O197,INDEX('Spell Tables'!$T$168:$T$187,MATCH(O197,('Spell Tables'!$R$168:$R$187),0)),IF(Q$179&gt;=O197,INDEX('Spell Tables'!$T$141:$T$147,MATCH(O197,('Spell Tables'!$R$141:$R$147),0)),IF(Q$181&gt;=O197,INDEX('Spell Tables'!$P$119:$P$131,MATCH(O197,('Spell Tables'!$N$119:$N$131),0)),IF(Q$183&gt;=O197,INDEX('Spell Tables'!$P$97:$P$111,MATCH(O197,('Spell Tables'!$N$97:$N$111),0)),IF(Q$185&gt;=O197,INDEX('Spell Tables'!$T$70:$T$78,MATCH(O197,('Spell Tables'!$R$70:$R$78),0)),IF(Q$187&gt;=O197,INDEX('Spell Tables'!$T$48:$T$63,MATCH(O197,('Spell Tables'!$R$48:$R$63),0)),IF(Q$189&gt;=O197,INDEX('Spell Tables'!$T$26:$T$40,MATCH(O197,('Spell Tables'!$R$26:$R$40),0)),IF(Q$191&gt;=O197,INDEX('Spell Tables'!$T$2:$T$22,MATCH(O197,('Spell Tables'!$R$2:$R$22),0))," "))))))))))))</f>
        <v xml:space="preserve"> </v>
      </c>
      <c r="R197" s="33" t="str">
        <f ca="1">IF(AND($O$15="Otherworldly patron - great old one",R$175&gt;=O197),INDEX('Spell Tables'!$X$226:$X$239,MATCH(O197,('Spell Tables'!$V$226:$V$239),0)),IF(AND($O$15="Otherworldly patron - fiend",R$175&gt;=O197),INDEX('Spell Tables'!$X$210:$X$223,MATCH(O197,('Spell Tables'!$V$210:$V$223),0)),IF(AND($O$15="Otherworldly patron - archfey",R$175&gt;=O197),INDEX('Spell Tables'!$X$194:$X$207,MATCH(O197,('Spell Tables'!$V$194:$V$207),0)),IF($R$173&gt;=O197,INDEX($AL$56:$AL$65,MATCH(O197,($AJ$56:$AJ$65),0)),IF($R$177&gt;=O197,INDEX('Spell Tables'!$X$168:$X$191,MATCH(O197,('Spell Tables'!$V$168:$V$191),0)),IF($R$179&gt;=O197,INDEX('Spell Tables'!$AB$141:$AB$149,MATCH(O197,('Spell Tables'!$Z$141:$Z$149),0)),IF($R$181&gt;=O197,INDEX('Spell Tables'!$T$119:$T$131,MATCH(O197,('Spell Tables'!$R$119:$R$131),0)),IF($R$183&gt;=O197,INDEX('Spell Tables'!$T$97:$T$104,MATCH(O197,('Spell Tables'!$R$97:$R$104),0)),IF($R$185&gt;=O197,INDEX('Spell Tables'!$AB$70:$AB$75,MATCH(O197,('Spell Tables'!$Z$70:$Z$75),0)),IF($R$187&gt;=O197,INDEX('Spell Tables'!$X$48:$X$65,MATCH(O197,('Spell Tables'!$V$48:$V$65),0)),IF($R$189&gt;=O197,INDEX('Spell Tables'!$X$26:$X$42,MATCH(O197,('Spell Tables'!$V$26:$V$42),0)),IF($R$191&gt;=O197,INDEX('Spell Tables'!$X$2:$X$23,MATCH(O197,('Spell Tables'!$V$2:$V$23),0))," "))))))))))))</f>
        <v xml:space="preserve"> </v>
      </c>
      <c r="S197" s="33" t="str">
        <f ca="1">IF(AND($O$15="Otherworldly patron - great old one",S$175&gt;=O197),INDEX('Spell Tables'!$AB$226:$AB$238,MATCH(O197,('Spell Tables'!$Z$226:$Z$238),0)),IF(AND($O$15="Otherworldly patron - fiend",S$175&gt;=O197),INDEX('Spell Tables'!$AB$210:$AB$222,MATCH(O197,('Spell Tables'!$Z$210:$Z$222),0)),IF(AND($O$15="Otherworldly patron - archfey",S$175&gt;=O197),INDEX('Spell Tables'!$AB$194:$AB$206,MATCH(O197,('Spell Tables'!$Z$194:$Z$206),0)),IF($S$173&gt;=O197,INDEX($AL$68:$AL$77,MATCH(O197,($AJ$68:$AJ$77),0)),IF($S$177&gt;=O197,INDEX('Spell Tables'!$AB$168:$AB$187,MATCH(O197,('Spell Tables'!$Z$168:$Z$187),0)),IF($S$179&gt;=O197,INDEX('Spell Tables'!$AJ$141:$AJ$144,MATCH(O197,('Spell Tables'!$AH$141:$AH$144),0)),IF($S$181&gt;=O197,INDEX('Spell Tables'!$X$119:$X$129,MATCH(O197,('Spell Tables'!$V$119:$V$129),0)),IF($S$183&gt;=O197,INDEX('Spell Tables'!$X$97:$X$106,MATCH(O197,('Spell Tables'!$V$97:$V$106),0)),IF($S$185&gt;=O197,INDEX('Spell Tables'!$AJ$70:$AJ$79,MATCH(O197,('Spell Tables'!$AH$70:$AH$79),0)),IF($S$187&gt;=O197,INDEX('Spell Tables'!$AB$48:$AB$60,MATCH(O197,('Spell Tables'!$Z$48:$Z$60),0)),IF($S$189&gt;=O197,INDEX('Spell Tables'!$AB$26:$AB$45,MATCH(O197,('Spell Tables'!$Z$26:$Z$45),0)),IF($S$191&gt;=O197,INDEX('Spell Tables'!$AB$2:$AB$17,MATCH(O197,('Spell Tables'!$Z$2:$Z$17),0))," "))))))))))))</f>
        <v xml:space="preserve"> </v>
      </c>
      <c r="T197" s="33" t="str">
        <f ca="1">IF(AND($O$15="Otherworldly patron - great old one",T$175&gt;=O197),INDEX('Spell Tables'!$AF$226:$AF$231,MATCH(O197,('Spell Tables'!$AD$226:$AD$231),0)),IF(AND($O$15="Otherworldly patron - fiend",T$175&gt;=O197),INDEX('Spell Tables'!$AF$210:$AF$215,MATCH(O197,('Spell Tables'!$AD$210:$AD$215),0)),IF(AND($O$15="Otherworldly patron - archfey",T$175&gt;=O197),INDEX('Spell Tables'!$AF$194:$AF$199,MATCH(O197,('Spell Tables'!$AD$194:$AD$199),0)),IF($T$173&gt;=O197,INDEX($AL$80:$AL$89,MATCH(O197,($AJ$80:$AJ$89),0)),IF($T$177&gt;=O197,INDEX('Spell Tables'!$AF$168:$AF$177,MATCH(O197,('Spell Tables'!$AD$168:$AD$177),0)),IF($T$179&gt;=O197,INDEX('Spell Tables'!$AR$141:$AR$144,MATCH(O197,('Spell Tables'!$AP$141:$AP$144),0)),IF($T$181&gt;=O197,INDEX('Spell Tables'!$AB$119:$AB$123,MATCH(O197,('Spell Tables'!$Z$119:$Z$123),0)),IF($T$183&gt;=O197,INDEX('Spell Tables'!$AB$97:$AB$102,MATCH(O197,('Spell Tables'!$Z$97:$Z$102),0)),IF($T$185&gt;=O197,INDEX('Spell Tables'!$AR$70:$AR$75,MATCH(O197,('Spell Tables'!$AP$70:$AP$75),0)),IF($T$187&gt;=O197,INDEX('Spell Tables'!$AF$48:$AF$63,MATCH(O197,('Spell Tables'!$AD$48:$AD$63),0)),IF($T$189&gt;=O197,INDEX('Spell Tables'!$AF$26:$AF$33,MATCH(O197,('Spell Tables'!$AD$26:$AD$33),0)),IF($T$191&gt;=O197,INDEX('Spell Tables'!$AF$2:$AF$9,MATCH(O197,('Spell Tables'!$AD$2:$AD$9),0))," "))))))))))))</f>
        <v xml:space="preserve"> </v>
      </c>
      <c r="AJ197" s="29">
        <v>10</v>
      </c>
      <c r="AK197" s="29">
        <v>3</v>
      </c>
    </row>
    <row r="198" spans="2:37" x14ac:dyDescent="0.3">
      <c r="B198" s="33"/>
      <c r="C198" s="33"/>
      <c r="D198" s="33"/>
      <c r="E198" s="33"/>
      <c r="F198" s="33"/>
      <c r="G198" s="33"/>
      <c r="H198" s="33"/>
      <c r="I198" s="33"/>
      <c r="J198" s="33"/>
      <c r="K198" s="33"/>
      <c r="L198" s="33"/>
      <c r="M198" s="33"/>
      <c r="N198" s="33"/>
      <c r="O198" s="34">
        <v>6</v>
      </c>
      <c r="P198" s="33" t="str">
        <f ca="1">IF(P$173&gt;=O198,INDEX('Spell Tables'!$P$242:$P$257,MATCH(O198,('Spell Tables'!$N$242:$N$257),0)),IF(P$175&gt;=O198,INDEX('Spell Tables'!$P$194:$P$201,MATCH(O198,('Spell Tables'!$N$194:$N$201),0)),IF(P$177&gt;=O198,INDEX('Spell Tables'!$P$168:$P$183,MATCH(O198,('Spell Tables'!$N$168:$N$183),0)),IF(P$179&gt;=O198,INDEX('Spell Tables'!$P$141:$P$156,MATCH(O198,('Spell Tables'!$N$141:$N$157),0)),IF(P$185&gt;=O198,INDEX('Spell Tables'!$P$70:$P$83,MATCH(O198,('Spell Tables'!$N$70:$N$83),0)),IF(P$187&gt;=O198,INDEX('Spell Tables'!$P$48:$P$55,MATCH(O198,('Spell Tables'!$N$48:$N$55),0)),IF(P$189&gt;=O198,INDEX('Spell Tables'!$P$26:$P$32,MATCH(O198,('Spell Tables'!$N$26:$N$32),0)),IF(P$191&gt;=O198,INDEX('Spell Tables'!$P$2:$P$12,MATCH(O198,('Spell Tables'!$N$2:$N$12),0))," "))))))))</f>
        <v xml:space="preserve"> </v>
      </c>
      <c r="Q198" s="33" t="str">
        <f ca="1">IF(AND($O$15="Otherworldly patron - great old one",Q$175&gt;=O198),INDEX('Spell Tables'!$T$226:$T$238,MATCH(O198,('Spell Tables'!$R$226:$R$238),0)),IF(AND($O$15="Otherworldly patron - fiend",Q$175&gt;=O198),INDEX('Spell Tables'!$T$210:$T$222,MATCH(O198,('Spell Tables'!$R$210:$R$222),0)),IF(Q$173&gt;=O198,INDEX($AL$44:$AL$53,MATCH(O198,($AJ$44:$AJ$53),0)),IF(AND($O$15="Otherworldly patron - archfey",Q$175&gt;=O198),INDEX('Spell Tables'!$T$194:$T$206,MATCH(O198,('Spell Tables'!$R$194:$R$206),0)),IF(Q$177&gt;=O198,INDEX('Spell Tables'!$T$168:$T$187,MATCH(O198,('Spell Tables'!$R$168:$R$187),0)),IF(Q$179&gt;=O198,INDEX('Spell Tables'!$T$141:$T$147,MATCH(O198,('Spell Tables'!$R$141:$R$147),0)),IF(Q$181&gt;=O198,INDEX('Spell Tables'!$P$119:$P$131,MATCH(O198,('Spell Tables'!$N$119:$N$131),0)),IF(Q$183&gt;=O198,INDEX('Spell Tables'!$P$97:$P$111,MATCH(O198,('Spell Tables'!$N$97:$N$111),0)),IF(Q$185&gt;=O198,INDEX('Spell Tables'!$T$70:$T$78,MATCH(O198,('Spell Tables'!$R$70:$R$78),0)),IF(Q$187&gt;=O198,INDEX('Spell Tables'!$T$48:$T$63,MATCH(O198,('Spell Tables'!$R$48:$R$63),0)),IF(Q$189&gt;=O198,INDEX('Spell Tables'!$T$26:$T$40,MATCH(O198,('Spell Tables'!$R$26:$R$40),0)),IF(Q$191&gt;=O198,INDEX('Spell Tables'!$T$2:$T$22,MATCH(O198,('Spell Tables'!$R$2:$R$22),0))," "))))))))))))</f>
        <v xml:space="preserve"> </v>
      </c>
      <c r="R198" s="33" t="str">
        <f ca="1">IF(AND($O$15="Otherworldly patron - great old one",R$175&gt;=O198),INDEX('Spell Tables'!$X$226:$X$239,MATCH(O198,('Spell Tables'!$V$226:$V$239),0)),IF(AND($O$15="Otherworldly patron - fiend",R$175&gt;=O198),INDEX('Spell Tables'!$X$210:$X$223,MATCH(O198,('Spell Tables'!$V$210:$V$223),0)),IF(AND($O$15="Otherworldly patron - archfey",R$175&gt;=O198),INDEX('Spell Tables'!$X$194:$X$207,MATCH(O198,('Spell Tables'!$V$194:$V$207),0)),IF($R$173&gt;=O198,INDEX($AL$56:$AL$65,MATCH(O198,($AJ$56:$AJ$65),0)),IF($R$177&gt;=O198,INDEX('Spell Tables'!$X$168:$X$191,MATCH(O198,('Spell Tables'!$V$168:$V$191),0)),IF($R$179&gt;=O198,INDEX('Spell Tables'!$AB$141:$AB$149,MATCH(O198,('Spell Tables'!$Z$141:$Z$149),0)),IF($R$181&gt;=O198,INDEX('Spell Tables'!$T$119:$T$131,MATCH(O198,('Spell Tables'!$R$119:$R$131),0)),IF($R$183&gt;=O198,INDEX('Spell Tables'!$T$97:$T$104,MATCH(O198,('Spell Tables'!$R$97:$R$104),0)),IF($R$185&gt;=O198,INDEX('Spell Tables'!$AB$70:$AB$75,MATCH(O198,('Spell Tables'!$Z$70:$Z$75),0)),IF($R$187&gt;=O198,INDEX('Spell Tables'!$X$48:$X$65,MATCH(O198,('Spell Tables'!$V$48:$V$65),0)),IF($R$189&gt;=O198,INDEX('Spell Tables'!$X$26:$X$42,MATCH(O198,('Spell Tables'!$V$26:$V$42),0)),IF($R$191&gt;=O198,INDEX('Spell Tables'!$X$2:$X$23,MATCH(O198,('Spell Tables'!$V$2:$V$23),0))," "))))))))))))</f>
        <v xml:space="preserve"> </v>
      </c>
      <c r="S198" s="33" t="str">
        <f ca="1">IF(AND($O$15="Otherworldly patron - great old one",S$175&gt;=O198),INDEX('Spell Tables'!$AB$226:$AB$238,MATCH(O198,('Spell Tables'!$Z$226:$Z$238),0)),IF(AND($O$15="Otherworldly patron - fiend",S$175&gt;=O198),INDEX('Spell Tables'!$AB$210:$AB$222,MATCH(O198,('Spell Tables'!$Z$210:$Z$222),0)),IF(AND($O$15="Otherworldly patron - archfey",S$175&gt;=O198),INDEX('Spell Tables'!$AB$194:$AB$206,MATCH(O198,('Spell Tables'!$Z$194:$Z$206),0)),IF($S$173&gt;=O198,INDEX($AL$68:$AL$77,MATCH(O198,($AJ$68:$AJ$77),0)),IF($S$177&gt;=O198,INDEX('Spell Tables'!$AB$168:$AB$187,MATCH(O198,('Spell Tables'!$Z$168:$Z$187),0)),IF($S$179&gt;=O198,INDEX('Spell Tables'!$AJ$141:$AJ$144,MATCH(O198,('Spell Tables'!$AH$141:$AH$144),0)),IF($S$181&gt;=O198,INDEX('Spell Tables'!$X$119:$X$129,MATCH(O198,('Spell Tables'!$V$119:$V$129),0)),IF($S$183&gt;=O198,INDEX('Spell Tables'!$X$97:$X$106,MATCH(O198,('Spell Tables'!$V$97:$V$106),0)),IF($S$185&gt;=O198,INDEX('Spell Tables'!$AJ$70:$AJ$79,MATCH(O198,('Spell Tables'!$AH$70:$AH$79),0)),IF($S$187&gt;=O198,INDEX('Spell Tables'!$AB$48:$AB$60,MATCH(O198,('Spell Tables'!$Z$48:$Z$60),0)),IF($S$189&gt;=O198,INDEX('Spell Tables'!$AB$26:$AB$45,MATCH(O198,('Spell Tables'!$Z$26:$Z$45),0)),IF($S$191&gt;=O198,INDEX('Spell Tables'!$AB$2:$AB$17,MATCH(O198,('Spell Tables'!$Z$2:$Z$17),0))," "))))))))))))</f>
        <v xml:space="preserve"> </v>
      </c>
      <c r="T198" s="33" t="str">
        <f ca="1">IF(AND($O$15="Otherworldly patron - great old one",T$175&gt;=O198),INDEX('Spell Tables'!$AF$226:$AF$231,MATCH(O198,('Spell Tables'!$AD$226:$AD$231),0)),IF(AND($O$15="Otherworldly patron - fiend",T$175&gt;=O198),INDEX('Spell Tables'!$AF$210:$AF$215,MATCH(O198,('Spell Tables'!$AD$210:$AD$215),0)),IF(AND($O$15="Otherworldly patron - archfey",T$175&gt;=O198),INDEX('Spell Tables'!$AF$194:$AF$199,MATCH(O198,('Spell Tables'!$AD$194:$AD$199),0)),IF($T$173&gt;=O198,INDEX($AL$80:$AL$89,MATCH(O198,($AJ$80:$AJ$89),0)),IF($T$177&gt;=O198,INDEX('Spell Tables'!$AF$168:$AF$177,MATCH(O198,('Spell Tables'!$AD$168:$AD$177),0)),IF($T$179&gt;=O198,INDEX('Spell Tables'!$AR$141:$AR$144,MATCH(O198,('Spell Tables'!$AP$141:$AP$144),0)),IF($T$181&gt;=O198,INDEX('Spell Tables'!$AB$119:$AB$123,MATCH(O198,('Spell Tables'!$Z$119:$Z$123),0)),IF($T$183&gt;=O198,INDEX('Spell Tables'!$AB$97:$AB$102,MATCH(O198,('Spell Tables'!$Z$97:$Z$102),0)),IF($T$185&gt;=O198,INDEX('Spell Tables'!$AR$70:$AR$75,MATCH(O198,('Spell Tables'!$AP$70:$AP$75),0)),IF($T$187&gt;=O198,INDEX('Spell Tables'!$AF$48:$AF$63,MATCH(O198,('Spell Tables'!$AD$48:$AD$63),0)),IF($T$189&gt;=O198,INDEX('Spell Tables'!$AF$26:$AF$33,MATCH(O198,('Spell Tables'!$AD$26:$AD$33),0)),IF($T$191&gt;=O198,INDEX('Spell Tables'!$AF$2:$AF$9,MATCH(O198,('Spell Tables'!$AD$2:$AD$9),0))," "))))))))))))</f>
        <v xml:space="preserve"> </v>
      </c>
    </row>
    <row r="199" spans="2:37" x14ac:dyDescent="0.3">
      <c r="B199" s="33"/>
      <c r="C199" s="33"/>
      <c r="D199" s="33"/>
      <c r="E199" s="33"/>
      <c r="F199" s="33"/>
      <c r="G199" s="33"/>
      <c r="H199" s="33"/>
      <c r="I199" s="33"/>
      <c r="J199" s="33"/>
      <c r="K199" s="33"/>
      <c r="L199" s="33"/>
      <c r="M199" s="33"/>
      <c r="N199" s="33"/>
      <c r="O199" s="34">
        <v>7</v>
      </c>
      <c r="P199" s="33" t="str">
        <f ca="1">IF(P$173&gt;=O199,INDEX('Spell Tables'!$P$242:$P$257,MATCH(O199,('Spell Tables'!$N$242:$N$257),0)),IF(P$175&gt;=O199,INDEX('Spell Tables'!$P$194:$P$201,MATCH(O199,('Spell Tables'!$N$194:$N$201),0)),IF(P$177&gt;=O199,INDEX('Spell Tables'!$P$168:$P$183,MATCH(O199,('Spell Tables'!$N$168:$N$183),0)),IF(P$179&gt;=O199,INDEX('Spell Tables'!$P$141:$P$156,MATCH(O199,('Spell Tables'!$N$141:$N$157),0)),IF(P$185&gt;=O199,INDEX('Spell Tables'!$P$70:$P$83,MATCH(O199,('Spell Tables'!$N$70:$N$83),0)),IF(P$187&gt;=O199,INDEX('Spell Tables'!$P$48:$P$55,MATCH(O199,('Spell Tables'!$N$48:$N$55),0)),IF(P$189&gt;=O199,INDEX('Spell Tables'!$P$26:$P$32,MATCH(O199,('Spell Tables'!$N$26:$N$32),0)),IF(P$191&gt;=O199,INDEX('Spell Tables'!$P$2:$P$12,MATCH(O199,('Spell Tables'!$N$2:$N$12),0))," "))))))))</f>
        <v xml:space="preserve"> </v>
      </c>
      <c r="Q199" s="33" t="str">
        <f ca="1">IF(AND($O$15="Otherworldly patron - great old one",Q$175&gt;=O199),INDEX('Spell Tables'!$T$226:$T$238,MATCH(O199,('Spell Tables'!$R$226:$R$238),0)),IF(AND($O$15="Otherworldly patron - fiend",Q$175&gt;=O199),INDEX('Spell Tables'!$T$210:$T$222,MATCH(O199,('Spell Tables'!$R$210:$R$222),0)),IF(Q$173&gt;=O199,INDEX($AL$44:$AL$53,MATCH(O199,($AJ$44:$AJ$53),0)),IF(AND($O$15="Otherworldly patron - archfey",Q$175&gt;=O199),INDEX('Spell Tables'!$T$194:$T$206,MATCH(O199,('Spell Tables'!$R$194:$R$206),0)),IF(Q$177&gt;=O199,INDEX('Spell Tables'!$T$168:$T$187,MATCH(O199,('Spell Tables'!$R$168:$R$187),0)),IF(Q$179&gt;=O199,INDEX('Spell Tables'!$T$141:$T$147,MATCH(O199,('Spell Tables'!$R$141:$R$147),0)),IF(Q$181&gt;=O199,INDEX('Spell Tables'!$P$119:$P$131,MATCH(O199,('Spell Tables'!$N$119:$N$131),0)),IF(Q$183&gt;=O199,INDEX('Spell Tables'!$P$97:$P$111,MATCH(O199,('Spell Tables'!$N$97:$N$111),0)),IF(Q$185&gt;=O199,INDEX('Spell Tables'!$T$70:$T$78,MATCH(O199,('Spell Tables'!$R$70:$R$78),0)),IF(Q$187&gt;=O199,INDEX('Spell Tables'!$T$48:$T$63,MATCH(O199,('Spell Tables'!$R$48:$R$63),0)),IF(Q$189&gt;=O199,INDEX('Spell Tables'!$T$26:$T$40,MATCH(O199,('Spell Tables'!$R$26:$R$40),0)),IF(Q$191&gt;=O199,INDEX('Spell Tables'!$T$2:$T$22,MATCH(O199,('Spell Tables'!$R$2:$R$22),0))," "))))))))))))</f>
        <v xml:space="preserve"> </v>
      </c>
      <c r="R199" s="33" t="str">
        <f ca="1">IF(AND($O$15="Otherworldly patron - great old one",R$175&gt;=O199),INDEX('Spell Tables'!$X$226:$X$239,MATCH(O199,('Spell Tables'!$V$226:$V$239),0)),IF(AND($O$15="Otherworldly patron - fiend",R$175&gt;=O199),INDEX('Spell Tables'!$X$210:$X$223,MATCH(O199,('Spell Tables'!$V$210:$V$223),0)),IF(AND($O$15="Otherworldly patron - archfey",R$175&gt;=O199),INDEX('Spell Tables'!$X$194:$X$207,MATCH(O199,('Spell Tables'!$V$194:$V$207),0)),IF($R$173&gt;=O199,INDEX($AL$56:$AL$65,MATCH(O199,($AJ$56:$AJ$65),0)),IF($R$177&gt;=O199,INDEX('Spell Tables'!$X$168:$X$191,MATCH(O199,('Spell Tables'!$V$168:$V$191),0)),IF($R$179&gt;=O199,INDEX('Spell Tables'!$AB$141:$AB$149,MATCH(O199,('Spell Tables'!$Z$141:$Z$149),0)),IF($R$181&gt;=O199,INDEX('Spell Tables'!$T$119:$T$131,MATCH(O199,('Spell Tables'!$R$119:$R$131),0)),IF($R$183&gt;=O199,INDEX('Spell Tables'!$T$97:$T$104,MATCH(O199,('Spell Tables'!$R$97:$R$104),0)),IF($R$185&gt;=O199,INDEX('Spell Tables'!$AB$70:$AB$75,MATCH(O199,('Spell Tables'!$Z$70:$Z$75),0)),IF($R$187&gt;=O199,INDEX('Spell Tables'!$X$48:$X$65,MATCH(O199,('Spell Tables'!$V$48:$V$65),0)),IF($R$189&gt;=O199,INDEX('Spell Tables'!$X$26:$X$42,MATCH(O199,('Spell Tables'!$V$26:$V$42),0)),IF($R$191&gt;=O199,INDEX('Spell Tables'!$X$2:$X$23,MATCH(O199,('Spell Tables'!$V$2:$V$23),0))," "))))))))))))</f>
        <v xml:space="preserve"> </v>
      </c>
      <c r="S199" s="33" t="str">
        <f ca="1">IF(AND($O$15="Otherworldly patron - great old one",S$175&gt;=O199),INDEX('Spell Tables'!$AB$226:$AB$238,MATCH(O199,('Spell Tables'!$Z$226:$Z$238),0)),IF(AND($O$15="Otherworldly patron - fiend",S$175&gt;=O199),INDEX('Spell Tables'!$AB$210:$AB$222,MATCH(O199,('Spell Tables'!$Z$210:$Z$222),0)),IF(AND($O$15="Otherworldly patron - archfey",S$175&gt;=O199),INDEX('Spell Tables'!$AB$194:$AB$206,MATCH(O199,('Spell Tables'!$Z$194:$Z$206),0)),IF($S$173&gt;=O199,INDEX($AL$68:$AL$77,MATCH(O199,($AJ$68:$AJ$77),0)),IF($S$177&gt;=O199,INDEX('Spell Tables'!$AB$168:$AB$187,MATCH(O199,('Spell Tables'!$Z$168:$Z$187),0)),IF($S$179&gt;=O199,INDEX('Spell Tables'!$AJ$141:$AJ$144,MATCH(O199,('Spell Tables'!$AH$141:$AH$144),0)),IF($S$181&gt;=O199,INDEX('Spell Tables'!$X$119:$X$129,MATCH(O199,('Spell Tables'!$V$119:$V$129),0)),IF($S$183&gt;=O199,INDEX('Spell Tables'!$X$97:$X$106,MATCH(O199,('Spell Tables'!$V$97:$V$106),0)),IF($S$185&gt;=O199,INDEX('Spell Tables'!$AJ$70:$AJ$79,MATCH(O199,('Spell Tables'!$AH$70:$AH$79),0)),IF($S$187&gt;=O199,INDEX('Spell Tables'!$AB$48:$AB$60,MATCH(O199,('Spell Tables'!$Z$48:$Z$60),0)),IF($S$189&gt;=O199,INDEX('Spell Tables'!$AB$26:$AB$45,MATCH(O199,('Spell Tables'!$Z$26:$Z$45),0)),IF($S$191&gt;=O199,INDEX('Spell Tables'!$AB$2:$AB$17,MATCH(O199,('Spell Tables'!$Z$2:$Z$17),0))," "))))))))))))</f>
        <v xml:space="preserve"> </v>
      </c>
      <c r="T199" s="33" t="str">
        <f ca="1">IF(AND($O$15="Otherworldly patron - great old one",T$175&gt;=O199),INDEX('Spell Tables'!$AF$226:$AF$231,MATCH(O199,('Spell Tables'!$AD$226:$AD$231),0)),IF(AND($O$15="Otherworldly patron - fiend",T$175&gt;=O199),INDEX('Spell Tables'!$AF$210:$AF$215,MATCH(O199,('Spell Tables'!$AD$210:$AD$215),0)),IF(AND($O$15="Otherworldly patron - archfey",T$175&gt;=O199),INDEX('Spell Tables'!$AF$194:$AF$199,MATCH(O199,('Spell Tables'!$AD$194:$AD$199),0)),IF($T$173&gt;=O199,INDEX($AL$80:$AL$89,MATCH(O199,($AJ$80:$AJ$89),0)),IF($T$177&gt;=O199,INDEX('Spell Tables'!$AF$168:$AF$177,MATCH(O199,('Spell Tables'!$AD$168:$AD$177),0)),IF($T$179&gt;=O199,INDEX('Spell Tables'!$AR$141:$AR$144,MATCH(O199,('Spell Tables'!$AP$141:$AP$144),0)),IF($T$181&gt;=O199,INDEX('Spell Tables'!$AB$119:$AB$123,MATCH(O199,('Spell Tables'!$Z$119:$Z$123),0)),IF($T$183&gt;=O199,INDEX('Spell Tables'!$AB$97:$AB$102,MATCH(O199,('Spell Tables'!$Z$97:$Z$102),0)),IF($T$185&gt;=O199,INDEX('Spell Tables'!$AR$70:$AR$75,MATCH(O199,('Spell Tables'!$AP$70:$AP$75),0)),IF($T$187&gt;=O199,INDEX('Spell Tables'!$AF$48:$AF$63,MATCH(O199,('Spell Tables'!$AD$48:$AD$63),0)),IF($T$189&gt;=O199,INDEX('Spell Tables'!$AF$26:$AF$33,MATCH(O199,('Spell Tables'!$AD$26:$AD$33),0)),IF($T$191&gt;=O199,INDEX('Spell Tables'!$AF$2:$AF$9,MATCH(O199,('Spell Tables'!$AD$2:$AD$9),0))," "))))))))))))</f>
        <v xml:space="preserve"> </v>
      </c>
    </row>
    <row r="200" spans="2:37" x14ac:dyDescent="0.3">
      <c r="B200" s="33"/>
      <c r="C200" s="33"/>
      <c r="D200" s="33"/>
      <c r="E200" s="33"/>
      <c r="F200" s="33"/>
      <c r="G200" s="33"/>
      <c r="H200" s="33"/>
      <c r="I200" s="33"/>
      <c r="J200" s="33"/>
      <c r="K200" s="33"/>
      <c r="L200" s="33"/>
      <c r="M200" s="33"/>
      <c r="N200" s="33"/>
      <c r="O200" s="34">
        <v>8</v>
      </c>
      <c r="P200" s="33" t="str">
        <f ca="1">IF(P$173&gt;=O200,INDEX('Spell Tables'!$P$242:$P$257,MATCH(O200,('Spell Tables'!$N$242:$N$257),0)),IF(P$175&gt;=O200,INDEX('Spell Tables'!$P$194:$P$201,MATCH(O200,('Spell Tables'!$N$194:$N$201),0)),IF(P$177&gt;=O200,INDEX('Spell Tables'!$P$168:$P$183,MATCH(O200,('Spell Tables'!$N$168:$N$183),0)),IF(P$179&gt;=O200,INDEX('Spell Tables'!$P$141:$P$156,MATCH(O200,('Spell Tables'!$N$141:$N$157),0)),IF(P$185&gt;=O200,INDEX('Spell Tables'!$P$70:$P$83,MATCH(O200,('Spell Tables'!$N$70:$N$83),0)),IF(P$187&gt;=O200,INDEX('Spell Tables'!$P$48:$P$55,MATCH(O200,('Spell Tables'!$N$48:$N$55),0)),IF(P$189&gt;=O200,INDEX('Spell Tables'!$P$26:$P$32,MATCH(O200,('Spell Tables'!$N$26:$N$32),0)),IF(P$191&gt;=O200,INDEX('Spell Tables'!$P$2:$P$12,MATCH(O200,('Spell Tables'!$N$2:$N$12),0))," "))))))))</f>
        <v xml:space="preserve"> </v>
      </c>
      <c r="Q200" s="33" t="str">
        <f ca="1">IF(AND($O$15="Otherworldly patron - great old one",Q$175&gt;=O200),INDEX('Spell Tables'!$T$226:$T$238,MATCH(O200,('Spell Tables'!$R$226:$R$238),0)),IF(AND($O$15="Otherworldly patron - fiend",Q$175&gt;=O200),INDEX('Spell Tables'!$T$210:$T$222,MATCH(O200,('Spell Tables'!$R$210:$R$222),0)),IF(Q$173&gt;=O200,INDEX($AL$44:$AL$53,MATCH(O200,($AJ$44:$AJ$53),0)),IF(AND($O$15="Otherworldly patron - archfey",Q$175&gt;=O200),INDEX('Spell Tables'!$T$194:$T$206,MATCH(O200,('Spell Tables'!$R$194:$R$206),0)),IF(Q$177&gt;=O200,INDEX('Spell Tables'!$T$168:$T$187,MATCH(O200,('Spell Tables'!$R$168:$R$187),0)),IF(Q$179&gt;=O200,INDEX('Spell Tables'!$T$141:$T$147,MATCH(O200,('Spell Tables'!$R$141:$R$147),0)),IF(Q$181&gt;=O200,INDEX('Spell Tables'!$P$119:$P$131,MATCH(O200,('Spell Tables'!$N$119:$N$131),0)),IF(Q$183&gt;=O200,INDEX('Spell Tables'!$P$97:$P$111,MATCH(O200,('Spell Tables'!$N$97:$N$111),0)),IF(Q$185&gt;=O200,INDEX('Spell Tables'!$T$70:$T$78,MATCH(O200,('Spell Tables'!$R$70:$R$78),0)),IF(Q$187&gt;=O200,INDEX('Spell Tables'!$T$48:$T$63,MATCH(O200,('Spell Tables'!$R$48:$R$63),0)),IF(Q$189&gt;=O200,INDEX('Spell Tables'!$T$26:$T$40,MATCH(O200,('Spell Tables'!$R$26:$R$40),0)),IF(Q$191&gt;=O200,INDEX('Spell Tables'!$T$2:$T$22,MATCH(O200,('Spell Tables'!$R$2:$R$22),0))," "))))))))))))</f>
        <v xml:space="preserve"> </v>
      </c>
      <c r="R200" s="33" t="str">
        <f ca="1">IF(AND($O$15="Otherworldly patron - great old one",R$175&gt;=O200),INDEX('Spell Tables'!$X$226:$X$239,MATCH(O200,('Spell Tables'!$V$226:$V$239),0)),IF(AND($O$15="Otherworldly patron - fiend",R$175&gt;=O200),INDEX('Spell Tables'!$X$210:$X$223,MATCH(O200,('Spell Tables'!$V$210:$V$223),0)),IF(AND($O$15="Otherworldly patron - archfey",R$175&gt;=O200),INDEX('Spell Tables'!$X$194:$X$207,MATCH(O200,('Spell Tables'!$V$194:$V$207),0)),IF($R$173&gt;=O200,INDEX($AL$56:$AL$65,MATCH(O200,($AJ$56:$AJ$65),0)),IF($R$177&gt;=O200,INDEX('Spell Tables'!$X$168:$X$191,MATCH(O200,('Spell Tables'!$V$168:$V$191),0)),IF($R$179&gt;=O200,INDEX('Spell Tables'!$AB$141:$AB$149,MATCH(O200,('Spell Tables'!$Z$141:$Z$149),0)),IF($R$181&gt;=O200,INDEX('Spell Tables'!$T$119:$T$131,MATCH(O200,('Spell Tables'!$R$119:$R$131),0)),IF($R$183&gt;=O200,INDEX('Spell Tables'!$T$97:$T$104,MATCH(O200,('Spell Tables'!$R$97:$R$104),0)),IF($R$185&gt;=O200,INDEX('Spell Tables'!$AB$70:$AB$75,MATCH(O200,('Spell Tables'!$Z$70:$Z$75),0)),IF($R$187&gt;=O200,INDEX('Spell Tables'!$X$48:$X$65,MATCH(O200,('Spell Tables'!$V$48:$V$65),0)),IF($R$189&gt;=O200,INDEX('Spell Tables'!$X$26:$X$42,MATCH(O200,('Spell Tables'!$V$26:$V$42),0)),IF($R$191&gt;=O200,INDEX('Spell Tables'!$X$2:$X$23,MATCH(O200,('Spell Tables'!$V$2:$V$23),0))," "))))))))))))</f>
        <v xml:space="preserve"> </v>
      </c>
      <c r="S200" s="33" t="str">
        <f ca="1">IF(AND($O$15="Otherworldly patron - great old one",S$175&gt;=O200),INDEX('Spell Tables'!$AB$226:$AB$238,MATCH(O200,('Spell Tables'!$Z$226:$Z$238),0)),IF(AND($O$15="Otherworldly patron - fiend",S$175&gt;=O200),INDEX('Spell Tables'!$AB$210:$AB$222,MATCH(O200,('Spell Tables'!$Z$210:$Z$222),0)),IF(AND($O$15="Otherworldly patron - archfey",S$175&gt;=O200),INDEX('Spell Tables'!$AB$194:$AB$206,MATCH(O200,('Spell Tables'!$Z$194:$Z$206),0)),IF($S$173&gt;=O200,INDEX($AL$68:$AL$77,MATCH(O200,($AJ$68:$AJ$77),0)),IF($S$177&gt;=O200,INDEX('Spell Tables'!$AB$168:$AB$187,MATCH(O200,('Spell Tables'!$Z$168:$Z$187),0)),IF($S$179&gt;=O200,INDEX('Spell Tables'!$AJ$141:$AJ$144,MATCH(O200,('Spell Tables'!$AH$141:$AH$144),0)),IF($S$181&gt;=O200,INDEX('Spell Tables'!$X$119:$X$129,MATCH(O200,('Spell Tables'!$V$119:$V$129),0)),IF($S$183&gt;=O200,INDEX('Spell Tables'!$X$97:$X$106,MATCH(O200,('Spell Tables'!$V$97:$V$106),0)),IF($S$185&gt;=O200,INDEX('Spell Tables'!$AJ$70:$AJ$79,MATCH(O200,('Spell Tables'!$AH$70:$AH$79),0)),IF($S$187&gt;=O200,INDEX('Spell Tables'!$AB$48:$AB$60,MATCH(O200,('Spell Tables'!$Z$48:$Z$60),0)),IF($S$189&gt;=O200,INDEX('Spell Tables'!$AB$26:$AB$45,MATCH(O200,('Spell Tables'!$Z$26:$Z$45),0)),IF($S$191&gt;=O200,INDEX('Spell Tables'!$AB$2:$AB$17,MATCH(O200,('Spell Tables'!$Z$2:$Z$17),0))," "))))))))))))</f>
        <v xml:space="preserve"> </v>
      </c>
      <c r="T200" s="33" t="str">
        <f ca="1">IF(AND($O$15="Otherworldly patron - great old one",T$175&gt;=O200),INDEX('Spell Tables'!$AF$226:$AF$231,MATCH(O200,('Spell Tables'!$AD$226:$AD$231),0)),IF(AND($O$15="Otherworldly patron - fiend",T$175&gt;=O200),INDEX('Spell Tables'!$AF$210:$AF$215,MATCH(O200,('Spell Tables'!$AD$210:$AD$215),0)),IF(AND($O$15="Otherworldly patron - archfey",T$175&gt;=O200),INDEX('Spell Tables'!$AF$194:$AF$199,MATCH(O200,('Spell Tables'!$AD$194:$AD$199),0)),IF($T$173&gt;=O200,INDEX($AL$80:$AL$89,MATCH(O200,($AJ$80:$AJ$89),0)),IF($T$177&gt;=O200,INDEX('Spell Tables'!$AF$168:$AF$177,MATCH(O200,('Spell Tables'!$AD$168:$AD$177),0)),IF($T$179&gt;=O200,INDEX('Spell Tables'!$AR$141:$AR$144,MATCH(O200,('Spell Tables'!$AP$141:$AP$144),0)),IF($T$181&gt;=O200,INDEX('Spell Tables'!$AB$119:$AB$123,MATCH(O200,('Spell Tables'!$Z$119:$Z$123),0)),IF($T$183&gt;=O200,INDEX('Spell Tables'!$AB$97:$AB$102,MATCH(O200,('Spell Tables'!$Z$97:$Z$102),0)),IF($T$185&gt;=O200,INDEX('Spell Tables'!$AR$70:$AR$75,MATCH(O200,('Spell Tables'!$AP$70:$AP$75),0)),IF($T$187&gt;=O200,INDEX('Spell Tables'!$AF$48:$AF$63,MATCH(O200,('Spell Tables'!$AD$48:$AD$63),0)),IF($T$189&gt;=O200,INDEX('Spell Tables'!$AF$26:$AF$33,MATCH(O200,('Spell Tables'!$AD$26:$AD$33),0)),IF($T$191&gt;=O200,INDEX('Spell Tables'!$AF$2:$AF$9,MATCH(O200,('Spell Tables'!$AD$2:$AD$9),0))," "))))))))))))</f>
        <v xml:space="preserve"> </v>
      </c>
    </row>
    <row r="201" spans="2:37" x14ac:dyDescent="0.3">
      <c r="B201" s="33"/>
      <c r="C201" s="33"/>
      <c r="D201" s="33"/>
      <c r="E201" s="33"/>
      <c r="F201" s="33"/>
      <c r="G201" s="33"/>
      <c r="H201" s="33"/>
      <c r="I201" s="33"/>
      <c r="J201" s="33"/>
      <c r="K201" s="33"/>
      <c r="L201" s="33"/>
      <c r="M201" s="33"/>
      <c r="N201" s="33"/>
      <c r="O201" s="34">
        <v>9</v>
      </c>
      <c r="P201" s="33" t="str">
        <f ca="1">IF(P$173&gt;=O201,INDEX('Spell Tables'!$P$242:$P$257,MATCH(O201,('Spell Tables'!$N$242:$N$257),0)),IF(P$175&gt;=O201,INDEX('Spell Tables'!$P$194:$P$201,MATCH(O201,('Spell Tables'!$N$194:$N$201),0)),IF(P$177&gt;=O201,INDEX('Spell Tables'!$P$168:$P$183,MATCH(O201,('Spell Tables'!$N$168:$N$183),0)),IF(P$179&gt;=O201,INDEX('Spell Tables'!$P$141:$P$156,MATCH(O201,('Spell Tables'!$N$141:$N$157),0)),IF(P$185&gt;=O201,INDEX('Spell Tables'!$P$70:$P$83,MATCH(O201,('Spell Tables'!$N$70:$N$83),0)),IF(P$187&gt;=O201,INDEX('Spell Tables'!$P$48:$P$55,MATCH(O201,('Spell Tables'!$N$48:$N$55),0)),IF(P$189&gt;=O201,INDEX('Spell Tables'!$P$26:$P$32,MATCH(O201,('Spell Tables'!$N$26:$N$32),0)),IF(P$191&gt;=O201,INDEX('Spell Tables'!$P$2:$P$12,MATCH(O201,('Spell Tables'!$N$2:$N$12),0))," "))))))))</f>
        <v xml:space="preserve"> </v>
      </c>
      <c r="Q201" s="33" t="str">
        <f ca="1">IF(AND($O$15="Otherworldly patron - great old one",Q$175&gt;=O201),INDEX('Spell Tables'!$T$226:$T$238,MATCH(O201,('Spell Tables'!$R$226:$R$238),0)),IF(AND($O$15="Otherworldly patron - fiend",Q$175&gt;=O201),INDEX('Spell Tables'!$T$210:$T$222,MATCH(O201,('Spell Tables'!$R$210:$R$222),0)),IF(Q$173&gt;=O201,INDEX($AL$44:$AL$53,MATCH(O201,($AJ$44:$AJ$53),0)),IF(AND($O$15="Otherworldly patron - archfey",Q$175&gt;=O201),INDEX('Spell Tables'!$T$194:$T$206,MATCH(O201,('Spell Tables'!$R$194:$R$206),0)),IF(Q$177&gt;=O201,INDEX('Spell Tables'!$T$168:$T$187,MATCH(O201,('Spell Tables'!$R$168:$R$187),0)),IF(Q$179&gt;=O201,INDEX('Spell Tables'!$T$141:$T$147,MATCH(O201,('Spell Tables'!$R$141:$R$147),0)),IF(Q$181&gt;=O201,INDEX('Spell Tables'!$P$119:$P$131,MATCH(O201,('Spell Tables'!$N$119:$N$131),0)),IF(Q$183&gt;=O201,INDEX('Spell Tables'!$P$97:$P$111,MATCH(O201,('Spell Tables'!$N$97:$N$111),0)),IF(Q$185&gt;=O201,INDEX('Spell Tables'!$T$70:$T$78,MATCH(O201,('Spell Tables'!$R$70:$R$78),0)),IF(Q$187&gt;=O201,INDEX('Spell Tables'!$T$48:$T$63,MATCH(O201,('Spell Tables'!$R$48:$R$63),0)),IF(Q$189&gt;=O201,INDEX('Spell Tables'!$T$26:$T$40,MATCH(O201,('Spell Tables'!$R$26:$R$40),0)),IF(Q$191&gt;=O201,INDEX('Spell Tables'!$T$2:$T$22,MATCH(O201,('Spell Tables'!$R$2:$R$22),0))," "))))))))))))</f>
        <v xml:space="preserve"> </v>
      </c>
      <c r="R201" s="33" t="str">
        <f ca="1">IF(AND($O$15="Otherworldly patron - great old one",R$175&gt;=O201),INDEX('Spell Tables'!$X$226:$X$239,MATCH(O201,('Spell Tables'!$V$226:$V$239),0)),IF(AND($O$15="Otherworldly patron - fiend",R$175&gt;=O201),INDEX('Spell Tables'!$X$210:$X$223,MATCH(O201,('Spell Tables'!$V$210:$V$223),0)),IF(AND($O$15="Otherworldly patron - archfey",R$175&gt;=O201),INDEX('Spell Tables'!$X$194:$X$207,MATCH(O201,('Spell Tables'!$V$194:$V$207),0)),IF($R$173&gt;=O201,INDEX($AL$56:$AL$65,MATCH(O201,($AJ$56:$AJ$65),0)),IF($R$177&gt;=O201,INDEX('Spell Tables'!$X$168:$X$191,MATCH(O201,('Spell Tables'!$V$168:$V$191),0)),IF($R$179&gt;=O201,INDEX('Spell Tables'!$AB$141:$AB$149,MATCH(O201,('Spell Tables'!$Z$141:$Z$149),0)),IF($R$181&gt;=O201,INDEX('Spell Tables'!$T$119:$T$131,MATCH(O201,('Spell Tables'!$R$119:$R$131),0)),IF($R$183&gt;=O201,INDEX('Spell Tables'!$T$97:$T$104,MATCH(O201,('Spell Tables'!$R$97:$R$104),0)),IF($R$185&gt;=O201,INDEX('Spell Tables'!$AB$70:$AB$75,MATCH(O201,('Spell Tables'!$Z$70:$Z$75),0)),IF($R$187&gt;=O201,INDEX('Spell Tables'!$X$48:$X$65,MATCH(O201,('Spell Tables'!$V$48:$V$65),0)),IF($R$189&gt;=O201,INDEX('Spell Tables'!$X$26:$X$42,MATCH(O201,('Spell Tables'!$V$26:$V$42),0)),IF($R$191&gt;=O201,INDEX('Spell Tables'!$X$2:$X$23,MATCH(O201,('Spell Tables'!$V$2:$V$23),0))," "))))))))))))</f>
        <v xml:space="preserve"> </v>
      </c>
      <c r="S201" s="33" t="str">
        <f ca="1">IF(AND($O$15="Otherworldly patron - great old one",S$175&gt;=O201),INDEX('Spell Tables'!$AB$226:$AB$238,MATCH(O201,('Spell Tables'!$Z$226:$Z$238),0)),IF(AND($O$15="Otherworldly patron - fiend",S$175&gt;=O201),INDEX('Spell Tables'!$AB$210:$AB$222,MATCH(O201,('Spell Tables'!$Z$210:$Z$222),0)),IF(AND($O$15="Otherworldly patron - archfey",S$175&gt;=O201),INDEX('Spell Tables'!$AB$194:$AB$206,MATCH(O201,('Spell Tables'!$Z$194:$Z$206),0)),IF($S$173&gt;=O201,INDEX($AL$68:$AL$77,MATCH(O201,($AJ$68:$AJ$77),0)),IF($S$177&gt;=O201,INDEX('Spell Tables'!$AB$168:$AB$187,MATCH(O201,('Spell Tables'!$Z$168:$Z$187),0)),IF($S$179&gt;=O201,INDEX('Spell Tables'!$AJ$141:$AJ$144,MATCH(O201,('Spell Tables'!$AH$141:$AH$144),0)),IF($S$181&gt;=O201,INDEX('Spell Tables'!$X$119:$X$129,MATCH(O201,('Spell Tables'!$V$119:$V$129),0)),IF($S$183&gt;=O201,INDEX('Spell Tables'!$X$97:$X$106,MATCH(O201,('Spell Tables'!$V$97:$V$106),0)),IF($S$185&gt;=O201,INDEX('Spell Tables'!$AJ$70:$AJ$79,MATCH(O201,('Spell Tables'!$AH$70:$AH$79),0)),IF($S$187&gt;=O201,INDEX('Spell Tables'!$AB$48:$AB$60,MATCH(O201,('Spell Tables'!$Z$48:$Z$60),0)),IF($S$189&gt;=O201,INDEX('Spell Tables'!$AB$26:$AB$45,MATCH(O201,('Spell Tables'!$Z$26:$Z$45),0)),IF($S$191&gt;=O201,INDEX('Spell Tables'!$AB$2:$AB$17,MATCH(O201,('Spell Tables'!$Z$2:$Z$17),0))," "))))))))))))</f>
        <v xml:space="preserve"> </v>
      </c>
      <c r="T201" s="33" t="str">
        <f ca="1">IF(AND($O$15="Otherworldly patron - great old one",T$175&gt;=O201),INDEX('Spell Tables'!$AF$226:$AF$231,MATCH(O201,('Spell Tables'!$AD$226:$AD$231),0)),IF(AND($O$15="Otherworldly patron - fiend",T$175&gt;=O201),INDEX('Spell Tables'!$AF$210:$AF$215,MATCH(O201,('Spell Tables'!$AD$210:$AD$215),0)),IF(AND($O$15="Otherworldly patron - archfey",T$175&gt;=O201),INDEX('Spell Tables'!$AF$194:$AF$199,MATCH(O201,('Spell Tables'!$AD$194:$AD$199),0)),IF($T$173&gt;=O201,INDEX($AL$80:$AL$89,MATCH(O201,($AJ$80:$AJ$89),0)),IF($T$177&gt;=O201,INDEX('Spell Tables'!$AF$168:$AF$177,MATCH(O201,('Spell Tables'!$AD$168:$AD$177),0)),IF($T$179&gt;=O201,INDEX('Spell Tables'!$AR$141:$AR$144,MATCH(O201,('Spell Tables'!$AP$141:$AP$144),0)),IF($T$181&gt;=O201,INDEX('Spell Tables'!$AB$119:$AB$123,MATCH(O201,('Spell Tables'!$Z$119:$Z$123),0)),IF($T$183&gt;=O201,INDEX('Spell Tables'!$AB$97:$AB$102,MATCH(O201,('Spell Tables'!$Z$97:$Z$102),0)),IF($T$185&gt;=O201,INDEX('Spell Tables'!$AR$70:$AR$75,MATCH(O201,('Spell Tables'!$AP$70:$AP$75),0)),IF($T$187&gt;=O201,INDEX('Spell Tables'!$AF$48:$AF$63,MATCH(O201,('Spell Tables'!$AD$48:$AD$63),0)),IF($T$189&gt;=O201,INDEX('Spell Tables'!$AF$26:$AF$33,MATCH(O201,('Spell Tables'!$AD$26:$AD$33),0)),IF($T$191&gt;=O201,INDEX('Spell Tables'!$AF$2:$AF$9,MATCH(O201,('Spell Tables'!$AD$2:$AD$9),0))," "))))))))))))</f>
        <v xml:space="preserve"> </v>
      </c>
    </row>
    <row r="202" spans="2:37" x14ac:dyDescent="0.3">
      <c r="B202" s="33"/>
      <c r="C202" s="33"/>
      <c r="D202" s="33"/>
      <c r="E202" s="33"/>
      <c r="F202" s="33"/>
      <c r="G202" s="33"/>
      <c r="H202" s="33"/>
      <c r="I202" s="33"/>
      <c r="J202" s="33"/>
      <c r="K202" s="33"/>
      <c r="L202" s="33"/>
      <c r="M202" s="33"/>
      <c r="N202" s="33"/>
      <c r="O202" s="34">
        <v>10</v>
      </c>
      <c r="P202" s="33" t="str">
        <f ca="1">IF(P$173&gt;=O202,INDEX('Spell Tables'!$P$242:$P$257,MATCH(O202,('Spell Tables'!$N$242:$N$257),0)),IF(P$175&gt;=O202,INDEX('Spell Tables'!$P$194:$P$201,MATCH(O202,('Spell Tables'!$N$194:$N$201),0)),IF(P$177&gt;=O202,INDEX('Spell Tables'!$P$168:$P$183,MATCH(O202,('Spell Tables'!$N$168:$N$183),0)),IF(P$179&gt;=O202,INDEX('Spell Tables'!$P$141:$P$156,MATCH(O202,('Spell Tables'!$N$141:$N$157),0)),IF(P$185&gt;=O202,INDEX('Spell Tables'!$P$70:$P$83,MATCH(O202,('Spell Tables'!$N$70:$N$83),0)),IF(P$187&gt;=O202,INDEX('Spell Tables'!$P$48:$P$55,MATCH(O202,('Spell Tables'!$N$48:$N$55),0)),IF(P$189&gt;=O202,INDEX('Spell Tables'!$P$26:$P$32,MATCH(O202,('Spell Tables'!$N$26:$N$32),0)),IF(P$191&gt;=O202,INDEX('Spell Tables'!$P$2:$P$12,MATCH(O202,('Spell Tables'!$N$2:$N$12),0))," "))))))))</f>
        <v xml:space="preserve"> </v>
      </c>
      <c r="Q202" s="33" t="str">
        <f ca="1">IF(AND($O$15="Otherworldly patron - great old one",Q$175&gt;=O202),INDEX('Spell Tables'!$T$226:$T$238,MATCH(O202,('Spell Tables'!$R$226:$R$238),0)),IF(AND($O$15="Otherworldly patron - fiend",Q$175&gt;=O202),INDEX('Spell Tables'!$T$210:$T$222,MATCH(O202,('Spell Tables'!$R$210:$R$222),0)),IF(Q$173&gt;=O202,INDEX($AL$44:$AL$53,MATCH(O202,($AJ$44:$AJ$53),0)),IF(AND($O$15="Otherworldly patron - archfey",Q$175&gt;=O202),INDEX('Spell Tables'!$T$194:$T$206,MATCH(O202,('Spell Tables'!$R$194:$R$206),0)),IF(Q$177&gt;=O202,INDEX('Spell Tables'!$T$168:$T$187,MATCH(O202,('Spell Tables'!$R$168:$R$187),0)),IF(Q$179&gt;=O202,INDEX('Spell Tables'!$T$141:$T$147,MATCH(O202,('Spell Tables'!$R$141:$R$147),0)),IF(Q$181&gt;=O202,INDEX('Spell Tables'!$P$119:$P$131,MATCH(O202,('Spell Tables'!$N$119:$N$131),0)),IF(Q$183&gt;=O202,INDEX('Spell Tables'!$P$97:$P$111,MATCH(O202,('Spell Tables'!$N$97:$N$111),0)),IF(Q$185&gt;=O202,INDEX('Spell Tables'!$T$70:$T$78,MATCH(O202,('Spell Tables'!$R$70:$R$78),0)),IF(Q$187&gt;=O202,INDEX('Spell Tables'!$T$48:$T$63,MATCH(O202,('Spell Tables'!$R$48:$R$63),0)),IF(Q$189&gt;=O202,INDEX('Spell Tables'!$T$26:$T$40,MATCH(O202,('Spell Tables'!$R$26:$R$40),0)),IF(Q$191&gt;=O202,INDEX('Spell Tables'!$T$2:$T$22,MATCH(O202,('Spell Tables'!$R$2:$R$22),0))," "))))))))))))</f>
        <v xml:space="preserve"> </v>
      </c>
      <c r="R202" s="33" t="str">
        <f ca="1">IF(AND($O$15="Otherworldly patron - great old one",R$175&gt;=O202),INDEX('Spell Tables'!$X$226:$X$239,MATCH(O202,('Spell Tables'!$V$226:$V$239),0)),IF(AND($O$15="Otherworldly patron - fiend",R$175&gt;=O202),INDEX('Spell Tables'!$X$210:$X$223,MATCH(O202,('Spell Tables'!$V$210:$V$223),0)),IF(AND($O$15="Otherworldly patron - archfey",R$175&gt;=O202),INDEX('Spell Tables'!$X$194:$X$207,MATCH(O202,('Spell Tables'!$V$194:$V$207),0)),IF($R$173&gt;=O202,INDEX($AL$56:$AL$65,MATCH(O202,($AJ$56:$AJ$65),0)),IF($R$177&gt;=O202,INDEX('Spell Tables'!$X$168:$X$191,MATCH(O202,('Spell Tables'!$V$168:$V$191),0)),IF($R$179&gt;=O202,INDEX('Spell Tables'!$AB$141:$AB$149,MATCH(O202,('Spell Tables'!$Z$141:$Z$149),0)),IF($R$181&gt;=O202,INDEX('Spell Tables'!$T$119:$T$131,MATCH(O202,('Spell Tables'!$R$119:$R$131),0)),IF($R$183&gt;=O202,INDEX('Spell Tables'!$T$97:$T$104,MATCH(O202,('Spell Tables'!$R$97:$R$104),0)),IF($R$185&gt;=O202,INDEX('Spell Tables'!$AB$70:$AB$75,MATCH(O202,('Spell Tables'!$Z$70:$Z$75),0)),IF($R$187&gt;=O202,INDEX('Spell Tables'!$X$48:$X$65,MATCH(O202,('Spell Tables'!$V$48:$V$65),0)),IF($R$189&gt;=O202,INDEX('Spell Tables'!$X$26:$X$42,MATCH(O202,('Spell Tables'!$V$26:$V$42),0)),IF($R$191&gt;=O202,INDEX('Spell Tables'!$X$2:$X$23,MATCH(O202,('Spell Tables'!$V$2:$V$23),0))," "))))))))))))</f>
        <v xml:space="preserve"> </v>
      </c>
      <c r="S202" s="33" t="str">
        <f ca="1">IF(AND($O$15="Otherworldly patron - great old one",S$175&gt;=O202),INDEX('Spell Tables'!$AB$226:$AB$238,MATCH(O202,('Spell Tables'!$Z$226:$Z$238),0)),IF(AND($O$15="Otherworldly patron - fiend",S$175&gt;=O202),INDEX('Spell Tables'!$AB$210:$AB$222,MATCH(O202,('Spell Tables'!$Z$210:$Z$222),0)),IF(AND($O$15="Otherworldly patron - archfey",S$175&gt;=O202),INDEX('Spell Tables'!$AB$194:$AB$206,MATCH(O202,('Spell Tables'!$Z$194:$Z$206),0)),IF($S$173&gt;=O202,INDEX($AL$68:$AL$77,MATCH(O202,($AJ$68:$AJ$77),0)),IF($S$177&gt;=O202,INDEX('Spell Tables'!$AB$168:$AB$187,MATCH(O202,('Spell Tables'!$Z$168:$Z$187),0)),IF($S$179&gt;=O202,INDEX('Spell Tables'!$AJ$141:$AJ$144,MATCH(O202,('Spell Tables'!$AH$141:$AH$144),0)),IF($S$181&gt;=O202,INDEX('Spell Tables'!$X$119:$X$129,MATCH(O202,('Spell Tables'!$V$119:$V$129),0)),IF($S$183&gt;=O202,INDEX('Spell Tables'!$X$97:$X$106,MATCH(O202,('Spell Tables'!$V$97:$V$106),0)),IF($S$185&gt;=O202,INDEX('Spell Tables'!$AJ$70:$AJ$79,MATCH(O202,('Spell Tables'!$AH$70:$AH$79),0)),IF($S$187&gt;=O202,INDEX('Spell Tables'!$AB$48:$AB$60,MATCH(O202,('Spell Tables'!$Z$48:$Z$60),0)),IF($S$189&gt;=O202,INDEX('Spell Tables'!$AB$26:$AB$45,MATCH(O202,('Spell Tables'!$Z$26:$Z$45),0)),IF($S$191&gt;=O202,INDEX('Spell Tables'!$AB$2:$AB$17,MATCH(O202,('Spell Tables'!$Z$2:$Z$17),0))," "))))))))))))</f>
        <v xml:space="preserve"> </v>
      </c>
      <c r="T202" s="33" t="str">
        <f ca="1">IF(AND($O$15="Otherworldly patron - great old one",T$175&gt;=O202),INDEX('Spell Tables'!$AF$226:$AF$231,MATCH(O202,('Spell Tables'!$AD$226:$AD$231),0)),IF(AND($O$15="Otherworldly patron - fiend",T$175&gt;=O202),INDEX('Spell Tables'!$AF$210:$AF$215,MATCH(O202,('Spell Tables'!$AD$210:$AD$215),0)),IF(AND($O$15="Otherworldly patron - archfey",T$175&gt;=O202),INDEX('Spell Tables'!$AF$194:$AF$199,MATCH(O202,('Spell Tables'!$AD$194:$AD$199),0)),IF($T$173&gt;=O202,INDEX('Spell Tables'!$AF$242:$AF$264,MATCH(O202,('Spell Tables'!$AD$242:$AD$264),0)),IF($T$177&gt;=O202,INDEX('Spell Tables'!$AF$168:$AF$177,MATCH(O202,('Spell Tables'!$AD$168:$AD$177),0)),IF($T$179&gt;=O202,INDEX('Spell Tables'!$AR$141:$AR$144,MATCH(O202,('Spell Tables'!$AP$141:$AP$144),0)),IF($T$181&gt;=O202,INDEX('Spell Tables'!$AB$119:$AB$123,MATCH(O202,('Spell Tables'!$Z$119:$Z$123),0)),IF($T$183&gt;=O202,INDEX('Spell Tables'!$AB$97:$AB$102,MATCH(O202,('Spell Tables'!$Z$97:$Z$102),0)),IF($T$185&gt;=O202,INDEX('Spell Tables'!$AR$70:$AR$75,MATCH(O202,('Spell Tables'!$AP$70:$AP$75),0)),IF($T$187&gt;=O202,INDEX('Spell Tables'!$AF$48:$AF$63,MATCH(O202,('Spell Tables'!$AD$48:$AD$63),0)),IF($T$189&gt;=O202,INDEX('Spell Tables'!$AF$26:$AF$33,MATCH(O202,('Spell Tables'!$AD$26:$AD$33),0)),IF($T$191&gt;=O202,INDEX('Spell Tables'!$AF$2:$AF$9,MATCH(O202,('Spell Tables'!$AD$2:$AD$9),0))," "))))))))))))</f>
        <v xml:space="preserve"> </v>
      </c>
    </row>
    <row r="204" spans="2:37" ht="19.5" thickBot="1" x14ac:dyDescent="0.35">
      <c r="C204" s="38"/>
      <c r="D204" s="38"/>
      <c r="E204" s="38"/>
      <c r="F204" s="38"/>
      <c r="G204" s="38"/>
      <c r="H204" s="38"/>
      <c r="I204" s="38"/>
      <c r="J204" s="38"/>
      <c r="K204" s="38"/>
      <c r="L204" s="38"/>
      <c r="M204" s="38"/>
      <c r="O204" s="38"/>
      <c r="P204" s="38"/>
      <c r="Q204" s="38"/>
      <c r="R204" s="38"/>
      <c r="S204" s="38"/>
      <c r="T204" s="38"/>
    </row>
    <row r="205" spans="2:37" hidden="1" x14ac:dyDescent="0.3">
      <c r="N205" s="72"/>
      <c r="P205" s="27"/>
      <c r="Q205" s="27"/>
      <c r="R205" s="27"/>
      <c r="S205" s="91"/>
    </row>
    <row r="206" spans="2:37" x14ac:dyDescent="0.3">
      <c r="N206" s="72"/>
      <c r="O206" s="135" t="s">
        <v>1342</v>
      </c>
      <c r="P206" s="65" t="str">
        <f ca="1">IF(AND(AF14=2,OR(O11="monk",O11="barbarian",O11="warlock"),OR(Q11="fighter",Q11="rogue"),OR(P15&lt;&gt;"arcane trickster",R15&lt;&gt;"arcane trickster",P15&lt;&gt;"eldritch knight",R15&lt;&gt;"eldritch knight")),0,IF(AND(AF14=2,OR(O11="monk",O11="barbarian",O11="warlock"),OR(Q11="monk",Q11="barbarian",Q11="warlock")),0,IF(AND(AF14=2,OR(O11="monk",O11="barbarian",O11="warlock",Q11="monk",Q11="barbarian",Q11="warlock"),OR(O11="paladin",Q11="paladin",O11="ranger",Q11="ranger")),INDEX('Spell Tables'!H119:H138,MATCH(AF18,('Spell Tables'!B119:B138),0)),IF(AF14=2,INDEX('Spell Tables'!H242:H261,MATCH(AF18,('Spell Tables'!B242:B261),0)),IF(OR($O$11="bard",$O$11="cleric",$O$11="druid",O11="sorcerer",O11="wizard"),INDEX('Spell Tables'!H$2:H$21,MATCH($O$12,('Spell Tables'!$A$2:$A$21),0))," ")))))</f>
        <v xml:space="preserve"> </v>
      </c>
      <c r="Q206" s="65" t="str">
        <f ca="1">IF(AND(AF14=2,OR(O11="monk",O11="barbarian",O11="warlock"),OR(Q11="fighter",Q11="rogue"),OR(P15&lt;&gt;"arcane trickster",R15&lt;&gt;"arcane trickster",P15&lt;&gt;"eldritch knight",R15&lt;&gt;"eldritch knight")),0,IF(AND(AF14=2,OR(O11="monk",O11="barbarian",O11="warlock"),OR(Q11="monk",Q11="barbarian",Q11="warlock")),0,IF(AF14=2,INDEX('Spell Tables'!I242:I261,MATCH(AF18,('Spell Tables'!B242:B261),0)),IF(OR($O$11="bard",$O$11="cleric",$O$11="druid",O11="sorcerer",O11="wizard"),INDEX('Spell Tables'!I$2:I$21,MATCH($O$12,('Spell Tables'!$A$2:$A$21),0))," "))))</f>
        <v xml:space="preserve"> </v>
      </c>
      <c r="R206" s="65" t="str">
        <f ca="1">IF(AND(AF14=2,OR(O11="monk",O11="barbarian",O11="warlock"),OR(Q11="fighter",Q11="rogue"),OR(P15&lt;&gt;"arcane trickster",R15&lt;&gt;"arcane trickster",P15&lt;&gt;"eldritch knight",R15&lt;&gt;"eldritch knight")),0,IF(AND(AF14=2,OR(O11="monk",O11="barbarian",O11="warlock"),OR(Q11="monk",Q11="barbarian",Q11="warlock")),0,IF(AF14=2,INDEX('Spell Tables'!J242:J261,MATCH(AF18,('Spell Tables'!B242:B261),0)),IF(OR($O$11="bard",$O$11="cleric",$O$11="druid",O11="sorcerer",O11="wizard"),INDEX('Spell Tables'!J$2:J$21,MATCH($O$12,('Spell Tables'!$A$2:$A$21),0))," "))))</f>
        <v xml:space="preserve"> </v>
      </c>
      <c r="S206" s="65" t="str">
        <f ca="1">IF(AND(AF14=2,OR(O11="monk",O11="barbarian",O11="warlock"),OR(Q11="fighter",Q11="rogue"),OR(P15&lt;&gt;"arcane trickster",R15&lt;&gt;"arcane trickster",P15&lt;&gt;"eldritch knight",R15&lt;&gt;"eldritch knight")),0,IF(AND(AF14=2,OR(O11="monk",O11="barbarian",O11="warlock"),OR(Q11="monk",Q11="barbarian",Q11="warlock")),0,IF(AF14=2,INDEX('Spell Tables'!K242:K261,MATCH(AF18,('Spell Tables'!B242:B261),0)),IF(OR($O$11="bard",$O$11="cleric",$O$11="druid",O11="sorcerer",O11="wizard"),INDEX('Spell Tables'!K$2:K$21,MATCH($O$12,('Spell Tables'!$A$2:$A$21),0))," "))))</f>
        <v xml:space="preserve"> </v>
      </c>
      <c r="T206" s="66" t="str">
        <f ca="1">IF(AND(AF14=2,OR(O11="monk",O11="barbarian",O11="warlock"),OR(Q11="fighter",Q11="rogue"),OR(P15&lt;&gt;"arcane trickster",R15&lt;&gt;"arcane trickster",P15&lt;&gt;"eldritch knight",R15&lt;&gt;"eldritch knight")),0,IF(AND(AF14=2,OR(O11="monk",O11="barbarian",O11="warlock"),OR(Q11="monk",Q11="barbarian",Q11="warlock")),0,IF(AF14=2,INDEX('Spell Tables'!L242:L261,MATCH(AF18,('Spell Tables'!B242:B261),0)),IF(OR($O$11="bard",$O$11="cleric",$O$11="druid",O11="sorcerer",O11="wizard"),INDEX('Spell Tables'!L$2:L$21,MATCH($O$12,('Spell Tables'!$A$2:$A$21),0))," "))))</f>
        <v xml:space="preserve"> </v>
      </c>
    </row>
    <row r="207" spans="2:37" hidden="1" x14ac:dyDescent="0.3">
      <c r="N207" s="72"/>
      <c r="O207" s="79"/>
      <c r="P207" s="29" t="str">
        <f ca="1">IF(AND(O11="wizard",O12&gt;=11),"x",IF(AND($O$11="wizard",$O$12&gt;9),"xx",IF(AND(O11="wizard",O12=9),"xxx"," ")))</f>
        <v xml:space="preserve"> </v>
      </c>
      <c r="Q207" s="29" t="str">
        <f ca="1">IF(AND(O11="wizard",O12&gt;=13),"x",IF(AND($O$11="wizard",$O$12&gt;11),"xx",IF(AND(O11="wizard",O12=11),"xxx"," ")))</f>
        <v xml:space="preserve"> </v>
      </c>
      <c r="R207" s="29" t="str">
        <f ca="1">IF(AND(O11="wizard",O12&gt;=15),"x",IF(AND($O$11="wizard",$O$12&gt;13),"xx",IF(AND(O11="wizard",O12=13),"xxx"," ")))</f>
        <v xml:space="preserve"> </v>
      </c>
      <c r="S207" s="29" t="str">
        <f ca="1">IF(AND(O11="wizard",O12&gt;=17),"x",IF(AND($O$11="wizard",$O$12&gt;15),"xx",IF(AND(O11="wizard",O12=15),"xxx"," ")))</f>
        <v xml:space="preserve"> </v>
      </c>
      <c r="T207" s="72" t="str">
        <f ca="1">IF(AND($O$11="wizard",$O$12&gt;17),"xx",IF(AND(O11="wizard",O12=17),"xxx"," "))</f>
        <v xml:space="preserve"> </v>
      </c>
    </row>
    <row r="208" spans="2:37" hidden="1" x14ac:dyDescent="0.3">
      <c r="N208" s="72"/>
      <c r="O208" s="79"/>
      <c r="P208" s="29">
        <f ca="1">IF(P207="x",RANDBETWEEN(2,3),IF(P207="xx",RANDBETWEEN(2,3),IF(P207="xxx",RANDBETWEEN(1,2),0)))</f>
        <v>0</v>
      </c>
      <c r="Q208" s="29">
        <f ca="1">IF(Q207="x",RANDBETWEEN(2,3),IF(Q207="xx",RANDBETWEEN(2,3),IF(Q207="xxx",RANDBETWEEN(1,2),0)))</f>
        <v>0</v>
      </c>
      <c r="R208" s="29">
        <f ca="1">IF(R207="x",RANDBETWEEN(1,2),IF(R207="xx",RANDBETWEEN(1,2),IF(R207="xxx",RANDBETWEEN(1,2),0)))</f>
        <v>0</v>
      </c>
      <c r="S208" s="29">
        <f ca="1">IF(OR(S207="x",S207="xx"),RANDBETWEEN(1,2),IF(S207="xxx",RANDBETWEEN(1,2),0))</f>
        <v>0</v>
      </c>
      <c r="T208" s="72">
        <f ca="1">IF(T207="xx",RANDBETWEEN(1,2),IF(T207="xxx",RANDBETWEEN(1,2),0))</f>
        <v>0</v>
      </c>
    </row>
    <row r="209" spans="14:20" hidden="1" x14ac:dyDescent="0.3">
      <c r="N209" s="72"/>
      <c r="O209" s="79"/>
      <c r="P209" s="29" t="str">
        <f ca="1">IF(AND($O$11="warlock",$O$12&gt;=9),"xx"," ")</f>
        <v xml:space="preserve"> </v>
      </c>
      <c r="T209" s="72"/>
    </row>
    <row r="210" spans="14:20" hidden="1" x14ac:dyDescent="0.3">
      <c r="N210" s="72"/>
      <c r="O210" s="79"/>
      <c r="P210" s="29">
        <f ca="1">IF(P209="x",RANDBETWEEN(2,3),IF(P209="xx",RANDBETWEEN(2,3),0))</f>
        <v>0</v>
      </c>
      <c r="T210" s="72"/>
    </row>
    <row r="211" spans="14:20" hidden="1" x14ac:dyDescent="0.3">
      <c r="N211" s="72"/>
      <c r="O211" s="79"/>
      <c r="P211" s="29" t="str">
        <f ca="1">IF(AND($O$11="sorcerer",$O$12&gt;=11),"x",IF(AND($O$11="sorcerer",$O$12&gt;=9),"xx"," "))</f>
        <v xml:space="preserve"> </v>
      </c>
      <c r="Q211" s="29" t="str">
        <f ca="1">IF(AND($O$11="sorcerer",$O$12&gt;=13),"x",IF(AND($O$11="sorcerer",$O$12&gt;=11),"xx"," "))</f>
        <v xml:space="preserve"> </v>
      </c>
      <c r="R211" s="29" t="str">
        <f ca="1">IF(AND($O$11="sorcerer",$O$12&gt;=15),"x",IF(AND($O$11="sorcerer",$O$12&gt;=13),"xx"," "))</f>
        <v xml:space="preserve"> </v>
      </c>
      <c r="S211" s="29" t="str">
        <f ca="1">IF(AND($O$11="sorcerer",$O$12&gt;=17),"x",IF(AND($O$11="sorcerer",$O$12&gt;15),"xx"," "))</f>
        <v xml:space="preserve"> </v>
      </c>
      <c r="T211" s="72" t="str">
        <f ca="1">IF(AND($O$11="sorcerer",$O$12&gt;=17),"xx"," ")</f>
        <v xml:space="preserve"> </v>
      </c>
    </row>
    <row r="212" spans="14:20" hidden="1" x14ac:dyDescent="0.3">
      <c r="N212" s="72"/>
      <c r="O212" s="79"/>
      <c r="P212" s="29">
        <f ca="1">IF(P211="x",RANDBETWEEN(2,3),IF(P211="xx",RANDBETWEEN(2,3),0))</f>
        <v>0</v>
      </c>
      <c r="Q212" s="29">
        <f ca="1">IF(Q211="x",RANDBETWEEN(2,3),IF(Q211="xx",RANDBETWEEN(2,3),0))</f>
        <v>0</v>
      </c>
      <c r="R212" s="29">
        <f ca="1">IF(R211="x",RANDBETWEEN(1,2),IF(R211="xx",RANDBETWEEN(1,2),0))</f>
        <v>0</v>
      </c>
      <c r="S212" s="29">
        <f ca="1">IF(OR(S211="x",S211="xx"),RANDBETWEEN(1,2),0)</f>
        <v>0</v>
      </c>
      <c r="T212" s="72">
        <f ca="1">IF(T211="xx",RANDBETWEEN(1,2),0)</f>
        <v>0</v>
      </c>
    </row>
    <row r="213" spans="14:20" hidden="1" x14ac:dyDescent="0.3">
      <c r="N213" s="72"/>
      <c r="O213" s="79"/>
      <c r="T213" s="72"/>
    </row>
    <row r="214" spans="14:20" hidden="1" x14ac:dyDescent="0.3">
      <c r="N214" s="72"/>
      <c r="O214" s="79"/>
      <c r="T214" s="72"/>
    </row>
    <row r="215" spans="14:20" hidden="1" x14ac:dyDescent="0.3">
      <c r="N215" s="72"/>
      <c r="O215" s="79"/>
      <c r="P215" s="29" t="str">
        <f ca="1">IF(AND($O$11="ranger",$O$12&gt;=17),"xx"," ")</f>
        <v xml:space="preserve"> </v>
      </c>
      <c r="T215" s="72"/>
    </row>
    <row r="216" spans="14:20" hidden="1" x14ac:dyDescent="0.3">
      <c r="N216" s="72"/>
      <c r="O216" s="79"/>
      <c r="P216" s="29">
        <f ca="1">IF(P215="x",RANDBETWEEN(2,3),IF(P215="xx",RANDBETWEEN(2,3),0))</f>
        <v>0</v>
      </c>
      <c r="T216" s="72"/>
    </row>
    <row r="217" spans="14:20" hidden="1" x14ac:dyDescent="0.3">
      <c r="N217" s="72"/>
      <c r="O217" s="79"/>
      <c r="P217" s="29" t="str">
        <f ca="1">IF(AND(O11="paladin",O12&gt;=17),"xx"," ")</f>
        <v xml:space="preserve"> </v>
      </c>
      <c r="T217" s="72"/>
    </row>
    <row r="218" spans="14:20" hidden="1" x14ac:dyDescent="0.3">
      <c r="N218" s="72"/>
      <c r="O218" s="79"/>
      <c r="P218" s="29">
        <f ca="1">IF(P217="x",RANDBETWEEN(2,3),IF(P217="xx",RANDBETWEEN(2,3),0))</f>
        <v>0</v>
      </c>
      <c r="T218" s="72"/>
    </row>
    <row r="219" spans="14:20" hidden="1" x14ac:dyDescent="0.3">
      <c r="N219" s="72"/>
      <c r="O219" s="79"/>
      <c r="T219" s="72"/>
    </row>
    <row r="220" spans="14:20" hidden="1" x14ac:dyDescent="0.3">
      <c r="N220" s="72"/>
      <c r="O220" s="79"/>
      <c r="T220" s="72"/>
    </row>
    <row r="221" spans="14:20" hidden="1" x14ac:dyDescent="0.3">
      <c r="N221" s="72"/>
      <c r="O221" s="79"/>
      <c r="P221" s="29" t="str">
        <f ca="1">IF(AND($O$11="druid",$O$12&gt;=11),"x",IF(AND($O$11="druid",$O$12&gt;=9),"xx"," "))</f>
        <v xml:space="preserve"> </v>
      </c>
      <c r="Q221" s="29" t="str">
        <f ca="1">IF(AND($O$11="druid",$O$12&gt;=13),"x",IF(AND($O$11="druid",$O$12&gt;=11),"xx"," "))</f>
        <v xml:space="preserve"> </v>
      </c>
      <c r="R221" s="29" t="str">
        <f ca="1">IF(AND($O$11="druid",$O$12&gt;=15),"x",IF(AND($O$11="druid",$O$12&gt;=13),"xx"," "))</f>
        <v xml:space="preserve"> </v>
      </c>
      <c r="S221" s="29" t="str">
        <f ca="1">IF(AND($O$11="druid",$O$12&gt;=17),"x",IF(AND($O$11="druid",$O$12&gt;15),"xx"," "))</f>
        <v xml:space="preserve"> </v>
      </c>
      <c r="T221" s="72" t="str">
        <f ca="1">IF(AND($O$11="druid",$O$12&gt;=17),"xx"," ")</f>
        <v xml:space="preserve"> </v>
      </c>
    </row>
    <row r="222" spans="14:20" hidden="1" x14ac:dyDescent="0.3">
      <c r="N222" s="72"/>
      <c r="O222" s="79"/>
      <c r="P222" s="29">
        <f ca="1">IF(P221="x",RANDBETWEEN(2,3),IF(P221="xx",RANDBETWEEN(2,3),0))</f>
        <v>0</v>
      </c>
      <c r="Q222" s="29">
        <f ca="1">IF(Q221="x",RANDBETWEEN(2,3),IF(Q221="xx",RANDBETWEEN(2,3),0))</f>
        <v>0</v>
      </c>
      <c r="R222" s="29">
        <f ca="1">IF(R221="x",RANDBETWEEN(1,2),IF(R221="xx",RANDBETWEEN(1,2),0))</f>
        <v>0</v>
      </c>
      <c r="S222" s="29">
        <f ca="1">IF(OR(S221="x",S221="xx"),RANDBETWEEN(1,2),0)</f>
        <v>0</v>
      </c>
      <c r="T222" s="72">
        <f ca="1">IF(T221="xx",RANDBETWEEN(1,2),0)</f>
        <v>0</v>
      </c>
    </row>
    <row r="223" spans="14:20" hidden="1" x14ac:dyDescent="0.3">
      <c r="N223" s="72"/>
      <c r="O223" s="79"/>
      <c r="P223" s="29" t="str">
        <f ca="1">IF(AND(O11="cleric",O12&gt;=11),"x",IF(AND($O$11="cleric",$O$12&gt;=9),"xx"," "))</f>
        <v xml:space="preserve"> </v>
      </c>
      <c r="Q223" s="29" t="str">
        <f ca="1">IF(AND(O11="cleric",O12&gt;=13),"x",IF(AND($O$11="cleric",$O$12&gt;=11),"xx"," "))</f>
        <v xml:space="preserve"> </v>
      </c>
      <c r="R223" s="29" t="str">
        <f ca="1">IF(AND(O11="cleric",O12&gt;=15),"x",IF(AND($O$11="cleric",$O$12&gt;=13),"xx"," "))</f>
        <v xml:space="preserve"> </v>
      </c>
      <c r="S223" s="29" t="str">
        <f ca="1">IF(AND(O11="cleric",O12&gt;=17),"x",IF(AND($O$11="cleric",$O$12&gt;15),"xx"," "))</f>
        <v xml:space="preserve"> </v>
      </c>
      <c r="T223" s="72" t="str">
        <f ca="1">IF(AND($O$11="cleric",$O$12&gt;=17),"xx"," ")</f>
        <v xml:space="preserve"> </v>
      </c>
    </row>
    <row r="224" spans="14:20" hidden="1" x14ac:dyDescent="0.3">
      <c r="N224" s="72"/>
      <c r="O224" s="79"/>
      <c r="P224" s="29">
        <f ca="1">IF(P223="x",RANDBETWEEN(2,3),IF(P223="xx",RANDBETWEEN(2,3),0))</f>
        <v>0</v>
      </c>
      <c r="Q224" s="29">
        <f ca="1">IF(Q223="x",RANDBETWEEN(2,3),IF(Q223="xx",RANDBETWEEN(2,3),0))</f>
        <v>0</v>
      </c>
      <c r="R224" s="29">
        <f ca="1">IF(R223="x",RANDBETWEEN(1,2),IF(R223="xx",RANDBETWEEN(1,2),0))</f>
        <v>0</v>
      </c>
      <c r="S224" s="29">
        <f ca="1">IF(OR(S223="x",S223="xx"),RANDBETWEEN(1,2),0)</f>
        <v>0</v>
      </c>
      <c r="T224" s="72">
        <f ca="1">IF(T223="xx",RANDBETWEEN(1,2),0)</f>
        <v>0</v>
      </c>
    </row>
    <row r="225" spans="2:20" hidden="1" x14ac:dyDescent="0.3">
      <c r="N225" s="72"/>
      <c r="O225" s="79"/>
      <c r="P225" s="29" t="str">
        <f ca="1">IF(AND($O$11="bard",$O$12&gt;=11),"x",IF(AND($O$11="bard",$O$12&gt;=9),"xx"," "))</f>
        <v xml:space="preserve"> </v>
      </c>
      <c r="Q225" s="29" t="str">
        <f ca="1">IF(AND($O$11="bard",$O$12&gt;=13),"x",IF(AND($O$11="bard",$O$12&gt;=11),"xx"," "))</f>
        <v xml:space="preserve"> </v>
      </c>
      <c r="R225" s="29" t="str">
        <f ca="1">IF(AND($O$11="bard",$O$12&gt;=15),"x",IF(AND($O$11="bard",$O$12&gt;=13),"xx"," "))</f>
        <v xml:space="preserve"> </v>
      </c>
      <c r="S225" s="29" t="str">
        <f ca="1">IF(AND($O$11="bard",$O$12&gt;=17),"x",IF(AND($O$11="bard",$O$12&gt;15),"xx"," "))</f>
        <v xml:space="preserve"> </v>
      </c>
      <c r="T225" s="72" t="str">
        <f ca="1">IF(AND($O$11="bard",$O$12&gt;=17),"xx"," ")</f>
        <v xml:space="preserve"> </v>
      </c>
    </row>
    <row r="226" spans="2:20" hidden="1" x14ac:dyDescent="0.3">
      <c r="N226" s="72"/>
      <c r="O226" s="79"/>
      <c r="P226" s="29">
        <f ca="1">IF(P225="x",RANDBETWEEN(2,3),IF(P225="xx",RANDBETWEEN(2,3),0))</f>
        <v>0</v>
      </c>
      <c r="Q226" s="29">
        <f ca="1">IF(Q225="x",RANDBETWEEN(2,3),IF(Q225="xx",RANDBETWEEN(2,3),0))</f>
        <v>0</v>
      </c>
      <c r="R226" s="29">
        <f ca="1">IF(R225="x",RANDBETWEEN(1,2),IF(R225="xx",RANDBETWEEN(1,2),0))</f>
        <v>0</v>
      </c>
      <c r="S226" s="29">
        <f ca="1">IF(OR(S225="x",S225="xx"),RANDBETWEEN(1,2),0)</f>
        <v>0</v>
      </c>
      <c r="T226" s="72">
        <f ca="1">IF(T225="xx",RANDBETWEEN(1,2),0)</f>
        <v>0</v>
      </c>
    </row>
    <row r="227" spans="2:20" x14ac:dyDescent="0.3">
      <c r="N227" s="72"/>
      <c r="O227" s="79"/>
      <c r="P227" s="107" t="s">
        <v>1169</v>
      </c>
      <c r="Q227" s="107" t="s">
        <v>1170</v>
      </c>
      <c r="R227" s="107" t="s">
        <v>1171</v>
      </c>
      <c r="S227" s="107" t="s">
        <v>677</v>
      </c>
      <c r="T227" s="93" t="s">
        <v>1172</v>
      </c>
    </row>
    <row r="228" spans="2:20" x14ac:dyDescent="0.3">
      <c r="N228" s="72"/>
      <c r="O228" s="86">
        <v>1</v>
      </c>
      <c r="P228" s="65" t="str">
        <f ca="1">IF(AND($O$15="Otherworldly patron - great old one",P$210&gt;=O193),INDEX('Spell Tables'!$AJ$226:$AJ$231,MATCH(O193,('Spell Tables'!$AH$226:$AH$231),0)),IF(AND($O$15="Otherworldly patron - fiend",P$210&gt;=O193),INDEX('Spell Tables'!$AJ$210:$AJ$215,MATCH(O193,('Spell Tables'!$AH$210:$AH$215),0)),IF(AND($O$15="Otherworldly patron - archfey",P$210&gt;=O193),INDEX('Spell Tables'!$AJ$194:$AJ$199,MATCH(O193,('Spell Tables'!$AH$194:$AH$199),0)),IF($P$208&gt;=O193,INDEX($AL$92:$AL$101,MATCH(O193,($AJ$92:$AJ$101),0)),IF($P$212&gt;=O193,INDEX('Spell Tables'!$AJ$168:$AJ$178,MATCH(O193,('Spell Tables'!$AH$168:$AH$178),0)),IF($P$216&gt;=O193,INDEX('Spell Tables'!$AF$119:$AF$122,MATCH(O193,('Spell Tables'!$AD$119:$AD$122),0)),IF($P$218&gt;=O193,INDEX('Spell Tables'!$AF$97:$AF$102,MATCH(O193,('Spell Tables'!$AD$97:$AD$102),0)),IF($P$222&gt;=O193,INDEX('Spell Tables'!$AJ$48:$AJ$61,MATCH(O193,('Spell Tables'!$AH$48:$AH$61),0)),IF($P$224&gt;=O193,INDEX('Spell Tables'!$AJ$26:$AJ$38,MATCH(O193,('Spell Tables'!$AH$26:$AH$38),0)),IF($P$226&gt;=O193,INDEX('Spell Tables'!$AJ$2:$AJ$17,MATCH(O193,('Spell Tables'!$AH$2:$AH$17),0))," "))))))))))</f>
        <v xml:space="preserve"> </v>
      </c>
      <c r="Q228" s="65" t="str">
        <f ca="1">IF($Q$208&gt;=O193,INDEX($AL$104:$AL$113,MATCH(O193,($AJ$104:$AJ$113),0)),IF($Q$212&gt;=O193,INDEX('Spell Tables'!$AN$168:$AN$177,MATCH(O193,('Spell Tables'!$AL$168:$AL$177),0)),IF($Q$222&gt;=O193,INDEX('Spell Tables'!$AN$48:$AN$56,MATCH(O193,('Spell Tables'!$AL$48:$AL$56),0)),IF($Q$224&gt;=O193,INDEX('Spell Tables'!$AN$26:$AN$35,MATCH(O193,('Spell Tables'!$AL$26:$AL$35),0)),IF($Q$226&gt;=O193,INDEX('Spell Tables'!$AN$2:$AN$8,MATCH(O193,('Spell Tables'!$AL$2:$AL$8),0))," ")))))</f>
        <v xml:space="preserve"> </v>
      </c>
      <c r="R228" s="65" t="str">
        <f ca="1">IF($R$208&gt;=O193,INDEX($AL$116:$AL$125,MATCH(O193,($AJ$116:$AJ$125),0)),IF($R$212&gt;=O193,INDEX('Spell Tables'!$AR$168:$AR$175,MATCH(O193,('Spell Tables'!$AP$168:$AP$175),0)),IF($R$222&gt;=O193,INDEX('Spell Tables'!$AR$48:$AR$52,MATCH(O193,('Spell Tables'!$AP$48:$AP$52),0)),IF($R$224&gt;=O193,INDEX('Spell Tables'!$AR$26:$AR$33,MATCH(O193,('Spell Tables'!$AP$26:$AP$33),0)),IF($R$226&gt;=O193,INDEX('Spell Tables'!$AR$2:$AR$11,MATCH(O193,('Spell Tables'!$AL$2:$AL$11),0))," ")))))</f>
        <v xml:space="preserve"> </v>
      </c>
      <c r="S228" s="65" t="str">
        <f ca="1">IF($S$208&gt;=O193,INDEX($AL$128:$AL$137,MATCH(O193,($AJ$128:$AJ$137),0)),IF($S$212&gt;=O193,INDEX('Spell Tables'!$AV$168:$AV$172,MATCH(O193,('Spell Tables'!$AT$168:$AT$172),0)),IF($S$222&gt;=O193,INDEX('Spell Tables'!$AV$48:$AV$54,MATCH(O193,('Spell Tables'!$AT$48:$AT$54),0)),IF($S$224&gt;=O193,INDEX('Spell Tables'!$AV$26:$AV$29,MATCH(O193,('Spell Tables'!$AT$26:$AT$29),0)),IF($S$226&gt;=O193,INDEX('Spell Tables'!$AV$2:$AV$6,MATCH(O193,('Spell Tables'!$AT$2:$AT$6),0))," ")))))</f>
        <v xml:space="preserve"> </v>
      </c>
      <c r="T228" s="66" t="str">
        <f ca="1">IF($T$222&gt;=O193,INDEX('Spell Tables'!$AZ$48:$AZ$51,MATCH(O193,('Spell Tables'!$AX$48:$AX$51),0)),IF($T$208&gt;=O193,INDEX($AL$140:$AL$149,MATCH(O193,($AJ$140:$AJ$149),0)),IF($T$212&gt;=O193,INDEX('Spell Tables'!$AZ$168:$AZ$172,MATCH(O193,('Spell Tables'!$AX$168:$AX$172),0)),IF($T$224&gt;=O193,INDEX('Spell Tables'!$AZ$26:$AZ$29,MATCH(O193,('Spell Tables'!$AX$26:$AX$29),0)),IF($T$226&gt;=O193,INDEX('Spell Tables'!$AZ$2:$AZ$5,MATCH(O193,('Spell Tables'!$AX$2:$AX$5),0))," ")))))</f>
        <v xml:space="preserve"> </v>
      </c>
    </row>
    <row r="229" spans="2:20" x14ac:dyDescent="0.3">
      <c r="N229" s="72"/>
      <c r="O229" s="133">
        <v>2</v>
      </c>
      <c r="P229" s="60" t="str">
        <f ca="1">IF(AND($O$15="Otherworldly patron - great old one",P$210&gt;=O194),INDEX('Spell Tables'!$AJ$226:$AJ$231,MATCH(O194,('Spell Tables'!$AH$226:$AH$231),0)),IF(AND($O$15="Otherworldly patron - fiend",P$210&gt;=O194),INDEX('Spell Tables'!$AJ$210:$AJ$215,MATCH(O194,('Spell Tables'!$AH$210:$AH$215),0)),IF(AND($O$15="Otherworldly patron - archfey",P$210&gt;=O194),INDEX('Spell Tables'!$AJ$194:$AJ$199,MATCH(O194,('Spell Tables'!$AH$194:$AH$199),0)),IF($P$208&gt;=O194,INDEX($AL$92:$AL$101,MATCH(O194,($AJ$92:$AJ$101),0)),IF($P$212&gt;=O194,INDEX('Spell Tables'!$AJ$168:$AJ$178,MATCH(O194,('Spell Tables'!$AH$168:$AH$178),0)),IF($P$216&gt;=O194,INDEX('Spell Tables'!$AF$119:$AF$122,MATCH(O194,('Spell Tables'!$AD$119:$AD$122),0)),IF($P$218&gt;=O194,INDEX('Spell Tables'!$AF$97:$AF$102,MATCH(O194,('Spell Tables'!$AD$97:$AD$102),0)),IF($P$222&gt;=O194,INDEX('Spell Tables'!$AJ$48:$AJ$61,MATCH(O194,('Spell Tables'!$AH$48:$AH$61),0)),IF($P$224&gt;=O194,INDEX('Spell Tables'!$AJ$26:$AJ$38,MATCH(O194,('Spell Tables'!$AH$26:$AH$38),0)),IF($P$226&gt;=O194,INDEX('Spell Tables'!$AJ$2:$AJ$17,MATCH(O194,('Spell Tables'!$AH$2:$AH$17),0))," "))))))))))</f>
        <v xml:space="preserve"> </v>
      </c>
      <c r="Q229" s="60" t="str">
        <f ca="1">IF($Q$208&gt;=O194,INDEX($AL$104:$AL$113,MATCH(O194,($AJ$104:$AJ$113),0)),IF($Q$212&gt;=O194,INDEX('Spell Tables'!$AN$168:$AN$177,MATCH(O194,('Spell Tables'!$AL$168:$AL$177),0)),IF($Q$222&gt;=O194,INDEX('Spell Tables'!$AN$48:$AN$56,MATCH(O194,('Spell Tables'!$AL$48:$AL$56),0)),IF($Q$224&gt;=O194,INDEX('Spell Tables'!$AN$26:$AN$35,MATCH(O194,('Spell Tables'!$AL$26:$AL$35),0)),IF($Q$226&gt;=O194,INDEX('Spell Tables'!$AN$2:$AN$8,MATCH(O194,('Spell Tables'!$AL$2:$AL$8),0))," ")))))</f>
        <v xml:space="preserve"> </v>
      </c>
      <c r="R229" s="60" t="str">
        <f ca="1">IF($R$208&gt;=O194,INDEX($AL$116:$AL$125,MATCH(O194,($AJ$116:$AJ$125),0)),IF($R$212&gt;=O194,INDEX('Spell Tables'!$AR$168:$AR$175,MATCH(O194,('Spell Tables'!$AP$168:$AP$175),0)),IF($R$222&gt;=O194,INDEX('Spell Tables'!$AR$48:$AR$52,MATCH(O194,('Spell Tables'!$AP$48:$AP$52),0)),IF($R$224&gt;=O194,INDEX('Spell Tables'!$AR$26:$AR$33,MATCH(O194,('Spell Tables'!$AP$26:$AP$33),0)),IF($R$226&gt;=O194,INDEX('Spell Tables'!$AR$2:$AR$11,MATCH(O194,('Spell Tables'!$AL$2:$AL$11),0))," ")))))</f>
        <v xml:space="preserve"> </v>
      </c>
      <c r="S229" s="60" t="str">
        <f ca="1">IF($S$208&gt;=O194,INDEX($AL$128:$AL$137,MATCH(O194,($AJ$128:$AJ$137),0)),IF($S$212&gt;=O194,INDEX('Spell Tables'!$AV$168:$AV$172,MATCH(O194,('Spell Tables'!$AT$168:$AT$172),0)),IF($S$222&gt;=O194,INDEX('Spell Tables'!$AV$48:$AV$54,MATCH(O194,('Spell Tables'!$AT$48:$AT$54),0)),IF($S$224&gt;=O194,INDEX('Spell Tables'!$AV$26:$AV$29,MATCH(O194,('Spell Tables'!$AT$26:$AT$29),0)),IF($S$226&gt;=O194,INDEX('Spell Tables'!$AV$2:$AV$6,MATCH(O194,('Spell Tables'!$AT$2:$AT$6),0))," ")))))</f>
        <v xml:space="preserve"> </v>
      </c>
      <c r="T229" s="63" t="str">
        <f ca="1">IF($T$222&gt;=O194,INDEX('Spell Tables'!$AZ$48:$AZ$51,MATCH(O194,('Spell Tables'!$AX$48:$AX$51),0)),IF($T$208&gt;=O194,INDEX($AL$140:$AL$149,MATCH(O194,($AJ$140:$AJ$149),0)),IF($T$212&gt;=O194,INDEX('Spell Tables'!$AZ$168:$AZ$172,MATCH(O194,('Spell Tables'!$AX$168:$AX$172),0)),IF($T$224&gt;=O194,INDEX('Spell Tables'!$AZ$26:$AZ$29,MATCH(O194,('Spell Tables'!$AX$26:$AX$29),0)),IF($T$226&gt;=O194,INDEX('Spell Tables'!$AZ$2:$AZ$5,MATCH(O194,('Spell Tables'!$AX$2:$AX$5),0))," ")))))</f>
        <v xml:space="preserve"> </v>
      </c>
    </row>
    <row r="230" spans="2:20" x14ac:dyDescent="0.3">
      <c r="N230" s="72"/>
      <c r="O230" s="86">
        <v>3</v>
      </c>
      <c r="P230" s="65" t="str">
        <f ca="1">IF(AND($O$15="Otherworldly patron - great old one",P$210&gt;=O195),INDEX('Spell Tables'!$AJ$226:$AJ$231,MATCH(O195,('Spell Tables'!$AH$226:$AH$231),0)),IF(AND($O$15="Otherworldly patron - fiend",P$210&gt;=O195),INDEX('Spell Tables'!$AJ$210:$AJ$215,MATCH(O195,('Spell Tables'!$AH$210:$AH$215),0)),IF(AND($O$15="Otherworldly patron - archfey",P$210&gt;=O195),INDEX('Spell Tables'!$AJ$194:$AJ$199,MATCH(O195,('Spell Tables'!$AH$194:$AH$199),0)),IF($P$208&gt;=O195,INDEX($AL$92:$AL$101,MATCH(O195,($AJ$92:$AJ$101),0)),IF($P$212&gt;=O195,INDEX('Spell Tables'!$AJ$168:$AJ$178,MATCH(O195,('Spell Tables'!$AH$168:$AH$178),0)),IF($P$216&gt;=O195,INDEX('Spell Tables'!$AF$119:$AF$122,MATCH(O195,('Spell Tables'!$AD$119:$AD$122),0)),IF($P$218&gt;=O195,INDEX('Spell Tables'!$AF$97:$AF$102,MATCH(O195,('Spell Tables'!$AD$97:$AD$102),0)),IF($P$222&gt;=O195,INDEX('Spell Tables'!$AJ$48:$AJ$61,MATCH(O195,('Spell Tables'!$AH$48:$AH$61),0)),IF($P$224&gt;=O195,INDEX('Spell Tables'!$AJ$26:$AJ$38,MATCH(O195,('Spell Tables'!$AH$26:$AH$38),0)),IF($P$226&gt;=O195,INDEX('Spell Tables'!$AJ$2:$AJ$17,MATCH(O195,('Spell Tables'!$AH$2:$AH$17),0))," "))))))))))</f>
        <v xml:space="preserve"> </v>
      </c>
      <c r="Q230" s="65" t="str">
        <f ca="1">IF($Q$208&gt;=O195,INDEX($AL$104:$AL$113,MATCH(O195,($AJ$104:$AJ$113),0)),IF($Q$212&gt;=O195,INDEX('Spell Tables'!$AN$168:$AN$177,MATCH(O195,('Spell Tables'!$AL$168:$AL$177),0)),IF($Q$222&gt;=O195,INDEX('Spell Tables'!$AN$48:$AN$56,MATCH(O195,('Spell Tables'!$AL$48:$AL$56),0)),IF($Q$224&gt;=O195,INDEX('Spell Tables'!$AN$26:$AN$35,MATCH(O195,('Spell Tables'!$AL$26:$AL$35),0)),IF($Q$226&gt;=O195,INDEX('Spell Tables'!$AN$2:$AN$8,MATCH(O195,('Spell Tables'!$AL$2:$AL$8),0))," ")))))</f>
        <v xml:space="preserve"> </v>
      </c>
      <c r="R230" s="65" t="str">
        <f ca="1">IF($R$208&gt;=O195,INDEX($AL$116:$AL$125,MATCH(O195,($AJ$116:$AJ$125),0)),IF($R$212&gt;=O195,INDEX('Spell Tables'!$AR$168:$AR$175,MATCH(O195,('Spell Tables'!$AP$168:$AP$175),0)),IF($R$222&gt;=O195,INDEX('Spell Tables'!$AR$48:$AR$52,MATCH(O195,('Spell Tables'!$AP$48:$AP$52),0)),IF($R$224&gt;=O195,INDEX('Spell Tables'!$AR$26:$AR$33,MATCH(O195,('Spell Tables'!$AP$26:$AP$33),0)),IF($R$226&gt;=O195,INDEX('Spell Tables'!$AR$2:$AR$11,MATCH(O195,('Spell Tables'!$AL$2:$AL$11),0))," ")))))</f>
        <v xml:space="preserve"> </v>
      </c>
      <c r="S230" s="65" t="str">
        <f ca="1">IF($S$208&gt;=O195,INDEX($AL$128:$AL$137,MATCH(O195,($AJ$128:$AJ$137),0)),IF($S$212&gt;=O195,INDEX('Spell Tables'!$AV$168:$AV$172,MATCH(O195,('Spell Tables'!$AT$168:$AT$172),0)),IF($S$222&gt;=O195,INDEX('Spell Tables'!$AV$48:$AV$54,MATCH(O195,('Spell Tables'!$AT$48:$AT$54),0)),IF($S$224&gt;=O195,INDEX('Spell Tables'!$AV$26:$AV$29,MATCH(O195,('Spell Tables'!$AT$26:$AT$29),0)),IF($S$226&gt;=O195,INDEX('Spell Tables'!$AV$2:$AV$6,MATCH(O195,('Spell Tables'!$AT$2:$AT$6),0))," ")))))</f>
        <v xml:space="preserve"> </v>
      </c>
      <c r="T230" s="66" t="str">
        <f ca="1">IF($T$222&gt;=O195,INDEX('Spell Tables'!$AZ$48:$AZ$51,MATCH(O195,('Spell Tables'!$AX$48:$AX$51),0)),IF($T$208&gt;=O195,INDEX($AL$140:$AL$149,MATCH(O195,($AJ$140:$AJ$149),0)),IF($T$212&gt;=O195,INDEX('Spell Tables'!$AZ$168:$AZ$172,MATCH(O195,('Spell Tables'!$AX$168:$AX$172),0)),IF($T$224&gt;=O195,INDEX('Spell Tables'!$AZ$26:$AZ$29,MATCH(O195,('Spell Tables'!$AX$26:$AX$29),0)),IF($T$226&gt;=O195,INDEX('Spell Tables'!$AZ$2:$AZ$5,MATCH(O195,('Spell Tables'!$AX$2:$AX$5),0))," ")))))</f>
        <v xml:space="preserve"> </v>
      </c>
    </row>
    <row r="231" spans="2:20" x14ac:dyDescent="0.3">
      <c r="N231" s="72"/>
      <c r="O231" s="133">
        <v>4</v>
      </c>
      <c r="P231" s="60" t="str">
        <f ca="1">IF(AND($O$15="Otherworldly patron - great old one",P$210&gt;=O196),INDEX('Spell Tables'!$AJ$226:$AJ$231,MATCH(O196,('Spell Tables'!$AH$226:$AH$231),0)),IF(AND($O$15="Otherworldly patron - fiend",P$210&gt;=O196),INDEX('Spell Tables'!$AJ$210:$AJ$215,MATCH(O196,('Spell Tables'!$AH$210:$AH$215),0)),IF(AND($O$15="Otherworldly patron - archfey",P$210&gt;=O196),INDEX('Spell Tables'!$AJ$194:$AJ$199,MATCH(O196,('Spell Tables'!$AH$194:$AH$199),0)),IF($P$208&gt;=O196,INDEX($AL$92:$AL$101,MATCH(O196,($AJ$92:$AJ$101),0)),IF($P$212&gt;=O196,INDEX('Spell Tables'!$AJ$168:$AJ$178,MATCH(O196,('Spell Tables'!$AH$168:$AH$178),0)),IF($P$216&gt;=O196,INDEX('Spell Tables'!$AF$119:$AF$122,MATCH(O196,('Spell Tables'!$AD$119:$AD$122),0)),IF($P$218&gt;=O196,INDEX('Spell Tables'!$AF$97:$AF$102,MATCH(O196,('Spell Tables'!$AD$97:$AD$102),0)),IF($P$222&gt;=O196,INDEX('Spell Tables'!$AJ$48:$AJ$61,MATCH(O196,('Spell Tables'!$AH$48:$AH$61),0)),IF($P$224&gt;=O196,INDEX('Spell Tables'!$AJ$26:$AJ$38,MATCH(O196,('Spell Tables'!$AH$26:$AH$38),0)),IF($P$226&gt;=O196,INDEX('Spell Tables'!$AJ$2:$AJ$17,MATCH(O196,('Spell Tables'!$AH$2:$AH$17),0))," "))))))))))</f>
        <v xml:space="preserve"> </v>
      </c>
      <c r="Q231" s="60" t="str">
        <f ca="1">IF($Q$208&gt;=O196,INDEX($AL$104:$AL$113,MATCH(O196,($AJ$104:$AJ$113),0)),IF($Q$212&gt;=O196,INDEX('Spell Tables'!$AN$168:$AN$177,MATCH(O196,('Spell Tables'!$AL$168:$AL$177),0)),IF($Q$222&gt;=O196,INDEX('Spell Tables'!$AN$48:$AN$56,MATCH(O196,('Spell Tables'!$AL$48:$AL$56),0)),IF($Q$224&gt;=O196,INDEX('Spell Tables'!$AN$26:$AN$35,MATCH(O196,('Spell Tables'!$AL$26:$AL$35),0)),IF($Q$226&gt;=O196,INDEX('Spell Tables'!$AN$2:$AN$8,MATCH(O196,('Spell Tables'!$AL$2:$AL$8),0))," ")))))</f>
        <v xml:space="preserve"> </v>
      </c>
      <c r="R231" s="60" t="str">
        <f ca="1">IF($R$208&gt;=O196,INDEX($AL$116:$AL$125,MATCH(O196,($AJ$116:$AJ$125),0)),IF($R$212&gt;=O196,INDEX('Spell Tables'!$AR$168:$AR$175,MATCH(O196,('Spell Tables'!$AP$168:$AP$175),0)),IF($R$222&gt;=O196,INDEX('Spell Tables'!$AR$48:$AR$52,MATCH(O196,('Spell Tables'!$AP$48:$AP$52),0)),IF($R$224&gt;=O196,INDEX('Spell Tables'!$AR$26:$AR$33,MATCH(O196,('Spell Tables'!$AP$26:$AP$33),0)),IF($R$226&gt;=O196,INDEX('Spell Tables'!$AR$2:$AR$11,MATCH(O196,('Spell Tables'!$AL$2:$AL$11),0))," ")))))</f>
        <v xml:space="preserve"> </v>
      </c>
      <c r="S231" s="60" t="str">
        <f ca="1">IF($S$208&gt;=O196,INDEX($AL$128:$AL$137,MATCH(O196,($AJ$128:$AJ$137),0)),IF($S$212&gt;=O196,INDEX('Spell Tables'!$AV$168:$AV$172,MATCH(O196,('Spell Tables'!$AT$168:$AT$172),0)),IF($S$222&gt;=O196,INDEX('Spell Tables'!$AV$48:$AV$54,MATCH(O196,('Spell Tables'!$AT$48:$AT$54),0)),IF($S$224&gt;=O196,INDEX('Spell Tables'!$AV$26:$AV$29,MATCH(O196,('Spell Tables'!$AT$26:$AT$29),0)),IF($S$226&gt;=O196,INDEX('Spell Tables'!$AV$2:$AV$6,MATCH(O196,('Spell Tables'!$AT$2:$AT$6),0))," ")))))</f>
        <v xml:space="preserve"> </v>
      </c>
      <c r="T231" s="63" t="str">
        <f ca="1">IF($T$222&gt;=O196,INDEX('Spell Tables'!$AZ$48:$AZ$51,MATCH(O196,('Spell Tables'!$AX$48:$AX$51),0)),IF($T$208&gt;=O196,INDEX($AL$140:$AL$149,MATCH(O196,($AJ$140:$AJ$149),0)),IF($T$212&gt;=O196,INDEX('Spell Tables'!$AZ$168:$AZ$172,MATCH(O196,('Spell Tables'!$AX$168:$AX$172),0)),IF($T$224&gt;=O196,INDEX('Spell Tables'!$AZ$26:$AZ$29,MATCH(O196,('Spell Tables'!$AX$26:$AX$29),0)),IF($T$226&gt;=O196,INDEX('Spell Tables'!$AZ$2:$AZ$5,MATCH(O196,('Spell Tables'!$AX$2:$AX$5),0))," ")))))</f>
        <v xml:space="preserve"> </v>
      </c>
    </row>
    <row r="232" spans="2:20" x14ac:dyDescent="0.3">
      <c r="N232" s="72"/>
      <c r="O232" s="86">
        <v>5</v>
      </c>
      <c r="P232" s="65" t="str">
        <f ca="1">IF(AND($O$15="Otherworldly patron - great old one",P$210&gt;=O197),INDEX('Spell Tables'!$AJ$226:$AJ$231,MATCH(O197,('Spell Tables'!$AH$226:$AH$231),0)),IF(AND($O$15="Otherworldly patron - fiend",P$210&gt;=O197),INDEX('Spell Tables'!$AJ$210:$AJ$215,MATCH(O197,('Spell Tables'!$AH$210:$AH$215),0)),IF(AND($O$15="Otherworldly patron - archfey",P$210&gt;=O197),INDEX('Spell Tables'!$AJ$194:$AJ$199,MATCH(O197,('Spell Tables'!$AH$194:$AH$199),0)),IF($P$208&gt;=O197,INDEX($AL$92:$AL$101,MATCH(O197,($AJ$92:$AJ$101),0)),IF($P$212&gt;=O197,INDEX('Spell Tables'!$AJ$168:$AJ$178,MATCH(O197,('Spell Tables'!$AH$168:$AH$178),0)),IF($P$216&gt;=O197,INDEX('Spell Tables'!$AF$119:$AF$122,MATCH(O197,('Spell Tables'!$AD$119:$AD$122),0)),IF($P$218&gt;=O197,INDEX('Spell Tables'!$AF$97:$AF$102,MATCH(O197,('Spell Tables'!$AD$97:$AD$102),0)),IF($P$222&gt;=O197,INDEX('Spell Tables'!$AJ$48:$AJ$61,MATCH(O197,('Spell Tables'!$AH$48:$AH$61),0)),IF($P$224&gt;=O197,INDEX('Spell Tables'!$AJ$26:$AJ$38,MATCH(O197,('Spell Tables'!$AH$26:$AH$38),0)),IF($P$226&gt;=O197,INDEX('Spell Tables'!$AJ$2:$AJ$17,MATCH(O197,('Spell Tables'!$AH$2:$AH$17),0))," "))))))))))</f>
        <v xml:space="preserve"> </v>
      </c>
      <c r="Q232" s="65" t="str">
        <f ca="1">IF($Q$208&gt;=O197,INDEX($AL$104:$AL$113,MATCH(O197,($AJ$104:$AJ$113),0)),IF($Q$212&gt;=O197,INDEX('Spell Tables'!$AN$168:$AN$177,MATCH(O197,('Spell Tables'!$AL$168:$AL$177),0)),IF($Q$222&gt;=O197,INDEX('Spell Tables'!$AN$48:$AN$56,MATCH(O197,('Spell Tables'!$AL$48:$AL$56),0)),IF($Q$224&gt;=O197,INDEX('Spell Tables'!$AN$26:$AN$35,MATCH(O197,('Spell Tables'!$AL$26:$AL$35),0)),IF($Q$226&gt;=O197,INDEX('Spell Tables'!$AN$2:$AN$8,MATCH(O197,('Spell Tables'!$AL$2:$AL$8),0))," ")))))</f>
        <v xml:space="preserve"> </v>
      </c>
      <c r="R232" s="65" t="str">
        <f ca="1">IF($R$208&gt;=O197,INDEX($AL$116:$AL$125,MATCH(O197,($AJ$116:$AJ$125),0)),IF($R$212&gt;=O197,INDEX('Spell Tables'!$AR$168:$AR$175,MATCH(O197,('Spell Tables'!$AP$168:$AP$175),0)),IF($R$222&gt;=O197,INDEX('Spell Tables'!$AR$48:$AR$52,MATCH(O197,('Spell Tables'!$AP$48:$AP$52),0)),IF($R$224&gt;=O197,INDEX('Spell Tables'!$AR$26:$AR$33,MATCH(O197,('Spell Tables'!$AP$26:$AP$33),0)),IF($R$226&gt;=O197,INDEX('Spell Tables'!$AR$2:$AR$11,MATCH(O197,('Spell Tables'!$AL$2:$AL$11),0))," ")))))</f>
        <v xml:space="preserve"> </v>
      </c>
      <c r="S232" s="65" t="str">
        <f ca="1">IF($S$208&gt;=O197,INDEX($AL$128:$AL$137,MATCH(O197,($AJ$128:$AJ$137),0)),IF($S$212&gt;=O197,INDEX('Spell Tables'!$AV$168:$AV$172,MATCH(O197,('Spell Tables'!$AT$168:$AT$172),0)),IF($S$222&gt;=O197,INDEX('Spell Tables'!$AV$48:$AV$54,MATCH(O197,('Spell Tables'!$AT$48:$AT$54),0)),IF($S$224&gt;=O197,INDEX('Spell Tables'!$AV$26:$AV$29,MATCH(O197,('Spell Tables'!$AT$26:$AT$29),0)),IF($S$226&gt;=O197,INDEX('Spell Tables'!$AV$2:$AV$6,MATCH(O197,('Spell Tables'!$AT$2:$AT$6),0))," ")))))</f>
        <v xml:space="preserve"> </v>
      </c>
      <c r="T232" s="66" t="str">
        <f ca="1">IF($T$222&gt;=O197,INDEX('Spell Tables'!$AZ$48:$AZ$51,MATCH(O197,('Spell Tables'!$AX$48:$AX$51),0)),IF($T$208&gt;=O197,INDEX($AL$140:$AL$149,MATCH(O197,($AJ$140:$AJ$149),0)),IF($T$212&gt;=O197,INDEX('Spell Tables'!$AZ$168:$AZ$172,MATCH(O197,('Spell Tables'!$AX$168:$AX$172),0)),IF($T$224&gt;=O197,INDEX('Spell Tables'!$AZ$26:$AZ$29,MATCH(O197,('Spell Tables'!$AX$26:$AX$29),0)),IF($T$226&gt;=O197,INDEX('Spell Tables'!$AZ$2:$AZ$5,MATCH(O197,('Spell Tables'!$AX$2:$AX$5),0))," ")))))</f>
        <v xml:space="preserve"> </v>
      </c>
    </row>
    <row r="233" spans="2:20" x14ac:dyDescent="0.3">
      <c r="N233" s="72"/>
      <c r="O233" s="133">
        <v>6</v>
      </c>
      <c r="P233" s="60" t="str">
        <f ca="1">IF(AND($O$15="Otherworldly patron - great old one",P$210&gt;=O198),INDEX('Spell Tables'!$AJ$226:$AJ$231,MATCH(O198,('Spell Tables'!$AH$226:$AH$231),0)),IF(AND($O$15="Otherworldly patron - fiend",P$210&gt;=O198),INDEX('Spell Tables'!$AJ$210:$AJ$215,MATCH(O198,('Spell Tables'!$AH$210:$AH$215),0)),IF(AND($O$15="Otherworldly patron - archfey",P$210&gt;=O198),INDEX('Spell Tables'!$AJ$194:$AJ$199,MATCH(O198,('Spell Tables'!$AH$194:$AH$199),0)),IF($P$208&gt;=O198,INDEX($AL$92:$AL$101,MATCH(O198,($AJ$92:$AJ$101),0)),IF($P$212&gt;=O198,INDEX('Spell Tables'!$AJ$168:$AJ$178,MATCH(O198,('Spell Tables'!$AH$168:$AH$178),0)),IF($P$216&gt;=O198,INDEX('Spell Tables'!$AF$119:$AF$122,MATCH(O198,('Spell Tables'!$AD$119:$AD$122),0)),IF($P$218&gt;=O198,INDEX('Spell Tables'!$AF$97:$AF$102,MATCH(O198,('Spell Tables'!$AD$97:$AD$102),0)),IF($P$222&gt;=O198,INDEX('Spell Tables'!$AJ$48:$AJ$61,MATCH(O198,('Spell Tables'!$AH$48:$AH$61),0)),IF($P$224&gt;=O198,INDEX('Spell Tables'!$AJ$26:$AJ$38,MATCH(O198,('Spell Tables'!$AH$26:$AH$38),0)),IF($P$226&gt;=O198,INDEX('Spell Tables'!$AJ$2:$AJ$17,MATCH(O198,('Spell Tables'!$AH$2:$AH$17),0))," "))))))))))</f>
        <v xml:space="preserve"> </v>
      </c>
      <c r="Q233" s="60" t="str">
        <f ca="1">IF($Q$208&gt;=O198,INDEX($AL$104:$AL$113,MATCH(O198,($AJ$104:$AJ$113),0)),IF($Q$212&gt;=O198,INDEX('Spell Tables'!$AN$168:$AN$177,MATCH(O198,('Spell Tables'!$AL$168:$AL$177),0)),IF($Q$222&gt;=O198,INDEX('Spell Tables'!$AN$48:$AN$56,MATCH(O198,('Spell Tables'!$AL$48:$AL$56),0)),IF($Q$224&gt;=O198,INDEX('Spell Tables'!$AN$26:$AN$35,MATCH(O198,('Spell Tables'!$AL$26:$AL$35),0)),IF($Q$226&gt;=O198,INDEX('Spell Tables'!$AN$2:$AN$8,MATCH(O198,('Spell Tables'!$AL$2:$AL$8),0))," ")))))</f>
        <v xml:space="preserve"> </v>
      </c>
      <c r="R233" s="60" t="str">
        <f ca="1">IF($R$208&gt;=O198,INDEX($AL$116:$AL$125,MATCH(O198,($AJ$116:$AJ$125),0)),IF($R$212&gt;=O198,INDEX('Spell Tables'!$AR$168:$AR$175,MATCH(O198,('Spell Tables'!$AP$168:$AP$175),0)),IF($R$222&gt;=O198,INDEX('Spell Tables'!$AR$48:$AR$52,MATCH(O198,('Spell Tables'!$AP$48:$AP$52),0)),IF($R$224&gt;=O198,INDEX('Spell Tables'!$AR$26:$AR$33,MATCH(O198,('Spell Tables'!$AP$26:$AP$33),0)),IF($R$226&gt;=O198,INDEX('Spell Tables'!$AR$2:$AR$11,MATCH(O198,('Spell Tables'!$AL$2:$AL$11),0))," ")))))</f>
        <v xml:space="preserve"> </v>
      </c>
      <c r="S233" s="60" t="str">
        <f ca="1">IF($S$208&gt;=O198,INDEX($AL$128:$AL$137,MATCH(O198,($AJ$128:$AJ$137),0)),IF($S$212&gt;=O198,INDEX('Spell Tables'!$AV$168:$AV$172,MATCH(O198,('Spell Tables'!$AT$168:$AT$172),0)),IF($S$222&gt;=O198,INDEX('Spell Tables'!$AV$48:$AV$54,MATCH(O198,('Spell Tables'!$AT$48:$AT$54),0)),IF($S$224&gt;=O198,INDEX('Spell Tables'!$AV$26:$AV$29,MATCH(O198,('Spell Tables'!$AT$26:$AT$29),0)),IF($S$226&gt;=O198,INDEX('Spell Tables'!$AV$2:$AV$6,MATCH(O198,('Spell Tables'!$AT$2:$AT$6),0))," ")))))</f>
        <v xml:space="preserve"> </v>
      </c>
      <c r="T233" s="63" t="str">
        <f ca="1">IF($T$222&gt;=O198,INDEX('Spell Tables'!$AZ$48:$AZ$51,MATCH(O198,('Spell Tables'!$AX$48:$AX$51),0)),IF($T$208&gt;=O198,INDEX($AL$140:$AL$149,MATCH(O198,($AJ$140:$AJ$149),0)),IF($T$212&gt;=O198,INDEX('Spell Tables'!$AZ$168:$AZ$172,MATCH(O198,('Spell Tables'!$AX$168:$AX$172),0)),IF($T$224&gt;=O198,INDEX('Spell Tables'!$AZ$26:$AZ$29,MATCH(O198,('Spell Tables'!$AX$26:$AX$29),0)),IF($T$226&gt;=O198,INDEX('Spell Tables'!$AZ$2:$AZ$5,MATCH(O198,('Spell Tables'!$AX$2:$AX$5),0))," ")))))</f>
        <v xml:space="preserve"> </v>
      </c>
    </row>
    <row r="234" spans="2:20" x14ac:dyDescent="0.3">
      <c r="N234" s="72"/>
      <c r="O234" s="86">
        <v>7</v>
      </c>
      <c r="P234" s="65" t="str">
        <f ca="1">IF(AND($O$15="Otherworldly patron - great old one",P$210&gt;=O199),INDEX('Spell Tables'!$AJ$226:$AJ$231,MATCH(O199,('Spell Tables'!$AH$226:$AH$231),0)),IF(AND($O$15="Otherworldly patron - fiend",P$210&gt;=O199),INDEX('Spell Tables'!$AJ$210:$AJ$215,MATCH(O199,('Spell Tables'!$AH$210:$AH$215),0)),IF(AND($O$15="Otherworldly patron - archfey",P$210&gt;=O199),INDEX('Spell Tables'!$AJ$194:$AJ$199,MATCH(O199,('Spell Tables'!$AH$194:$AH$199),0)),IF($P$208&gt;=O199,INDEX($AL$92:$AL$101,MATCH(O199,($AJ$92:$AJ$101),0)),IF($P$212&gt;=O199,INDEX('Spell Tables'!$AJ$168:$AJ$178,MATCH(O199,('Spell Tables'!$AH$168:$AH$178),0)),IF($P$216&gt;=O199,INDEX('Spell Tables'!$AF$119:$AF$122,MATCH(O199,('Spell Tables'!$AD$119:$AD$122),0)),IF($P$218&gt;=O199,INDEX('Spell Tables'!$AF$97:$AF$102,MATCH(O199,('Spell Tables'!$AD$97:$AD$102),0)),IF($P$222&gt;=O199,INDEX('Spell Tables'!$AJ$48:$AJ$61,MATCH(O199,('Spell Tables'!$AH$48:$AH$61),0)),IF($P$224&gt;=O199,INDEX('Spell Tables'!$AJ$26:$AJ$38,MATCH(O199,('Spell Tables'!$AH$26:$AH$38),0)),IF($P$226&gt;=O199,INDEX('Spell Tables'!$AJ$2:$AJ$17,MATCH(O199,('Spell Tables'!$AH$2:$AH$17),0))," "))))))))))</f>
        <v xml:space="preserve"> </v>
      </c>
      <c r="Q234" s="65" t="str">
        <f ca="1">IF($Q$208&gt;=O199,INDEX($AL$104:$AL$113,MATCH(O199,($AJ$104:$AJ$113),0)),IF($Q$212&gt;=O199,INDEX('Spell Tables'!$AN$168:$AN$177,MATCH(O199,('Spell Tables'!$AL$168:$AL$177),0)),IF($Q$222&gt;=O199,INDEX('Spell Tables'!$AN$48:$AN$56,MATCH(O199,('Spell Tables'!$AL$48:$AL$56),0)),IF($Q$224&gt;=O199,INDEX('Spell Tables'!$AN$26:$AN$35,MATCH(O199,('Spell Tables'!$AL$26:$AL$35),0)),IF($Q$226&gt;=O199,INDEX('Spell Tables'!$AN$2:$AN$8,MATCH(O199,('Spell Tables'!$AL$2:$AL$8),0))," ")))))</f>
        <v xml:space="preserve"> </v>
      </c>
      <c r="R234" s="65" t="str">
        <f ca="1">IF($R$208&gt;=O199,INDEX($AL$116:$AL$125,MATCH(O199,($AJ$116:$AJ$125),0)),IF($R$212&gt;=O199,INDEX('Spell Tables'!$AR$168:$AR$175,MATCH(O199,('Spell Tables'!$AP$168:$AP$175),0)),IF($R$222&gt;=O199,INDEX('Spell Tables'!$AR$48:$AR$52,MATCH(O199,('Spell Tables'!$AP$48:$AP$52),0)),IF($R$224&gt;=O199,INDEX('Spell Tables'!$AR$26:$AR$33,MATCH(O199,('Spell Tables'!$AP$26:$AP$33),0)),IF($R$226&gt;=O199,INDEX('Spell Tables'!$AR$2:$AR$11,MATCH(O199,('Spell Tables'!$AL$2:$AL$11),0))," ")))))</f>
        <v xml:space="preserve"> </v>
      </c>
      <c r="S234" s="65" t="str">
        <f ca="1">IF($S$208&gt;=O199,INDEX($AL$128:$AL$137,MATCH(O199,($AJ$128:$AJ$137),0)),IF($S$212&gt;=O199,INDEX('Spell Tables'!$AV$168:$AV$172,MATCH(O199,('Spell Tables'!$AT$168:$AT$172),0)),IF($S$222&gt;=O199,INDEX('Spell Tables'!$AV$48:$AV$54,MATCH(O199,('Spell Tables'!$AT$48:$AT$54),0)),IF($S$224&gt;=O199,INDEX('Spell Tables'!$AV$26:$AV$29,MATCH(O199,('Spell Tables'!$AT$26:$AT$29),0)),IF($S$226&gt;=O199,INDEX('Spell Tables'!$AV$2:$AV$6,MATCH(O199,('Spell Tables'!$AT$2:$AT$6),0))," ")))))</f>
        <v xml:space="preserve"> </v>
      </c>
      <c r="T234" s="66" t="str">
        <f ca="1">IF($T$222&gt;=O199,INDEX('Spell Tables'!$AZ$48:$AZ$51,MATCH(O199,('Spell Tables'!$AX$48:$AX$51),0)),IF($T$208&gt;=O199,INDEX($AL$140:$AL$149,MATCH(O199,($AJ$140:$AJ$149),0)),IF($T$212&gt;=O199,INDEX('Spell Tables'!$AZ$168:$AZ$172,MATCH(O199,('Spell Tables'!$AX$168:$AX$172),0)),IF($T$224&gt;=O199,INDEX('Spell Tables'!$AZ$26:$AZ$29,MATCH(O199,('Spell Tables'!$AX$26:$AX$29),0)),IF($T$226&gt;=O199,INDEX('Spell Tables'!$AZ$2:$AZ$5,MATCH(O199,('Spell Tables'!$AX$2:$AX$5),0))," ")))))</f>
        <v xml:space="preserve"> </v>
      </c>
    </row>
    <row r="235" spans="2:20" x14ac:dyDescent="0.3">
      <c r="N235" s="72"/>
      <c r="O235" s="133">
        <v>8</v>
      </c>
      <c r="P235" s="60" t="str">
        <f ca="1">IF(AND($O$15="Otherworldly patron - great old one",P$210&gt;=O200),INDEX('Spell Tables'!$AJ$226:$AJ$231,MATCH(O200,('Spell Tables'!$AH$226:$AH$231),0)),IF(AND($O$15="Otherworldly patron - fiend",P$210&gt;=O200),INDEX('Spell Tables'!$AJ$210:$AJ$215,MATCH(O200,('Spell Tables'!$AH$210:$AH$215),0)),IF(AND($O$15="Otherworldly patron - archfey",P$210&gt;=O200),INDEX('Spell Tables'!$AJ$194:$AJ$199,MATCH(O200,('Spell Tables'!$AH$194:$AH$199),0)),IF($P$208&gt;=O200,INDEX($AL$92:$AL$101,MATCH(O200,($AJ$92:$AJ$101),0)),IF($P$212&gt;=O200,INDEX('Spell Tables'!$AJ$168:$AJ$178,MATCH(O200,('Spell Tables'!$AH$168:$AH$178),0)),IF($P$216&gt;=O200,INDEX('Spell Tables'!$AF$119:$AF$122,MATCH(O200,('Spell Tables'!$AD$119:$AD$122),0)),IF($P$218&gt;=O200,INDEX('Spell Tables'!$AF$97:$AF$102,MATCH(O200,('Spell Tables'!$AD$97:$AD$102),0)),IF($P$222&gt;=O200,INDEX('Spell Tables'!$AJ$48:$AJ$61,MATCH(O200,('Spell Tables'!$AH$48:$AH$61),0)),IF($P$224&gt;=O200,INDEX('Spell Tables'!$AJ$26:$AJ$38,MATCH(O200,('Spell Tables'!$AH$26:$AH$38),0)),IF($P$226&gt;=O200,INDEX('Spell Tables'!$AJ$2:$AJ$17,MATCH(O200,('Spell Tables'!$AH$2:$AH$17),0))," "))))))))))</f>
        <v xml:space="preserve"> </v>
      </c>
      <c r="Q235" s="60" t="str">
        <f ca="1">IF($Q$208&gt;=O200,INDEX($AL$104:$AL$113,MATCH(O200,($AJ$104:$AJ$113),0)),IF($Q$212&gt;=O200,INDEX('Spell Tables'!$AN$168:$AN$177,MATCH(O200,('Spell Tables'!$AL$168:$AL$177),0)),IF($Q$222&gt;=O200,INDEX('Spell Tables'!$AN$48:$AN$56,MATCH(O200,('Spell Tables'!$AL$48:$AL$56),0)),IF($Q$224&gt;=O200,INDEX('Spell Tables'!$AN$26:$AN$35,MATCH(O200,('Spell Tables'!$AL$26:$AL$35),0)),IF($Q$226&gt;=O200,INDEX('Spell Tables'!$AN$2:$AN$8,MATCH(O200,('Spell Tables'!$AL$2:$AL$8),0))," ")))))</f>
        <v xml:space="preserve"> </v>
      </c>
      <c r="R235" s="60" t="str">
        <f ca="1">IF($R$208&gt;=O200,INDEX($AL$116:$AL$125,MATCH(O200,($AJ$116:$AJ$125),0)),IF($R$212&gt;=O200,INDEX('Spell Tables'!$AR$168:$AR$175,MATCH(O200,('Spell Tables'!$AP$168:$AP$175),0)),IF($R$222&gt;=O200,INDEX('Spell Tables'!$AR$48:$AR$52,MATCH(O200,('Spell Tables'!$AP$48:$AP$52),0)),IF($R$224&gt;=O200,INDEX('Spell Tables'!$AR$26:$AR$33,MATCH(O200,('Spell Tables'!$AP$26:$AP$33),0)),IF($R$226&gt;=O200,INDEX('Spell Tables'!$AR$2:$AR$11,MATCH(O200,('Spell Tables'!$AL$2:$AL$11),0))," ")))))</f>
        <v xml:space="preserve"> </v>
      </c>
      <c r="S235" s="60" t="str">
        <f ca="1">IF($S$208&gt;=O200,INDEX($AL$128:$AL$137,MATCH(O200,($AJ$128:$AJ$137),0)),IF($S$212&gt;=O200,INDEX('Spell Tables'!$AV$168:$AV$172,MATCH(O200,('Spell Tables'!$AT$168:$AT$172),0)),IF($S$222&gt;=O200,INDEX('Spell Tables'!$AV$48:$AV$54,MATCH(O200,('Spell Tables'!$AT$48:$AT$54),0)),IF($S$224&gt;=O200,INDEX('Spell Tables'!$AV$26:$AV$29,MATCH(O200,('Spell Tables'!$AT$26:$AT$29),0)),IF($S$226&gt;=O200,INDEX('Spell Tables'!$AV$2:$AV$6,MATCH(O200,('Spell Tables'!$AT$2:$AT$6),0))," ")))))</f>
        <v xml:space="preserve"> </v>
      </c>
      <c r="T235" s="63" t="str">
        <f ca="1">IF($T$222&gt;=O200,INDEX('Spell Tables'!$AZ$48:$AZ$51,MATCH(O200,('Spell Tables'!$AX$48:$AX$51),0)),IF($T$208&gt;=O200,INDEX($AL$140:$AL$149,MATCH(O200,($AJ$140:$AJ$149),0)),IF($T$212&gt;=O200,INDEX('Spell Tables'!$AZ$168:$AZ$172,MATCH(O200,('Spell Tables'!$AX$168:$AX$172),0)),IF($T$224&gt;=O200,INDEX('Spell Tables'!$AZ$26:$AZ$29,MATCH(O200,('Spell Tables'!$AX$26:$AX$29),0)),IF($T$226&gt;=O200,INDEX('Spell Tables'!$AZ$2:$AZ$5,MATCH(O200,('Spell Tables'!$AX$2:$AX$5),0))," ")))))</f>
        <v xml:space="preserve"> </v>
      </c>
    </row>
    <row r="236" spans="2:20" x14ac:dyDescent="0.3">
      <c r="N236" s="72"/>
      <c r="O236" s="86">
        <v>9</v>
      </c>
      <c r="P236" s="65" t="str">
        <f ca="1">IF(AND($O$15="Otherworldly patron - great old one",P$210&gt;=O201),INDEX('Spell Tables'!$AJ$226:$AJ$231,MATCH(O201,('Spell Tables'!$AH$226:$AH$231),0)),IF(AND($O$15="Otherworldly patron - fiend",P$210&gt;=O201),INDEX('Spell Tables'!$AJ$210:$AJ$215,MATCH(O201,('Spell Tables'!$AH$210:$AH$215),0)),IF(AND($O$15="Otherworldly patron - archfey",P$210&gt;=O201),INDEX('Spell Tables'!$AJ$194:$AJ$199,MATCH(O201,('Spell Tables'!$AH$194:$AH$199),0)),IF($P$208&gt;=O201,INDEX($AL$92:$AL$101,MATCH(O201,($AJ$92:$AJ$101),0)),IF($P$212&gt;=O201,INDEX('Spell Tables'!$AJ$168:$AJ$178,MATCH(O201,('Spell Tables'!$AH$168:$AH$178),0)),IF($P$216&gt;=O201,INDEX('Spell Tables'!$AF$119:$AF$122,MATCH(O201,('Spell Tables'!$AD$119:$AD$122),0)),IF($P$218&gt;=O201,INDEX('Spell Tables'!$AF$97:$AF$102,MATCH(O201,('Spell Tables'!$AD$97:$AD$102),0)),IF($P$222&gt;=O201,INDEX('Spell Tables'!$AJ$48:$AJ$61,MATCH(O201,('Spell Tables'!$AH$48:$AH$61),0)),IF($P$224&gt;=O201,INDEX('Spell Tables'!$AJ$26:$AJ$38,MATCH(O201,('Spell Tables'!$AH$26:$AH$38),0)),IF($P$226&gt;=O201,INDEX('Spell Tables'!$AJ$2:$AJ$17,MATCH(O201,('Spell Tables'!$AH$2:$AH$17),0))," "))))))))))</f>
        <v xml:space="preserve"> </v>
      </c>
      <c r="Q236" s="65" t="str">
        <f ca="1">IF($Q$208&gt;=O201,INDEX($AL$104:$AL$113,MATCH(O201,($AJ$104:$AJ$113),0)),IF($Q$212&gt;=O201,INDEX('Spell Tables'!$AN$168:$AN$177,MATCH(O201,('Spell Tables'!$AL$168:$AL$177),0)),IF($Q$222&gt;=O201,INDEX('Spell Tables'!$AN$48:$AN$56,MATCH(O201,('Spell Tables'!$AL$48:$AL$56),0)),IF($Q$224&gt;=O201,INDEX('Spell Tables'!$AN$26:$AN$35,MATCH(O201,('Spell Tables'!$AL$26:$AL$35),0)),IF($Q$226&gt;=O201,INDEX('Spell Tables'!$AN$2:$AN$8,MATCH(O201,('Spell Tables'!$AL$2:$AL$8),0))," ")))))</f>
        <v xml:space="preserve"> </v>
      </c>
      <c r="R236" s="65" t="str">
        <f ca="1">IF($R$208&gt;=O201,INDEX($AL$116:$AL$125,MATCH(O201,($AJ$116:$AJ$125),0)),IF($R$212&gt;=O201,INDEX('Spell Tables'!$AR$168:$AR$175,MATCH(O201,('Spell Tables'!$AP$168:$AP$175),0)),IF($R$222&gt;=O201,INDEX('Spell Tables'!$AR$48:$AR$52,MATCH(O201,('Spell Tables'!$AP$48:$AP$52),0)),IF($R$224&gt;=O201,INDEX('Spell Tables'!$AR$26:$AR$33,MATCH(O201,('Spell Tables'!$AP$26:$AP$33),0)),IF($R$226&gt;=O201,INDEX('Spell Tables'!$AR$2:$AR$11,MATCH(O201,('Spell Tables'!$AL$2:$AL$11),0))," ")))))</f>
        <v xml:space="preserve"> </v>
      </c>
      <c r="S236" s="65" t="str">
        <f ca="1">IF($S$208&gt;=O201,INDEX($AL$128:$AL$137,MATCH(O201,($AJ$128:$AJ$137),0)),IF($S$212&gt;=O201,INDEX('Spell Tables'!$AV$168:$AV$172,MATCH(O201,('Spell Tables'!$AT$168:$AT$172),0)),IF($S$222&gt;=O201,INDEX('Spell Tables'!$AV$48:$AV$54,MATCH(O201,('Spell Tables'!$AT$48:$AT$54),0)),IF($S$224&gt;=O201,INDEX('Spell Tables'!$AV$26:$AV$29,MATCH(O201,('Spell Tables'!$AT$26:$AT$29),0)),IF($S$226&gt;=O201,INDEX('Spell Tables'!$AV$2:$AV$6,MATCH(O201,('Spell Tables'!$AT$2:$AT$6),0))," ")))))</f>
        <v xml:space="preserve"> </v>
      </c>
      <c r="T236" s="66" t="str">
        <f ca="1">IF($T$222&gt;=O201,INDEX('Spell Tables'!$AZ$48:$AZ$51,MATCH(O201,('Spell Tables'!$AX$48:$AX$51),0)),IF($T$208&gt;=O201,INDEX($AL$140:$AL$149,MATCH(O201,($AJ$140:$AJ$149),0)),IF($T$212&gt;=O201,INDEX('Spell Tables'!$AZ$168:$AZ$172,MATCH(O201,('Spell Tables'!$AX$168:$AX$172),0)),IF($T$224&gt;=O201,INDEX('Spell Tables'!$AZ$26:$AZ$29,MATCH(O201,('Spell Tables'!$AX$26:$AX$29),0)),IF($T$226&gt;=O201,INDEX('Spell Tables'!$AZ$2:$AZ$5,MATCH(O201,('Spell Tables'!$AX$2:$AX$5),0))," ")))))</f>
        <v xml:space="preserve"> </v>
      </c>
    </row>
    <row r="237" spans="2:20" ht="19.5" thickBot="1" x14ac:dyDescent="0.35">
      <c r="N237" s="72"/>
      <c r="O237" s="134">
        <v>10</v>
      </c>
      <c r="P237" s="67" t="str">
        <f ca="1">IF(AND($O$15="Otherworldly patron - great old one",P$210&gt;=O202),INDEX('Spell Tables'!$AJ$226:$AJ$231,MATCH(O202,('Spell Tables'!$AH$226:$AH$231),0)),IF(AND($O$15="Otherworldly patron - fiend",P$210&gt;=O202),INDEX('Spell Tables'!$AJ$210:$AJ$215,MATCH(O202,('Spell Tables'!$AH$210:$AH$215),0)),IF(AND($O$15="Otherworldly patron - archfey",P$210&gt;=O202),INDEX('Spell Tables'!$AJ$194:$AJ$199,MATCH(O202,('Spell Tables'!$AH$194:$AH$199),0)),IF($P$208&gt;=O202,INDEX($AL$92:$AL$101,MATCH(O202,($AJ$92:$AJ$101),0)),IF($P$212&gt;=O202,INDEX('Spell Tables'!$AJ$168:$AJ$178,MATCH(O202,('Spell Tables'!$AH$168:$AH$178),0)),IF($P$216&gt;=O202,INDEX('Spell Tables'!$AF$119:$AF$122,MATCH(O202,('Spell Tables'!$AD$119:$AD$122),0)),IF($P$218&gt;=O202,INDEX('Spell Tables'!$AF$97:$AF$102,MATCH(O202,('Spell Tables'!$AD$97:$AD$102),0)),IF($P$222&gt;=O202,INDEX('Spell Tables'!$AJ$48:$AJ$61,MATCH(O202,('Spell Tables'!$AH$48:$AH$61),0)),IF($P$224&gt;=O202,INDEX('Spell Tables'!$AJ$26:$AJ$38,MATCH(O202,('Spell Tables'!$AH$26:$AH$38),0)),IF($P$226&gt;=O202,INDEX('Spell Tables'!$AJ$2:$AJ$17,MATCH(O202,('Spell Tables'!$AH$2:$AH$17),0))," "))))))))))</f>
        <v xml:space="preserve"> </v>
      </c>
      <c r="Q237" s="67" t="str">
        <f ca="1">IF($Q$208&gt;=O202,INDEX($AL$104:$AL$113,MATCH(O202,($AJ$104:$AJ$113),0)),IF($Q$212&gt;=O202,INDEX('Spell Tables'!$AN$168:$AN$177,MATCH(O202,('Spell Tables'!$AL$168:$AL$177),0)),IF($Q$222&gt;=O202,INDEX('Spell Tables'!$AN$48:$AN$56,MATCH(O202,('Spell Tables'!$AL$48:$AL$56),0)),IF($Q$224&gt;=O202,INDEX('Spell Tables'!$AN$26:$AN$35,MATCH(O202,('Spell Tables'!$AL$26:$AL$35),0)),IF($Q$226&gt;=O202,INDEX('Spell Tables'!$AN$2:$AN$8,MATCH(O202,('Spell Tables'!$AL$2:$AL$8),0))," ")))))</f>
        <v xml:space="preserve"> </v>
      </c>
      <c r="R237" s="67" t="str">
        <f ca="1">IF($R$208&gt;=O202,INDEX($AL$116:$AL$125,MATCH(O202,($AJ$116:$AJ$125),0)),IF($R$212&gt;=O202,INDEX('Spell Tables'!$AR$168:$AR$175,MATCH(O202,('Spell Tables'!$AP$168:$AP$175),0)),IF($R$222&gt;=O202,INDEX('Spell Tables'!$AR$48:$AR$52,MATCH(O202,('Spell Tables'!$AP$48:$AP$52),0)),IF($R$224&gt;=O202,INDEX('Spell Tables'!$AR$26:$AR$33,MATCH(O202,('Spell Tables'!$AP$26:$AP$33),0)),IF($R$226&gt;=O202,INDEX('Spell Tables'!$AR$2:$AR$11,MATCH(O202,('Spell Tables'!$AL$2:$AL$11),0))," ")))))</f>
        <v xml:space="preserve"> </v>
      </c>
      <c r="S237" s="67" t="str">
        <f ca="1">IF($S$208&gt;=O202,INDEX($AL$128:$AL$137,MATCH(O202,($AJ$128:$AJ$137),0)),IF($S$212&gt;=O202,INDEX('Spell Tables'!$AV$168:$AV$172,MATCH(O202,('Spell Tables'!$AT$168:$AT$172),0)),IF($S$222&gt;=O202,INDEX('Spell Tables'!$AV$48:$AV$54,MATCH(O202,('Spell Tables'!$AT$48:$AT$54),0)),IF($S$224&gt;=O202,INDEX('Spell Tables'!$AV$26:$AV$29,MATCH(O202,('Spell Tables'!$AT$26:$AT$29),0)),IF($S$226&gt;=O202,INDEX('Spell Tables'!$AV$2:$AV$6,MATCH(O202,('Spell Tables'!$AT$2:$AT$6),0))," ")))))</f>
        <v xml:space="preserve"> </v>
      </c>
      <c r="T237" s="68" t="str">
        <f ca="1">IF($T$222&gt;=O202,INDEX('Spell Tables'!$AZ$48:$AZ$51,MATCH(O202,('Spell Tables'!$AX$48:$AX$51),0)),IF($T$208&gt;=O202,INDEX($AL$140:$AL$149,MATCH(O202,($AJ$140:$AJ$149),0)),IF($T$212&gt;=O202,INDEX('Spell Tables'!$AZ$168:$AZ$172,MATCH(O202,('Spell Tables'!$AX$168:$AX$172),0)),IF($T$224&gt;=O202,INDEX('Spell Tables'!$AZ$26:$AZ$29,MATCH(O202,('Spell Tables'!$AX$26:$AX$29),0)),IF($T$226&gt;=O202,INDEX('Spell Tables'!$AZ$2:$AZ$5,MATCH(O202,('Spell Tables'!$AX$2:$AX$5),0))," ")))))</f>
        <v xml:space="preserve"> </v>
      </c>
    </row>
    <row r="238" spans="2:20" ht="19.5" thickBot="1" x14ac:dyDescent="0.35"/>
    <row r="239" spans="2:20" ht="30.75" thickBot="1" x14ac:dyDescent="0.45">
      <c r="B239" s="105" t="s">
        <v>1323</v>
      </c>
      <c r="C239" s="57"/>
      <c r="D239" s="57"/>
      <c r="E239" s="57"/>
      <c r="F239" s="57"/>
      <c r="G239" s="57"/>
      <c r="H239" s="57"/>
      <c r="I239" s="57"/>
      <c r="J239" s="57"/>
      <c r="K239" s="57"/>
      <c r="L239" s="57"/>
      <c r="M239" s="57"/>
      <c r="N239" s="57"/>
      <c r="O239" s="57"/>
      <c r="P239" s="57"/>
      <c r="Q239" s="57"/>
      <c r="R239" s="57"/>
      <c r="S239" s="57"/>
    </row>
    <row r="240" spans="2:20" ht="19.5" thickBot="1" x14ac:dyDescent="0.35">
      <c r="B240" s="33"/>
      <c r="C240" s="27"/>
      <c r="D240" s="27"/>
      <c r="E240" s="27"/>
      <c r="F240" s="27"/>
      <c r="G240" s="27"/>
      <c r="H240" s="27"/>
      <c r="I240" s="27"/>
      <c r="J240" s="27"/>
      <c r="K240" s="27"/>
      <c r="L240" s="27"/>
      <c r="M240" s="27"/>
      <c r="O240" s="27"/>
      <c r="P240" s="87" t="s">
        <v>1341</v>
      </c>
      <c r="Q240" s="94" t="str">
        <f ca="1">IF($Q$11="warlock",INDEX('Spell Tables'!$D$194:$D$213,MATCH($Q$12,('Spell Tables'!$A$194:$A$213),0))," ")</f>
        <v xml:space="preserve"> </v>
      </c>
      <c r="R240" s="89" t="s">
        <v>1340</v>
      </c>
      <c r="S240" s="90" t="str">
        <f ca="1">IF($Q$11="warlock",INDEX('Spell Tables'!$E$194:$E$213,MATCH($Q$12,('Spell Tables'!$A$194:$A$213),0))," ")</f>
        <v xml:space="preserve"> </v>
      </c>
      <c r="T240" s="27"/>
    </row>
    <row r="241" spans="2:20" hidden="1" x14ac:dyDescent="0.3">
      <c r="B241" s="92" t="s">
        <v>1270</v>
      </c>
      <c r="C241" s="33"/>
      <c r="D241" s="33"/>
      <c r="E241" s="33"/>
      <c r="F241" s="33"/>
      <c r="G241" s="33"/>
      <c r="H241" s="33"/>
      <c r="I241" s="33"/>
      <c r="J241" s="33"/>
      <c r="K241" s="33"/>
      <c r="L241" s="33"/>
      <c r="M241" s="33"/>
      <c r="O241" s="33" t="s">
        <v>530</v>
      </c>
      <c r="P241" s="33" t="s">
        <v>530</v>
      </c>
      <c r="Q241" s="114" t="str">
        <f ca="1">IF(AND(Q11="wizard",Q12&gt;=3),"x",IF(Q11="wizard","xx"," "))</f>
        <v xml:space="preserve"> </v>
      </c>
      <c r="R241" s="114" t="str">
        <f ca="1">IF(AND(Q11="wizard",Q12&gt;=5),"x",IF(AND($Q$11="wizard",$Q$12&gt;=3),"xx"," "))</f>
        <v xml:space="preserve"> </v>
      </c>
      <c r="S241" s="114" t="str">
        <f ca="1">IF(AND(Q11="Wizard",Q12&gt;=7),"x",IF(AND($Q$11="wizard",$Q$12&gt;5),"xx",IF(AND(Q11="wizard",Q12=5),"xxx"," ")))</f>
        <v xml:space="preserve"> </v>
      </c>
      <c r="T241" s="114" t="str">
        <f ca="1">IF(AND(Q11="wizard",Q12&gt;=9),"x",IF(AND($Q$11="wizard",$Q$12&gt;7),"xx",IF(AND(Q11="wizard",Q12=7),"xxx"," ")))</f>
        <v xml:space="preserve"> </v>
      </c>
    </row>
    <row r="242" spans="2:20" hidden="1" x14ac:dyDescent="0.3">
      <c r="B242" s="92" t="s">
        <v>1272</v>
      </c>
      <c r="C242" s="33"/>
      <c r="D242" s="33"/>
      <c r="E242" s="33"/>
      <c r="F242" s="33"/>
      <c r="G242" s="33"/>
      <c r="H242" s="33"/>
      <c r="I242" s="33"/>
      <c r="J242" s="33"/>
      <c r="K242" s="33"/>
      <c r="L242" s="33"/>
      <c r="M242" s="33"/>
      <c r="O242" s="33" t="str">
        <f ca="1">IF(Q11="wizard",N41+Q12," ")</f>
        <v xml:space="preserve"> </v>
      </c>
      <c r="P242" s="33">
        <f ca="1">IF(Q11="wizard",INDEX('Spell Tables'!C242:C261,MATCH(Q12,('Spell Tables'!B242:B261),0)),0)</f>
        <v>0</v>
      </c>
      <c r="Q242" s="114">
        <f ca="1">IF($Q241="x",RANDBETWEEN(1,2),IF($Q241="xx",$O$242,0))</f>
        <v>0</v>
      </c>
      <c r="R242" s="114">
        <f ca="1">IF(R241="x",RANDBETWEEN(1,2),IF(R241="xx",$O$242-Q242,0))</f>
        <v>0</v>
      </c>
      <c r="S242" s="114">
        <f ca="1">IF(S241="x",O242-SUM(Q242:R242,U169:X169),IF(S241="xx",$O$242-SUM(Q242:R242),0))</f>
        <v>0</v>
      </c>
      <c r="T242" s="114">
        <f ca="1">IF(T241="x",RANDBETWEEN(1,2),IF(T241="xx",RANDBETWEEN(2,3),IF(T241="xxx",RANDBETWEEN(1,2),0)))</f>
        <v>0</v>
      </c>
    </row>
    <row r="243" spans="2:20" hidden="1" x14ac:dyDescent="0.3">
      <c r="B243" s="92" t="s">
        <v>1269</v>
      </c>
      <c r="C243" s="33"/>
      <c r="D243" s="33"/>
      <c r="E243" s="33"/>
      <c r="F243" s="33"/>
      <c r="G243" s="33"/>
      <c r="H243" s="33"/>
      <c r="I243" s="33"/>
      <c r="J243" s="33"/>
      <c r="K243" s="33"/>
      <c r="L243" s="33"/>
      <c r="M243" s="33"/>
      <c r="O243" s="33" t="s">
        <v>530</v>
      </c>
      <c r="P243" s="33" t="s">
        <v>530</v>
      </c>
      <c r="Q243" s="114" t="str">
        <f ca="1">IF(AND($Q$11="warlock",$Q$12&gt;=3),"x",IF(Q11="warlock","xx"," "))</f>
        <v xml:space="preserve"> </v>
      </c>
      <c r="R243" s="114" t="str">
        <f ca="1">IF(AND($Q$11="warlock",$Q$12&gt;=5),"x",IF(AND($Q$11="warlock",$Q$12&gt;=3),"xx"," "))</f>
        <v xml:space="preserve"> </v>
      </c>
      <c r="S243" s="114" t="str">
        <f ca="1">IF(AND($Q$11="warlock",$Q$12&gt;=7),"x",IF(AND($Q$11="warlock",$Q$12&gt;=5),"xx"," "))</f>
        <v xml:space="preserve"> </v>
      </c>
      <c r="T243" s="114" t="str">
        <f ca="1">IF(AND($Q$11="warlock",$Q$12&gt;=9),"x",IF(AND($Q$11="warlock",$Q$12&gt;=7),"xx"," "))</f>
        <v xml:space="preserve"> </v>
      </c>
    </row>
    <row r="244" spans="2:20" hidden="1" x14ac:dyDescent="0.3">
      <c r="B244" s="92" t="s">
        <v>1268</v>
      </c>
      <c r="C244" s="33"/>
      <c r="D244" s="33"/>
      <c r="E244" s="33"/>
      <c r="F244" s="33"/>
      <c r="G244" s="33"/>
      <c r="H244" s="33"/>
      <c r="I244" s="33"/>
      <c r="J244" s="33"/>
      <c r="K244" s="33"/>
      <c r="L244" s="33"/>
      <c r="M244" s="33"/>
      <c r="O244" s="33" t="str">
        <f ca="1">IF(Q11="warlock",INDEX('Spell Tables'!C194:C213,MATCH($Q$12,('Spell Tables'!A194:A213),0))," ")</f>
        <v xml:space="preserve"> </v>
      </c>
      <c r="P244" s="33">
        <f ca="1">IF($Q$11="warlock",INDEX('Spell Tables'!B194:B213,MATCH($Q$12,('Spell Tables'!A194:A213),0)),0)</f>
        <v>0</v>
      </c>
      <c r="Q244" s="114">
        <f ca="1">IF($Q243="x",RANDBETWEEN(1,2),IF($Q243="xx",$O$244,0))</f>
        <v>0</v>
      </c>
      <c r="R244" s="114">
        <f ca="1">IF(R243="x",RANDBETWEEN(1,2),IF(R243="xx",$O$244-Q244,0))</f>
        <v>0</v>
      </c>
      <c r="S244" s="114">
        <f ca="1">IF(S243="x",O244-SUM(Q244:R244,U171:X171),IF(S243="xx",$O$244-SUM(Q244:R244),0))</f>
        <v>0</v>
      </c>
      <c r="T244" s="114">
        <f ca="1">IF(T243="x",RANDBETWEEN(1,2),IF(T243="xx",RANDBETWEEN(2,3),0))</f>
        <v>0</v>
      </c>
    </row>
    <row r="245" spans="2:20" hidden="1" x14ac:dyDescent="0.3">
      <c r="B245" s="92" t="s">
        <v>1267</v>
      </c>
      <c r="C245" s="33"/>
      <c r="D245" s="33"/>
      <c r="E245" s="33"/>
      <c r="F245" s="33"/>
      <c r="G245" s="33"/>
      <c r="H245" s="33"/>
      <c r="I245" s="33"/>
      <c r="J245" s="33"/>
      <c r="K245" s="33"/>
      <c r="L245" s="33"/>
      <c r="M245" s="33"/>
      <c r="O245" s="33" t="s">
        <v>530</v>
      </c>
      <c r="P245" s="33" t="s">
        <v>530</v>
      </c>
      <c r="Q245" s="114" t="str">
        <f ca="1">IF(AND($Q$11="sorcerer",$Q$12&gt;=3),"x",IF($Q$11="sorcerer","xx"," "))</f>
        <v xml:space="preserve"> </v>
      </c>
      <c r="R245" s="114" t="str">
        <f ca="1">IF(AND($Q$11="sorcerer",$Q$12&gt;=5),"x",IF(AND($Q$11="sorcerer",$Q$12&gt;=3),"xx"," "))</f>
        <v xml:space="preserve"> </v>
      </c>
      <c r="S245" s="114" t="str">
        <f ca="1">IF(AND($Q$11="sorcerer",$Q$12&gt;=7),"x",IF(AND($Q$11="sorcerer",$Q$12&gt;=5),"xx"," "))</f>
        <v xml:space="preserve"> </v>
      </c>
      <c r="T245" s="114" t="str">
        <f ca="1">IF(AND($Q$11="sorcerer",$Q$12&gt;=9),"x",IF(AND($Q$11="sorcerer",$Q$12&gt;=7),"xx"," "))</f>
        <v xml:space="preserve"> </v>
      </c>
    </row>
    <row r="246" spans="2:20" hidden="1" x14ac:dyDescent="0.3">
      <c r="B246" s="92" t="s">
        <v>1266</v>
      </c>
      <c r="C246" s="33"/>
      <c r="D246" s="33"/>
      <c r="E246" s="33"/>
      <c r="F246" s="33"/>
      <c r="G246" s="33"/>
      <c r="H246" s="33"/>
      <c r="I246" s="33"/>
      <c r="J246" s="33"/>
      <c r="K246" s="33"/>
      <c r="L246" s="33"/>
      <c r="M246" s="33"/>
      <c r="O246" s="33" t="str">
        <f ca="1">IF(Q11="sorcerer",INDEX('Spell Tables'!C168:C187,MATCH($Q$12,('Spell Tables'!A168:A187),0))," ")</f>
        <v xml:space="preserve"> </v>
      </c>
      <c r="P246" s="33">
        <f ca="1">IF($Q$11="sorcerer",INDEX('Spell Tables'!B168:B187,MATCH($Q$12,('Spell Tables'!A168:A187),0)),0)</f>
        <v>0</v>
      </c>
      <c r="Q246" s="114">
        <f ca="1">IF($Q245="x",RANDBETWEEN(1,2),IF($Q245="xx",$O$246,0))</f>
        <v>0</v>
      </c>
      <c r="R246" s="114">
        <f ca="1">IF(R245="x",RANDBETWEEN(1,2),IF(R245="xx",$O$246-Q246,0))</f>
        <v>0</v>
      </c>
      <c r="S246" s="114">
        <f ca="1">IF(S245="x",O246-SUM(Q246:R246,U173:X173),IF(S245="xx",$O$246-SUM(Q246:R246),0))</f>
        <v>0</v>
      </c>
      <c r="T246" s="114">
        <f ca="1">IF(T245="x",RANDBETWEEN(1,2),IF(T245="xx",RANDBETWEEN(2,3),0))</f>
        <v>0</v>
      </c>
    </row>
    <row r="247" spans="2:20" hidden="1" x14ac:dyDescent="0.3">
      <c r="B247" s="92" t="s">
        <v>1254</v>
      </c>
      <c r="C247" s="33"/>
      <c r="D247" s="33"/>
      <c r="E247" s="33"/>
      <c r="F247" s="33"/>
      <c r="G247" s="33"/>
      <c r="H247" s="33"/>
      <c r="I247" s="33"/>
      <c r="J247" s="33"/>
      <c r="K247" s="33"/>
      <c r="L247" s="33"/>
      <c r="M247" s="33"/>
      <c r="O247" s="33" t="s">
        <v>530</v>
      </c>
      <c r="P247" s="33" t="s">
        <v>530</v>
      </c>
      <c r="Q247" s="114" t="str">
        <f ca="1">IF(AND(R15="arcane trickster",Q12&gt;=7),"x",IF(R15="arcane trickster","xx"," "))</f>
        <v xml:space="preserve"> </v>
      </c>
      <c r="R247" s="114" t="str">
        <f ca="1">IF(AND(R15="arcane trickster",Q12=13),"x",IF(AND(R15="arcane trickster",$Q$12&gt;=7),"xx"," "))</f>
        <v xml:space="preserve"> </v>
      </c>
      <c r="S247" s="114" t="str">
        <f ca="1">IF(AND(R15="arcane trickster",Q12&gt;=19),"x",IF(AND(R15="arcane trickster",$Q$12&gt;=13),"xx"," "))</f>
        <v xml:space="preserve"> </v>
      </c>
      <c r="T247" s="114" t="str">
        <f ca="1">IF(AND(R15="arcane trickster",$Q$12&gt;=19),"xx"," ")</f>
        <v xml:space="preserve"> </v>
      </c>
    </row>
    <row r="248" spans="2:20" hidden="1" x14ac:dyDescent="0.3">
      <c r="B248" s="92" t="s">
        <v>1253</v>
      </c>
      <c r="C248" s="33"/>
      <c r="D248" s="33"/>
      <c r="E248" s="33"/>
      <c r="F248" s="33"/>
      <c r="G248" s="33"/>
      <c r="H248" s="33"/>
      <c r="I248" s="33"/>
      <c r="J248" s="33"/>
      <c r="K248" s="33"/>
      <c r="L248" s="33"/>
      <c r="M248" s="33"/>
      <c r="O248" s="33" t="str">
        <f ca="1">IF(R15="arcane trickster",INDEX('Spell Tables'!C141:C160,MATCH($Q$12,('Spell Tables'!A141:A160),0))," ")</f>
        <v xml:space="preserve"> </v>
      </c>
      <c r="P248" s="33">
        <f ca="1">IF($R$15="arcane trickster",INDEX('Spell Tables'!B141:B160,MATCH($Q$12,('Spell Tables'!A141:A160),0)),0)</f>
        <v>0</v>
      </c>
      <c r="Q248" s="114">
        <f ca="1">IF($Q247="x",RANDBETWEEN(2,3),IF($Q247="xx",$O$248,0))</f>
        <v>0</v>
      </c>
      <c r="R248" s="114">
        <f ca="1">IF(R247="x",RANDBETWEEN(2,3),IF(R247="xx",$O$248-Q248,0))</f>
        <v>0</v>
      </c>
      <c r="S248" s="114">
        <f ca="1">IF(S247="x",O248-SUM(Q248:R248,U175:X175),IF(S247="xx",$O$248-SUM(Q248:R248),0))</f>
        <v>0</v>
      </c>
      <c r="T248" s="114">
        <f ca="1">IF(T247="x",RANDBETWEEN(1,2),IF(T247="xx",RANDBETWEEN(2,3),0))</f>
        <v>0</v>
      </c>
    </row>
    <row r="249" spans="2:20" hidden="1" x14ac:dyDescent="0.3">
      <c r="B249" s="92" t="s">
        <v>1247</v>
      </c>
      <c r="C249" s="33"/>
      <c r="D249" s="33"/>
      <c r="E249" s="33"/>
      <c r="F249" s="33"/>
      <c r="G249" s="33"/>
      <c r="H249" s="33"/>
      <c r="I249" s="33"/>
      <c r="J249" s="33"/>
      <c r="K249" s="33"/>
      <c r="L249" s="33"/>
      <c r="M249" s="33"/>
      <c r="O249" s="33" t="s">
        <v>530</v>
      </c>
      <c r="P249" s="33" t="s">
        <v>1324</v>
      </c>
      <c r="Q249" s="114" t="str">
        <f ca="1">IF(AND($Q$11="ranger",$Q$12&gt;=5),"x",IF(AND(Q11="ranger",Q12&gt;=2),"xx"," "))</f>
        <v xml:space="preserve"> </v>
      </c>
      <c r="R249" s="114" t="str">
        <f ca="1">IF(AND($Q$11="ranger",$Q$12&gt;=9),"x",IF(AND($Q$11="ranger",$Q$12&gt;=5),"xx"," "))</f>
        <v xml:space="preserve"> </v>
      </c>
      <c r="S249" s="114" t="str">
        <f ca="1">IF(AND($Q$11="ranger",$Q$12&gt;=13),"x",IF(AND($Q$11="ranger",$Q$12&gt;=9),"xx"," "))</f>
        <v xml:space="preserve"> </v>
      </c>
      <c r="T249" s="114" t="str">
        <f ca="1">IF(AND($Q$11="ranger",$Q$12&gt;=17),"x",IF(AND($Q$11="ranger",$Q$12&gt;=13),"xx"," "))</f>
        <v xml:space="preserve"> </v>
      </c>
    </row>
    <row r="250" spans="2:20" hidden="1" x14ac:dyDescent="0.3">
      <c r="B250" s="92" t="s">
        <v>1246</v>
      </c>
      <c r="C250" s="33"/>
      <c r="D250" s="33"/>
      <c r="E250" s="33"/>
      <c r="F250" s="33"/>
      <c r="G250" s="33"/>
      <c r="H250" s="33"/>
      <c r="I250" s="33"/>
      <c r="J250" s="33"/>
      <c r="K250" s="33"/>
      <c r="L250" s="33"/>
      <c r="M250" s="33"/>
      <c r="O250" s="33" t="str">
        <f ca="1">IF($Q$11="ranger",INDEX('Spell Tables'!C119:C138,MATCH($Q$12,('Spell Tables'!B119:B138),0))," ")</f>
        <v xml:space="preserve"> </v>
      </c>
      <c r="P250" s="33" t="s">
        <v>1324</v>
      </c>
      <c r="Q250" s="114">
        <f ca="1">IF($Q249="x",RANDBETWEEN(1,2),IF($Q249="xx",$O$250,0))</f>
        <v>0</v>
      </c>
      <c r="R250" s="114">
        <f ca="1">IF(R249="x",RANDBETWEEN(1,2),IF(R249="xx",$O$250-Q250,0))</f>
        <v>0</v>
      </c>
      <c r="S250" s="114">
        <f ca="1">IF(S249="x",O250-SUM(Q250:R250,U177:X177),IF(S249="xx",$O$250-SUM(Q250:R250),0))</f>
        <v>0</v>
      </c>
      <c r="T250" s="114">
        <f ca="1">IF(T249="x",RANDBETWEEN(1,2),IF(T249="xx",RANDBETWEEN(2,3),0))</f>
        <v>0</v>
      </c>
    </row>
    <row r="251" spans="2:20" hidden="1" x14ac:dyDescent="0.3">
      <c r="B251" s="92" t="s">
        <v>1245</v>
      </c>
      <c r="C251" s="33"/>
      <c r="D251" s="33"/>
      <c r="E251" s="33"/>
      <c r="F251" s="33"/>
      <c r="G251" s="33"/>
      <c r="H251" s="33"/>
      <c r="I251" s="33"/>
      <c r="J251" s="33"/>
      <c r="K251" s="33"/>
      <c r="L251" s="33"/>
      <c r="M251" s="33"/>
      <c r="O251" s="33" t="s">
        <v>530</v>
      </c>
      <c r="P251" s="33" t="s">
        <v>1324</v>
      </c>
      <c r="Q251" s="114" t="str">
        <f ca="1">IF(AND($Q$11="paladin",$Q$12&gt;=5),"x",IF($Q$11="paladin","xx"," "))</f>
        <v xml:space="preserve"> </v>
      </c>
      <c r="R251" s="114" t="str">
        <f ca="1">IF(AND(Q11="paladin",Q12&gt;=9),"x",IF(AND($Q$11="paladin",$Q$12&gt;=5),"xx"," "))</f>
        <v xml:space="preserve"> </v>
      </c>
      <c r="S251" s="114" t="str">
        <f ca="1">IF(AND(Q11="paladin",Q12&gt;=13),"x",IF(AND($Q$11="paladin",$Q$12&gt;=9),"xx"," "))</f>
        <v xml:space="preserve"> </v>
      </c>
      <c r="T251" s="114" t="str">
        <f ca="1">IF(AND(Q11="paladin",Q12&gt;=17),"x",IF(AND($Q$11="paladin",$Q$12&gt;=13),"xx"," "))</f>
        <v xml:space="preserve"> </v>
      </c>
    </row>
    <row r="252" spans="2:20" hidden="1" x14ac:dyDescent="0.3">
      <c r="B252" s="92" t="s">
        <v>1244</v>
      </c>
      <c r="C252" s="33"/>
      <c r="D252" s="33"/>
      <c r="E252" s="33"/>
      <c r="F252" s="33"/>
      <c r="G252" s="33"/>
      <c r="H252" s="33"/>
      <c r="I252" s="33"/>
      <c r="J252" s="33"/>
      <c r="K252" s="33"/>
      <c r="L252" s="33"/>
      <c r="M252" s="33"/>
      <c r="O252" s="33" t="str">
        <f ca="1">IF(Q11="paladin",ROUNDDOWN(N43+(Q12*0.5),0)," ")</f>
        <v xml:space="preserve"> </v>
      </c>
      <c r="P252" s="33" t="s">
        <v>1324</v>
      </c>
      <c r="Q252" s="114">
        <f ca="1">IF($Q251="x",RANDBETWEEN(1,2),IF($Q251="xx",$O$252,0))</f>
        <v>0</v>
      </c>
      <c r="R252" s="114">
        <f ca="1">IF(R251="x",RANDBETWEEN(1,2),IF(R251="xx",$O$252-Q252,0))</f>
        <v>0</v>
      </c>
      <c r="S252" s="114">
        <f ca="1">IF(S251="x",O252-SUM(Q252:R252,U179:X179),IF(S251="xx",$O$252-SUM(Q252:R252),0))</f>
        <v>0</v>
      </c>
      <c r="T252" s="114">
        <f ca="1">IF(T251="x",RANDBETWEEN(1,2),IF(T251="xx",RANDBETWEEN(2,3),0))</f>
        <v>0</v>
      </c>
    </row>
    <row r="253" spans="2:20" hidden="1" x14ac:dyDescent="0.3">
      <c r="B253" s="92" t="s">
        <v>1226</v>
      </c>
      <c r="C253" s="33"/>
      <c r="D253" s="33"/>
      <c r="E253" s="33"/>
      <c r="F253" s="33"/>
      <c r="G253" s="33"/>
      <c r="H253" s="33"/>
      <c r="I253" s="33"/>
      <c r="J253" s="33"/>
      <c r="K253" s="33"/>
      <c r="L253" s="33"/>
      <c r="M253" s="33"/>
      <c r="O253" s="33" t="s">
        <v>530</v>
      </c>
      <c r="P253" s="33" t="s">
        <v>530</v>
      </c>
      <c r="Q253" s="114" t="str">
        <f ca="1">IF(AND(R15="eldritch knight",Q12&gt;=7),"x",IF(R15="eldritch knight","xx"," "))</f>
        <v xml:space="preserve"> </v>
      </c>
      <c r="R253" s="114" t="str">
        <f ca="1">IF(AND(R15="eldritch knight",Q12&gt;=13),"x",IF(AND(R15="eldritch knight",$Q$12&gt;=7),"xx"," "))</f>
        <v xml:space="preserve"> </v>
      </c>
      <c r="S253" s="114" t="str">
        <f ca="1">IF(AND(R15="eldritch knight",Q12&gt;=19),"x",IF(AND(R15="eldritch knight",$Q$12&gt;=13),"xx"," "))</f>
        <v xml:space="preserve"> </v>
      </c>
      <c r="T253" s="114" t="str">
        <f ca="1">IF(AND(R15="eldritch knight",$Q$12&gt;=19),"xx"," ")</f>
        <v xml:space="preserve"> </v>
      </c>
    </row>
    <row r="254" spans="2:20" hidden="1" x14ac:dyDescent="0.3">
      <c r="B254" s="92" t="s">
        <v>1222</v>
      </c>
      <c r="C254" s="33"/>
      <c r="D254" s="33"/>
      <c r="E254" s="33"/>
      <c r="F254" s="33"/>
      <c r="G254" s="33"/>
      <c r="H254" s="33"/>
      <c r="I254" s="33"/>
      <c r="J254" s="33"/>
      <c r="K254" s="33"/>
      <c r="L254" s="33"/>
      <c r="M254" s="33"/>
      <c r="O254" s="33" t="str">
        <f ca="1">IF($R$15="eldritch knight",INDEX('Spell Tables'!C70:C89,MATCH($Q$12,('Spell Tables'!A70:A89),0))," ")</f>
        <v xml:space="preserve"> </v>
      </c>
      <c r="P254" s="33">
        <f ca="1">IF($R$15="eldritch knight",INDEX('Spell Tables'!B70:B89,MATCH($Q$12,('Spell Tables'!A70:A89),0)),0)</f>
        <v>0</v>
      </c>
      <c r="Q254" s="114">
        <f ca="1">IF($Q253="x",RANDBETWEEN(2,3),IF($Q253="xx",$O$254,0))</f>
        <v>0</v>
      </c>
      <c r="R254" s="114">
        <f ca="1">IF(R253="x",RANDBETWEEN(2,3),IF(R253="xx",$O$254-Q254,0))</f>
        <v>0</v>
      </c>
      <c r="S254" s="114">
        <f ca="1">IF(S253="x",O254-SUM(Q254:R254,U181:X181),IF(S253="xx",$O$254-SUM(Q254:R254),0))</f>
        <v>0</v>
      </c>
      <c r="T254" s="114">
        <f ca="1">IF(T253="x",RANDBETWEEN(1,2),IF(T253="xx",RANDBETWEEN(2,3),0))</f>
        <v>0</v>
      </c>
    </row>
    <row r="255" spans="2:20" hidden="1" x14ac:dyDescent="0.3">
      <c r="B255" s="92" t="s">
        <v>1219</v>
      </c>
      <c r="C255" s="33"/>
      <c r="D255" s="33"/>
      <c r="E255" s="33"/>
      <c r="F255" s="33"/>
      <c r="G255" s="33"/>
      <c r="H255" s="33"/>
      <c r="I255" s="33"/>
      <c r="J255" s="33"/>
      <c r="K255" s="33"/>
      <c r="L255" s="33"/>
      <c r="M255" s="33"/>
      <c r="O255" s="33" t="s">
        <v>530</v>
      </c>
      <c r="P255" s="33" t="s">
        <v>530</v>
      </c>
      <c r="Q255" s="114" t="str">
        <f ca="1">IF(AND($Q$11="druid",$Q$12&gt;=3),"x",IF($Q$11="druid","xx"," "))</f>
        <v xml:space="preserve"> </v>
      </c>
      <c r="R255" s="114" t="str">
        <f ca="1">IF(AND($Q$11="druid",$Q$12&gt;=5),"x",IF(AND($Q$11="druid",$Q$12&gt;=3),"xx"," "))</f>
        <v xml:space="preserve"> </v>
      </c>
      <c r="S255" s="114" t="str">
        <f ca="1">IF(AND($Q$11="druid",$Q$12&gt;=7),"x",IF(AND($Q$11="druid",$Q$12&gt;=5),"xx"," "))</f>
        <v xml:space="preserve"> </v>
      </c>
      <c r="T255" s="114" t="str">
        <f ca="1">IF(AND($Q$11="druid",$Q$12&gt;=9),"x",IF(AND($Q$11="druid",$Q$12&gt;=7),"xx"," "))</f>
        <v xml:space="preserve"> </v>
      </c>
    </row>
    <row r="256" spans="2:20" hidden="1" x14ac:dyDescent="0.3">
      <c r="B256" s="92" t="s">
        <v>1220</v>
      </c>
      <c r="C256" s="33"/>
      <c r="D256" s="33"/>
      <c r="E256" s="33"/>
      <c r="F256" s="33"/>
      <c r="G256" s="33"/>
      <c r="H256" s="33"/>
      <c r="I256" s="33"/>
      <c r="J256" s="95"/>
      <c r="K256" s="95"/>
      <c r="L256" s="95"/>
      <c r="M256" s="95"/>
      <c r="O256" s="33" t="str">
        <f ca="1">IF(Q11="druid",Q12+N42," ")</f>
        <v xml:space="preserve"> </v>
      </c>
      <c r="P256" s="33">
        <f ca="1">IF($Q$11="druid",INDEX('Spell Tables'!C48:C67,MATCH($Q$12,('Spell Tables'!B48:B67),0)),0)</f>
        <v>0</v>
      </c>
      <c r="Q256" s="114">
        <f ca="1">IF($Q255="x",RANDBETWEEN(1,2),IF($Q255="xx",$O$256,0))</f>
        <v>0</v>
      </c>
      <c r="R256" s="114">
        <f ca="1">IF(R255="x",RANDBETWEEN(1,2),IF(R255="xx",$O$256-Q256,0))</f>
        <v>0</v>
      </c>
      <c r="S256" s="114">
        <f ca="1">IF(S255="x",O256-SUM(Q256:R256,U183:X183),IF(S255="xx",$O$256-SUM(Q256:R256),0))</f>
        <v>0</v>
      </c>
      <c r="T256" s="114">
        <f ca="1">IF(T255="x",RANDBETWEEN(1,2),IF(T255="xx",RANDBETWEEN(2,3),0))</f>
        <v>0</v>
      </c>
    </row>
    <row r="257" spans="2:20" hidden="1" x14ac:dyDescent="0.3">
      <c r="B257" s="92" t="s">
        <v>1143</v>
      </c>
      <c r="C257" s="33"/>
      <c r="D257" s="33"/>
      <c r="E257" s="33"/>
      <c r="F257" s="33"/>
      <c r="G257" s="33"/>
      <c r="H257" s="33"/>
      <c r="I257" s="33"/>
      <c r="J257" s="33"/>
      <c r="K257" s="33"/>
      <c r="L257" s="33"/>
      <c r="M257" s="33"/>
      <c r="O257" s="33" t="s">
        <v>530</v>
      </c>
      <c r="P257" s="33" t="s">
        <v>530</v>
      </c>
      <c r="Q257" s="114" t="str">
        <f ca="1">IF(AND(Q11="cleric",Q12&gt;=3),"x",IF(Q11="cleric","xx"," "))</f>
        <v xml:space="preserve"> </v>
      </c>
      <c r="R257" s="114" t="str">
        <f ca="1">IF(AND(Q11="cleric",Q12&gt;=5),"x",IF(AND($Q$11="cleric",$Q$12&gt;=3),"xx"," "))</f>
        <v xml:space="preserve"> </v>
      </c>
      <c r="S257" s="114" t="str">
        <f ca="1">IF(AND(Q11="cleric",Q12&gt;=7),"x",IF(AND($Q$11="cleric",$Q$12&gt;=5),"xx"," "))</f>
        <v xml:space="preserve"> </v>
      </c>
      <c r="T257" s="114" t="str">
        <f ca="1">IF(AND(Q11="cleric",Q12&gt;=9),"x",IF(AND($Q$11="cleric",$Q$12&gt;=7),"xx"," "))</f>
        <v xml:space="preserve"> </v>
      </c>
    </row>
    <row r="258" spans="2:20" hidden="1" x14ac:dyDescent="0.3">
      <c r="B258" s="92" t="s">
        <v>1142</v>
      </c>
      <c r="C258" s="33"/>
      <c r="D258" s="33"/>
      <c r="E258" s="33"/>
      <c r="F258" s="33"/>
      <c r="G258" s="33"/>
      <c r="H258" s="33"/>
      <c r="I258" s="33"/>
      <c r="J258" s="33"/>
      <c r="K258" s="33"/>
      <c r="L258" s="33"/>
      <c r="M258" s="33"/>
      <c r="O258" s="33" t="str">
        <f ca="1">IF(Q11="cleric",Q12+N42," ")</f>
        <v xml:space="preserve"> </v>
      </c>
      <c r="P258" s="33">
        <f ca="1">IF($Q$11="cleric",INDEX('Spell Tables'!C26:C45,MATCH($Q$12,('Spell Tables'!B26:B45),0)),0)</f>
        <v>0</v>
      </c>
      <c r="Q258" s="114">
        <f ca="1">IF($Q257="x",RANDBETWEEN(1,2),IF($Q257="xx",$O$258,0))</f>
        <v>0</v>
      </c>
      <c r="R258" s="114">
        <f ca="1">IF(R257="x",RANDBETWEEN(1,2),IF(R257="xx",$O$258-Q258,0))</f>
        <v>0</v>
      </c>
      <c r="S258" s="114">
        <f ca="1">IF(S257="x",O258-SUM(Q258:R258,U185:X185),IF(S257="xx",$O$258-SUM(Q258:R258),0))</f>
        <v>0</v>
      </c>
      <c r="T258" s="114">
        <f ca="1">IF(T257="x",RANDBETWEEN(1,2),IF(T257="xx",RANDBETWEEN(2,3),0))</f>
        <v>0</v>
      </c>
    </row>
    <row r="259" spans="2:20" hidden="1" x14ac:dyDescent="0.3">
      <c r="B259" s="92" t="s">
        <v>1248</v>
      </c>
      <c r="C259" s="33"/>
      <c r="D259" s="33"/>
      <c r="E259" s="33"/>
      <c r="F259" s="33"/>
      <c r="G259" s="33"/>
      <c r="H259" s="33"/>
      <c r="I259" s="33"/>
      <c r="J259" s="33"/>
      <c r="K259" s="33"/>
      <c r="L259" s="33"/>
      <c r="M259" s="33"/>
      <c r="O259" s="33" t="s">
        <v>530</v>
      </c>
      <c r="P259" s="33" t="s">
        <v>530</v>
      </c>
      <c r="Q259" s="114" t="str">
        <f ca="1">IF(AND($Q$11="bard",$Q$12&gt;=3),"x",IF($Q$11="bard","xx"," "))</f>
        <v xml:space="preserve"> </v>
      </c>
      <c r="R259" s="114" t="str">
        <f ca="1">IF(AND($Q$11="bard",$Q$12&gt;=5),"x",IF(AND($Q$11="bard",$Q$12&gt;=3),"xx"," "))</f>
        <v xml:space="preserve"> </v>
      </c>
      <c r="S259" s="114" t="str">
        <f ca="1">IF(AND($Q$11="bard",$Q$12&gt;=7),"x",IF(AND($Q$11="bard",$Q$12&gt;=5),"xx"," "))</f>
        <v xml:space="preserve"> </v>
      </c>
      <c r="T259" s="114" t="str">
        <f ca="1">IF(AND($Q$11="bard",$Q$12&gt;=9),"x",IF(AND($Q$11="bard",$Q$12&gt;=7),"xx"," "))</f>
        <v xml:space="preserve"> </v>
      </c>
    </row>
    <row r="260" spans="2:20" hidden="1" x14ac:dyDescent="0.3">
      <c r="B260" s="92" t="s">
        <v>1141</v>
      </c>
      <c r="C260" s="33"/>
      <c r="D260" s="33"/>
      <c r="E260" s="33"/>
      <c r="F260" s="33"/>
      <c r="G260" s="33"/>
      <c r="H260" s="33"/>
      <c r="I260" s="33"/>
      <c r="J260" s="33"/>
      <c r="K260" s="33"/>
      <c r="L260" s="33"/>
      <c r="M260" s="33"/>
      <c r="O260" s="33" t="str">
        <f ca="1">IF($Q$11="bard",INDEX('Spell Tables'!C$2:C$21,MATCH($Q$12,('Spell Tables'!$A$2:$A$21),0))," ")</f>
        <v xml:space="preserve"> </v>
      </c>
      <c r="P260" s="33">
        <f ca="1">IF($Q$11="bard",INDEX('Spell Tables'!B2:B21,MATCH($Q$12,('Spell Tables'!A2:A21),0)),0)</f>
        <v>0</v>
      </c>
      <c r="Q260" s="114">
        <f ca="1">IF($Q259="x",RANDBETWEEN(1,2),IF($Q259="xx",$O$260,0))</f>
        <v>0</v>
      </c>
      <c r="R260" s="114">
        <f ca="1">IF(R259="x",RANDBETWEEN(1,2),IF(R259="xx",$O$260-Q260,0))</f>
        <v>0</v>
      </c>
      <c r="S260" s="114">
        <f ca="1">IF(S259="x",O260-SUM(Q260:R260,U187:X187),IF(S259="xx",$O$260-SUM(Q260:R260),0))</f>
        <v>0</v>
      </c>
      <c r="T260" s="114">
        <f ca="1">IF(T259="x",RANDBETWEEN(1,2),IF(T259="xx",RANDBETWEEN(2,3),0))</f>
        <v>0</v>
      </c>
    </row>
    <row r="261" spans="2:20" x14ac:dyDescent="0.3">
      <c r="B261" s="92" t="s">
        <v>1122</v>
      </c>
      <c r="C261" s="33"/>
      <c r="D261" s="33"/>
      <c r="E261" s="33"/>
      <c r="F261" s="33"/>
      <c r="G261" s="33"/>
      <c r="H261" s="33"/>
      <c r="I261" s="33"/>
      <c r="J261" s="33"/>
      <c r="K261" s="33"/>
      <c r="L261" s="33"/>
      <c r="M261" s="33"/>
      <c r="O261" s="33"/>
      <c r="P261" s="92" t="s">
        <v>1124</v>
      </c>
      <c r="Q261" s="92" t="s">
        <v>746</v>
      </c>
      <c r="R261" s="92" t="s">
        <v>747</v>
      </c>
      <c r="S261" s="92" t="s">
        <v>748</v>
      </c>
      <c r="T261" s="92" t="s">
        <v>749</v>
      </c>
    </row>
    <row r="262" spans="2:20" x14ac:dyDescent="0.3">
      <c r="B262" s="33" t="str">
        <f ca="1">IF(OR(Q11="bard",Q11="paladin",Q11="sorcerer",Q11="warlock"),8+$P$8+$N$43,IF(OR(Q11="druid",Q11="cleric",Q11="ranger"),8+P8+N42,IF(OR(R15="eldritch knight",R15="arcane trickster",Q11="wizard"),8+P8+N41," ")))</f>
        <v xml:space="preserve"> </v>
      </c>
      <c r="C262" s="33"/>
      <c r="D262" s="33"/>
      <c r="E262" s="33"/>
      <c r="F262" s="33"/>
      <c r="G262" s="33"/>
      <c r="H262" s="33"/>
      <c r="I262" s="33"/>
      <c r="J262" s="33"/>
      <c r="K262" s="33"/>
      <c r="L262" s="33"/>
      <c r="M262" s="33"/>
      <c r="O262" s="34">
        <v>1</v>
      </c>
      <c r="P262" s="33" t="str">
        <f ca="1">IF(P$242&gt;=O193,INDEX('Spell Tables'!$P$242:$P$257,MATCH(O193,('Spell Tables'!$N$242:$N$257),0)),IF(P$244&gt;=O193,INDEX('Spell Tables'!$P$194:$P$201,MATCH(O193,('Spell Tables'!$N$194:$N$201),0)),IF(P$246&gt;=O193,INDEX('Spell Tables'!$P$168:$P$183,MATCH(O193,('Spell Tables'!$N$168:$N$183),0)),IF(P$248&gt;=O193,INDEX('Spell Tables'!$P$141:$P$156,MATCH(O193,('Spell Tables'!$N$141:$N$157),0)),IF(P$254&gt;=O193,INDEX('Spell Tables'!$P$70:$P$83,MATCH(O193,('Spell Tables'!$N$70:$N$83),0)),IF(P$256&gt;=O193,INDEX('Spell Tables'!$P$48:$P$55,MATCH(O193,('Spell Tables'!$N$48:$N$55),0)),IF(P$258&gt;=O193,INDEX('Spell Tables'!$P$26:$P$32,MATCH(O193,('Spell Tables'!$N$26:$N$32),0)),IF(P$260&gt;=O193,INDEX('Spell Tables'!$P$2:$P$12,MATCH(O193,('Spell Tables'!$N$2:$N$12),0))," "))))))))</f>
        <v xml:space="preserve"> </v>
      </c>
      <c r="Q262" s="33" t="str">
        <f ca="1">IF(AND($Q$15="Otherworldly patron - great old one",Q$244&gt;=O193),INDEX('Spell Tables'!$T$226:$T$238,MATCH(O193,('Spell Tables'!$R$226:$R$238),0)),IF(AND($Q$15="Otherworldly patron - fiend",Q$244&gt;=O193),INDEX('Spell Tables'!$T$210:$T$222,MATCH(O193,('Spell Tables'!$R$210:$R$222),0)),IF(Q$242&gt;=O193,INDEX($AL$44:$AL$53,MATCH(O193,($AJ$44:$AJ$53),0)),IF(AND($Q$15="Otherworldly patron - archfey",Q$244&gt;=O193),INDEX('Spell Tables'!T$206:$T294,MATCH(O193,('Spell Tables'!$R$194:$R$206),0)),IF(Q$246&gt;=O193,INDEX('Spell Tables'!T268:T287,MATCH(O193,('Spell Tables'!$R$168:$R$187),0)),IF(Q$248&gt;=O193,INDEX('Spell Tables'!T241:T247,MATCH(O193,('Spell Tables'!$R$141:$R$147),0)),IF(Q$250&gt;=O193,INDEX('Spell Tables'!$P$119:$P$131,MATCH(O193,('Spell Tables'!$N$119:$N$131),0)),IF(Q$252&gt;=O193,INDEX('Spell Tables'!$P$97:$P$111,MATCH(O193,('Spell Tables'!$N$97:$N$111),0)),IF(Q$254&gt;=O193,INDEX('Spell Tables'!$T$70:$T$78,MATCH(O193,('Spell Tables'!$R$70:$R$78),0)),IF(Q$256&gt;=O193,INDEX('Spell Tables'!$T$48:$T$63,MATCH(O193,('Spell Tables'!$R$48:$R$63),0)),IF(Q$258&gt;=O193,INDEX('Spell Tables'!$T$26:$T$40,MATCH(O193,('Spell Tables'!$R$26:$R$40),0)),IF(Q$260&gt;=O193,INDEX('Spell Tables'!$T$2:$T$22,MATCH(O193,('Spell Tables'!$R$2:$R$22),0))," "))))))))))))</f>
        <v xml:space="preserve"> </v>
      </c>
      <c r="R262" s="33" t="str">
        <f ca="1">IF(AND($Q$15="Otherworldly patron - great old one",R$244&gt;=O193),INDEX('Spell Tables'!$X$226:$X$239,MATCH(O193,('Spell Tables'!$V$226:$V$239),0)),IF(AND($Q$15="Otherworldly patron - fiend",R$244&gt;=O193),INDEX('Spell Tables'!$X$210:$X$223,MATCH(O193,('Spell Tables'!$V$210:$V$223),0)),IF(AND($Q$15="Otherworldly patron - archfey",R$244&gt;=O193),INDEX('Spell Tables'!$X$194:$X$207,MATCH(O193,('Spell Tables'!$V$194:$V$207),0)),IF($R$242&gt;=O193,INDEX($AL$56:$AL$65,MATCH(O193,($AJ$56:$AJ$65),0)),IF($R$246&gt;=O193,INDEX('Spell Tables'!$X$168:$X$191,MATCH(O193,('Spell Tables'!$V$168:$V$191),0)),IF($R$248&gt;=O193,INDEX('Spell Tables'!$AB$141:$AB$149,MATCH(O193,('Spell Tables'!$Z$141:$Z$149),0)),IF($R$250&gt;=O193,INDEX('Spell Tables'!T219:T231,MATCH(O193,('Spell Tables'!$R$119:$R$131),0)),IF($R$252&gt;=O193,INDEX('Spell Tables'!$T$97:T204,MATCH(O193,('Spell Tables'!$R$97:$R$104),0)),IF($R$254&gt;=O193,INDEX('Spell Tables'!$AB$70:$AB$75,MATCH(O193,('Spell Tables'!$Z$70:$Z$75),0)),IF($R$256&gt;=O193,INDEX('Spell Tables'!$X$48:$X$65,MATCH(O193,('Spell Tables'!$V$48:$V$65),0)),IF($R$258&gt;=O193,INDEX('Spell Tables'!$X$26:$X$42,MATCH(O193,('Spell Tables'!$V$26:$V$42),0)),IF($R$260&gt;=O193,INDEX('Spell Tables'!$X$2:$X$23,MATCH(O193,('Spell Tables'!$V$2:$V$23),0))," "))))))))))))</f>
        <v xml:space="preserve"> </v>
      </c>
      <c r="S262" s="33" t="str">
        <f ca="1">IF(AND($Q$15="Otherworldly patron - great old one",S$244&gt;=O193),INDEX('Spell Tables'!$AB$226:$AB$238,MATCH(O193,('Spell Tables'!$Z$226:$Z$238),0)),IF(AND($Q$15="Otherworldly patron - fiend",S$244&gt;=O193),INDEX('Spell Tables'!$AB$210:$AB$222,MATCH(O193,('Spell Tables'!$Z$210:$Z$222),0)),IF(AND($Q$15="Otherworldly patron - archfey",S$244&gt;=O193),INDEX('Spell Tables'!$AB$194:$AB$206,MATCH(O193,('Spell Tables'!$Z$194:$Z$206),0)),IF($S$242&gt;=O193,INDEX($AL$68:$AL$77,MATCH(O193,($AJ$68:$AJ$77),0)),IF($S$246&gt;=O193,INDEX('Spell Tables'!$AB$168:$AB$187,MATCH(O193,('Spell Tables'!$Z$168:$Z$187),0)),IF($S$248&gt;=O193,INDEX('Spell Tables'!$AJ$141:$AJ$144,MATCH(O193,('Spell Tables'!$AH$141:$AH$144),0)),IF($S$250&gt;=O193,INDEX('Spell Tables'!$X$119:$X$129,MATCH(O193,('Spell Tables'!$V$119:$V$129),0)),IF($S$252&gt;=O193,INDEX('Spell Tables'!$X$97:$X$106,MATCH(O193,('Spell Tables'!$V$97:$V$106),0)),IF($S$254&gt;=O193,INDEX('Spell Tables'!$AJ$70:$AJ$79,MATCH(O193,('Spell Tables'!$AH$70:$AH$79),0)),IF($S$256&gt;=O193,INDEX('Spell Tables'!$AB$48:$AB$60,MATCH(O193,('Spell Tables'!$Z$48:$Z$60),0)),IF($S$258&gt;=O193,INDEX('Spell Tables'!$AB$26:$AB$45,MATCH(O193,('Spell Tables'!$Z$26:$Z$45),0)),IF($S$260&gt;=O193,INDEX('Spell Tables'!$AB$2:$AB$17,MATCH(O193,('Spell Tables'!$Z$2:$Z$17),0))," "))))))))))))</f>
        <v xml:space="preserve"> </v>
      </c>
      <c r="T262" s="33" t="str">
        <f ca="1">IF(AND($Q$15="Otherworldly patron - great old one",T$244&gt;=O193),INDEX('Spell Tables'!$AF$226:$AF$231,MATCH(O193,('Spell Tables'!$AD$226:$AD$231),0)),IF(AND($Q$15="Otherworldly patron - fiend",T$244&gt;=O193),INDEX('Spell Tables'!$AF$210:$AF$215,MATCH(O193,('Spell Tables'!$AD$210:$AD$215),0)),IF(AND($Q$15="Otherworldly patron - archfey",T$244&gt;=O193),INDEX('Spell Tables'!$AF$194:$AF$199,MATCH(O193,('Spell Tables'!$AD$194:$AD$199),0)),IF($T$242&gt;=O193,INDEX($AL$80:$AL$89,MATCH(O193,($AJ$80:$AJ$89),0)),IF($T$246&gt;=O193,INDEX('Spell Tables'!$AF$168:$AF$177,MATCH(O193,('Spell Tables'!$AD$168:$AD$177),0)),IF($T$248&gt;=O193,INDEX('Spell Tables'!$AR$141:$AR$144,MATCH(O193,('Spell Tables'!$AP$141:$AP$144),0)),IF($T$250&gt;=O193,INDEX('Spell Tables'!$AB$119:$AB$123,MATCH(O193,('Spell Tables'!$Z$119:$Z$123),0)),IF($T$252&gt;=O193,INDEX('Spell Tables'!$AB$97:$AB$102,MATCH(O193,('Spell Tables'!$Z$97:$Z$102),0)),IF($T$254&gt;=O193,INDEX('Spell Tables'!$AR$70:$AR$75,MATCH(O193,('Spell Tables'!$AP$70:$AP$75),0)),IF($T$256&gt;=O193,INDEX('Spell Tables'!$AF$48:$AF$63,MATCH(O193,('Spell Tables'!$AD$48:$AD$63),0)),IF($T$258&gt;=O193,INDEX('Spell Tables'!$AF$26:$AF$33,MATCH(O193,('Spell Tables'!$AD$26:$AD$33),0)),IF($T$260&gt;=O193,INDEX('Spell Tables'!$AF$2:$AF$9,MATCH(O193,('Spell Tables'!$AD$2:$AD$9),0))," "))))))))))))</f>
        <v xml:space="preserve"> </v>
      </c>
    </row>
    <row r="263" spans="2:20" x14ac:dyDescent="0.3">
      <c r="B263" s="92" t="s">
        <v>1123</v>
      </c>
      <c r="C263" s="33"/>
      <c r="D263" s="33"/>
      <c r="E263" s="33"/>
      <c r="F263" s="33"/>
      <c r="G263" s="33"/>
      <c r="H263" s="33"/>
      <c r="I263" s="33"/>
      <c r="J263" s="33"/>
      <c r="K263" s="33"/>
      <c r="L263" s="33"/>
      <c r="M263" s="33"/>
      <c r="O263" s="34">
        <v>2</v>
      </c>
      <c r="P263" s="33" t="str">
        <f ca="1">IF(P$242&gt;=O194,INDEX('Spell Tables'!$P$242:$P$257,MATCH(O194,('Spell Tables'!$N$242:$N$257),0)),IF(P$244&gt;=O194,INDEX('Spell Tables'!$P$194:$P$201,MATCH(O194,('Spell Tables'!$N$194:$N$201),0)),IF(P$246&gt;=O194,INDEX('Spell Tables'!$P$168:$P$183,MATCH(O194,('Spell Tables'!$N$168:$N$183),0)),IF(P$248&gt;=O194,INDEX('Spell Tables'!$P$141:$P$156,MATCH(O194,('Spell Tables'!$N$141:$N$157),0)),IF(P$254&gt;=O194,INDEX('Spell Tables'!$P$70:$P$83,MATCH(O194,('Spell Tables'!$N$70:$N$83),0)),IF(P$256&gt;=O194,INDEX('Spell Tables'!$P$48:$P$55,MATCH(O194,('Spell Tables'!$N$48:$N$55),0)),IF(P$258&gt;=O194,INDEX('Spell Tables'!$P$26:$P$32,MATCH(O194,('Spell Tables'!$N$26:$N$32),0)),IF(P$260&gt;=O194,INDEX('Spell Tables'!$P$2:$P$12,MATCH(O194,('Spell Tables'!$N$2:$N$12),0))," "))))))))</f>
        <v xml:space="preserve"> </v>
      </c>
      <c r="Q263" s="33" t="str">
        <f ca="1">IF(AND($Q$15="Otherworldly patron - great old one",Q$244&gt;=O194),INDEX('Spell Tables'!$T$226:$T$238,MATCH(O194,('Spell Tables'!$R$226:$R$238),0)),IF(AND($Q$15="Otherworldly patron - fiend",Q$244&gt;=O194),INDEX('Spell Tables'!$T$210:$T$222,MATCH(O194,('Spell Tables'!$R$210:$R$222),0)),IF(Q$242&gt;=O194,INDEX($AL$44:$AL$53,MATCH(O194,($AJ$44:$AJ$53),0)),IF(AND($Q$15="Otherworldly patron - archfey",Q$244&gt;=O194),INDEX('Spell Tables'!T$206:$T295,MATCH(O194,('Spell Tables'!$R$194:$R$206),0)),IF(Q$246&gt;=O194,INDEX('Spell Tables'!T269:T288,MATCH(O194,('Spell Tables'!$R$168:$R$187),0)),IF(Q$248&gt;=O194,INDEX('Spell Tables'!T242:T248,MATCH(O194,('Spell Tables'!$R$141:$R$147),0)),IF(Q$250&gt;=O194,INDEX('Spell Tables'!$P$119:$P$131,MATCH(O194,('Spell Tables'!$N$119:$N$131),0)),IF(Q$252&gt;=O194,INDEX('Spell Tables'!$P$97:$P$111,MATCH(O194,('Spell Tables'!$N$97:$N$111),0)),IF(Q$254&gt;=O194,INDEX('Spell Tables'!$T$70:$T$78,MATCH(O194,('Spell Tables'!$R$70:$R$78),0)),IF(Q$256&gt;=O194,INDEX('Spell Tables'!$T$48:$T$63,MATCH(O194,('Spell Tables'!$R$48:$R$63),0)),IF(Q$258&gt;=O194,INDEX('Spell Tables'!$T$26:$T$40,MATCH(O194,('Spell Tables'!$R$26:$R$40),0)),IF(Q$260&gt;=O194,INDEX('Spell Tables'!$T$2:$T$22,MATCH(O194,('Spell Tables'!$R$2:$R$22),0))," "))))))))))))</f>
        <v xml:space="preserve"> </v>
      </c>
      <c r="R263" s="33" t="str">
        <f ca="1">IF(AND($Q$15="Otherworldly patron - great old one",R$244&gt;=O194),INDEX('Spell Tables'!$X$226:$X$239,MATCH(O194,('Spell Tables'!$V$226:$V$239),0)),IF(AND($Q$15="Otherworldly patron - fiend",R$244&gt;=O194),INDEX('Spell Tables'!$X$210:$X$223,MATCH(O194,('Spell Tables'!$V$210:$V$223),0)),IF(AND($Q$15="Otherworldly patron - archfey",R$244&gt;=O194),INDEX('Spell Tables'!$X$194:$X$207,MATCH(O194,('Spell Tables'!$V$194:$V$207),0)),IF($R$242&gt;=O194,INDEX($AL$56:$AL$65,MATCH(O194,($AJ$56:$AJ$65),0)),IF($R$246&gt;=O194,INDEX('Spell Tables'!$X$168:$X$191,MATCH(O194,('Spell Tables'!$V$168:$V$191),0)),IF($R$248&gt;=O194,INDEX('Spell Tables'!$AB$141:$AB$149,MATCH(O194,('Spell Tables'!$Z$141:$Z$149),0)),IF($R$250&gt;=O194,INDEX('Spell Tables'!T220:T232,MATCH(O194,('Spell Tables'!$R$119:$R$131),0)),IF($R$252&gt;=O194,INDEX('Spell Tables'!$T$97:T205,MATCH(O194,('Spell Tables'!$R$97:$R$104),0)),IF($R$254&gt;=O194,INDEX('Spell Tables'!$AB$70:$AB$75,MATCH(O194,('Spell Tables'!$Z$70:$Z$75),0)),IF($R$256&gt;=O194,INDEX('Spell Tables'!$X$48:$X$65,MATCH(O194,('Spell Tables'!$V$48:$V$65),0)),IF($R$258&gt;=O194,INDEX('Spell Tables'!$X$26:$X$42,MATCH(O194,('Spell Tables'!$V$26:$V$42),0)),IF($R$260&gt;=O194,INDEX('Spell Tables'!$X$2:$X$23,MATCH(O194,('Spell Tables'!$V$2:$V$23),0))," "))))))))))))</f>
        <v xml:space="preserve"> </v>
      </c>
      <c r="S263" s="33" t="str">
        <f ca="1">IF(AND($Q$15="Otherworldly patron - great old one",S$244&gt;=O194),INDEX('Spell Tables'!$AB$226:$AB$238,MATCH(O194,('Spell Tables'!$Z$226:$Z$238),0)),IF(AND($Q$15="Otherworldly patron - fiend",S$244&gt;=O194),INDEX('Spell Tables'!$AB$210:$AB$222,MATCH(O194,('Spell Tables'!$Z$210:$Z$222),0)),IF(AND($Q$15="Otherworldly patron - archfey",S$244&gt;=O194),INDEX('Spell Tables'!$AB$194:$AB$206,MATCH(O194,('Spell Tables'!$Z$194:$Z$206),0)),IF($S$242&gt;=O194,INDEX($AL$68:$AL$77,MATCH(O194,($AJ$68:$AJ$77),0)),IF($S$246&gt;=O194,INDEX('Spell Tables'!$AB$168:$AB$187,MATCH(O194,('Spell Tables'!$Z$168:$Z$187),0)),IF($S$248&gt;=O194,INDEX('Spell Tables'!$AJ$141:$AJ$144,MATCH(O194,('Spell Tables'!$AH$141:$AH$144),0)),IF($S$250&gt;=O194,INDEX('Spell Tables'!$X$119:$X$129,MATCH(O194,('Spell Tables'!$V$119:$V$129),0)),IF($S$252&gt;=O194,INDEX('Spell Tables'!$X$97:$X$106,MATCH(O194,('Spell Tables'!$V$97:$V$106),0)),IF($S$254&gt;=O194,INDEX('Spell Tables'!$AJ$70:$AJ$79,MATCH(O194,('Spell Tables'!$AH$70:$AH$79),0)),IF($S$256&gt;=O194,INDEX('Spell Tables'!$AB$48:$AB$60,MATCH(O194,('Spell Tables'!$Z$48:$Z$60),0)),IF($S$258&gt;=O194,INDEX('Spell Tables'!$AB$26:$AB$45,MATCH(O194,('Spell Tables'!$Z$26:$Z$45),0)),IF($S$260&gt;=O194,INDEX('Spell Tables'!$AB$2:$AB$17,MATCH(O194,('Spell Tables'!$Z$2:$Z$17),0))," "))))))))))))</f>
        <v xml:space="preserve"> </v>
      </c>
      <c r="T263" s="33" t="str">
        <f ca="1">IF(AND($Q$15="Otherworldly patron - great old one",T$244&gt;=O194),INDEX('Spell Tables'!$AF$226:$AF$231,MATCH(O194,('Spell Tables'!$AD$226:$AD$231),0)),IF(AND($Q$15="Otherworldly patron - fiend",T$244&gt;=O194),INDEX('Spell Tables'!$AF$210:$AF$215,MATCH(O194,('Spell Tables'!$AD$210:$AD$215),0)),IF(AND($Q$15="Otherworldly patron - archfey",T$244&gt;=O194),INDEX('Spell Tables'!$AF$194:$AF$199,MATCH(O194,('Spell Tables'!$AD$194:$AD$199),0)),IF($T$242&gt;=O194,INDEX($AL$80:$AL$89,MATCH(O194,($AJ$80:$AJ$89),0)),IF($T$246&gt;=O194,INDEX('Spell Tables'!$AF$168:$AF$177,MATCH(O194,('Spell Tables'!$AD$168:$AD$177),0)),IF($T$248&gt;=O194,INDEX('Spell Tables'!$AR$141:$AR$144,MATCH(O194,('Spell Tables'!$AP$141:$AP$144),0)),IF($T$250&gt;=O194,INDEX('Spell Tables'!$AB$119:$AB$123,MATCH(O194,('Spell Tables'!$Z$119:$Z$123),0)),IF($T$252&gt;=O194,INDEX('Spell Tables'!$AB$97:$AB$102,MATCH(O194,('Spell Tables'!$Z$97:$Z$102),0)),IF($T$254&gt;=O194,INDEX('Spell Tables'!$AR$70:$AR$75,MATCH(O194,('Spell Tables'!$AP$70:$AP$75),0)),IF($T$256&gt;=O194,INDEX('Spell Tables'!$AF$48:$AF$63,MATCH(O194,('Spell Tables'!$AD$48:$AD$63),0)),IF($T$258&gt;=O194,INDEX('Spell Tables'!$AF$26:$AF$33,MATCH(O194,('Spell Tables'!$AD$26:$AD$33),0)),IF($T$260&gt;=O194,INDEX('Spell Tables'!$AF$2:$AF$9,MATCH(O194,('Spell Tables'!$AD$2:$AD$9),0))," "))))))))))))</f>
        <v xml:space="preserve"> </v>
      </c>
    </row>
    <row r="264" spans="2:20" x14ac:dyDescent="0.3">
      <c r="B264" s="33" t="str">
        <f ca="1">IF(OR(Q11="bard",Q11="paladin",Q11="sorcerer",Q11="warlock"),P8+$N$43,IF(OR(Q11="druid",Q11="cleric",Q11="ranger"),P8+N42,IF(OR(R15="eldritch knight",R15="arcane trickster",Q11="wizard"),P8+N41," ")))</f>
        <v xml:space="preserve"> </v>
      </c>
      <c r="C264" s="33"/>
      <c r="D264" s="33"/>
      <c r="E264" s="33"/>
      <c r="F264" s="33"/>
      <c r="G264" s="33"/>
      <c r="H264" s="33"/>
      <c r="I264" s="33"/>
      <c r="J264" s="33"/>
      <c r="K264" s="33"/>
      <c r="L264" s="33"/>
      <c r="M264" s="33"/>
      <c r="O264" s="34">
        <v>3</v>
      </c>
      <c r="P264" s="33" t="str">
        <f ca="1">IF(P$242&gt;=O195,INDEX('Spell Tables'!$P$242:$P$257,MATCH(O195,('Spell Tables'!$N$242:$N$257),0)),IF(P$244&gt;=O195,INDEX('Spell Tables'!$P$194:$P$201,MATCH(O195,('Spell Tables'!$N$194:$N$201),0)),IF(P$246&gt;=O195,INDEX('Spell Tables'!$P$168:$P$183,MATCH(O195,('Spell Tables'!$N$168:$N$183),0)),IF(P$248&gt;=O195,INDEX('Spell Tables'!$P$141:$P$156,MATCH(O195,('Spell Tables'!$N$141:$N$157),0)),IF(P$254&gt;=O195,INDEX('Spell Tables'!$P$70:$P$83,MATCH(O195,('Spell Tables'!$N$70:$N$83),0)),IF(P$256&gt;=O195,INDEX('Spell Tables'!$P$48:$P$55,MATCH(O195,('Spell Tables'!$N$48:$N$55),0)),IF(P$258&gt;=O195,INDEX('Spell Tables'!$P$26:$P$32,MATCH(O195,('Spell Tables'!$N$26:$N$32),0)),IF(P$260&gt;=O195,INDEX('Spell Tables'!$P$2:$P$12,MATCH(O195,('Spell Tables'!$N$2:$N$12),0))," "))))))))</f>
        <v xml:space="preserve"> </v>
      </c>
      <c r="Q264" s="33" t="str">
        <f ca="1">IF(AND($Q$15="Otherworldly patron - great old one",Q$244&gt;=O195),INDEX('Spell Tables'!$T$226:$T$238,MATCH(O195,('Spell Tables'!$R$226:$R$238),0)),IF(AND($Q$15="Otherworldly patron - fiend",Q$244&gt;=O195),INDEX('Spell Tables'!$T$210:$T$222,MATCH(O195,('Spell Tables'!$R$210:$R$222),0)),IF(Q$242&gt;=O195,INDEX($AL$44:$AL$53,MATCH(O195,($AJ$44:$AJ$53),0)),IF(AND($Q$15="Otherworldly patron - archfey",Q$244&gt;=O195),INDEX('Spell Tables'!T$206:$T296,MATCH(O195,('Spell Tables'!$R$194:$R$206),0)),IF(Q$246&gt;=O195,INDEX('Spell Tables'!T270:T289,MATCH(O195,('Spell Tables'!$R$168:$R$187),0)),IF(Q$248&gt;=O195,INDEX('Spell Tables'!T243:T249,MATCH(O195,('Spell Tables'!$R$141:$R$147),0)),IF(Q$250&gt;=O195,INDEX('Spell Tables'!$P$119:$P$131,MATCH(O195,('Spell Tables'!$N$119:$N$131),0)),IF(Q$252&gt;=O195,INDEX('Spell Tables'!$P$97:$P$111,MATCH(O195,('Spell Tables'!$N$97:$N$111),0)),IF(Q$254&gt;=O195,INDEX('Spell Tables'!$T$70:$T$78,MATCH(O195,('Spell Tables'!$R$70:$R$78),0)),IF(Q$256&gt;=O195,INDEX('Spell Tables'!$T$48:$T$63,MATCH(O195,('Spell Tables'!$R$48:$R$63),0)),IF(Q$258&gt;=O195,INDEX('Spell Tables'!$T$26:$T$40,MATCH(O195,('Spell Tables'!$R$26:$R$40),0)),IF(Q$260&gt;=O195,INDEX('Spell Tables'!$T$2:$T$22,MATCH(O195,('Spell Tables'!$R$2:$R$22),0))," "))))))))))))</f>
        <v xml:space="preserve"> </v>
      </c>
      <c r="R264" s="33" t="str">
        <f ca="1">IF(AND($Q$15="Otherworldly patron - great old one",R$244&gt;=O195),INDEX('Spell Tables'!$X$226:$X$239,MATCH(O195,('Spell Tables'!$V$226:$V$239),0)),IF(AND($Q$15="Otherworldly patron - fiend",R$244&gt;=O195),INDEX('Spell Tables'!$X$210:$X$223,MATCH(O195,('Spell Tables'!$V$210:$V$223),0)),IF(AND($Q$15="Otherworldly patron - archfey",R$244&gt;=O195),INDEX('Spell Tables'!$X$194:$X$207,MATCH(O195,('Spell Tables'!$V$194:$V$207),0)),IF($R$242&gt;=O195,INDEX($AL$56:$AL$65,MATCH(O195,($AJ$56:$AJ$65),0)),IF($R$246&gt;=O195,INDEX('Spell Tables'!$X$168:$X$191,MATCH(O195,('Spell Tables'!$V$168:$V$191),0)),IF($R$248&gt;=O195,INDEX('Spell Tables'!$AB$141:$AB$149,MATCH(O195,('Spell Tables'!$Z$141:$Z$149),0)),IF($R$250&gt;=O195,INDEX('Spell Tables'!T221:T233,MATCH(O195,('Spell Tables'!$R$119:$R$131),0)),IF($R$252&gt;=O195,INDEX('Spell Tables'!$T$97:T206,MATCH(O195,('Spell Tables'!$R$97:$R$104),0)),IF($R$254&gt;=O195,INDEX('Spell Tables'!$AB$70:$AB$75,MATCH(O195,('Spell Tables'!$Z$70:$Z$75),0)),IF($R$256&gt;=O195,INDEX('Spell Tables'!$X$48:$X$65,MATCH(O195,('Spell Tables'!$V$48:$V$65),0)),IF($R$258&gt;=O195,INDEX('Spell Tables'!$X$26:$X$42,MATCH(O195,('Spell Tables'!$V$26:$V$42),0)),IF($R$260&gt;=O195,INDEX('Spell Tables'!$X$2:$X$23,MATCH(O195,('Spell Tables'!$V$2:$V$23),0))," "))))))))))))</f>
        <v xml:space="preserve"> </v>
      </c>
      <c r="S264" s="33" t="str">
        <f ca="1">IF(AND($Q$15="Otherworldly patron - great old one",S$244&gt;=O195),INDEX('Spell Tables'!$AB$226:$AB$238,MATCH(O195,('Spell Tables'!$Z$226:$Z$238),0)),IF(AND($Q$15="Otherworldly patron - fiend",S$244&gt;=O195),INDEX('Spell Tables'!$AB$210:$AB$222,MATCH(O195,('Spell Tables'!$Z$210:$Z$222),0)),IF(AND($Q$15="Otherworldly patron - archfey",S$244&gt;=O195),INDEX('Spell Tables'!$AB$194:$AB$206,MATCH(O195,('Spell Tables'!$Z$194:$Z$206),0)),IF($S$242&gt;=O195,INDEX($AL$68:$AL$77,MATCH(O195,($AJ$68:$AJ$77),0)),IF($S$246&gt;=O195,INDEX('Spell Tables'!$AB$168:$AB$187,MATCH(O195,('Spell Tables'!$Z$168:$Z$187),0)),IF($S$248&gt;=O195,INDEX('Spell Tables'!$AJ$141:$AJ$144,MATCH(O195,('Spell Tables'!$AH$141:$AH$144),0)),IF($S$250&gt;=O195,INDEX('Spell Tables'!$X$119:$X$129,MATCH(O195,('Spell Tables'!$V$119:$V$129),0)),IF($S$252&gt;=O195,INDEX('Spell Tables'!$X$97:$X$106,MATCH(O195,('Spell Tables'!$V$97:$V$106),0)),IF($S$254&gt;=O195,INDEX('Spell Tables'!$AJ$70:$AJ$79,MATCH(O195,('Spell Tables'!$AH$70:$AH$79),0)),IF($S$256&gt;=O195,INDEX('Spell Tables'!$AB$48:$AB$60,MATCH(O195,('Spell Tables'!$Z$48:$Z$60),0)),IF($S$258&gt;=O195,INDEX('Spell Tables'!$AB$26:$AB$45,MATCH(O195,('Spell Tables'!$Z$26:$Z$45),0)),IF($S$260&gt;=O195,INDEX('Spell Tables'!$AB$2:$AB$17,MATCH(O195,('Spell Tables'!$Z$2:$Z$17),0))," "))))))))))))</f>
        <v xml:space="preserve"> </v>
      </c>
      <c r="T264" s="33" t="str">
        <f ca="1">IF(AND($Q$15="Otherworldly patron - great old one",T$244&gt;=O195),INDEX('Spell Tables'!$AF$226:$AF$231,MATCH(O195,('Spell Tables'!$AD$226:$AD$231),0)),IF(AND($Q$15="Otherworldly patron - fiend",T$244&gt;=O195),INDEX('Spell Tables'!$AF$210:$AF$215,MATCH(O195,('Spell Tables'!$AD$210:$AD$215),0)),IF(AND($Q$15="Otherworldly patron - archfey",T$244&gt;=O195),INDEX('Spell Tables'!$AF$194:$AF$199,MATCH(O195,('Spell Tables'!$AD$194:$AD$199),0)),IF($T$242&gt;=O195,INDEX($AL$80:$AL$89,MATCH(O195,($AJ$80:$AJ$89),0)),IF($T$246&gt;=O195,INDEX('Spell Tables'!$AF$168:$AF$177,MATCH(O195,('Spell Tables'!$AD$168:$AD$177),0)),IF($T$248&gt;=O195,INDEX('Spell Tables'!$AR$141:$AR$144,MATCH(O195,('Spell Tables'!$AP$141:$AP$144),0)),IF($T$250&gt;=O195,INDEX('Spell Tables'!$AB$119:$AB$123,MATCH(O195,('Spell Tables'!$Z$119:$Z$123),0)),IF($T$252&gt;=O195,INDEX('Spell Tables'!$AB$97:$AB$102,MATCH(O195,('Spell Tables'!$Z$97:$Z$102),0)),IF($T$254&gt;=O195,INDEX('Spell Tables'!$AR$70:$AR$75,MATCH(O195,('Spell Tables'!$AP$70:$AP$75),0)),IF($T$256&gt;=O195,INDEX('Spell Tables'!$AF$48:$AF$63,MATCH(O195,('Spell Tables'!$AD$48:$AD$63),0)),IF($T$258&gt;=O195,INDEX('Spell Tables'!$AF$26:$AF$33,MATCH(O195,('Spell Tables'!$AD$26:$AD$33),0)),IF($T$260&gt;=O195,INDEX('Spell Tables'!$AF$2:$AF$9,MATCH(O195,('Spell Tables'!$AD$2:$AD$9),0))," "))))))))))))</f>
        <v xml:space="preserve"> </v>
      </c>
    </row>
    <row r="265" spans="2:20" x14ac:dyDescent="0.3">
      <c r="C265" s="33"/>
      <c r="D265" s="33"/>
      <c r="E265" s="33"/>
      <c r="F265" s="33"/>
      <c r="G265" s="33"/>
      <c r="H265" s="33"/>
      <c r="I265" s="33"/>
      <c r="J265" s="33"/>
      <c r="K265" s="33"/>
      <c r="L265" s="33"/>
      <c r="M265" s="33"/>
      <c r="O265" s="34">
        <v>4</v>
      </c>
      <c r="P265" s="33" t="str">
        <f ca="1">IF(P$242&gt;=O196,INDEX('Spell Tables'!$P$242:$P$257,MATCH(O196,('Spell Tables'!$N$242:$N$257),0)),IF(P$244&gt;=O196,INDEX('Spell Tables'!$P$194:$P$201,MATCH(O196,('Spell Tables'!$N$194:$N$201),0)),IF(P$246&gt;=O196,INDEX('Spell Tables'!$P$168:$P$183,MATCH(O196,('Spell Tables'!$N$168:$N$183),0)),IF(P$248&gt;=O196,INDEX('Spell Tables'!$P$141:$P$156,MATCH(O196,('Spell Tables'!$N$141:$N$157),0)),IF(P$254&gt;=O196,INDEX('Spell Tables'!$P$70:$P$83,MATCH(O196,('Spell Tables'!$N$70:$N$83),0)),IF(P$256&gt;=O196,INDEX('Spell Tables'!$P$48:$P$55,MATCH(O196,('Spell Tables'!$N$48:$N$55),0)),IF(P$258&gt;=O196,INDEX('Spell Tables'!$P$26:$P$32,MATCH(O196,('Spell Tables'!$N$26:$N$32),0)),IF(P$260&gt;=O196,INDEX('Spell Tables'!$P$2:$P$12,MATCH(O196,('Spell Tables'!$N$2:$N$12),0))," "))))))))</f>
        <v xml:space="preserve"> </v>
      </c>
      <c r="Q265" s="33" t="str">
        <f ca="1">IF(AND($Q$15="Otherworldly patron - great old one",Q$244&gt;=O196),INDEX('Spell Tables'!$T$226:$T$238,MATCH(O196,('Spell Tables'!$R$226:$R$238),0)),IF(AND($Q$15="Otherworldly patron - fiend",Q$244&gt;=O196),INDEX('Spell Tables'!$T$210:$T$222,MATCH(O196,('Spell Tables'!$R$210:$R$222),0)),IF(Q$242&gt;=O196,INDEX($AL$44:$AL$53,MATCH(O196,($AJ$44:$AJ$53),0)),IF(AND($Q$15="Otherworldly patron - archfey",Q$244&gt;=O196),INDEX('Spell Tables'!T$206:$T297,MATCH(O196,('Spell Tables'!$R$194:$R$206),0)),IF(Q$246&gt;=O196,INDEX('Spell Tables'!T271:T290,MATCH(O196,('Spell Tables'!$R$168:$R$187),0)),IF(Q$248&gt;=O196,INDEX('Spell Tables'!T244:T250,MATCH(O196,('Spell Tables'!$R$141:$R$147),0)),IF(Q$250&gt;=O196,INDEX('Spell Tables'!$P$119:$P$131,MATCH(O196,('Spell Tables'!$N$119:$N$131),0)),IF(Q$252&gt;=O196,INDEX('Spell Tables'!$P$97:$P$111,MATCH(O196,('Spell Tables'!$N$97:$N$111),0)),IF(Q$254&gt;=O196,INDEX('Spell Tables'!$T$70:$T$78,MATCH(O196,('Spell Tables'!$R$70:$R$78),0)),IF(Q$256&gt;=O196,INDEX('Spell Tables'!$T$48:$T$63,MATCH(O196,('Spell Tables'!$R$48:$R$63),0)),IF(Q$258&gt;=O196,INDEX('Spell Tables'!$T$26:$T$40,MATCH(O196,('Spell Tables'!$R$26:$R$40),0)),IF(Q$260&gt;=O196,INDEX('Spell Tables'!$T$2:$T$22,MATCH(O196,('Spell Tables'!$R$2:$R$22),0))," "))))))))))))</f>
        <v xml:space="preserve"> </v>
      </c>
      <c r="R265" s="33" t="str">
        <f ca="1">IF(AND($Q$15="Otherworldly patron - great old one",R$244&gt;=O196),INDEX('Spell Tables'!$X$226:$X$239,MATCH(O196,('Spell Tables'!$V$226:$V$239),0)),IF(AND($Q$15="Otherworldly patron - fiend",R$244&gt;=O196),INDEX('Spell Tables'!$X$210:$X$223,MATCH(O196,('Spell Tables'!$V$210:$V$223),0)),IF(AND($Q$15="Otherworldly patron - archfey",R$244&gt;=O196),INDEX('Spell Tables'!$X$194:$X$207,MATCH(O196,('Spell Tables'!$V$194:$V$207),0)),IF($R$242&gt;=O196,INDEX($AL$56:$AL$65,MATCH(O196,($AJ$56:$AJ$65),0)),IF($R$246&gt;=O196,INDEX('Spell Tables'!$X$168:$X$191,MATCH(O196,('Spell Tables'!$V$168:$V$191),0)),IF($R$248&gt;=O196,INDEX('Spell Tables'!$AB$141:$AB$149,MATCH(O196,('Spell Tables'!$Z$141:$Z$149),0)),IF($R$250&gt;=O196,INDEX('Spell Tables'!T222:T234,MATCH(O196,('Spell Tables'!$R$119:$R$131),0)),IF($R$252&gt;=O196,INDEX('Spell Tables'!$T$97:T207,MATCH(O196,('Spell Tables'!$R$97:$R$104),0)),IF($R$254&gt;=O196,INDEX('Spell Tables'!$AB$70:$AB$75,MATCH(O196,('Spell Tables'!$Z$70:$Z$75),0)),IF($R$256&gt;=O196,INDEX('Spell Tables'!$X$48:$X$65,MATCH(O196,('Spell Tables'!$V$48:$V$65),0)),IF($R$258&gt;=O196,INDEX('Spell Tables'!$X$26:$X$42,MATCH(O196,('Spell Tables'!$V$26:$V$42),0)),IF($R$260&gt;=O196,INDEX('Spell Tables'!$X$2:$X$23,MATCH(O196,('Spell Tables'!$V$2:$V$23),0))," "))))))))))))</f>
        <v xml:space="preserve"> </v>
      </c>
      <c r="S265" s="33" t="str">
        <f ca="1">IF(AND($Q$15="Otherworldly patron - great old one",S$244&gt;=O196),INDEX('Spell Tables'!$AB$226:$AB$238,MATCH(O196,('Spell Tables'!$Z$226:$Z$238),0)),IF(AND($Q$15="Otherworldly patron - fiend",S$244&gt;=O196),INDEX('Spell Tables'!$AB$210:$AB$222,MATCH(O196,('Spell Tables'!$Z$210:$Z$222),0)),IF(AND($Q$15="Otherworldly patron - archfey",S$244&gt;=O196),INDEX('Spell Tables'!$AB$194:$AB$206,MATCH(O196,('Spell Tables'!$Z$194:$Z$206),0)),IF($S$242&gt;=O196,INDEX($AL$68:$AL$77,MATCH(O196,($AJ$68:$AJ$77),0)),IF($S$246&gt;=O196,INDEX('Spell Tables'!$AB$168:$AB$187,MATCH(O196,('Spell Tables'!$Z$168:$Z$187),0)),IF($S$248&gt;=O196,INDEX('Spell Tables'!$AJ$141:$AJ$144,MATCH(O196,('Spell Tables'!$AH$141:$AH$144),0)),IF($S$250&gt;=O196,INDEX('Spell Tables'!$X$119:$X$129,MATCH(O196,('Spell Tables'!$V$119:$V$129),0)),IF($S$252&gt;=O196,INDEX('Spell Tables'!$X$97:$X$106,MATCH(O196,('Spell Tables'!$V$97:$V$106),0)),IF($S$254&gt;=O196,INDEX('Spell Tables'!$AJ$70:$AJ$79,MATCH(O196,('Spell Tables'!$AH$70:$AH$79),0)),IF($S$256&gt;=O196,INDEX('Spell Tables'!$AB$48:$AB$60,MATCH(O196,('Spell Tables'!$Z$48:$Z$60),0)),IF($S$258&gt;=O196,INDEX('Spell Tables'!$AB$26:$AB$45,MATCH(O196,('Spell Tables'!$Z$26:$Z$45),0)),IF($S$260&gt;=O196,INDEX('Spell Tables'!$AB$2:$AB$17,MATCH(O196,('Spell Tables'!$Z$2:$Z$17),0))," "))))))))))))</f>
        <v xml:space="preserve"> </v>
      </c>
      <c r="T265" s="33" t="str">
        <f ca="1">IF(AND($Q$15="Otherworldly patron - great old one",T$244&gt;=O196),INDEX('Spell Tables'!$AF$226:$AF$231,MATCH(O196,('Spell Tables'!$AD$226:$AD$231),0)),IF(AND($Q$15="Otherworldly patron - fiend",T$244&gt;=O196),INDEX('Spell Tables'!$AF$210:$AF$215,MATCH(O196,('Spell Tables'!$AD$210:$AD$215),0)),IF(AND($Q$15="Otherworldly patron - archfey",T$244&gt;=O196),INDEX('Spell Tables'!$AF$194:$AF$199,MATCH(O196,('Spell Tables'!$AD$194:$AD$199),0)),IF($T$242&gt;=O196,INDEX($AL$80:$AL$89,MATCH(O196,($AJ$80:$AJ$89),0)),IF($T$246&gt;=O196,INDEX('Spell Tables'!$AF$168:$AF$177,MATCH(O196,('Spell Tables'!$AD$168:$AD$177),0)),IF($T$248&gt;=O196,INDEX('Spell Tables'!$AR$141:$AR$144,MATCH(O196,('Spell Tables'!$AP$141:$AP$144),0)),IF($T$250&gt;=O196,INDEX('Spell Tables'!$AB$119:$AB$123,MATCH(O196,('Spell Tables'!$Z$119:$Z$123),0)),IF($T$252&gt;=O196,INDEX('Spell Tables'!$AB$97:$AB$102,MATCH(O196,('Spell Tables'!$Z$97:$Z$102),0)),IF($T$254&gt;=O196,INDEX('Spell Tables'!$AR$70:$AR$75,MATCH(O196,('Spell Tables'!$AP$70:$AP$75),0)),IF($T$256&gt;=O196,INDEX('Spell Tables'!$AF$48:$AF$63,MATCH(O196,('Spell Tables'!$AD$48:$AD$63),0)),IF($T$258&gt;=O196,INDEX('Spell Tables'!$AF$26:$AF$33,MATCH(O196,('Spell Tables'!$AD$26:$AD$33),0)),IF($T$260&gt;=O196,INDEX('Spell Tables'!$AF$2:$AF$9,MATCH(O196,('Spell Tables'!$AD$2:$AD$9),0))," "))))))))))))</f>
        <v xml:space="preserve"> </v>
      </c>
    </row>
    <row r="266" spans="2:20" x14ac:dyDescent="0.3">
      <c r="C266" s="33"/>
      <c r="D266" s="33"/>
      <c r="E266" s="33"/>
      <c r="F266" s="33"/>
      <c r="G266" s="33"/>
      <c r="H266" s="33"/>
      <c r="I266" s="33"/>
      <c r="J266" s="33"/>
      <c r="K266" s="33"/>
      <c r="L266" s="33"/>
      <c r="M266" s="33"/>
      <c r="O266" s="34">
        <v>5</v>
      </c>
      <c r="P266" s="33" t="str">
        <f ca="1">IF(P$242&gt;=O197,INDEX('Spell Tables'!$P$242:$P$257,MATCH(O197,('Spell Tables'!$N$242:$N$257),0)),IF(P$244&gt;=O197,INDEX('Spell Tables'!$P$194:$P$201,MATCH(O197,('Spell Tables'!$N$194:$N$201),0)),IF(P$246&gt;=O197,INDEX('Spell Tables'!$P$168:$P$183,MATCH(O197,('Spell Tables'!$N$168:$N$183),0)),IF(P$248&gt;=O197,INDEX('Spell Tables'!$P$141:$P$156,MATCH(O197,('Spell Tables'!$N$141:$N$157),0)),IF(P$254&gt;=O197,INDEX('Spell Tables'!$P$70:$P$83,MATCH(O197,('Spell Tables'!$N$70:$N$83),0)),IF(P$256&gt;=O197,INDEX('Spell Tables'!$P$48:$P$55,MATCH(O197,('Spell Tables'!$N$48:$N$55),0)),IF(P$258&gt;=O197,INDEX('Spell Tables'!$P$26:$P$32,MATCH(O197,('Spell Tables'!$N$26:$N$32),0)),IF(P$260&gt;=O197,INDEX('Spell Tables'!$P$2:$P$12,MATCH(O197,('Spell Tables'!$N$2:$N$12),0))," "))))))))</f>
        <v xml:space="preserve"> </v>
      </c>
      <c r="Q266" s="33" t="str">
        <f ca="1">IF(AND($Q$15="Otherworldly patron - great old one",Q$244&gt;=O197),INDEX('Spell Tables'!$T$226:$T$238,MATCH(O197,('Spell Tables'!$R$226:$R$238),0)),IF(AND($Q$15="Otherworldly patron - fiend",Q$244&gt;=O197),INDEX('Spell Tables'!$T$210:$T$222,MATCH(O197,('Spell Tables'!$R$210:$R$222),0)),IF(Q$242&gt;=O197,INDEX($AL$44:$AL$53,MATCH(O197,($AJ$44:$AJ$53),0)),IF(AND($Q$15="Otherworldly patron - archfey",Q$244&gt;=O197),INDEX('Spell Tables'!T$206:$T298,MATCH(O197,('Spell Tables'!$R$194:$R$206),0)),IF(Q$246&gt;=O197,INDEX('Spell Tables'!T272:T291,MATCH(O197,('Spell Tables'!$R$168:$R$187),0)),IF(Q$248&gt;=O197,INDEX('Spell Tables'!T245:T251,MATCH(O197,('Spell Tables'!$R$141:$R$147),0)),IF(Q$250&gt;=O197,INDEX('Spell Tables'!$P$119:$P$131,MATCH(O197,('Spell Tables'!$N$119:$N$131),0)),IF(Q$252&gt;=O197,INDEX('Spell Tables'!$P$97:$P$111,MATCH(O197,('Spell Tables'!$N$97:$N$111),0)),IF(Q$254&gt;=O197,INDEX('Spell Tables'!$T$70:$T$78,MATCH(O197,('Spell Tables'!$R$70:$R$78),0)),IF(Q$256&gt;=O197,INDEX('Spell Tables'!$T$48:$T$63,MATCH(O197,('Spell Tables'!$R$48:$R$63),0)),IF(Q$258&gt;=O197,INDEX('Spell Tables'!$T$26:$T$40,MATCH(O197,('Spell Tables'!$R$26:$R$40),0)),IF(Q$260&gt;=O197,INDEX('Spell Tables'!$T$2:$T$22,MATCH(O197,('Spell Tables'!$R$2:$R$22),0))," "))))))))))))</f>
        <v xml:space="preserve"> </v>
      </c>
      <c r="R266" s="33" t="str">
        <f ca="1">IF(AND($Q$15="Otherworldly patron - great old one",R$244&gt;=O197),INDEX('Spell Tables'!$X$226:$X$239,MATCH(O197,('Spell Tables'!$V$226:$V$239),0)),IF(AND($Q$15="Otherworldly patron - fiend",R$244&gt;=O197),INDEX('Spell Tables'!$X$210:$X$223,MATCH(O197,('Spell Tables'!$V$210:$V$223),0)),IF(AND($Q$15="Otherworldly patron - archfey",R$244&gt;=O197),INDEX('Spell Tables'!$X$194:$X$207,MATCH(O197,('Spell Tables'!$V$194:$V$207),0)),IF($R$242&gt;=O197,INDEX($AL$56:$AL$65,MATCH(O197,($AJ$56:$AJ$65),0)),IF($R$246&gt;=O197,INDEX('Spell Tables'!$X$168:$X$191,MATCH(O197,('Spell Tables'!$V$168:$V$191),0)),IF($R$248&gt;=O197,INDEX('Spell Tables'!$AB$141:$AB$149,MATCH(O197,('Spell Tables'!$Z$141:$Z$149),0)),IF($R$250&gt;=O197,INDEX('Spell Tables'!T223:T235,MATCH(O197,('Spell Tables'!$R$119:$R$131),0)),IF($R$252&gt;=O197,INDEX('Spell Tables'!$T$97:T208,MATCH(O197,('Spell Tables'!$R$97:$R$104),0)),IF($R$254&gt;=O197,INDEX('Spell Tables'!$AB$70:$AB$75,MATCH(O197,('Spell Tables'!$Z$70:$Z$75),0)),IF($R$256&gt;=O197,INDEX('Spell Tables'!$X$48:$X$65,MATCH(O197,('Spell Tables'!$V$48:$V$65),0)),IF($R$258&gt;=O197,INDEX('Spell Tables'!$X$26:$X$42,MATCH(O197,('Spell Tables'!$V$26:$V$42),0)),IF($R$260&gt;=O197,INDEX('Spell Tables'!$X$2:$X$23,MATCH(O197,('Spell Tables'!$V$2:$V$23),0))," "))))))))))))</f>
        <v xml:space="preserve"> </v>
      </c>
      <c r="S266" s="33" t="str">
        <f ca="1">IF(AND($Q$15="Otherworldly patron - great old one",S$244&gt;=O197),INDEX('Spell Tables'!$AB$226:$AB$238,MATCH(O197,('Spell Tables'!$Z$226:$Z$238),0)),IF(AND($Q$15="Otherworldly patron - fiend",S$244&gt;=O197),INDEX('Spell Tables'!$AB$210:$AB$222,MATCH(O197,('Spell Tables'!$Z$210:$Z$222),0)),IF(AND($Q$15="Otherworldly patron - archfey",S$244&gt;=O197),INDEX('Spell Tables'!$AB$194:$AB$206,MATCH(O197,('Spell Tables'!$Z$194:$Z$206),0)),IF($S$242&gt;=O197,INDEX($AL$68:$AL$77,MATCH(O197,($AJ$68:$AJ$77),0)),IF($S$246&gt;=O197,INDEX('Spell Tables'!$AB$168:$AB$187,MATCH(O197,('Spell Tables'!$Z$168:$Z$187),0)),IF($S$248&gt;=O197,INDEX('Spell Tables'!$AJ$141:$AJ$144,MATCH(O197,('Spell Tables'!$AH$141:$AH$144),0)),IF($S$250&gt;=O197,INDEX('Spell Tables'!$X$119:$X$129,MATCH(O197,('Spell Tables'!$V$119:$V$129),0)),IF($S$252&gt;=O197,INDEX('Spell Tables'!$X$97:$X$106,MATCH(O197,('Spell Tables'!$V$97:$V$106),0)),IF($S$254&gt;=O197,INDEX('Spell Tables'!$AJ$70:$AJ$79,MATCH(O197,('Spell Tables'!$AH$70:$AH$79),0)),IF($S$256&gt;=O197,INDEX('Spell Tables'!$AB$48:$AB$60,MATCH(O197,('Spell Tables'!$Z$48:$Z$60),0)),IF($S$258&gt;=O197,INDEX('Spell Tables'!$AB$26:$AB$45,MATCH(O197,('Spell Tables'!$Z$26:$Z$45),0)),IF($S$260&gt;=O197,INDEX('Spell Tables'!$AB$2:$AB$17,MATCH(O197,('Spell Tables'!$Z$2:$Z$17),0))," "))))))))))))</f>
        <v xml:space="preserve"> </v>
      </c>
      <c r="T266" s="33" t="str">
        <f ca="1">IF(AND($Q$15="Otherworldly patron - great old one",T$244&gt;=O197),INDEX('Spell Tables'!$AF$226:$AF$231,MATCH(O197,('Spell Tables'!$AD$226:$AD$231),0)),IF(AND($Q$15="Otherworldly patron - fiend",T$244&gt;=O197),INDEX('Spell Tables'!$AF$210:$AF$215,MATCH(O197,('Spell Tables'!$AD$210:$AD$215),0)),IF(AND($Q$15="Otherworldly patron - archfey",T$244&gt;=O197),INDEX('Spell Tables'!$AF$194:$AF$199,MATCH(O197,('Spell Tables'!$AD$194:$AD$199),0)),IF($T$242&gt;=O197,INDEX($AL$80:$AL$89,MATCH(O197,($AJ$80:$AJ$89),0)),IF($T$246&gt;=O197,INDEX('Spell Tables'!$AF$168:$AF$177,MATCH(O197,('Spell Tables'!$AD$168:$AD$177),0)),IF($T$248&gt;=O197,INDEX('Spell Tables'!$AR$141:$AR$144,MATCH(O197,('Spell Tables'!$AP$141:$AP$144),0)),IF($T$250&gt;=O197,INDEX('Spell Tables'!$AB$119:$AB$123,MATCH(O197,('Spell Tables'!$Z$119:$Z$123),0)),IF($T$252&gt;=O197,INDEX('Spell Tables'!$AB$97:$AB$102,MATCH(O197,('Spell Tables'!$Z$97:$Z$102),0)),IF($T$254&gt;=O197,INDEX('Spell Tables'!$AR$70:$AR$75,MATCH(O197,('Spell Tables'!$AP$70:$AP$75),0)),IF($T$256&gt;=O197,INDEX('Spell Tables'!$AF$48:$AF$63,MATCH(O197,('Spell Tables'!$AD$48:$AD$63),0)),IF($T$258&gt;=O197,INDEX('Spell Tables'!$AF$26:$AF$33,MATCH(O197,('Spell Tables'!$AD$26:$AD$33),0)),IF($T$260&gt;=O197,INDEX('Spell Tables'!$AF$2:$AF$9,MATCH(O197,('Spell Tables'!$AD$2:$AD$9),0))," "))))))))))))</f>
        <v xml:space="preserve"> </v>
      </c>
    </row>
    <row r="267" spans="2:20" x14ac:dyDescent="0.3">
      <c r="B267" s="33"/>
      <c r="C267" s="33"/>
      <c r="D267" s="33"/>
      <c r="E267" s="33"/>
      <c r="F267" s="33"/>
      <c r="G267" s="33"/>
      <c r="H267" s="33"/>
      <c r="I267" s="33"/>
      <c r="J267" s="33"/>
      <c r="K267" s="33"/>
      <c r="L267" s="33"/>
      <c r="M267" s="33"/>
      <c r="O267" s="34">
        <v>6</v>
      </c>
      <c r="P267" s="33" t="str">
        <f ca="1">IF(P$242&gt;=O198,INDEX('Spell Tables'!$P$242:$P$257,MATCH(O198,('Spell Tables'!$N$242:$N$257),0)),IF(P$244&gt;=O198,INDEX('Spell Tables'!$P$194:$P$201,MATCH(O198,('Spell Tables'!$N$194:$N$201),0)),IF(P$246&gt;=O198,INDEX('Spell Tables'!$P$168:$P$183,MATCH(O198,('Spell Tables'!$N$168:$N$183),0)),IF(P$248&gt;=O198,INDEX('Spell Tables'!$P$141:$P$156,MATCH(O198,('Spell Tables'!$N$141:$N$157),0)),IF(P$254&gt;=O198,INDEX('Spell Tables'!$P$70:$P$83,MATCH(O198,('Spell Tables'!$N$70:$N$83),0)),IF(P$256&gt;=O198,INDEX('Spell Tables'!$P$48:$P$55,MATCH(O198,('Spell Tables'!$N$48:$N$55),0)),IF(P$258&gt;=O198,INDEX('Spell Tables'!$P$26:$P$32,MATCH(O198,('Spell Tables'!$N$26:$N$32),0)),IF(P$260&gt;=O198,INDEX('Spell Tables'!$P$2:$P$12,MATCH(O198,('Spell Tables'!$N$2:$N$12),0))," "))))))))</f>
        <v xml:space="preserve"> </v>
      </c>
      <c r="Q267" s="33" t="str">
        <f ca="1">IF(AND($Q$15="Otherworldly patron - great old one",Q$244&gt;=O198),INDEX('Spell Tables'!$T$226:$T$238,MATCH(O198,('Spell Tables'!$R$226:$R$238),0)),IF(AND($Q$15="Otherworldly patron - fiend",Q$244&gt;=O198),INDEX('Spell Tables'!$T$210:$T$222,MATCH(O198,('Spell Tables'!$R$210:$R$222),0)),IF(Q$242&gt;=O198,INDEX($AL$44:$AL$53,MATCH(O198,($AJ$44:$AJ$53),0)),IF(AND($Q$15="Otherworldly patron - archfey",Q$244&gt;=O198),INDEX('Spell Tables'!T$206:$T299,MATCH(O198,('Spell Tables'!$R$194:$R$206),0)),IF(Q$246&gt;=O198,INDEX('Spell Tables'!T273:T292,MATCH(O198,('Spell Tables'!$R$168:$R$187),0)),IF(Q$248&gt;=O198,INDEX('Spell Tables'!T246:T252,MATCH(O198,('Spell Tables'!$R$141:$R$147),0)),IF(Q$250&gt;=O198,INDEX('Spell Tables'!$P$119:$P$131,MATCH(O198,('Spell Tables'!$N$119:$N$131),0)),IF(Q$252&gt;=O198,INDEX('Spell Tables'!$P$97:$P$111,MATCH(O198,('Spell Tables'!$N$97:$N$111),0)),IF(Q$254&gt;=O198,INDEX('Spell Tables'!$T$70:$T$78,MATCH(O198,('Spell Tables'!$R$70:$R$78),0)),IF(Q$256&gt;=O198,INDEX('Spell Tables'!$T$48:$T$63,MATCH(O198,('Spell Tables'!$R$48:$R$63),0)),IF(Q$258&gt;=O198,INDEX('Spell Tables'!$T$26:$T$40,MATCH(O198,('Spell Tables'!$R$26:$R$40),0)),IF(Q$260&gt;=O198,INDEX('Spell Tables'!$T$2:$T$22,MATCH(O198,('Spell Tables'!$R$2:$R$22),0))," "))))))))))))</f>
        <v xml:space="preserve"> </v>
      </c>
      <c r="R267" s="33" t="str">
        <f ca="1">IF(AND($Q$15="Otherworldly patron - great old one",R$244&gt;=O198),INDEX('Spell Tables'!$X$226:$X$239,MATCH(O198,('Spell Tables'!$V$226:$V$239),0)),IF(AND($Q$15="Otherworldly patron - fiend",R$244&gt;=O198),INDEX('Spell Tables'!$X$210:$X$223,MATCH(O198,('Spell Tables'!$V$210:$V$223),0)),IF(AND($Q$15="Otherworldly patron - archfey",R$244&gt;=O198),INDEX('Spell Tables'!$X$194:$X$207,MATCH(O198,('Spell Tables'!$V$194:$V$207),0)),IF($R$242&gt;=O198,INDEX($AL$56:$AL$65,MATCH(O198,($AJ$56:$AJ$65),0)),IF($R$246&gt;=O198,INDEX('Spell Tables'!$X$168:$X$191,MATCH(O198,('Spell Tables'!$V$168:$V$191),0)),IF($R$248&gt;=O198,INDEX('Spell Tables'!$AB$141:$AB$149,MATCH(O198,('Spell Tables'!$Z$141:$Z$149),0)),IF($R$250&gt;=O198,INDEX('Spell Tables'!T224:T236,MATCH(O198,('Spell Tables'!$R$119:$R$131),0)),IF($R$252&gt;=O198,INDEX('Spell Tables'!$T$97:T209,MATCH(O198,('Spell Tables'!$R$97:$R$104),0)),IF($R$254&gt;=O198,INDEX('Spell Tables'!$AB$70:$AB$75,MATCH(O198,('Spell Tables'!$Z$70:$Z$75),0)),IF($R$256&gt;=O198,INDEX('Spell Tables'!$X$48:$X$65,MATCH(O198,('Spell Tables'!$V$48:$V$65),0)),IF($R$258&gt;=O198,INDEX('Spell Tables'!$X$26:$X$42,MATCH(O198,('Spell Tables'!$V$26:$V$42),0)),IF($R$260&gt;=O198,INDEX('Spell Tables'!$X$2:$X$23,MATCH(O198,('Spell Tables'!$V$2:$V$23),0))," "))))))))))))</f>
        <v xml:space="preserve"> </v>
      </c>
      <c r="S267" s="33" t="str">
        <f ca="1">IF(AND($Q$15="Otherworldly patron - great old one",S$244&gt;=O198),INDEX('Spell Tables'!$AB$226:$AB$238,MATCH(O198,('Spell Tables'!$Z$226:$Z$238),0)),IF(AND($Q$15="Otherworldly patron - fiend",S$244&gt;=O198),INDEX('Spell Tables'!$AB$210:$AB$222,MATCH(O198,('Spell Tables'!$Z$210:$Z$222),0)),IF(AND($Q$15="Otherworldly patron - archfey",S$244&gt;=O198),INDEX('Spell Tables'!$AB$194:$AB$206,MATCH(O198,('Spell Tables'!$Z$194:$Z$206),0)),IF($S$242&gt;=O198,INDEX($AL$68:$AL$77,MATCH(O198,($AJ$68:$AJ$77),0)),IF($S$246&gt;=O198,INDEX('Spell Tables'!$AB$168:$AB$187,MATCH(O198,('Spell Tables'!$Z$168:$Z$187),0)),IF($S$248&gt;=O198,INDEX('Spell Tables'!$AJ$141:$AJ$144,MATCH(O198,('Spell Tables'!$AH$141:$AH$144),0)),IF($S$250&gt;=O198,INDEX('Spell Tables'!$X$119:$X$129,MATCH(O198,('Spell Tables'!$V$119:$V$129),0)),IF($S$252&gt;=O198,INDEX('Spell Tables'!$X$97:$X$106,MATCH(O198,('Spell Tables'!$V$97:$V$106),0)),IF($S$254&gt;=O198,INDEX('Spell Tables'!$AJ$70:$AJ$79,MATCH(O198,('Spell Tables'!$AH$70:$AH$79),0)),IF($S$256&gt;=O198,INDEX('Spell Tables'!$AB$48:$AB$60,MATCH(O198,('Spell Tables'!$Z$48:$Z$60),0)),IF($S$258&gt;=O198,INDEX('Spell Tables'!$AB$26:$AB$45,MATCH(O198,('Spell Tables'!$Z$26:$Z$45),0)),IF($S$260&gt;=O198,INDEX('Spell Tables'!$AB$2:$AB$17,MATCH(O198,('Spell Tables'!$Z$2:$Z$17),0))," "))))))))))))</f>
        <v xml:space="preserve"> </v>
      </c>
      <c r="T267" s="33" t="str">
        <f ca="1">IF(AND($Q$15="Otherworldly patron - great old one",T$244&gt;=O198),INDEX('Spell Tables'!$AF$226:$AF$231,MATCH(O198,('Spell Tables'!$AD$226:$AD$231),0)),IF(AND($Q$15="Otherworldly patron - fiend",T$244&gt;=O198),INDEX('Spell Tables'!$AF$210:$AF$215,MATCH(O198,('Spell Tables'!$AD$210:$AD$215),0)),IF(AND($Q$15="Otherworldly patron - archfey",T$244&gt;=O198),INDEX('Spell Tables'!$AF$194:$AF$199,MATCH(O198,('Spell Tables'!$AD$194:$AD$199),0)),IF($T$242&gt;=O198,INDEX($AL$80:$AL$89,MATCH(O198,($AJ$80:$AJ$89),0)),IF($T$246&gt;=O198,INDEX('Spell Tables'!$AF$168:$AF$177,MATCH(O198,('Spell Tables'!$AD$168:$AD$177),0)),IF($T$248&gt;=O198,INDEX('Spell Tables'!$AR$141:$AR$144,MATCH(O198,('Spell Tables'!$AP$141:$AP$144),0)),IF($T$250&gt;=O198,INDEX('Spell Tables'!$AB$119:$AB$123,MATCH(O198,('Spell Tables'!$Z$119:$Z$123),0)),IF($T$252&gt;=O198,INDEX('Spell Tables'!$AB$97:$AB$102,MATCH(O198,('Spell Tables'!$Z$97:$Z$102),0)),IF($T$254&gt;=O198,INDEX('Spell Tables'!$AR$70:$AR$75,MATCH(O198,('Spell Tables'!$AP$70:$AP$75),0)),IF($T$256&gt;=O198,INDEX('Spell Tables'!$AF$48:$AF$63,MATCH(O198,('Spell Tables'!$AD$48:$AD$63),0)),IF($T$258&gt;=O198,INDEX('Spell Tables'!$AF$26:$AF$33,MATCH(O198,('Spell Tables'!$AD$26:$AD$33),0)),IF($T$260&gt;=O198,INDEX('Spell Tables'!$AF$2:$AF$9,MATCH(O198,('Spell Tables'!$AD$2:$AD$9),0))," "))))))))))))</f>
        <v xml:space="preserve"> </v>
      </c>
    </row>
    <row r="268" spans="2:20" x14ac:dyDescent="0.3">
      <c r="B268" s="33"/>
      <c r="C268" s="33"/>
      <c r="D268" s="33"/>
      <c r="E268" s="33"/>
      <c r="F268" s="33"/>
      <c r="G268" s="33"/>
      <c r="H268" s="33"/>
      <c r="I268" s="33"/>
      <c r="J268" s="33"/>
      <c r="K268" s="33"/>
      <c r="L268" s="33"/>
      <c r="M268" s="33"/>
      <c r="O268" s="34">
        <v>7</v>
      </c>
      <c r="P268" s="33" t="str">
        <f ca="1">IF(P$242&gt;=O199,INDEX('Spell Tables'!$P$242:$P$257,MATCH(O199,('Spell Tables'!$N$242:$N$257),0)),IF(P$244&gt;=O199,INDEX('Spell Tables'!$P$194:$P$201,MATCH(O199,('Spell Tables'!$N$194:$N$201),0)),IF(P$246&gt;=O199,INDEX('Spell Tables'!$P$168:$P$183,MATCH(O199,('Spell Tables'!$N$168:$N$183),0)),IF(P$248&gt;=O199,INDEX('Spell Tables'!$P$141:$P$156,MATCH(O199,('Spell Tables'!$N$141:$N$157),0)),IF(P$254&gt;=O199,INDEX('Spell Tables'!$P$70:$P$83,MATCH(O199,('Spell Tables'!$N$70:$N$83),0)),IF(P$256&gt;=O199,INDEX('Spell Tables'!$P$48:$P$55,MATCH(O199,('Spell Tables'!$N$48:$N$55),0)),IF(P$258&gt;=O199,INDEX('Spell Tables'!$P$26:$P$32,MATCH(O199,('Spell Tables'!$N$26:$N$32),0)),IF(P$260&gt;=O199,INDEX('Spell Tables'!$P$2:$P$12,MATCH(O199,('Spell Tables'!$N$2:$N$12),0))," "))))))))</f>
        <v xml:space="preserve"> </v>
      </c>
      <c r="Q268" s="33" t="str">
        <f ca="1">IF(AND($Q$15="Otherworldly patron - great old one",Q$244&gt;=O199),INDEX('Spell Tables'!$T$226:$T$238,MATCH(O199,('Spell Tables'!$R$226:$R$238),0)),IF(AND($Q$15="Otherworldly patron - fiend",Q$244&gt;=O199),INDEX('Spell Tables'!$T$210:$T$222,MATCH(O199,('Spell Tables'!$R$210:$R$222),0)),IF(Q$242&gt;=O199,INDEX($AL$44:$AL$53,MATCH(O199,($AJ$44:$AJ$53),0)),IF(AND($Q$15="Otherworldly patron - archfey",Q$244&gt;=O199),INDEX('Spell Tables'!T$206:$T300,MATCH(O199,('Spell Tables'!$R$194:$R$206),0)),IF(Q$246&gt;=O199,INDEX('Spell Tables'!T274:T293,MATCH(O199,('Spell Tables'!$R$168:$R$187),0)),IF(Q$248&gt;=O199,INDEX('Spell Tables'!T247:T253,MATCH(O199,('Spell Tables'!$R$141:$R$147),0)),IF(Q$250&gt;=O199,INDEX('Spell Tables'!$P$119:$P$131,MATCH(O199,('Spell Tables'!$N$119:$N$131),0)),IF(Q$252&gt;=O199,INDEX('Spell Tables'!$P$97:$P$111,MATCH(O199,('Spell Tables'!$N$97:$N$111),0)),IF(Q$254&gt;=O199,INDEX('Spell Tables'!$T$70:$T$78,MATCH(O199,('Spell Tables'!$R$70:$R$78),0)),IF(Q$256&gt;=O199,INDEX('Spell Tables'!$T$48:$T$63,MATCH(O199,('Spell Tables'!$R$48:$R$63),0)),IF(Q$258&gt;=O199,INDEX('Spell Tables'!$T$26:$T$40,MATCH(O199,('Spell Tables'!$R$26:$R$40),0)),IF(Q$260&gt;=O199,INDEX('Spell Tables'!$T$2:$T$22,MATCH(O199,('Spell Tables'!$R$2:$R$22),0))," "))))))))))))</f>
        <v xml:space="preserve"> </v>
      </c>
      <c r="R268" s="33" t="str">
        <f ca="1">IF(AND($Q$15="Otherworldly patron - great old one",R$244&gt;=O199),INDEX('Spell Tables'!$X$226:$X$239,MATCH(O199,('Spell Tables'!$V$226:$V$239),0)),IF(AND($Q$15="Otherworldly patron - fiend",R$244&gt;=O199),INDEX('Spell Tables'!$X$210:$X$223,MATCH(O199,('Spell Tables'!$V$210:$V$223),0)),IF(AND($Q$15="Otherworldly patron - archfey",R$244&gt;=O199),INDEX('Spell Tables'!$X$194:$X$207,MATCH(O199,('Spell Tables'!$V$194:$V$207),0)),IF($R$242&gt;=O199,INDEX($AL$56:$AL$65,MATCH(O199,($AJ$56:$AJ$65),0)),IF($R$246&gt;=O199,INDEX('Spell Tables'!$X$168:$X$191,MATCH(O199,('Spell Tables'!$V$168:$V$191),0)),IF($R$248&gt;=O199,INDEX('Spell Tables'!$AB$141:$AB$149,MATCH(O199,('Spell Tables'!$Z$141:$Z$149),0)),IF($R$250&gt;=O199,INDEX('Spell Tables'!T225:T237,MATCH(O199,('Spell Tables'!$R$119:$R$131),0)),IF($R$252&gt;=O199,INDEX('Spell Tables'!$T$97:T210,MATCH(O199,('Spell Tables'!$R$97:$R$104),0)),IF($R$254&gt;=O199,INDEX('Spell Tables'!$AB$70:$AB$75,MATCH(O199,('Spell Tables'!$Z$70:$Z$75),0)),IF($R$256&gt;=O199,INDEX('Spell Tables'!$X$48:$X$65,MATCH(O199,('Spell Tables'!$V$48:$V$65),0)),IF($R$258&gt;=O199,INDEX('Spell Tables'!$X$26:$X$42,MATCH(O199,('Spell Tables'!$V$26:$V$42),0)),IF($R$260&gt;=O199,INDEX('Spell Tables'!$X$2:$X$23,MATCH(O199,('Spell Tables'!$V$2:$V$23),0))," "))))))))))))</f>
        <v xml:space="preserve"> </v>
      </c>
      <c r="S268" s="33" t="str">
        <f ca="1">IF(AND($Q$15="Otherworldly patron - great old one",S$244&gt;=O199),INDEX('Spell Tables'!$AB$226:$AB$238,MATCH(O199,('Spell Tables'!$Z$226:$Z$238),0)),IF(AND($Q$15="Otherworldly patron - fiend",S$244&gt;=O199),INDEX('Spell Tables'!$AB$210:$AB$222,MATCH(O199,('Spell Tables'!$Z$210:$Z$222),0)),IF(AND($Q$15="Otherworldly patron - archfey",S$244&gt;=O199),INDEX('Spell Tables'!$AB$194:$AB$206,MATCH(O199,('Spell Tables'!$Z$194:$Z$206),0)),IF($S$242&gt;=O199,INDEX($AL$68:$AL$77,MATCH(O199,($AJ$68:$AJ$77),0)),IF($S$246&gt;=O199,INDEX('Spell Tables'!$AB$168:$AB$187,MATCH(O199,('Spell Tables'!$Z$168:$Z$187),0)),IF($S$248&gt;=O199,INDEX('Spell Tables'!$AJ$141:$AJ$144,MATCH(O199,('Spell Tables'!$AH$141:$AH$144),0)),IF($S$250&gt;=O199,INDEX('Spell Tables'!$X$119:$X$129,MATCH(O199,('Spell Tables'!$V$119:$V$129),0)),IF($S$252&gt;=O199,INDEX('Spell Tables'!$X$97:$X$106,MATCH(O199,('Spell Tables'!$V$97:$V$106),0)),IF($S$254&gt;=O199,INDEX('Spell Tables'!$AJ$70:$AJ$79,MATCH(O199,('Spell Tables'!$AH$70:$AH$79),0)),IF($S$256&gt;=O199,INDEX('Spell Tables'!$AB$48:$AB$60,MATCH(O199,('Spell Tables'!$Z$48:$Z$60),0)),IF($S$258&gt;=O199,INDEX('Spell Tables'!$AB$26:$AB$45,MATCH(O199,('Spell Tables'!$Z$26:$Z$45),0)),IF($S$260&gt;=O199,INDEX('Spell Tables'!$AB$2:$AB$17,MATCH(O199,('Spell Tables'!$Z$2:$Z$17),0))," "))))))))))))</f>
        <v xml:space="preserve"> </v>
      </c>
      <c r="T268" s="33" t="str">
        <f ca="1">IF(AND($Q$15="Otherworldly patron - great old one",T$244&gt;=O199),INDEX('Spell Tables'!$AF$226:$AF$231,MATCH(O199,('Spell Tables'!$AD$226:$AD$231),0)),IF(AND($Q$15="Otherworldly patron - fiend",T$244&gt;=O199),INDEX('Spell Tables'!$AF$210:$AF$215,MATCH(O199,('Spell Tables'!$AD$210:$AD$215),0)),IF(AND($Q$15="Otherworldly patron - archfey",T$244&gt;=O199),INDEX('Spell Tables'!$AF$194:$AF$199,MATCH(O199,('Spell Tables'!$AD$194:$AD$199),0)),IF($T$242&gt;=O199,INDEX($AL$80:$AL$89,MATCH(O199,($AJ$80:$AJ$89),0)),IF($T$246&gt;=O199,INDEX('Spell Tables'!$AF$168:$AF$177,MATCH(O199,('Spell Tables'!$AD$168:$AD$177),0)),IF($T$248&gt;=O199,INDEX('Spell Tables'!$AR$141:$AR$144,MATCH(O199,('Spell Tables'!$AP$141:$AP$144),0)),IF($T$250&gt;=O199,INDEX('Spell Tables'!$AB$119:$AB$123,MATCH(O199,('Spell Tables'!$Z$119:$Z$123),0)),IF($T$252&gt;=O199,INDEX('Spell Tables'!$AB$97:$AB$102,MATCH(O199,('Spell Tables'!$Z$97:$Z$102),0)),IF($T$254&gt;=O199,INDEX('Spell Tables'!$AR$70:$AR$75,MATCH(O199,('Spell Tables'!$AP$70:$AP$75),0)),IF($T$256&gt;=O199,INDEX('Spell Tables'!$AF$48:$AF$63,MATCH(O199,('Spell Tables'!$AD$48:$AD$63),0)),IF($T$258&gt;=O199,INDEX('Spell Tables'!$AF$26:$AF$33,MATCH(O199,('Spell Tables'!$AD$26:$AD$33),0)),IF($T$260&gt;=O199,INDEX('Spell Tables'!$AF$2:$AF$9,MATCH(O199,('Spell Tables'!$AD$2:$AD$9),0))," "))))))))))))</f>
        <v xml:space="preserve"> </v>
      </c>
    </row>
    <row r="269" spans="2:20" x14ac:dyDescent="0.3">
      <c r="B269" s="33"/>
      <c r="C269" s="33"/>
      <c r="D269" s="33"/>
      <c r="E269" s="33"/>
      <c r="F269" s="33"/>
      <c r="G269" s="33"/>
      <c r="H269" s="33"/>
      <c r="I269" s="33"/>
      <c r="J269" s="33"/>
      <c r="K269" s="33"/>
      <c r="L269" s="33"/>
      <c r="M269" s="33"/>
      <c r="O269" s="34">
        <v>8</v>
      </c>
      <c r="P269" s="33" t="str">
        <f ca="1">IF(P$242&gt;=O200,INDEX('Spell Tables'!$P$242:$P$257,MATCH(O200,('Spell Tables'!$N$242:$N$257),0)),IF(P$244&gt;=O200,INDEX('Spell Tables'!$P$194:$P$201,MATCH(O200,('Spell Tables'!$N$194:$N$201),0)),IF(P$246&gt;=O200,INDEX('Spell Tables'!$P$168:$P$183,MATCH(O200,('Spell Tables'!$N$168:$N$183),0)),IF(P$248&gt;=O200,INDEX('Spell Tables'!$P$141:$P$156,MATCH(O200,('Spell Tables'!$N$141:$N$157),0)),IF(P$254&gt;=O200,INDEX('Spell Tables'!$P$70:$P$83,MATCH(O200,('Spell Tables'!$N$70:$N$83),0)),IF(P$256&gt;=O200,INDEX('Spell Tables'!$P$48:$P$55,MATCH(O200,('Spell Tables'!$N$48:$N$55),0)),IF(P$258&gt;=O200,INDEX('Spell Tables'!$P$26:$P$32,MATCH(O200,('Spell Tables'!$N$26:$N$32),0)),IF(P$260&gt;=O200,INDEX('Spell Tables'!$P$2:$P$12,MATCH(O200,('Spell Tables'!$N$2:$N$12),0))," "))))))))</f>
        <v xml:space="preserve"> </v>
      </c>
      <c r="Q269" s="33" t="str">
        <f ca="1">IF(AND($Q$15="Otherworldly patron - great old one",Q$244&gt;=O200),INDEX('Spell Tables'!$T$226:$T$238,MATCH(O200,('Spell Tables'!$R$226:$R$238),0)),IF(AND($Q$15="Otherworldly patron - fiend",Q$244&gt;=O200),INDEX('Spell Tables'!$T$210:$T$222,MATCH(O200,('Spell Tables'!$R$210:$R$222),0)),IF(Q$242&gt;=O200,INDEX($AL$44:$AL$53,MATCH(O200,($AJ$44:$AJ$53),0)),IF(AND($Q$15="Otherworldly patron - archfey",Q$244&gt;=O200),INDEX('Spell Tables'!T$206:$T301,MATCH(O200,('Spell Tables'!$R$194:$R$206),0)),IF(Q$246&gt;=O200,INDEX('Spell Tables'!T275:T294,MATCH(O200,('Spell Tables'!$R$168:$R$187),0)),IF(Q$248&gt;=O200,INDEX('Spell Tables'!T248:T254,MATCH(O200,('Spell Tables'!$R$141:$R$147),0)),IF(Q$250&gt;=O200,INDEX('Spell Tables'!$P$119:$P$131,MATCH(O200,('Spell Tables'!$N$119:$N$131),0)),IF(Q$252&gt;=O200,INDEX('Spell Tables'!$P$97:$P$111,MATCH(O200,('Spell Tables'!$N$97:$N$111),0)),IF(Q$254&gt;=O200,INDEX('Spell Tables'!$T$70:$T$78,MATCH(O200,('Spell Tables'!$R$70:$R$78),0)),IF(Q$256&gt;=O200,INDEX('Spell Tables'!$T$48:$T$63,MATCH(O200,('Spell Tables'!$R$48:$R$63),0)),IF(Q$258&gt;=O200,INDEX('Spell Tables'!$T$26:$T$40,MATCH(O200,('Spell Tables'!$R$26:$R$40),0)),IF(Q$260&gt;=O200,INDEX('Spell Tables'!$T$2:$T$22,MATCH(O200,('Spell Tables'!$R$2:$R$22),0))," "))))))))))))</f>
        <v xml:space="preserve"> </v>
      </c>
      <c r="R269" s="33" t="str">
        <f ca="1">IF(AND($Q$15="Otherworldly patron - great old one",R$244&gt;=O200),INDEX('Spell Tables'!$X$226:$X$239,MATCH(O200,('Spell Tables'!$V$226:$V$239),0)),IF(AND($Q$15="Otherworldly patron - fiend",R$244&gt;=O200),INDEX('Spell Tables'!$X$210:$X$223,MATCH(O200,('Spell Tables'!$V$210:$V$223),0)),IF(AND($Q$15="Otherworldly patron - archfey",R$244&gt;=O200),INDEX('Spell Tables'!$X$194:$X$207,MATCH(O200,('Spell Tables'!$V$194:$V$207),0)),IF($R$242&gt;=O200,INDEX($AL$56:$AL$65,MATCH(O200,($AJ$56:$AJ$65),0)),IF($R$246&gt;=O200,INDEX('Spell Tables'!$X$168:$X$191,MATCH(O200,('Spell Tables'!$V$168:$V$191),0)),IF($R$248&gt;=O200,INDEX('Spell Tables'!$AB$141:$AB$149,MATCH(O200,('Spell Tables'!$Z$141:$Z$149),0)),IF($R$250&gt;=O200,INDEX('Spell Tables'!T226:T238,MATCH(O200,('Spell Tables'!$R$119:$R$131),0)),IF($R$252&gt;=O200,INDEX('Spell Tables'!$T$97:T211,MATCH(O200,('Spell Tables'!$R$97:$R$104),0)),IF($R$254&gt;=O200,INDEX('Spell Tables'!$AB$70:$AB$75,MATCH(O200,('Spell Tables'!$Z$70:$Z$75),0)),IF($R$256&gt;=O200,INDEX('Spell Tables'!$X$48:$X$65,MATCH(O200,('Spell Tables'!$V$48:$V$65),0)),IF($R$258&gt;=O200,INDEX('Spell Tables'!$X$26:$X$42,MATCH(O200,('Spell Tables'!$V$26:$V$42),0)),IF($R$260&gt;=O200,INDEX('Spell Tables'!$X$2:$X$23,MATCH(O200,('Spell Tables'!$V$2:$V$23),0))," "))))))))))))</f>
        <v xml:space="preserve"> </v>
      </c>
      <c r="S269" s="33" t="str">
        <f ca="1">IF(AND($Q$15="Otherworldly patron - great old one",S$244&gt;=O200),INDEX('Spell Tables'!$AB$226:$AB$238,MATCH(O200,('Spell Tables'!$Z$226:$Z$238),0)),IF(AND($Q$15="Otherworldly patron - fiend",S$244&gt;=O200),INDEX('Spell Tables'!$AB$210:$AB$222,MATCH(O200,('Spell Tables'!$Z$210:$Z$222),0)),IF(AND($Q$15="Otherworldly patron - archfey",S$244&gt;=O200),INDEX('Spell Tables'!$AB$194:$AB$206,MATCH(O200,('Spell Tables'!$Z$194:$Z$206),0)),IF($S$242&gt;=O200,INDEX($AL$68:$AL$77,MATCH(O200,($AJ$68:$AJ$77),0)),IF($S$246&gt;=O200,INDEX('Spell Tables'!$AB$168:$AB$187,MATCH(O200,('Spell Tables'!$Z$168:$Z$187),0)),IF($S$248&gt;=O200,INDEX('Spell Tables'!$AJ$141:$AJ$144,MATCH(O200,('Spell Tables'!$AH$141:$AH$144),0)),IF($S$250&gt;=O200,INDEX('Spell Tables'!$X$119:$X$129,MATCH(O200,('Spell Tables'!$V$119:$V$129),0)),IF($S$252&gt;=O200,INDEX('Spell Tables'!$X$97:$X$106,MATCH(O200,('Spell Tables'!$V$97:$V$106),0)),IF($S$254&gt;=O200,INDEX('Spell Tables'!$AJ$70:$AJ$79,MATCH(O200,('Spell Tables'!$AH$70:$AH$79),0)),IF($S$256&gt;=O200,INDEX('Spell Tables'!$AB$48:$AB$60,MATCH(O200,('Spell Tables'!$Z$48:$Z$60),0)),IF($S$258&gt;=O200,INDEX('Spell Tables'!$AB$26:$AB$45,MATCH(O200,('Spell Tables'!$Z$26:$Z$45),0)),IF($S$260&gt;=O200,INDEX('Spell Tables'!$AB$2:$AB$17,MATCH(O200,('Spell Tables'!$Z$2:$Z$17),0))," "))))))))))))</f>
        <v xml:space="preserve"> </v>
      </c>
      <c r="T269" s="33" t="str">
        <f ca="1">IF(AND($Q$15="Otherworldly patron - great old one",T$244&gt;=O200),INDEX('Spell Tables'!$AF$226:$AF$231,MATCH(O200,('Spell Tables'!$AD$226:$AD$231),0)),IF(AND($Q$15="Otherworldly patron - fiend",T$244&gt;=O200),INDEX('Spell Tables'!$AF$210:$AF$215,MATCH(O200,('Spell Tables'!$AD$210:$AD$215),0)),IF(AND($Q$15="Otherworldly patron - archfey",T$244&gt;=O200),INDEX('Spell Tables'!$AF$194:$AF$199,MATCH(O200,('Spell Tables'!$AD$194:$AD$199),0)),IF($T$242&gt;=O200,INDEX($AL$80:$AL$89,MATCH(O200,($AJ$80:$AJ$89),0)),IF($T$246&gt;=O200,INDEX('Spell Tables'!$AF$168:$AF$177,MATCH(O200,('Spell Tables'!$AD$168:$AD$177),0)),IF($T$248&gt;=O200,INDEX('Spell Tables'!$AR$141:$AR$144,MATCH(O200,('Spell Tables'!$AP$141:$AP$144),0)),IF($T$250&gt;=O200,INDEX('Spell Tables'!$AB$119:$AB$123,MATCH(O200,('Spell Tables'!$Z$119:$Z$123),0)),IF($T$252&gt;=O200,INDEX('Spell Tables'!$AB$97:$AB$102,MATCH(O200,('Spell Tables'!$Z$97:$Z$102),0)),IF($T$254&gt;=O200,INDEX('Spell Tables'!$AR$70:$AR$75,MATCH(O200,('Spell Tables'!$AP$70:$AP$75),0)),IF($T$256&gt;=O200,INDEX('Spell Tables'!$AF$48:$AF$63,MATCH(O200,('Spell Tables'!$AD$48:$AD$63),0)),IF($T$258&gt;=O200,INDEX('Spell Tables'!$AF$26:$AF$33,MATCH(O200,('Spell Tables'!$AD$26:$AD$33),0)),IF($T$260&gt;=O200,INDEX('Spell Tables'!$AF$2:$AF$9,MATCH(O200,('Spell Tables'!$AD$2:$AD$9),0))," "))))))))))))</f>
        <v xml:space="preserve"> </v>
      </c>
    </row>
    <row r="270" spans="2:20" x14ac:dyDescent="0.3">
      <c r="B270" s="33"/>
      <c r="C270" s="33"/>
      <c r="D270" s="33"/>
      <c r="E270" s="33"/>
      <c r="F270" s="33"/>
      <c r="G270" s="33"/>
      <c r="H270" s="33"/>
      <c r="I270" s="33"/>
      <c r="J270" s="33"/>
      <c r="K270" s="33"/>
      <c r="L270" s="33"/>
      <c r="M270" s="33"/>
      <c r="O270" s="34">
        <v>9</v>
      </c>
      <c r="P270" s="33" t="str">
        <f ca="1">IF(P$242&gt;=O201,INDEX('Spell Tables'!$P$242:$P$257,MATCH(O201,('Spell Tables'!$N$242:$N$257),0)),IF(P$244&gt;=O201,INDEX('Spell Tables'!$P$194:$P$201,MATCH(O201,('Spell Tables'!$N$194:$N$201),0)),IF(P$246&gt;=O201,INDEX('Spell Tables'!$P$168:$P$183,MATCH(O201,('Spell Tables'!$N$168:$N$183),0)),IF(P$248&gt;=O201,INDEX('Spell Tables'!$P$141:$P$156,MATCH(O201,('Spell Tables'!$N$141:$N$157),0)),IF(P$254&gt;=O201,INDEX('Spell Tables'!$P$70:$P$83,MATCH(O201,('Spell Tables'!$N$70:$N$83),0)),IF(P$256&gt;=O201,INDEX('Spell Tables'!$P$48:$P$55,MATCH(O201,('Spell Tables'!$N$48:$N$55),0)),IF(P$258&gt;=O201,INDEX('Spell Tables'!$P$26:$P$32,MATCH(O201,('Spell Tables'!$N$26:$N$32),0)),IF(P$260&gt;=O201,INDEX('Spell Tables'!$P$2:$P$12,MATCH(O201,('Spell Tables'!$N$2:$N$12),0))," "))))))))</f>
        <v xml:space="preserve"> </v>
      </c>
      <c r="Q270" s="33" t="str">
        <f ca="1">IF(AND($Q$15="Otherworldly patron - great old one",Q$244&gt;=O201),INDEX('Spell Tables'!$T$226:$T$238,MATCH(O201,('Spell Tables'!$R$226:$R$238),0)),IF(AND($Q$15="Otherworldly patron - fiend",Q$244&gt;=O201),INDEX('Spell Tables'!$T$210:$T$222,MATCH(O201,('Spell Tables'!$R$210:$R$222),0)),IF(Q$242&gt;=O201,INDEX($AL$44:$AL$53,MATCH(O201,($AJ$44:$AJ$53),0)),IF(AND($Q$15="Otherworldly patron - archfey",Q$244&gt;=O201),INDEX('Spell Tables'!T$206:$T302,MATCH(O201,('Spell Tables'!$R$194:$R$206),0)),IF(Q$246&gt;=O201,INDEX('Spell Tables'!T276:T295,MATCH(O201,('Spell Tables'!$R$168:$R$187),0)),IF(Q$248&gt;=O201,INDEX('Spell Tables'!T249:T255,MATCH(O201,('Spell Tables'!$R$141:$R$147),0)),IF(Q$250&gt;=O201,INDEX('Spell Tables'!$P$119:$P$131,MATCH(O201,('Spell Tables'!$N$119:$N$131),0)),IF(Q$252&gt;=O201,INDEX('Spell Tables'!$P$97:$P$111,MATCH(O201,('Spell Tables'!$N$97:$N$111),0)),IF(Q$254&gt;=O201,INDEX('Spell Tables'!$T$70:$T$78,MATCH(O201,('Spell Tables'!$R$70:$R$78),0)),IF(Q$256&gt;=O201,INDEX('Spell Tables'!$T$48:$T$63,MATCH(O201,('Spell Tables'!$R$48:$R$63),0)),IF(Q$258&gt;=O201,INDEX('Spell Tables'!$T$26:$T$40,MATCH(O201,('Spell Tables'!$R$26:$R$40),0)),IF(Q$260&gt;=O201,INDEX('Spell Tables'!$T$2:$T$22,MATCH(O201,('Spell Tables'!$R$2:$R$22),0))," "))))))))))))</f>
        <v xml:space="preserve"> </v>
      </c>
      <c r="R270" s="33" t="str">
        <f ca="1">IF(AND($Q$15="Otherworldly patron - great old one",R$244&gt;=O201),INDEX('Spell Tables'!$X$226:$X$239,MATCH(O201,('Spell Tables'!$V$226:$V$239),0)),IF(AND($Q$15="Otherworldly patron - fiend",R$244&gt;=O201),INDEX('Spell Tables'!$X$210:$X$223,MATCH(O201,('Spell Tables'!$V$210:$V$223),0)),IF(AND($Q$15="Otherworldly patron - archfey",R$244&gt;=O201),INDEX('Spell Tables'!$X$194:$X$207,MATCH(O201,('Spell Tables'!$V$194:$V$207),0)),IF($R$242&gt;=O201,INDEX($AL$56:$AL$65,MATCH(O201,($AJ$56:$AJ$65),0)),IF($R$246&gt;=O201,INDEX('Spell Tables'!$X$168:$X$191,MATCH(O201,('Spell Tables'!$V$168:$V$191),0)),IF($R$248&gt;=O201,INDEX('Spell Tables'!$AB$141:$AB$149,MATCH(O201,('Spell Tables'!$Z$141:$Z$149),0)),IF($R$250&gt;=O201,INDEX('Spell Tables'!T227:T239,MATCH(O201,('Spell Tables'!$R$119:$R$131),0)),IF($R$252&gt;=O201,INDEX('Spell Tables'!$T$97:T212,MATCH(O201,('Spell Tables'!$R$97:$R$104),0)),IF($R$254&gt;=O201,INDEX('Spell Tables'!$AB$70:$AB$75,MATCH(O201,('Spell Tables'!$Z$70:$Z$75),0)),IF($R$256&gt;=O201,INDEX('Spell Tables'!$X$48:$X$65,MATCH(O201,('Spell Tables'!$V$48:$V$65),0)),IF($R$258&gt;=O201,INDEX('Spell Tables'!$X$26:$X$42,MATCH(O201,('Spell Tables'!$V$26:$V$42),0)),IF($R$260&gt;=O201,INDEX('Spell Tables'!$X$2:$X$23,MATCH(O201,('Spell Tables'!$V$2:$V$23),0))," "))))))))))))</f>
        <v xml:space="preserve"> </v>
      </c>
      <c r="S270" s="33" t="str">
        <f ca="1">IF(AND($Q$15="Otherworldly patron - great old one",S$244&gt;=O201),INDEX('Spell Tables'!$AB$226:$AB$238,MATCH(O201,('Spell Tables'!$Z$226:$Z$238),0)),IF(AND($Q$15="Otherworldly patron - fiend",S$244&gt;=O201),INDEX('Spell Tables'!$AB$210:$AB$222,MATCH(O201,('Spell Tables'!$Z$210:$Z$222),0)),IF(AND($Q$15="Otherworldly patron - archfey",S$244&gt;=O201),INDEX('Spell Tables'!$AB$194:$AB$206,MATCH(O201,('Spell Tables'!$Z$194:$Z$206),0)),IF($S$242&gt;=O201,INDEX($AL$68:$AL$77,MATCH(O201,($AJ$68:$AJ$77),0)),IF($S$246&gt;=O201,INDEX('Spell Tables'!$AB$168:$AB$187,MATCH(O201,('Spell Tables'!$Z$168:$Z$187),0)),IF($S$248&gt;=O201,INDEX('Spell Tables'!$AJ$141:$AJ$144,MATCH(O201,('Spell Tables'!$AH$141:$AH$144),0)),IF($S$250&gt;=O201,INDEX('Spell Tables'!$X$119:$X$129,MATCH(O201,('Spell Tables'!$V$119:$V$129),0)),IF($S$252&gt;=O201,INDEX('Spell Tables'!$X$97:$X$106,MATCH(O201,('Spell Tables'!$V$97:$V$106),0)),IF($S$254&gt;=O201,INDEX('Spell Tables'!$AJ$70:$AJ$79,MATCH(O201,('Spell Tables'!$AH$70:$AH$79),0)),IF($S$256&gt;=O201,INDEX('Spell Tables'!$AB$48:$AB$60,MATCH(O201,('Spell Tables'!$Z$48:$Z$60),0)),IF($S$258&gt;=O201,INDEX('Spell Tables'!$AB$26:$AB$45,MATCH(O201,('Spell Tables'!$Z$26:$Z$45),0)),IF($S$260&gt;=O201,INDEX('Spell Tables'!$AB$2:$AB$17,MATCH(O201,('Spell Tables'!$Z$2:$Z$17),0))," "))))))))))))</f>
        <v xml:space="preserve"> </v>
      </c>
      <c r="T270" s="33" t="str">
        <f ca="1">IF(AND($Q$15="Otherworldly patron - great old one",T$244&gt;=O201),INDEX('Spell Tables'!$AF$226:$AF$231,MATCH(O201,('Spell Tables'!$AD$226:$AD$231),0)),IF(AND($Q$15="Otherworldly patron - fiend",T$244&gt;=O201),INDEX('Spell Tables'!$AF$210:$AF$215,MATCH(O201,('Spell Tables'!$AD$210:$AD$215),0)),IF(AND($Q$15="Otherworldly patron - archfey",T$244&gt;=O201),INDEX('Spell Tables'!$AF$194:$AF$199,MATCH(O201,('Spell Tables'!$AD$194:$AD$199),0)),IF($T$242&gt;=O201,INDEX($AL$80:$AL$89,MATCH(O201,($AJ$80:$AJ$89),0)),IF($T$246&gt;=O201,INDEX('Spell Tables'!$AF$168:$AF$177,MATCH(O201,('Spell Tables'!$AD$168:$AD$177),0)),IF($T$248&gt;=O201,INDEX('Spell Tables'!$AR$141:$AR$144,MATCH(O201,('Spell Tables'!$AP$141:$AP$144),0)),IF($T$250&gt;=O201,INDEX('Spell Tables'!$AB$119:$AB$123,MATCH(O201,('Spell Tables'!$Z$119:$Z$123),0)),IF($T$252&gt;=O201,INDEX('Spell Tables'!$AB$97:$AB$102,MATCH(O201,('Spell Tables'!$Z$97:$Z$102),0)),IF($T$254&gt;=O201,INDEX('Spell Tables'!$AR$70:$AR$75,MATCH(O201,('Spell Tables'!$AP$70:$AP$75),0)),IF($T$256&gt;=O201,INDEX('Spell Tables'!$AF$48:$AF$63,MATCH(O201,('Spell Tables'!$AD$48:$AD$63),0)),IF($T$258&gt;=O201,INDEX('Spell Tables'!$AF$26:$AF$33,MATCH(O201,('Spell Tables'!$AD$26:$AD$33),0)),IF($T$260&gt;=O201,INDEX('Spell Tables'!$AF$2:$AF$9,MATCH(O201,('Spell Tables'!$AD$2:$AD$9),0))," "))))))))))))</f>
        <v xml:space="preserve"> </v>
      </c>
    </row>
    <row r="271" spans="2:20" x14ac:dyDescent="0.3">
      <c r="B271" s="33"/>
      <c r="C271" s="33"/>
      <c r="D271" s="33"/>
      <c r="E271" s="33"/>
      <c r="F271" s="33"/>
      <c r="G271" s="33"/>
      <c r="H271" s="33"/>
      <c r="I271" s="33"/>
      <c r="J271" s="33"/>
      <c r="K271" s="33"/>
      <c r="L271" s="33"/>
      <c r="M271" s="33"/>
      <c r="O271" s="34">
        <v>10</v>
      </c>
      <c r="P271" s="33" t="str">
        <f ca="1">IF(P$242&gt;=O202,INDEX('Spell Tables'!$P$242:$P$257,MATCH(O202,('Spell Tables'!$N$242:$N$257),0)),IF(P$244&gt;=O202,INDEX('Spell Tables'!$P$194:$P$201,MATCH(O202,('Spell Tables'!$N$194:$N$201),0)),IF(P$246&gt;=O202,INDEX('Spell Tables'!$P$168:$P$183,MATCH(O202,('Spell Tables'!$N$168:$N$183),0)),IF(P$248&gt;=O202,INDEX('Spell Tables'!$P$141:$P$156,MATCH(O202,('Spell Tables'!$N$141:$N$157),0)),IF(P$254&gt;=O202,INDEX('Spell Tables'!$P$70:$P$83,MATCH(O202,('Spell Tables'!$N$70:$N$83),0)),IF(P$256&gt;=O202,INDEX('Spell Tables'!$P$48:$P$55,MATCH(O202,('Spell Tables'!$N$48:$N$55),0)),IF(P$258&gt;=O202,INDEX('Spell Tables'!$P$26:$P$32,MATCH(O202,('Spell Tables'!$N$26:$N$32),0)),IF(P$260&gt;=O202,INDEX('Spell Tables'!$P$2:$P$12,MATCH(O202,('Spell Tables'!$N$2:$N$12),0))," "))))))))</f>
        <v xml:space="preserve"> </v>
      </c>
      <c r="Q271" s="33" t="str">
        <f ca="1">IF(AND($Q$15="Otherworldly patron - great old one",Q$244&gt;=O202),INDEX('Spell Tables'!$T$226:$T$238,MATCH(O202,('Spell Tables'!$R$226:$R$238),0)),IF(AND($Q$15="Otherworldly patron - fiend",Q$244&gt;=O202),INDEX('Spell Tables'!$T$210:$T$222,MATCH(O202,('Spell Tables'!$R$210:$R$222),0)),IF(Q$242&gt;=O202,INDEX($AL$44:$AL$53,MATCH(O202,($AJ$44:$AJ$53),0)),IF(AND($Q$15="Otherworldly patron - archfey",Q$244&gt;=O202),INDEX('Spell Tables'!T$206:$T303,MATCH(O202,('Spell Tables'!$R$194:$R$206),0)),IF(Q$246&gt;=O202,INDEX('Spell Tables'!T277:T296,MATCH(O202,('Spell Tables'!$R$168:$R$187),0)),IF(Q$248&gt;=O202,INDEX('Spell Tables'!T250:T256,MATCH(O202,('Spell Tables'!$R$141:$R$147),0)),IF(Q$250&gt;=O202,INDEX('Spell Tables'!$P$119:$P$131,MATCH(O202,('Spell Tables'!$N$119:$N$131),0)),IF(Q$252&gt;=O202,INDEX('Spell Tables'!$P$97:$P$111,MATCH(O202,('Spell Tables'!$N$97:$N$111),0)),IF(Q$254&gt;=O202,INDEX('Spell Tables'!$T$70:$T$78,MATCH(O202,('Spell Tables'!$R$70:$R$78),0)),IF(Q$256&gt;=O202,INDEX('Spell Tables'!$T$48:$T$63,MATCH(O202,('Spell Tables'!$R$48:$R$63),0)),IF(Q$258&gt;=O202,INDEX('Spell Tables'!$T$26:$T$40,MATCH(O202,('Spell Tables'!$R$26:$R$40),0)),IF(Q$260&gt;=O202,INDEX('Spell Tables'!$T$2:$T$22,MATCH(O202,('Spell Tables'!$R$2:$R$22),0))," "))))))))))))</f>
        <v xml:space="preserve"> </v>
      </c>
      <c r="R271" s="33" t="str">
        <f ca="1">IF(AND($Q$15="Otherworldly patron - great old one",R$244&gt;=O202),INDEX('Spell Tables'!$X$226:$X$239,MATCH(O202,('Spell Tables'!$V$226:$V$239),0)),IF(AND($Q$15="Otherworldly patron - fiend",R$244&gt;=O202),INDEX('Spell Tables'!$X$210:$X$223,MATCH(O202,('Spell Tables'!$V$210:$V$223),0)),IF(AND($Q$15="Otherworldly patron - archfey",R$244&gt;=O202),INDEX('Spell Tables'!$X$194:$X$207,MATCH(O202,('Spell Tables'!$V$194:$V$207),0)),IF($R$242&gt;=O202,INDEX($AL$56:$AL$65,MATCH(O202,($AJ$56:$AJ$65),0)),IF($R$246&gt;=O202,INDEX('Spell Tables'!$X$168:$X$191,MATCH(O202,('Spell Tables'!$V$168:$V$191),0)),IF($R$248&gt;=O202,INDEX('Spell Tables'!$AB$141:$AB$149,MATCH(O202,('Spell Tables'!$Z$141:$Z$149),0)),IF($R$250&gt;=O202,INDEX('Spell Tables'!T228:T240,MATCH(O202,('Spell Tables'!$R$119:$R$131),0)),IF($R$252&gt;=O202,INDEX('Spell Tables'!$T$97:T213,MATCH(O202,('Spell Tables'!$R$97:$R$104),0)),IF($R$254&gt;=O202,INDEX('Spell Tables'!$AB$70:$AB$75,MATCH(O202,('Spell Tables'!$Z$70:$Z$75),0)),IF($R$256&gt;=O202,INDEX('Spell Tables'!$X$48:$X$65,MATCH(O202,('Spell Tables'!$V$48:$V$65),0)),IF($R$258&gt;=O202,INDEX('Spell Tables'!$X$26:$X$42,MATCH(O202,('Spell Tables'!$V$26:$V$42),0)),IF($R$260&gt;=O202,INDEX('Spell Tables'!$X$2:$X$23,MATCH(O202,('Spell Tables'!$V$2:$V$23),0))," "))))))))))))</f>
        <v xml:space="preserve"> </v>
      </c>
      <c r="S271" s="33" t="str">
        <f ca="1">IF(AND($Q$15="Otherworldly patron - great old one",S$244&gt;=O202),INDEX('Spell Tables'!$AB$226:$AB$238,MATCH(O202,('Spell Tables'!$Z$226:$Z$238),0)),IF(AND($Q$15="Otherworldly patron - fiend",S$244&gt;=O202),INDEX('Spell Tables'!$AB$210:$AB$222,MATCH(O202,('Spell Tables'!$Z$210:$Z$222),0)),IF(AND($Q$15="Otherworldly patron - archfey",S$244&gt;=O202),INDEX('Spell Tables'!$AB$194:$AB$206,MATCH(O202,('Spell Tables'!$Z$194:$Z$206),0)),IF($S$242&gt;=O202,INDEX($AL$68:$AL$77,MATCH(O202,($AJ$68:$AJ$77),0)),IF($S$246&gt;=O202,INDEX('Spell Tables'!$AB$168:$AB$187,MATCH(O202,('Spell Tables'!$Z$168:$Z$187),0)),IF($S$248&gt;=O202,INDEX('Spell Tables'!$AJ$141:$AJ$144,MATCH(O202,('Spell Tables'!$AH$141:$AH$144),0)),IF($S$250&gt;=O202,INDEX('Spell Tables'!$X$119:$X$129,MATCH(O202,('Spell Tables'!$V$119:$V$129),0)),IF($S$252&gt;=O202,INDEX('Spell Tables'!$X$97:$X$106,MATCH(O202,('Spell Tables'!$V$97:$V$106),0)),IF($S$254&gt;=O202,INDEX('Spell Tables'!$AJ$70:$AJ$79,MATCH(O202,('Spell Tables'!$AH$70:$AH$79),0)),IF($S$256&gt;=O202,INDEX('Spell Tables'!$AB$48:$AB$60,MATCH(O202,('Spell Tables'!$Z$48:$Z$60),0)),IF($S$258&gt;=O202,INDEX('Spell Tables'!$AB$26:$AB$45,MATCH(O202,('Spell Tables'!$Z$26:$Z$45),0)),IF($S$260&gt;=O202,INDEX('Spell Tables'!$AB$2:$AB$17,MATCH(O202,('Spell Tables'!$Z$2:$Z$17),0))," "))))))))))))</f>
        <v xml:space="preserve"> </v>
      </c>
      <c r="T271" s="33" t="str">
        <f ca="1">IF(AND($Q$15="Otherworldly patron - great old one",T$244&gt;=O202),INDEX('Spell Tables'!$AF$226:$AF$231,MATCH(O202,('Spell Tables'!$AD$226:$AD$231),0)),IF(AND($Q$15="Otherworldly patron - fiend",T$244&gt;=O202),INDEX('Spell Tables'!$AF$210:$AF$215,MATCH(O202,('Spell Tables'!$AD$210:$AD$215),0)),IF(AND($Q$15="Otherworldly patron - archfey",T$244&gt;=O202),INDEX('Spell Tables'!$AF$194:$AF$199,MATCH(O202,('Spell Tables'!$AD$194:$AD$199),0)),IF($T$242&gt;=O202,INDEX($AL$80:$AL$89,MATCH(O202,($AJ$80:$AJ$89),0)),IF($T$246&gt;=O202,INDEX('Spell Tables'!$AF$168:$AF$177,MATCH(O202,('Spell Tables'!$AD$168:$AD$177),0)),IF($T$248&gt;=O202,INDEX('Spell Tables'!$AR$141:$AR$144,MATCH(O202,('Spell Tables'!$AP$141:$AP$144),0)),IF($T$250&gt;=O202,INDEX('Spell Tables'!$AB$119:$AB$123,MATCH(O202,('Spell Tables'!$Z$119:$Z$123),0)),IF($T$252&gt;=O202,INDEX('Spell Tables'!$AB$97:$AB$102,MATCH(O202,('Spell Tables'!$Z$97:$Z$102),0)),IF($T$254&gt;=O202,INDEX('Spell Tables'!$AR$70:$AR$75,MATCH(O202,('Spell Tables'!$AP$70:$AP$75),0)),IF($T$256&gt;=O202,INDEX('Spell Tables'!$AF$48:$AF$63,MATCH(O202,('Spell Tables'!$AD$48:$AD$63),0)),IF($T$258&gt;=O202,INDEX('Spell Tables'!$AF$26:$AF$33,MATCH(O202,('Spell Tables'!$AD$26:$AD$33),0)),IF($T$260&gt;=O202,INDEX('Spell Tables'!$AF$2:$AF$9,MATCH(O202,('Spell Tables'!$AD$2:$AD$9),0))," "))))))))))))</f>
        <v xml:space="preserve"> </v>
      </c>
    </row>
    <row r="272" spans="2:20" ht="19.5" thickBot="1" x14ac:dyDescent="0.35">
      <c r="B272" s="33"/>
      <c r="C272" s="38"/>
      <c r="D272" s="38"/>
      <c r="E272" s="38"/>
      <c r="F272" s="38"/>
      <c r="G272" s="38"/>
      <c r="H272" s="38"/>
      <c r="I272" s="38"/>
      <c r="J272" s="38"/>
      <c r="K272" s="38"/>
      <c r="L272" s="38"/>
      <c r="M272" s="38"/>
      <c r="N272" s="38"/>
      <c r="O272" s="38"/>
      <c r="P272" s="38"/>
      <c r="Q272" s="38"/>
      <c r="R272" s="38"/>
      <c r="S272" s="38"/>
      <c r="T272" s="38"/>
    </row>
    <row r="273" spans="15:19" hidden="1" x14ac:dyDescent="0.3">
      <c r="O273" s="108"/>
      <c r="P273" s="108"/>
      <c r="Q273" s="108"/>
      <c r="R273" s="108"/>
      <c r="S273" s="109"/>
    </row>
    <row r="274" spans="15:19" hidden="1" x14ac:dyDescent="0.3">
      <c r="O274" s="60" t="str">
        <f ca="1">IF(AND(Q11="wizard",Q12&gt;=11),"x",IF(AND($Q$11="wizard",$Q$12&gt;9),"xx",IF(AND(Q11="wizard",Q12=9),"xxx"," ")))</f>
        <v xml:space="preserve"> </v>
      </c>
      <c r="P274" s="60" t="str">
        <f ca="1">IF(AND(Q11="wizard",Q12&gt;=13),"x",IF(AND($Q$11="wizard",$Q$12&gt;11),"xx",IF(AND(Q11="wizard",Q12=11),"xxx"," ")))</f>
        <v xml:space="preserve"> </v>
      </c>
      <c r="Q274" s="60" t="str">
        <f ca="1">IF(AND(Q11="wizard",Q12&gt;=15),"x",IF(AND($Q$11="wizard",$Q$12&gt;13),"xx",IF(AND(Q11="wizard",Q12=13),"xxx"," ")))</f>
        <v xml:space="preserve"> </v>
      </c>
      <c r="R274" s="60" t="str">
        <f ca="1">IF(AND(Q11="wizard",Q12&gt;=17),"x",IF(AND($Q$11="wizard",$Q$12&gt;15),"xx",IF(AND(Q11="wizard",Q12=15),"xxx"," ")))</f>
        <v xml:space="preserve"> </v>
      </c>
      <c r="S274" s="63" t="str">
        <f ca="1">IF(AND($Q$11="wizard",$Q$12&gt;17),"xx",IF(AND(Q11="wizard",Q12=17),"xxx"," "))</f>
        <v xml:space="preserve"> </v>
      </c>
    </row>
    <row r="275" spans="15:19" hidden="1" x14ac:dyDescent="0.3">
      <c r="O275" s="65">
        <f ca="1">IF(O274="x",RANDBETWEEN(2,3),IF(O274="xx",RANDBETWEEN(2,3),IF(O274="xxx",RANDBETWEEN(1,2),0)))</f>
        <v>0</v>
      </c>
      <c r="P275" s="65">
        <f ca="1">IF(P274="x",RANDBETWEEN(2,3),IF(P274="xx",RANDBETWEEN(2,3),IF(P274="xxx",RANDBETWEEN(1,2),0)))</f>
        <v>0</v>
      </c>
      <c r="Q275" s="65">
        <f ca="1">IF(Q274="x",RANDBETWEEN(1,2),IF(Q274="xx",RANDBETWEEN(1,2),IF(Q274="xxx",RANDBETWEEN(1,2),0)))</f>
        <v>0</v>
      </c>
      <c r="R275" s="65">
        <f ca="1">IF(OR(R274="x",R274="xx"),RANDBETWEEN(1,2),IF(R274="xxx",RANDBETWEEN(1,2),0))</f>
        <v>0</v>
      </c>
      <c r="S275" s="66">
        <f ca="1">IF(S274="xx",RANDBETWEEN(1,2),IF(S274="xxx",RANDBETWEEN(1,2),0))</f>
        <v>0</v>
      </c>
    </row>
    <row r="276" spans="15:19" hidden="1" x14ac:dyDescent="0.3">
      <c r="O276" s="60" t="str">
        <f ca="1">IF(AND($Q$11="warlock",$Q$12&gt;=9),"xx"," ")</f>
        <v xml:space="preserve"> </v>
      </c>
      <c r="P276" s="60"/>
      <c r="Q276" s="60"/>
      <c r="R276" s="60"/>
      <c r="S276" s="63"/>
    </row>
    <row r="277" spans="15:19" hidden="1" x14ac:dyDescent="0.3">
      <c r="O277" s="65">
        <f ca="1">IF(O276="x",RANDBETWEEN(2,3),IF(O276="xx",RANDBETWEEN(2,3),0))</f>
        <v>0</v>
      </c>
      <c r="P277" s="65"/>
      <c r="Q277" s="65"/>
      <c r="R277" s="65"/>
      <c r="S277" s="66"/>
    </row>
    <row r="278" spans="15:19" hidden="1" x14ac:dyDescent="0.3">
      <c r="O278" s="60" t="str">
        <f ca="1">IF(AND($Q$11="sorcerer",$Q$12&gt;=11),"x",IF(AND($Q$11="sorcerer",$Q$12&gt;=9),"xx"," "))</f>
        <v xml:space="preserve"> </v>
      </c>
      <c r="P278" s="60" t="str">
        <f ca="1">IF(AND($Q$11="sorcerer",$Q$12&gt;=13),"x",IF(AND($Q$11="sorcerer",$Q$12&gt;=11),"xx"," "))</f>
        <v xml:space="preserve"> </v>
      </c>
      <c r="Q278" s="60" t="str">
        <f ca="1">IF(AND($Q$11="sorcerer",$Q$12&gt;=15),"x",IF(AND($Q$11="sorcerer",$Q$12&gt;=13),"xx"," "))</f>
        <v xml:space="preserve"> </v>
      </c>
      <c r="R278" s="60" t="str">
        <f ca="1">IF(AND($Q$11="sorcerer",$Q$12&gt;=17),"x",IF(AND($Q$11="sorcerer",$Q$12&gt;15),"xx"," "))</f>
        <v xml:space="preserve"> </v>
      </c>
      <c r="S278" s="63" t="str">
        <f ca="1">IF(AND($Q$11="sorcerer",$Q$12&gt;=17),"xx"," ")</f>
        <v xml:space="preserve"> </v>
      </c>
    </row>
    <row r="279" spans="15:19" hidden="1" x14ac:dyDescent="0.3">
      <c r="O279" s="65">
        <f ca="1">IF(O278="x",RANDBETWEEN(2,3),IF(O278="xx",RANDBETWEEN(2,3),0))</f>
        <v>0</v>
      </c>
      <c r="P279" s="65">
        <f ca="1">IF(P278="x",RANDBETWEEN(2,3),IF(P278="xx",RANDBETWEEN(2,3),0))</f>
        <v>0</v>
      </c>
      <c r="Q279" s="65">
        <f ca="1">IF(Q278="x",RANDBETWEEN(1,2),IF(Q278="xx",RANDBETWEEN(1,2),0))</f>
        <v>0</v>
      </c>
      <c r="R279" s="65">
        <f ca="1">IF(OR(R278="x",R278="xx"),RANDBETWEEN(1,2),0)</f>
        <v>0</v>
      </c>
      <c r="S279" s="66">
        <f ca="1">IF(S278="xx",RANDBETWEEN(1,2),0)</f>
        <v>0</v>
      </c>
    </row>
    <row r="280" spans="15:19" hidden="1" x14ac:dyDescent="0.3">
      <c r="O280" s="60"/>
      <c r="P280" s="60"/>
      <c r="Q280" s="60"/>
      <c r="R280" s="60"/>
      <c r="S280" s="63"/>
    </row>
    <row r="281" spans="15:19" hidden="1" x14ac:dyDescent="0.3">
      <c r="O281" s="65"/>
      <c r="P281" s="65"/>
      <c r="Q281" s="65"/>
      <c r="R281" s="65"/>
      <c r="S281" s="66"/>
    </row>
    <row r="282" spans="15:19" hidden="1" x14ac:dyDescent="0.3">
      <c r="O282" s="60" t="str">
        <f ca="1">IF(AND($Q$11="ranger",$Q$12&gt;=17),"xx"," ")</f>
        <v xml:space="preserve"> </v>
      </c>
      <c r="P282" s="60"/>
      <c r="Q282" s="60"/>
      <c r="R282" s="60"/>
      <c r="S282" s="63"/>
    </row>
    <row r="283" spans="15:19" hidden="1" x14ac:dyDescent="0.3">
      <c r="O283" s="65">
        <f ca="1">IF(O282="x",RANDBETWEEN(2,3),IF(O282="xx",RANDBETWEEN(2,3),0))</f>
        <v>0</v>
      </c>
      <c r="P283" s="65"/>
      <c r="Q283" s="65"/>
      <c r="R283" s="65"/>
      <c r="S283" s="66"/>
    </row>
    <row r="284" spans="15:19" hidden="1" x14ac:dyDescent="0.3">
      <c r="O284" s="60" t="str">
        <f ca="1">IF(AND(Q11="paladin",Q12&gt;=17),"xx"," ")</f>
        <v xml:space="preserve"> </v>
      </c>
      <c r="P284" s="60"/>
      <c r="Q284" s="60"/>
      <c r="R284" s="60"/>
      <c r="S284" s="63"/>
    </row>
    <row r="285" spans="15:19" hidden="1" x14ac:dyDescent="0.3">
      <c r="O285" s="65">
        <f ca="1">IF(O284="x",RANDBETWEEN(2,3),IF(O284="xx",RANDBETWEEN(2,3),0))</f>
        <v>0</v>
      </c>
      <c r="P285" s="65"/>
      <c r="Q285" s="65"/>
      <c r="R285" s="65"/>
      <c r="S285" s="66"/>
    </row>
    <row r="286" spans="15:19" hidden="1" x14ac:dyDescent="0.3">
      <c r="O286" s="60"/>
      <c r="P286" s="60"/>
      <c r="Q286" s="60"/>
      <c r="R286" s="60"/>
      <c r="S286" s="63"/>
    </row>
    <row r="287" spans="15:19" hidden="1" x14ac:dyDescent="0.3">
      <c r="O287" s="65"/>
      <c r="P287" s="65"/>
      <c r="Q287" s="65"/>
      <c r="R287" s="65"/>
      <c r="S287" s="66"/>
    </row>
    <row r="288" spans="15:19" hidden="1" x14ac:dyDescent="0.3">
      <c r="O288" s="60" t="str">
        <f ca="1">IF(AND($Q$11="druid",$Q$12&gt;=11),"x",IF(AND($Q$11="druid",$Q$12&gt;=9),"xx"," "))</f>
        <v xml:space="preserve"> </v>
      </c>
      <c r="P288" s="60" t="str">
        <f ca="1">IF(AND($Q$11="druid",$Q$12&gt;=13),"x",IF(AND($Q$11="druid",$Q$12&gt;=11),"xx"," "))</f>
        <v xml:space="preserve"> </v>
      </c>
      <c r="Q288" s="60" t="str">
        <f ca="1">IF(AND($Q$11="druid",$Q$12&gt;=15),"x",IF(AND($Q$11="druid",$Q$12&gt;=13),"xx"," "))</f>
        <v xml:space="preserve"> </v>
      </c>
      <c r="R288" s="60" t="str">
        <f ca="1">IF(AND($Q$11="druid",$Q$12&gt;=17),"x",IF(AND($Q$11="druid",$Q$12&gt;15),"xx"," "))</f>
        <v xml:space="preserve"> </v>
      </c>
      <c r="S288" s="63" t="str">
        <f ca="1">IF(AND($Q$11="druid",$Q$12&gt;=17),"xx"," ")</f>
        <v xml:space="preserve"> </v>
      </c>
    </row>
    <row r="289" spans="14:20" hidden="1" x14ac:dyDescent="0.3">
      <c r="O289" s="65">
        <f ca="1">IF(O288="x",RANDBETWEEN(2,3),IF(O288="xx",RANDBETWEEN(2,3),0))</f>
        <v>0</v>
      </c>
      <c r="P289" s="65">
        <f ca="1">IF(P288="x",RANDBETWEEN(2,3),IF(P288="xx",RANDBETWEEN(2,3),0))</f>
        <v>0</v>
      </c>
      <c r="Q289" s="65">
        <f ca="1">IF(Q288="x",RANDBETWEEN(1,2),IF(Q288="xx",RANDBETWEEN(1,2),0))</f>
        <v>0</v>
      </c>
      <c r="R289" s="65">
        <f ca="1">IF(OR(R288="x",R288="xx"),RANDBETWEEN(1,2),0)</f>
        <v>0</v>
      </c>
      <c r="S289" s="66">
        <f ca="1">IF(S288="xx",RANDBETWEEN(1,2),0)</f>
        <v>0</v>
      </c>
    </row>
    <row r="290" spans="14:20" hidden="1" x14ac:dyDescent="0.3">
      <c r="O290" s="60" t="str">
        <f ca="1">IF(AND(Q11="cleric",Q12&gt;=11),"x",IF(AND($Q$11="cleric",$Q$12&gt;=9),"xx"," "))</f>
        <v xml:space="preserve"> </v>
      </c>
      <c r="P290" s="60" t="str">
        <f ca="1">IF(AND(Q11="cleric",Q12&gt;=13),"x",IF(AND($Q$11="cleric",$Q$12&gt;=11),"xx"," "))</f>
        <v xml:space="preserve"> </v>
      </c>
      <c r="Q290" s="60" t="str">
        <f ca="1">IF(AND(Q11="cleric",Q12&gt;=15),"x",IF(AND($Q$11="cleric",$Q$12&gt;=13),"xx"," "))</f>
        <v xml:space="preserve"> </v>
      </c>
      <c r="R290" s="60" t="str">
        <f ca="1">IF(AND(Q11="cleric",Q12&gt;=17),"x",IF(AND($Q$11="cleric",$Q$12&gt;15),"xx"," "))</f>
        <v xml:space="preserve"> </v>
      </c>
      <c r="S290" s="63" t="str">
        <f ca="1">IF(AND($Q$11="cleric",$Q$12&gt;=17),"xx"," ")</f>
        <v xml:space="preserve"> </v>
      </c>
    </row>
    <row r="291" spans="14:20" hidden="1" x14ac:dyDescent="0.3">
      <c r="O291" s="65">
        <f ca="1">IF(O290="x",RANDBETWEEN(2,3),IF(O290="xx",RANDBETWEEN(2,3),0))</f>
        <v>0</v>
      </c>
      <c r="P291" s="65">
        <f ca="1">IF(P290="x",RANDBETWEEN(2,3),IF(P290="xx",RANDBETWEEN(2,3),0))</f>
        <v>0</v>
      </c>
      <c r="Q291" s="65">
        <f ca="1">IF(Q290="x",RANDBETWEEN(1,2),IF(Q290="xx",RANDBETWEEN(1,2),0))</f>
        <v>0</v>
      </c>
      <c r="R291" s="65">
        <f ca="1">IF(OR(R290="x",R290="xx"),RANDBETWEEN(1,2),0)</f>
        <v>0</v>
      </c>
      <c r="S291" s="66">
        <f ca="1">IF(S290="xx",RANDBETWEEN(1,2),0)</f>
        <v>0</v>
      </c>
    </row>
    <row r="292" spans="14:20" hidden="1" x14ac:dyDescent="0.3">
      <c r="O292" s="60" t="str">
        <f ca="1">IF(AND($Q$11="bard",$Q$12&gt;=11),"x",IF(AND($Q$11="bard",$Q$12&gt;=9),"xx"," "))</f>
        <v xml:space="preserve"> </v>
      </c>
      <c r="P292" s="60" t="str">
        <f ca="1">IF(AND($Q$11="bard",$Q$12&gt;=13),"x",IF(AND($Q$11="bard",$Q$12&gt;=11),"xx"," "))</f>
        <v xml:space="preserve"> </v>
      </c>
      <c r="Q292" s="60" t="str">
        <f ca="1">IF(AND($Q$11="bard",$Q$12&gt;=15),"x",IF(AND($Q$11="bard",$Q$12&gt;=13),"xx"," "))</f>
        <v xml:space="preserve"> </v>
      </c>
      <c r="R292" s="60" t="str">
        <f ca="1">IF(AND($Q$11="bard",$Q$12&gt;=17),"x",IF(AND($Q$11="bard",$Q$12&gt;15),"xx"," "))</f>
        <v xml:space="preserve"> </v>
      </c>
      <c r="S292" s="63" t="str">
        <f ca="1">IF(AND($Q$11="bard",$Q$12&gt;=17),"xx"," ")</f>
        <v xml:space="preserve"> </v>
      </c>
    </row>
    <row r="293" spans="14:20" hidden="1" x14ac:dyDescent="0.3">
      <c r="O293" s="65">
        <f ca="1">IF(O292="x",RANDBETWEEN(2,3),IF(O292="xx",RANDBETWEEN(2,3),0))</f>
        <v>0</v>
      </c>
      <c r="P293" s="65">
        <f ca="1">IF(P292="x",RANDBETWEEN(2,3),IF(P292="xx",RANDBETWEEN(2,3),0))</f>
        <v>0</v>
      </c>
      <c r="Q293" s="65">
        <f ca="1">IF(Q292="x",RANDBETWEEN(1,2),IF(Q292="xx",RANDBETWEEN(1,2),0))</f>
        <v>0</v>
      </c>
      <c r="R293" s="65">
        <f ca="1">IF(OR(R292="x",R292="xx"),RANDBETWEEN(1,2),0)</f>
        <v>0</v>
      </c>
      <c r="S293" s="66">
        <f ca="1">IF(S292="xx",RANDBETWEEN(1,2),0)</f>
        <v>0</v>
      </c>
    </row>
    <row r="294" spans="14:20" x14ac:dyDescent="0.3">
      <c r="N294" s="72"/>
      <c r="O294" s="136"/>
      <c r="P294" s="96" t="s">
        <v>750</v>
      </c>
      <c r="Q294" s="96" t="s">
        <v>1125</v>
      </c>
      <c r="R294" s="96" t="s">
        <v>1126</v>
      </c>
      <c r="S294" s="96" t="s">
        <v>1127</v>
      </c>
      <c r="T294" s="97" t="s">
        <v>751</v>
      </c>
    </row>
    <row r="295" spans="14:20" x14ac:dyDescent="0.3">
      <c r="N295" s="72"/>
      <c r="O295" s="86">
        <v>1</v>
      </c>
      <c r="P295" s="65" t="str">
        <f ca="1">IF(AND($Q$15="Otherworldly patron - great old one",O$277&gt;=O193),INDEX('Spell Tables'!$AJ$226:$AJ$231,MATCH(O193,('Spell Tables'!$AH$226:$AH$231),0)),IF(AND($Q$15="Otherworldly patron - fiend",O$277&gt;=O193),INDEX('Spell Tables'!$AJ$210:$AJ$215,MATCH(O193,('Spell Tables'!$AH$210:$AH$215),0)),IF(AND($Q$15="Otherworldly patron - archfey",O$277&gt;=O193),INDEX('Spell Tables'!$AJ$194:$AJ$199,MATCH(O193,('Spell Tables'!$AH$194:$AH$199),0)),IF($O$275&gt;=O193,INDEX($AL$92:$AL$101,MATCH(O193,($AJ$92:$AJ$101),0)),IF($O$279&gt;=O193,INDEX('Spell Tables'!$AJ$168:$AJ$178,MATCH(O193,('Spell Tables'!$AH$168:$AH$178),0)),IF($O$283&gt;=O193,INDEX('Spell Tables'!$AF$119:$AF$122,MATCH(O193,('Spell Tables'!$AD$119:$AD$122),0)),IF($O$285&gt;=O193,INDEX('Spell Tables'!$AF$97:$AF$102,MATCH(O193,('Spell Tables'!$AD$97:$AD$102),0)),IF($O$289&gt;=O193,INDEX('Spell Tables'!$AJ$48:$AJ$61,MATCH(O193,('Spell Tables'!$AH$48:$AH$61),0)),IF($O$291&gt;=O193,INDEX('Spell Tables'!$AJ$26:$AJ$38,MATCH(O193,('Spell Tables'!$AH$26:$AH$38),0)),IF($O$293&gt;=O193,INDEX('Spell Tables'!$AJ$2:$AJ$17,MATCH(O193,('Spell Tables'!$AH$2:$AH$17),0))," "))))))))))</f>
        <v xml:space="preserve"> </v>
      </c>
      <c r="Q295" s="65" t="str">
        <f ca="1">IF($P$275&gt;=O262,INDEX($AL$104:$AL$113,MATCH(O262,($AJ$104:$AJ$113),0)),IF($P$279&gt;=O262,INDEX('Spell Tables'!$AN$168:$AN$177,MATCH(O262,('Spell Tables'!$AL$168:$AL$177),0)),IF($P$289&gt;=O262,INDEX('Spell Tables'!$AN$48:$AN$56,MATCH(O262,('Spell Tables'!$AL$48:$AL$56),0)),IF($P$291&gt;=O262,INDEX('Spell Tables'!$AN$26:$AN$35,MATCH(O262,('Spell Tables'!$AL$26:$AL$35),0)),IF($P$293&gt;=O262,INDEX('Spell Tables'!$AN$2:$AN$8,MATCH(O262,('Spell Tables'!$AL$2:$AL$8),0))," ")))))</f>
        <v xml:space="preserve"> </v>
      </c>
      <c r="R295" s="65" t="str">
        <f ca="1">IF($Q$275&gt;=O262,INDEX($AL$116:$AL$125,MATCH(O262,($AJ$116:$AJ$125),0)),IF($Q$279&gt;=O262,INDEX('Spell Tables'!$AR$168:$AR$175,MATCH(O262,('Spell Tables'!$AP$168:$AP$175),0)),IF($Q$289&gt;=O262,INDEX('Spell Tables'!$AR$48:$AR$52,MATCH(O262,('Spell Tables'!$AP$48:$AP$52),0)),IF($Q$291&gt;=O262,INDEX('Spell Tables'!$AR$26:$AR$33,MATCH(O262,('Spell Tables'!$AP$26:$AP$33),0)),IF($Q$293&gt;=O262,INDEX('Spell Tables'!$AR$2:$AR$11,MATCH(O262,('Spell Tables'!$AL$2:$AL$11),0))," ")))))</f>
        <v xml:space="preserve"> </v>
      </c>
      <c r="S295" s="65" t="str">
        <f ca="1">IF($R$275&gt;=O262,INDEX($AL$128:$AL$137,MATCH(O262,($AJ$128:$AJ$137),0)),IF($R$279&gt;=O262,INDEX('Spell Tables'!$AV$168:$AV$172,MATCH(O262,('Spell Tables'!$AT$168:$AT$172),0)),IF($R$289&gt;=O262,INDEX('Spell Tables'!$AV$48:$AV$54,MATCH(O262,('Spell Tables'!$AT$48:$AT$54),0)),IF($R$291&gt;=O262,INDEX('Spell Tables'!$AV$26:$AV$29,MATCH(O262,('Spell Tables'!$AT$26:$AT$29),0)),IF($R$293&gt;=O262,INDEX('Spell Tables'!$AV$2:$AV$6,MATCH(O262,('Spell Tables'!$AT$2:$AT$6),0))," ")))))</f>
        <v xml:space="preserve"> </v>
      </c>
      <c r="T295" s="66" t="str">
        <f ca="1">IF($S$289&gt;=O262,INDEX($AL$140:$AL$149,MATCH(O262,($AJ$140:$AJ$149),0)),IF($S$275&gt;=O262,INDEX('Spell Tables'!$AZ$242:$AZ$253,MATCH(O262,('Spell Tables'!$AX$242:$AX$253),0)),IF($S$279&gt;=O262,INDEX('Spell Tables'!$AZ$168:$AZ$172,MATCH(O262,('Spell Tables'!$AX$168:$AX$172),0)),IF($S$291&gt;=O262,INDEX('Spell Tables'!$AZ$26:$AZ$29,MATCH(O262,('Spell Tables'!$AX$26:$AX$29),0)),IF($S$293&gt;=O262,INDEX('Spell Tables'!$AZ$2:$AZ$5,MATCH(O262,('Spell Tables'!$AX$2:$AX$5),0))," ")))))</f>
        <v xml:space="preserve"> </v>
      </c>
    </row>
    <row r="296" spans="14:20" x14ac:dyDescent="0.3">
      <c r="N296" s="72"/>
      <c r="O296" s="133">
        <v>2</v>
      </c>
      <c r="P296" s="60" t="str">
        <f ca="1">IF(AND($Q$15="Otherworldly patron - great old one",O$277&gt;=O194),INDEX('Spell Tables'!$AJ$226:$AJ$231,MATCH(O194,('Spell Tables'!$AH$226:$AH$231),0)),IF(AND($Q$15="Otherworldly patron - fiend",O$277&gt;=O194),INDEX('Spell Tables'!$AJ$210:$AJ$215,MATCH(O194,('Spell Tables'!$AH$210:$AH$215),0)),IF(AND($Q$15="Otherworldly patron - archfey",O$277&gt;=O194),INDEX('Spell Tables'!$AJ$194:$AJ$199,MATCH(O194,('Spell Tables'!$AH$194:$AH$199),0)),IF($O$275&gt;=O194,INDEX($AL$92:$AL$101,MATCH(O194,($AJ$92:$AJ$101),0)),IF($O$279&gt;=O194,INDEX('Spell Tables'!$AJ$168:$AJ$178,MATCH(O194,('Spell Tables'!$AH$168:$AH$178),0)),IF($O$283&gt;=O194,INDEX('Spell Tables'!$AF$119:$AF$122,MATCH(O194,('Spell Tables'!$AD$119:$AD$122),0)),IF($O$285&gt;=O194,INDEX('Spell Tables'!$AF$97:$AF$102,MATCH(O194,('Spell Tables'!$AD$97:$AD$102),0)),IF($O$289&gt;=O194,INDEX('Spell Tables'!$AJ$48:$AJ$61,MATCH(O194,('Spell Tables'!$AH$48:$AH$61),0)),IF($O$291&gt;=O194,INDEX('Spell Tables'!$AJ$26:$AJ$38,MATCH(O194,('Spell Tables'!$AH$26:$AH$38),0)),IF($O$293&gt;=O194,INDEX('Spell Tables'!$AJ$2:$AJ$17,MATCH(O194,('Spell Tables'!$AH$2:$AH$17),0))," "))))))))))</f>
        <v xml:space="preserve"> </v>
      </c>
      <c r="Q296" s="60" t="str">
        <f ca="1">IF($P$275&gt;=O263,INDEX($AL$104:$AL$113,MATCH(O263,($AJ$104:$AJ$113),0)),IF($P$279&gt;=O263,INDEX('Spell Tables'!$AN$168:$AN$177,MATCH(O263,('Spell Tables'!$AL$168:$AL$177),0)),IF($P$289&gt;=O263,INDEX('Spell Tables'!$AN$48:$AN$56,MATCH(O263,('Spell Tables'!$AL$48:$AL$56),0)),IF($P$291&gt;=O263,INDEX('Spell Tables'!$AN$26:$AN$35,MATCH(O263,('Spell Tables'!$AL$26:$AL$35),0)),IF($P$293&gt;=O263,INDEX('Spell Tables'!$AN$2:$AN$8,MATCH(O263,('Spell Tables'!$AL$2:$AL$8),0))," ")))))</f>
        <v xml:space="preserve"> </v>
      </c>
      <c r="R296" s="60" t="str">
        <f ca="1">IF($Q$275&gt;=O263,INDEX($AL$116:$AL$125,MATCH(O263,($AJ$116:$AJ$125),0)),IF($Q$279&gt;=O263,INDEX('Spell Tables'!$AR$168:$AR$175,MATCH(O263,('Spell Tables'!$AP$168:$AP$175),0)),IF($Q$289&gt;=O263,INDEX('Spell Tables'!$AR$48:$AR$52,MATCH(O263,('Spell Tables'!$AP$48:$AP$52),0)),IF($Q$291&gt;=O263,INDEX('Spell Tables'!$AR$26:$AR$33,MATCH(O263,('Spell Tables'!$AP$26:$AP$33),0)),IF($Q$293&gt;=O263,INDEX('Spell Tables'!$AR$2:$AR$11,MATCH(O263,('Spell Tables'!$AL$2:$AL$11),0))," ")))))</f>
        <v xml:space="preserve"> </v>
      </c>
      <c r="S296" s="60" t="str">
        <f ca="1">IF($R$275&gt;=O263,INDEX($AL$128:$AL$137,MATCH(O263,($AJ$128:$AJ$137),0)),IF($R$279&gt;=O263,INDEX('Spell Tables'!$AV$168:$AV$172,MATCH(O263,('Spell Tables'!$AT$168:$AT$172),0)),IF($R$289&gt;=O263,INDEX('Spell Tables'!$AV$48:$AV$54,MATCH(O263,('Spell Tables'!$AT$48:$AT$54),0)),IF($R$291&gt;=O263,INDEX('Spell Tables'!$AV$26:$AV$29,MATCH(O263,('Spell Tables'!$AT$26:$AT$29),0)),IF($R$293&gt;=O263,INDEX('Spell Tables'!$AV$2:$AV$6,MATCH(O263,('Spell Tables'!$AT$2:$AT$6),0))," ")))))</f>
        <v xml:space="preserve"> </v>
      </c>
      <c r="T296" s="63" t="str">
        <f ca="1">IF($S$289&gt;=O263,INDEX($AL$140:$AL$149,MATCH(O263,($AJ$140:$AJ$149),0)),IF($S$275&gt;=O263,INDEX('Spell Tables'!$AZ$242:$AZ$253,MATCH(O263,('Spell Tables'!$AX$242:$AX$253),0)),IF($S$279&gt;=O263,INDEX('Spell Tables'!$AZ$168:$AZ$172,MATCH(O263,('Spell Tables'!$AX$168:$AX$172),0)),IF($S$291&gt;=O263,INDEX('Spell Tables'!$AZ$26:$AZ$29,MATCH(O263,('Spell Tables'!$AX$26:$AX$29),0)),IF($S$293&gt;=O263,INDEX('Spell Tables'!$AZ$2:$AZ$5,MATCH(O263,('Spell Tables'!$AX$2:$AX$5),0))," ")))))</f>
        <v xml:space="preserve"> </v>
      </c>
    </row>
    <row r="297" spans="14:20" x14ac:dyDescent="0.3">
      <c r="N297" s="72"/>
      <c r="O297" s="86">
        <v>3</v>
      </c>
      <c r="P297" s="65" t="str">
        <f ca="1">IF(AND($Q$15="Otherworldly patron - great old one",O$277&gt;=O195),INDEX('Spell Tables'!$AJ$226:$AJ$231,MATCH(O195,('Spell Tables'!$AH$226:$AH$231),0)),IF(AND($Q$15="Otherworldly patron - fiend",O$277&gt;=O195),INDEX('Spell Tables'!$AJ$210:$AJ$215,MATCH(O195,('Spell Tables'!$AH$210:$AH$215),0)),IF(AND($Q$15="Otherworldly patron - archfey",O$277&gt;=O195),INDEX('Spell Tables'!$AJ$194:$AJ$199,MATCH(O195,('Spell Tables'!$AH$194:$AH$199),0)),IF($O$275&gt;=O195,INDEX($AL$92:$AL$101,MATCH(O195,($AJ$92:$AJ$101),0)),IF($O$279&gt;=O195,INDEX('Spell Tables'!$AJ$168:$AJ$178,MATCH(O195,('Spell Tables'!$AH$168:$AH$178),0)),IF($O$283&gt;=O195,INDEX('Spell Tables'!$AF$119:$AF$122,MATCH(O195,('Spell Tables'!$AD$119:$AD$122),0)),IF($O$285&gt;=O195,INDEX('Spell Tables'!$AF$97:$AF$102,MATCH(O195,('Spell Tables'!$AD$97:$AD$102),0)),IF($O$289&gt;=O195,INDEX('Spell Tables'!$AJ$48:$AJ$61,MATCH(O195,('Spell Tables'!$AH$48:$AH$61),0)),IF($O$291&gt;=O195,INDEX('Spell Tables'!$AJ$26:$AJ$38,MATCH(O195,('Spell Tables'!$AH$26:$AH$38),0)),IF($O$293&gt;=O195,INDEX('Spell Tables'!$AJ$2:$AJ$17,MATCH(O195,('Spell Tables'!$AH$2:$AH$17),0))," "))))))))))</f>
        <v xml:space="preserve"> </v>
      </c>
      <c r="Q297" s="65" t="str">
        <f ca="1">IF($P$275&gt;=O264,INDEX($AL$104:$AL$113,MATCH(O264,($AJ$104:$AJ$113),0)),IF($P$279&gt;=O264,INDEX('Spell Tables'!$AN$168:$AN$177,MATCH(O264,('Spell Tables'!$AL$168:$AL$177),0)),IF($P$289&gt;=O264,INDEX('Spell Tables'!$AN$48:$AN$56,MATCH(O264,('Spell Tables'!$AL$48:$AL$56),0)),IF($P$291&gt;=O264,INDEX('Spell Tables'!$AN$26:$AN$35,MATCH(O264,('Spell Tables'!$AL$26:$AL$35),0)),IF($P$293&gt;=O264,INDEX('Spell Tables'!$AN$2:$AN$8,MATCH(O264,('Spell Tables'!$AL$2:$AL$8),0))," ")))))</f>
        <v xml:space="preserve"> </v>
      </c>
      <c r="R297" s="65" t="str">
        <f ca="1">IF($Q$275&gt;=O264,INDEX($AL$116:$AL$125,MATCH(O264,($AJ$116:$AJ$125),0)),IF($Q$279&gt;=O264,INDEX('Spell Tables'!$AR$168:$AR$175,MATCH(O264,('Spell Tables'!$AP$168:$AP$175),0)),IF($Q$289&gt;=O264,INDEX('Spell Tables'!$AR$48:$AR$52,MATCH(O264,('Spell Tables'!$AP$48:$AP$52),0)),IF($Q$291&gt;=O264,INDEX('Spell Tables'!$AR$26:$AR$33,MATCH(O264,('Spell Tables'!$AP$26:$AP$33),0)),IF($Q$293&gt;=O264,INDEX('Spell Tables'!$AR$2:$AR$11,MATCH(O264,('Spell Tables'!$AL$2:$AL$11),0))," ")))))</f>
        <v xml:space="preserve"> </v>
      </c>
      <c r="S297" s="65" t="str">
        <f ca="1">IF($R$275&gt;=O264,INDEX($AL$128:$AL$137,MATCH(O264,($AJ$128:$AJ$137),0)),IF($R$279&gt;=O264,INDEX('Spell Tables'!$AV$168:$AV$172,MATCH(O264,('Spell Tables'!$AT$168:$AT$172),0)),IF($R$289&gt;=O264,INDEX('Spell Tables'!$AV$48:$AV$54,MATCH(O264,('Spell Tables'!$AT$48:$AT$54),0)),IF($R$291&gt;=O264,INDEX('Spell Tables'!$AV$26:$AV$29,MATCH(O264,('Spell Tables'!$AT$26:$AT$29),0)),IF($R$293&gt;=O264,INDEX('Spell Tables'!$AV$2:$AV$6,MATCH(O264,('Spell Tables'!$AT$2:$AT$6),0))," ")))))</f>
        <v xml:space="preserve"> </v>
      </c>
      <c r="T297" s="66" t="str">
        <f ca="1">IF($S$289&gt;=O264,INDEX($AL$140:$AL$149,MATCH(O264,($AJ$140:$AJ$149),0)),IF($S$275&gt;=O264,INDEX('Spell Tables'!$AZ$242:$AZ$253,MATCH(O264,('Spell Tables'!$AX$242:$AX$253),0)),IF($S$279&gt;=O264,INDEX('Spell Tables'!$AZ$168:$AZ$172,MATCH(O264,('Spell Tables'!$AX$168:$AX$172),0)),IF($S$291&gt;=O264,INDEX('Spell Tables'!$AZ$26:$AZ$29,MATCH(O264,('Spell Tables'!$AX$26:$AX$29),0)),IF($S$293&gt;=O264,INDEX('Spell Tables'!$AZ$2:$AZ$5,MATCH(O264,('Spell Tables'!$AX$2:$AX$5),0))," ")))))</f>
        <v xml:space="preserve"> </v>
      </c>
    </row>
    <row r="298" spans="14:20" x14ac:dyDescent="0.3">
      <c r="N298" s="72"/>
      <c r="O298" s="133">
        <v>4</v>
      </c>
      <c r="P298" s="60" t="str">
        <f ca="1">IF(AND($Q$15="Otherworldly patron - great old one",O$277&gt;=O196),INDEX('Spell Tables'!$AJ$226:$AJ$231,MATCH(O196,('Spell Tables'!$AH$226:$AH$231),0)),IF(AND($Q$15="Otherworldly patron - fiend",O$277&gt;=O196),INDEX('Spell Tables'!$AJ$210:$AJ$215,MATCH(O196,('Spell Tables'!$AH$210:$AH$215),0)),IF(AND($Q$15="Otherworldly patron - archfey",O$277&gt;=O196),INDEX('Spell Tables'!$AJ$194:$AJ$199,MATCH(O196,('Spell Tables'!$AH$194:$AH$199),0)),IF($O$275&gt;=O196,INDEX($AL$92:$AL$101,MATCH(O196,($AJ$92:$AJ$101),0)),IF($O$279&gt;=O196,INDEX('Spell Tables'!$AJ$168:$AJ$178,MATCH(O196,('Spell Tables'!$AH$168:$AH$178),0)),IF($O$283&gt;=O196,INDEX('Spell Tables'!$AF$119:$AF$122,MATCH(O196,('Spell Tables'!$AD$119:$AD$122),0)),IF($O$285&gt;=O196,INDEX('Spell Tables'!$AF$97:$AF$102,MATCH(O196,('Spell Tables'!$AD$97:$AD$102),0)),IF($O$289&gt;=O196,INDEX('Spell Tables'!$AJ$48:$AJ$61,MATCH(O196,('Spell Tables'!$AH$48:$AH$61),0)),IF($O$291&gt;=O196,INDEX('Spell Tables'!$AJ$26:$AJ$38,MATCH(O196,('Spell Tables'!$AH$26:$AH$38),0)),IF($O$293&gt;=O196,INDEX('Spell Tables'!$AJ$2:$AJ$17,MATCH(O196,('Spell Tables'!$AH$2:$AH$17),0))," "))))))))))</f>
        <v xml:space="preserve"> </v>
      </c>
      <c r="Q298" s="60" t="str">
        <f ca="1">IF($P$275&gt;=O265,INDEX($AL$104:$AL$113,MATCH(O265,($AJ$104:$AJ$113),0)),IF($P$279&gt;=O265,INDEX('Spell Tables'!$AN$168:$AN$177,MATCH(O265,('Spell Tables'!$AL$168:$AL$177),0)),IF($P$289&gt;=O265,INDEX('Spell Tables'!$AN$48:$AN$56,MATCH(O265,('Spell Tables'!$AL$48:$AL$56),0)),IF($P$291&gt;=O265,INDEX('Spell Tables'!$AN$26:$AN$35,MATCH(O265,('Spell Tables'!$AL$26:$AL$35),0)),IF($P$293&gt;=O265,INDEX('Spell Tables'!$AN$2:$AN$8,MATCH(O265,('Spell Tables'!$AL$2:$AL$8),0))," ")))))</f>
        <v xml:space="preserve"> </v>
      </c>
      <c r="R298" s="60" t="str">
        <f ca="1">IF($Q$275&gt;=O265,INDEX($AL$116:$AL$125,MATCH(O265,($AJ$116:$AJ$125),0)),IF($Q$279&gt;=O265,INDEX('Spell Tables'!$AR$168:$AR$175,MATCH(O265,('Spell Tables'!$AP$168:$AP$175),0)),IF($Q$289&gt;=O265,INDEX('Spell Tables'!$AR$48:$AR$52,MATCH(O265,('Spell Tables'!$AP$48:$AP$52),0)),IF($Q$291&gt;=O265,INDEX('Spell Tables'!$AR$26:$AR$33,MATCH(O265,('Spell Tables'!$AP$26:$AP$33),0)),IF($Q$293&gt;=O265,INDEX('Spell Tables'!$AR$2:$AR$11,MATCH(O265,('Spell Tables'!$AL$2:$AL$11),0))," ")))))</f>
        <v xml:space="preserve"> </v>
      </c>
      <c r="S298" s="60" t="str">
        <f ca="1">IF($R$275&gt;=O265,INDEX($AL$128:$AL$137,MATCH(O265,($AJ$128:$AJ$137),0)),IF($R$279&gt;=O265,INDEX('Spell Tables'!$AV$168:$AV$172,MATCH(O265,('Spell Tables'!$AT$168:$AT$172),0)),IF($R$289&gt;=O265,INDEX('Spell Tables'!$AV$48:$AV$54,MATCH(O265,('Spell Tables'!$AT$48:$AT$54),0)),IF($R$291&gt;=O265,INDEX('Spell Tables'!$AV$26:$AV$29,MATCH(O265,('Spell Tables'!$AT$26:$AT$29),0)),IF($R$293&gt;=O265,INDEX('Spell Tables'!$AV$2:$AV$6,MATCH(O265,('Spell Tables'!$AT$2:$AT$6),0))," ")))))</f>
        <v xml:space="preserve"> </v>
      </c>
      <c r="T298" s="63" t="str">
        <f ca="1">IF($S$289&gt;=O265,INDEX($AL$140:$AL$149,MATCH(O265,($AJ$140:$AJ$149),0)),IF($S$275&gt;=O265,INDEX('Spell Tables'!$AZ$242:$AZ$253,MATCH(O265,('Spell Tables'!$AX$242:$AX$253),0)),IF($S$279&gt;=O265,INDEX('Spell Tables'!$AZ$168:$AZ$172,MATCH(O265,('Spell Tables'!$AX$168:$AX$172),0)),IF($S$291&gt;=O265,INDEX('Spell Tables'!$AZ$26:$AZ$29,MATCH(O265,('Spell Tables'!$AX$26:$AX$29),0)),IF($S$293&gt;=O265,INDEX('Spell Tables'!$AZ$2:$AZ$5,MATCH(O265,('Spell Tables'!$AX$2:$AX$5),0))," ")))))</f>
        <v xml:space="preserve"> </v>
      </c>
    </row>
    <row r="299" spans="14:20" x14ac:dyDescent="0.3">
      <c r="N299" s="72"/>
      <c r="O299" s="86">
        <v>5</v>
      </c>
      <c r="P299" s="65" t="str">
        <f ca="1">IF(AND($Q$15="Otherworldly patron - great old one",O$277&gt;=O197),INDEX('Spell Tables'!$AJ$226:$AJ$231,MATCH(O197,('Spell Tables'!$AH$226:$AH$231),0)),IF(AND($Q$15="Otherworldly patron - fiend",O$277&gt;=O197),INDEX('Spell Tables'!$AJ$210:$AJ$215,MATCH(O197,('Spell Tables'!$AH$210:$AH$215),0)),IF(AND($Q$15="Otherworldly patron - archfey",O$277&gt;=O197),INDEX('Spell Tables'!$AJ$194:$AJ$199,MATCH(O197,('Spell Tables'!$AH$194:$AH$199),0)),IF($O$275&gt;=O197,INDEX($AL$92:$AL$101,MATCH(O197,($AJ$92:$AJ$101),0)),IF($O$279&gt;=O197,INDEX('Spell Tables'!$AJ$168:$AJ$178,MATCH(O197,('Spell Tables'!$AH$168:$AH$178),0)),IF($O$283&gt;=O197,INDEX('Spell Tables'!$AF$119:$AF$122,MATCH(O197,('Spell Tables'!$AD$119:$AD$122),0)),IF($O$285&gt;=O197,INDEX('Spell Tables'!$AF$97:$AF$102,MATCH(O197,('Spell Tables'!$AD$97:$AD$102),0)),IF($O$289&gt;=O197,INDEX('Spell Tables'!$AJ$48:$AJ$61,MATCH(O197,('Spell Tables'!$AH$48:$AH$61),0)),IF($O$291&gt;=O197,INDEX('Spell Tables'!$AJ$26:$AJ$38,MATCH(O197,('Spell Tables'!$AH$26:$AH$38),0)),IF($O$293&gt;=O197,INDEX('Spell Tables'!$AJ$2:$AJ$17,MATCH(O197,('Spell Tables'!$AH$2:$AH$17),0))," "))))))))))</f>
        <v xml:space="preserve"> </v>
      </c>
      <c r="Q299" s="65" t="str">
        <f ca="1">IF($P$275&gt;=O266,INDEX($AL$104:$AL$113,MATCH(O266,($AJ$104:$AJ$113),0)),IF($P$279&gt;=O266,INDEX('Spell Tables'!$AN$168:$AN$177,MATCH(O266,('Spell Tables'!$AL$168:$AL$177),0)),IF($P$289&gt;=O266,INDEX('Spell Tables'!$AN$48:$AN$56,MATCH(O266,('Spell Tables'!$AL$48:$AL$56),0)),IF($P$291&gt;=O266,INDEX('Spell Tables'!$AN$26:$AN$35,MATCH(O266,('Spell Tables'!$AL$26:$AL$35),0)),IF($P$293&gt;=O266,INDEX('Spell Tables'!$AN$2:$AN$8,MATCH(O266,('Spell Tables'!$AL$2:$AL$8),0))," ")))))</f>
        <v xml:space="preserve"> </v>
      </c>
      <c r="R299" s="65" t="str">
        <f ca="1">IF($Q$275&gt;=O266,INDEX($AL$116:$AL$125,MATCH(O266,($AJ$116:$AJ$125),0)),IF($Q$279&gt;=O266,INDEX('Spell Tables'!$AR$168:$AR$175,MATCH(O266,('Spell Tables'!$AP$168:$AP$175),0)),IF($Q$289&gt;=O266,INDEX('Spell Tables'!$AR$48:$AR$52,MATCH(O266,('Spell Tables'!$AP$48:$AP$52),0)),IF($Q$291&gt;=O266,INDEX('Spell Tables'!$AR$26:$AR$33,MATCH(O266,('Spell Tables'!$AP$26:$AP$33),0)),IF($Q$293&gt;=O266,INDEX('Spell Tables'!$AR$2:$AR$11,MATCH(O266,('Spell Tables'!$AL$2:$AL$11),0))," ")))))</f>
        <v xml:space="preserve"> </v>
      </c>
      <c r="S299" s="65" t="str">
        <f ca="1">IF($R$275&gt;=O266,INDEX($AL$128:$AL$137,MATCH(O266,($AJ$128:$AJ$137),0)),IF($R$279&gt;=O266,INDEX('Spell Tables'!$AV$168:$AV$172,MATCH(O266,('Spell Tables'!$AT$168:$AT$172),0)),IF($R$289&gt;=O266,INDEX('Spell Tables'!$AV$48:$AV$54,MATCH(O266,('Spell Tables'!$AT$48:$AT$54),0)),IF($R$291&gt;=O266,INDEX('Spell Tables'!$AV$26:$AV$29,MATCH(O266,('Spell Tables'!$AT$26:$AT$29),0)),IF($R$293&gt;=O266,INDEX('Spell Tables'!$AV$2:$AV$6,MATCH(O266,('Spell Tables'!$AT$2:$AT$6),0))," ")))))</f>
        <v xml:space="preserve"> </v>
      </c>
      <c r="T299" s="66" t="str">
        <f ca="1">IF($S$289&gt;=O266,INDEX($AL$140:$AL$149,MATCH(O266,($AJ$140:$AJ$149),0)),IF($S$275&gt;=O266,INDEX('Spell Tables'!$AZ$242:$AZ$253,MATCH(O266,('Spell Tables'!$AX$242:$AX$253),0)),IF($S$279&gt;=O266,INDEX('Spell Tables'!$AZ$168:$AZ$172,MATCH(O266,('Spell Tables'!$AX$168:$AX$172),0)),IF($S$291&gt;=O266,INDEX('Spell Tables'!$AZ$26:$AZ$29,MATCH(O266,('Spell Tables'!$AX$26:$AX$29),0)),IF($S$293&gt;=O266,INDEX('Spell Tables'!$AZ$2:$AZ$5,MATCH(O266,('Spell Tables'!$AX$2:$AX$5),0))," ")))))</f>
        <v xml:space="preserve"> </v>
      </c>
    </row>
    <row r="300" spans="14:20" x14ac:dyDescent="0.3">
      <c r="N300" s="72"/>
      <c r="O300" s="133">
        <v>6</v>
      </c>
      <c r="P300" s="60" t="str">
        <f ca="1">IF(AND($Q$15="Otherworldly patron - great old one",O$277&gt;=O198),INDEX('Spell Tables'!$AJ$226:$AJ$231,MATCH(O198,('Spell Tables'!$AH$226:$AH$231),0)),IF(AND($Q$15="Otherworldly patron - fiend",O$277&gt;=O198),INDEX('Spell Tables'!$AJ$210:$AJ$215,MATCH(O198,('Spell Tables'!$AH$210:$AH$215),0)),IF(AND($Q$15="Otherworldly patron - archfey",O$277&gt;=O198),INDEX('Spell Tables'!$AJ$194:$AJ$199,MATCH(O198,('Spell Tables'!$AH$194:$AH$199),0)),IF($O$275&gt;=O198,INDEX($AL$92:$AL$101,MATCH(O198,($AJ$92:$AJ$101),0)),IF($O$279&gt;=O198,INDEX('Spell Tables'!$AJ$168:$AJ$178,MATCH(O198,('Spell Tables'!$AH$168:$AH$178),0)),IF($O$283&gt;=O198,INDEX('Spell Tables'!$AF$119:$AF$122,MATCH(O198,('Spell Tables'!$AD$119:$AD$122),0)),IF($O$285&gt;=O198,INDEX('Spell Tables'!$AF$97:$AF$102,MATCH(O198,('Spell Tables'!$AD$97:$AD$102),0)),IF($O$289&gt;=O198,INDEX('Spell Tables'!$AJ$48:$AJ$61,MATCH(O198,('Spell Tables'!$AH$48:$AH$61),0)),IF($O$291&gt;=O198,INDEX('Spell Tables'!$AJ$26:$AJ$38,MATCH(O198,('Spell Tables'!$AH$26:$AH$38),0)),IF($O$293&gt;=O198,INDEX('Spell Tables'!$AJ$2:$AJ$17,MATCH(O198,('Spell Tables'!$AH$2:$AH$17),0))," "))))))))))</f>
        <v xml:space="preserve"> </v>
      </c>
      <c r="Q300" s="60" t="str">
        <f ca="1">IF($P$275&gt;=O267,INDEX($AL$104:$AL$113,MATCH(O267,($AJ$104:$AJ$113),0)),IF($P$279&gt;=O267,INDEX('Spell Tables'!$AN$168:$AN$177,MATCH(O267,('Spell Tables'!$AL$168:$AL$177),0)),IF($P$289&gt;=O267,INDEX('Spell Tables'!$AN$48:$AN$56,MATCH(O267,('Spell Tables'!$AL$48:$AL$56),0)),IF($P$291&gt;=O267,INDEX('Spell Tables'!$AN$26:$AN$35,MATCH(O267,('Spell Tables'!$AL$26:$AL$35),0)),IF($P$293&gt;=O267,INDEX('Spell Tables'!$AN$2:$AN$8,MATCH(O267,('Spell Tables'!$AL$2:$AL$8),0))," ")))))</f>
        <v xml:space="preserve"> </v>
      </c>
      <c r="R300" s="60" t="str">
        <f ca="1">IF($Q$275&gt;=O267,INDEX($AL$116:$AL$125,MATCH(O267,($AJ$116:$AJ$125),0)),IF($Q$279&gt;=O267,INDEX('Spell Tables'!$AR$168:$AR$175,MATCH(O267,('Spell Tables'!$AP$168:$AP$175),0)),IF($Q$289&gt;=O267,INDEX('Spell Tables'!$AR$48:$AR$52,MATCH(O267,('Spell Tables'!$AP$48:$AP$52),0)),IF($Q$291&gt;=O267,INDEX('Spell Tables'!$AR$26:$AR$33,MATCH(O267,('Spell Tables'!$AP$26:$AP$33),0)),IF($Q$293&gt;=O267,INDEX('Spell Tables'!$AR$2:$AR$11,MATCH(O267,('Spell Tables'!$AL$2:$AL$11),0))," ")))))</f>
        <v xml:space="preserve"> </v>
      </c>
      <c r="S300" s="60" t="str">
        <f ca="1">IF($R$275&gt;=O267,INDEX($AL$128:$AL$137,MATCH(O267,($AJ$128:$AJ$137),0)),IF($R$279&gt;=O267,INDEX('Spell Tables'!$AV$168:$AV$172,MATCH(O267,('Spell Tables'!$AT$168:$AT$172),0)),IF($R$289&gt;=O267,INDEX('Spell Tables'!$AV$48:$AV$54,MATCH(O267,('Spell Tables'!$AT$48:$AT$54),0)),IF($R$291&gt;=O267,INDEX('Spell Tables'!$AV$26:$AV$29,MATCH(O267,('Spell Tables'!$AT$26:$AT$29),0)),IF($R$293&gt;=O267,INDEX('Spell Tables'!$AV$2:$AV$6,MATCH(O267,('Spell Tables'!$AT$2:$AT$6),0))," ")))))</f>
        <v xml:space="preserve"> </v>
      </c>
      <c r="T300" s="63" t="str">
        <f ca="1">IF($S$289&gt;=O267,INDEX($AL$140:$AL$149,MATCH(O267,($AJ$140:$AJ$149),0)),IF($S$275&gt;=O267,INDEX('Spell Tables'!$AZ$242:$AZ$253,MATCH(O267,('Spell Tables'!$AX$242:$AX$253),0)),IF($S$279&gt;=O267,INDEX('Spell Tables'!$AZ$168:$AZ$172,MATCH(O267,('Spell Tables'!$AX$168:$AX$172),0)),IF($S$291&gt;=O267,INDEX('Spell Tables'!$AZ$26:$AZ$29,MATCH(O267,('Spell Tables'!$AX$26:$AX$29),0)),IF($S$293&gt;=O267,INDEX('Spell Tables'!$AZ$2:$AZ$5,MATCH(O267,('Spell Tables'!$AX$2:$AX$5),0))," ")))))</f>
        <v xml:space="preserve"> </v>
      </c>
    </row>
    <row r="301" spans="14:20" x14ac:dyDescent="0.3">
      <c r="N301" s="72"/>
      <c r="O301" s="86">
        <v>7</v>
      </c>
      <c r="P301" s="65" t="str">
        <f ca="1">IF(AND($Q$15="Otherworldly patron - great old one",O$277&gt;=O199),INDEX('Spell Tables'!$AJ$226:$AJ$231,MATCH(O199,('Spell Tables'!$AH$226:$AH$231),0)),IF(AND($Q$15="Otherworldly patron - fiend",O$277&gt;=O199),INDEX('Spell Tables'!$AJ$210:$AJ$215,MATCH(O199,('Spell Tables'!$AH$210:$AH$215),0)),IF(AND($Q$15="Otherworldly patron - archfey",O$277&gt;=O199),INDEX('Spell Tables'!$AJ$194:$AJ$199,MATCH(O199,('Spell Tables'!$AH$194:$AH$199),0)),IF($O$275&gt;=O199,INDEX($AL$92:$AL$101,MATCH(O199,($AJ$92:$AJ$101),0)),IF($O$279&gt;=O199,INDEX('Spell Tables'!$AJ$168:$AJ$178,MATCH(O199,('Spell Tables'!$AH$168:$AH$178),0)),IF($O$283&gt;=O199,INDEX('Spell Tables'!$AF$119:$AF$122,MATCH(O199,('Spell Tables'!$AD$119:$AD$122),0)),IF($O$285&gt;=O199,INDEX('Spell Tables'!$AF$97:$AF$102,MATCH(O199,('Spell Tables'!$AD$97:$AD$102),0)),IF($O$289&gt;=O199,INDEX('Spell Tables'!$AJ$48:$AJ$61,MATCH(O199,('Spell Tables'!$AH$48:$AH$61),0)),IF($O$291&gt;=O199,INDEX('Spell Tables'!$AJ$26:$AJ$38,MATCH(O199,('Spell Tables'!$AH$26:$AH$38),0)),IF($O$293&gt;=O199,INDEX('Spell Tables'!$AJ$2:$AJ$17,MATCH(O199,('Spell Tables'!$AH$2:$AH$17),0))," "))))))))))</f>
        <v xml:space="preserve"> </v>
      </c>
      <c r="Q301" s="65" t="str">
        <f ca="1">IF($P$275&gt;=O268,INDEX($AL$104:$AL$113,MATCH(O268,($AJ$104:$AJ$113),0)),IF($P$279&gt;=O268,INDEX('Spell Tables'!$AN$168:$AN$177,MATCH(O268,('Spell Tables'!$AL$168:$AL$177),0)),IF($P$289&gt;=O268,INDEX('Spell Tables'!$AN$48:$AN$56,MATCH(O268,('Spell Tables'!$AL$48:$AL$56),0)),IF($P$291&gt;=O268,INDEX('Spell Tables'!$AN$26:$AN$35,MATCH(O268,('Spell Tables'!$AL$26:$AL$35),0)),IF($P$293&gt;=O268,INDEX('Spell Tables'!$AN$2:$AN$8,MATCH(O268,('Spell Tables'!$AL$2:$AL$8),0))," ")))))</f>
        <v xml:space="preserve"> </v>
      </c>
      <c r="R301" s="65" t="str">
        <f ca="1">IF($Q$275&gt;=O268,INDEX($AL$116:$AL$125,MATCH(O268,($AJ$116:$AJ$125),0)),IF($Q$279&gt;=O268,INDEX('Spell Tables'!$AR$168:$AR$175,MATCH(O268,('Spell Tables'!$AP$168:$AP$175),0)),IF($Q$289&gt;=O268,INDEX('Spell Tables'!$AR$48:$AR$52,MATCH(O268,('Spell Tables'!$AP$48:$AP$52),0)),IF($Q$291&gt;=O268,INDEX('Spell Tables'!$AR$26:$AR$33,MATCH(O268,('Spell Tables'!$AP$26:$AP$33),0)),IF($Q$293&gt;=O268,INDEX('Spell Tables'!$AR$2:$AR$11,MATCH(O268,('Spell Tables'!$AL$2:$AL$11),0))," ")))))</f>
        <v xml:space="preserve"> </v>
      </c>
      <c r="S301" s="65" t="str">
        <f ca="1">IF($R$275&gt;=O268,INDEX($AL$128:$AL$137,MATCH(O268,($AJ$128:$AJ$137),0)),IF($R$279&gt;=O268,INDEX('Spell Tables'!$AV$168:$AV$172,MATCH(O268,('Spell Tables'!$AT$168:$AT$172),0)),IF($R$289&gt;=O268,INDEX('Spell Tables'!$AV$48:$AV$54,MATCH(O268,('Spell Tables'!$AT$48:$AT$54),0)),IF($R$291&gt;=O268,INDEX('Spell Tables'!$AV$26:$AV$29,MATCH(O268,('Spell Tables'!$AT$26:$AT$29),0)),IF($R$293&gt;=O268,INDEX('Spell Tables'!$AV$2:$AV$6,MATCH(O268,('Spell Tables'!$AT$2:$AT$6),0))," ")))))</f>
        <v xml:space="preserve"> </v>
      </c>
      <c r="T301" s="66" t="str">
        <f ca="1">IF($S$289&gt;=O268,INDEX($AL$140:$AL$149,MATCH(O268,($AJ$140:$AJ$149),0)),IF($S$275&gt;=O268,INDEX('Spell Tables'!$AZ$242:$AZ$253,MATCH(O268,('Spell Tables'!$AX$242:$AX$253),0)),IF($S$279&gt;=O268,INDEX('Spell Tables'!$AZ$168:$AZ$172,MATCH(O268,('Spell Tables'!$AX$168:$AX$172),0)),IF($S$291&gt;=O268,INDEX('Spell Tables'!$AZ$26:$AZ$29,MATCH(O268,('Spell Tables'!$AX$26:$AX$29),0)),IF($S$293&gt;=O268,INDEX('Spell Tables'!$AZ$2:$AZ$5,MATCH(O268,('Spell Tables'!$AX$2:$AX$5),0))," ")))))</f>
        <v xml:space="preserve"> </v>
      </c>
    </row>
    <row r="302" spans="14:20" x14ac:dyDescent="0.3">
      <c r="N302" s="72"/>
      <c r="O302" s="133">
        <v>8</v>
      </c>
      <c r="P302" s="60" t="str">
        <f ca="1">IF(AND($Q$15="Otherworldly patron - great old one",O$277&gt;=O200),INDEX('Spell Tables'!$AJ$226:$AJ$231,MATCH(O200,('Spell Tables'!$AH$226:$AH$231),0)),IF(AND($Q$15="Otherworldly patron - fiend",O$277&gt;=O200),INDEX('Spell Tables'!$AJ$210:$AJ$215,MATCH(O200,('Spell Tables'!$AH$210:$AH$215),0)),IF(AND($Q$15="Otherworldly patron - archfey",O$277&gt;=O200),INDEX('Spell Tables'!$AJ$194:$AJ$199,MATCH(O200,('Spell Tables'!$AH$194:$AH$199),0)),IF($O$275&gt;=O200,INDEX($AL$92:$AL$101,MATCH(O200,($AJ$92:$AJ$101),0)),IF($O$279&gt;=O200,INDEX('Spell Tables'!$AJ$168:$AJ$178,MATCH(O200,('Spell Tables'!$AH$168:$AH$178),0)),IF($O$283&gt;=O200,INDEX('Spell Tables'!$AF$119:$AF$122,MATCH(O200,('Spell Tables'!$AD$119:$AD$122),0)),IF($O$285&gt;=O200,INDEX('Spell Tables'!$AF$97:$AF$102,MATCH(O200,('Spell Tables'!$AD$97:$AD$102),0)),IF($O$289&gt;=O200,INDEX('Spell Tables'!$AJ$48:$AJ$61,MATCH(O200,('Spell Tables'!$AH$48:$AH$61),0)),IF($O$291&gt;=O200,INDEX('Spell Tables'!$AJ$26:$AJ$38,MATCH(O200,('Spell Tables'!$AH$26:$AH$38),0)),IF($O$293&gt;=O200,INDEX('Spell Tables'!$AJ$2:$AJ$17,MATCH(O200,('Spell Tables'!$AH$2:$AH$17),0))," "))))))))))</f>
        <v xml:space="preserve"> </v>
      </c>
      <c r="Q302" s="60" t="str">
        <f ca="1">IF($P$275&gt;=O269,INDEX($AL$104:$AL$113,MATCH(O269,($AJ$104:$AJ$113),0)),IF($P$279&gt;=O269,INDEX('Spell Tables'!$AN$168:$AN$177,MATCH(O269,('Spell Tables'!$AL$168:$AL$177),0)),IF($P$289&gt;=O269,INDEX('Spell Tables'!$AN$48:$AN$56,MATCH(O269,('Spell Tables'!$AL$48:$AL$56),0)),IF($P$291&gt;=O269,INDEX('Spell Tables'!$AN$26:$AN$35,MATCH(O269,('Spell Tables'!$AL$26:$AL$35),0)),IF($P$293&gt;=O269,INDEX('Spell Tables'!$AN$2:$AN$8,MATCH(O269,('Spell Tables'!$AL$2:$AL$8),0))," ")))))</f>
        <v xml:space="preserve"> </v>
      </c>
      <c r="R302" s="60" t="str">
        <f ca="1">IF($Q$275&gt;=O269,INDEX($AL$116:$AL$125,MATCH(O269,($AJ$116:$AJ$125),0)),IF($Q$279&gt;=O269,INDEX('Spell Tables'!$AR$168:$AR$175,MATCH(O269,('Spell Tables'!$AP$168:$AP$175),0)),IF($Q$289&gt;=O269,INDEX('Spell Tables'!$AR$48:$AR$52,MATCH(O269,('Spell Tables'!$AP$48:$AP$52),0)),IF($Q$291&gt;=O269,INDEX('Spell Tables'!$AR$26:$AR$33,MATCH(O269,('Spell Tables'!$AP$26:$AP$33),0)),IF($Q$293&gt;=O269,INDEX('Spell Tables'!$AR$2:$AR$11,MATCH(O269,('Spell Tables'!$AL$2:$AL$11),0))," ")))))</f>
        <v xml:space="preserve"> </v>
      </c>
      <c r="S302" s="60" t="str">
        <f ca="1">IF($R$275&gt;=O269,INDEX($AL$128:$AL$137,MATCH(O269,($AJ$128:$AJ$137),0)),IF($R$279&gt;=O269,INDEX('Spell Tables'!$AV$168:$AV$172,MATCH(O269,('Spell Tables'!$AT$168:$AT$172),0)),IF($R$289&gt;=O269,INDEX('Spell Tables'!$AV$48:$AV$54,MATCH(O269,('Spell Tables'!$AT$48:$AT$54),0)),IF($R$291&gt;=O269,INDEX('Spell Tables'!$AV$26:$AV$29,MATCH(O269,('Spell Tables'!$AT$26:$AT$29),0)),IF($R$293&gt;=O269,INDEX('Spell Tables'!$AV$2:$AV$6,MATCH(O269,('Spell Tables'!$AT$2:$AT$6),0))," ")))))</f>
        <v xml:space="preserve"> </v>
      </c>
      <c r="T302" s="63" t="str">
        <f ca="1">IF($S$289&gt;=O269,INDEX($AL$140:$AL$149,MATCH(O269,($AJ$140:$AJ$149),0)),IF($S$275&gt;=O269,INDEX('Spell Tables'!$AZ$242:$AZ$253,MATCH(O269,('Spell Tables'!$AX$242:$AX$253),0)),IF($S$279&gt;=O269,INDEX('Spell Tables'!$AZ$168:$AZ$172,MATCH(O269,('Spell Tables'!$AX$168:$AX$172),0)),IF($S$291&gt;=O269,INDEX('Spell Tables'!$AZ$26:$AZ$29,MATCH(O269,('Spell Tables'!$AX$26:$AX$29),0)),IF($S$293&gt;=O269,INDEX('Spell Tables'!$AZ$2:$AZ$5,MATCH(O269,('Spell Tables'!$AX$2:$AX$5),0))," ")))))</f>
        <v xml:space="preserve"> </v>
      </c>
    </row>
    <row r="303" spans="14:20" x14ac:dyDescent="0.3">
      <c r="N303" s="72"/>
      <c r="O303" s="86">
        <v>9</v>
      </c>
      <c r="P303" s="65" t="str">
        <f ca="1">IF(AND($Q$15="Otherworldly patron - great old one",O$277&gt;=O201),INDEX('Spell Tables'!$AJ$226:$AJ$231,MATCH(O201,('Spell Tables'!$AH$226:$AH$231),0)),IF(AND($Q$15="Otherworldly patron - fiend",O$277&gt;=O201),INDEX('Spell Tables'!$AJ$210:$AJ$215,MATCH(O201,('Spell Tables'!$AH$210:$AH$215),0)),IF(AND($Q$15="Otherworldly patron - archfey",O$277&gt;=O201),INDEX('Spell Tables'!$AJ$194:$AJ$199,MATCH(O201,('Spell Tables'!$AH$194:$AH$199),0)),IF($O$275&gt;=O201,INDEX($AL$92:$AL$101,MATCH(O201,($AJ$92:$AJ$101),0)),IF($O$279&gt;=O201,INDEX('Spell Tables'!$AJ$168:$AJ$178,MATCH(O201,('Spell Tables'!$AH$168:$AH$178),0)),IF($O$283&gt;=O201,INDEX('Spell Tables'!$AF$119:$AF$122,MATCH(O201,('Spell Tables'!$AD$119:$AD$122),0)),IF($O$285&gt;=O201,INDEX('Spell Tables'!$AF$97:$AF$102,MATCH(O201,('Spell Tables'!$AD$97:$AD$102),0)),IF($O$289&gt;=O201,INDEX('Spell Tables'!$AJ$48:$AJ$61,MATCH(O201,('Spell Tables'!$AH$48:$AH$61),0)),IF($O$291&gt;=O201,INDEX('Spell Tables'!$AJ$26:$AJ$38,MATCH(O201,('Spell Tables'!$AH$26:$AH$38),0)),IF($O$293&gt;=O201,INDEX('Spell Tables'!$AJ$2:$AJ$17,MATCH(O201,('Spell Tables'!$AH$2:$AH$17),0))," "))))))))))</f>
        <v xml:space="preserve"> </v>
      </c>
      <c r="Q303" s="65" t="str">
        <f ca="1">IF($P$275&gt;=O270,INDEX($AL$104:$AL$113,MATCH(O270,($AJ$104:$AJ$113),0)),IF($P$279&gt;=O270,INDEX('Spell Tables'!$AN$168:$AN$177,MATCH(O270,('Spell Tables'!$AL$168:$AL$177),0)),IF($P$289&gt;=O270,INDEX('Spell Tables'!$AN$48:$AN$56,MATCH(O270,('Spell Tables'!$AL$48:$AL$56),0)),IF($P$291&gt;=O270,INDEX('Spell Tables'!$AN$26:$AN$35,MATCH(O270,('Spell Tables'!$AL$26:$AL$35),0)),IF($P$293&gt;=O270,INDEX('Spell Tables'!$AN$2:$AN$8,MATCH(O270,('Spell Tables'!$AL$2:$AL$8),0))," ")))))</f>
        <v xml:space="preserve"> </v>
      </c>
      <c r="R303" s="65" t="str">
        <f ca="1">IF($Q$275&gt;=O270,INDEX($AL$116:$AL$125,MATCH(O270,($AJ$116:$AJ$125),0)),IF($Q$279&gt;=O270,INDEX('Spell Tables'!$AR$168:$AR$175,MATCH(O270,('Spell Tables'!$AP$168:$AP$175),0)),IF($Q$289&gt;=O270,INDEX('Spell Tables'!$AR$48:$AR$52,MATCH(O270,('Spell Tables'!$AP$48:$AP$52),0)),IF($Q$291&gt;=O270,INDEX('Spell Tables'!$AR$26:$AR$33,MATCH(O270,('Spell Tables'!$AP$26:$AP$33),0)),IF($Q$293&gt;=O270,INDEX('Spell Tables'!$AR$2:$AR$11,MATCH(O270,('Spell Tables'!$AL$2:$AL$11),0))," ")))))</f>
        <v xml:space="preserve"> </v>
      </c>
      <c r="S303" s="65" t="str">
        <f ca="1">IF($R$275&gt;=O270,INDEX($AL$128:$AL$137,MATCH(O270,($AJ$128:$AJ$137),0)),IF($R$279&gt;=O270,INDEX('Spell Tables'!$AV$168:$AV$172,MATCH(O270,('Spell Tables'!$AT$168:$AT$172),0)),IF($R$289&gt;=O270,INDEX('Spell Tables'!$AV$48:$AV$54,MATCH(O270,('Spell Tables'!$AT$48:$AT$54),0)),IF($R$291&gt;=O270,INDEX('Spell Tables'!$AV$26:$AV$29,MATCH(O270,('Spell Tables'!$AT$26:$AT$29),0)),IF($R$293&gt;=O270,INDEX('Spell Tables'!$AV$2:$AV$6,MATCH(O270,('Spell Tables'!$AT$2:$AT$6),0))," ")))))</f>
        <v xml:space="preserve"> </v>
      </c>
      <c r="T303" s="66" t="str">
        <f ca="1">IF($S$289&gt;=O270,INDEX($AL$140:$AL$149,MATCH(O270,($AJ$140:$AJ$149),0)),IF($S$275&gt;=O270,INDEX('Spell Tables'!$AZ$242:$AZ$253,MATCH(O270,('Spell Tables'!$AX$242:$AX$253),0)),IF($S$279&gt;=O270,INDEX('Spell Tables'!$AZ$168:$AZ$172,MATCH(O270,('Spell Tables'!$AX$168:$AX$172),0)),IF($S$291&gt;=O270,INDEX('Spell Tables'!$AZ$26:$AZ$29,MATCH(O270,('Spell Tables'!$AX$26:$AX$29),0)),IF($S$293&gt;=O270,INDEX('Spell Tables'!$AZ$2:$AZ$5,MATCH(O270,('Spell Tables'!$AX$2:$AX$5),0))," ")))))</f>
        <v xml:space="preserve"> </v>
      </c>
    </row>
    <row r="304" spans="14:20" ht="19.5" thickBot="1" x14ac:dyDescent="0.35">
      <c r="N304" s="72"/>
      <c r="O304" s="134">
        <v>10</v>
      </c>
      <c r="P304" s="67" t="str">
        <f ca="1">IF(AND($Q$15="Otherworldly patron - great old one",O$277&gt;=O202),INDEX('Spell Tables'!$AJ$226:$AJ$231,MATCH(O202,('Spell Tables'!$AH$226:$AH$231),0)),IF(AND($Q$15="Otherworldly patron - fiend",O$277&gt;=O202),INDEX('Spell Tables'!$AJ$210:$AJ$215,MATCH(O202,('Spell Tables'!$AH$210:$AH$215),0)),IF(AND($Q$15="Otherworldly patron - archfey",O$277&gt;=O202),INDEX('Spell Tables'!$AJ$194:$AJ$199,MATCH(O202,('Spell Tables'!$AH$194:$AH$199),0)),IF($O$275&gt;=O202,INDEX($AL$92:$AL$101,MATCH(O202,($AJ$92:$AJ$101),0)),IF($O$279&gt;=O202,INDEX('Spell Tables'!$AJ$168:$AJ$178,MATCH(O202,('Spell Tables'!$AH$168:$AH$178),0)),IF($O$283&gt;=O202,INDEX('Spell Tables'!$AF$119:$AF$122,MATCH(O202,('Spell Tables'!$AD$119:$AD$122),0)),IF($O$285&gt;=O202,INDEX('Spell Tables'!$AF$97:$AF$102,MATCH(O202,('Spell Tables'!$AD$97:$AD$102),0)),IF($O$289&gt;=O202,INDEX('Spell Tables'!$AJ$48:$AJ$61,MATCH(O202,('Spell Tables'!$AH$48:$AH$61),0)),IF($O$291&gt;=O202,INDEX('Spell Tables'!$AJ$26:$AJ$38,MATCH(O202,('Spell Tables'!$AH$26:$AH$38),0)),IF($O$293&gt;=O202,INDEX('Spell Tables'!$AJ$2:$AJ$17,MATCH(O202,('Spell Tables'!$AH$2:$AH$17),0))," "))))))))))</f>
        <v xml:space="preserve"> </v>
      </c>
      <c r="Q304" s="67" t="str">
        <f ca="1">IF($P$275&gt;=O271,INDEX($AL$104:$AL$113,MATCH(O271,($AJ$104:$AJ$113),0)),IF($P$279&gt;=O271,INDEX('Spell Tables'!$AN$168:$AN$177,MATCH(O271,('Spell Tables'!$AL$168:$AL$177),0)),IF($P$289&gt;=O271,INDEX('Spell Tables'!$AN$48:$AN$56,MATCH(O271,('Spell Tables'!$AL$48:$AL$56),0)),IF($P$291&gt;=O271,INDEX('Spell Tables'!$AN$26:$AN$35,MATCH(O271,('Spell Tables'!$AL$26:$AL$35),0)),IF($P$293&gt;=O271,INDEX('Spell Tables'!$AN$2:$AN$8,MATCH(O271,('Spell Tables'!$AL$2:$AL$8),0))," ")))))</f>
        <v xml:space="preserve"> </v>
      </c>
      <c r="R304" s="67" t="str">
        <f ca="1">IF($Q$275&gt;=O271,INDEX($AL$116:$AL$125,MATCH(O271,($AJ$116:$AJ$125),0)),IF($Q$279&gt;=O271,INDEX('Spell Tables'!$AR$168:$AR$175,MATCH(O271,('Spell Tables'!$AP$168:$AP$175),0)),IF($Q$289&gt;=O271,INDEX('Spell Tables'!$AR$48:$AR$52,MATCH(O271,('Spell Tables'!$AP$48:$AP$52),0)),IF($Q$291&gt;=O271,INDEX('Spell Tables'!$AR$26:$AR$33,MATCH(O271,('Spell Tables'!$AP$26:$AP$33),0)),IF($Q$293&gt;=O271,INDEX('Spell Tables'!$AR$2:$AR$11,MATCH(O271,('Spell Tables'!$AL$2:$AL$11),0))," ")))))</f>
        <v xml:space="preserve"> </v>
      </c>
      <c r="S304" s="67" t="str">
        <f ca="1">IF($R$275&gt;=O271,INDEX($AL$128:$AL$137,MATCH(O271,($AJ$128:$AJ$137),0)),IF($R$279&gt;=O271,INDEX('Spell Tables'!$AV$168:$AV$172,MATCH(O271,('Spell Tables'!$AT$168:$AT$172),0)),IF($R$289&gt;=O271,INDEX('Spell Tables'!$AV$48:$AV$54,MATCH(O271,('Spell Tables'!$AT$48:$AT$54),0)),IF($R$291&gt;=O271,INDEX('Spell Tables'!$AV$26:$AV$29,MATCH(O271,('Spell Tables'!$AT$26:$AT$29),0)),IF($R$293&gt;=O271,INDEX('Spell Tables'!$AV$2:$AV$6,MATCH(O271,('Spell Tables'!$AT$2:$AT$6),0))," ")))))</f>
        <v xml:space="preserve"> </v>
      </c>
      <c r="T304" s="68" t="str">
        <f ca="1">IF($S$289&gt;=O271,INDEX($AL$140:$AL$149,MATCH(O271,($AJ$140:$AJ$149),0)),IF($S$275&gt;=O271,INDEX('Spell Tables'!$AZ$242:$AZ$253,MATCH(O271,('Spell Tables'!$AX$242:$AX$253),0)),IF($S$279&gt;=O271,INDEX('Spell Tables'!$AZ$168:$AZ$172,MATCH(O271,('Spell Tables'!$AX$168:$AX$172),0)),IF($S$291&gt;=O271,INDEX('Spell Tables'!$AZ$26:$AZ$29,MATCH(O271,('Spell Tables'!$AX$26:$AX$29),0)),IF($S$293&gt;=O271,INDEX('Spell Tables'!$AZ$2:$AZ$5,MATCH(O271,('Spell Tables'!$AX$2:$AX$5),0))," ")))))</f>
        <v xml:space="preserve"> </v>
      </c>
    </row>
    <row r="305" spans="2:20" ht="19.5" thickBot="1" x14ac:dyDescent="0.35"/>
    <row r="306" spans="2:20" ht="30.75" thickBot="1" x14ac:dyDescent="0.45">
      <c r="B306" s="105" t="s">
        <v>1271</v>
      </c>
    </row>
    <row r="307" spans="2:20" ht="19.5" hidden="1" thickBot="1" x14ac:dyDescent="0.35">
      <c r="P307" s="29" t="s">
        <v>1166</v>
      </c>
      <c r="Q307" s="29" t="s">
        <v>1167</v>
      </c>
      <c r="R307" s="29" t="s">
        <v>1168</v>
      </c>
      <c r="S307" s="29" t="s">
        <v>676</v>
      </c>
    </row>
    <row r="308" spans="2:20" ht="19.5" hidden="1" thickBot="1" x14ac:dyDescent="0.35">
      <c r="B308" s="29" t="s">
        <v>1270</v>
      </c>
      <c r="O308" s="29" t="s">
        <v>530</v>
      </c>
      <c r="P308" s="29" t="str">
        <f ca="1">IF(AND(O11="wizard",O12&gt;=3),"x",IF(O11="wizard","xx"," "))</f>
        <v xml:space="preserve"> </v>
      </c>
      <c r="Q308" s="29" t="str">
        <f ca="1">IF(AND(O11="wizard",O12&gt;=9),"xxxx",IF(AND(O11="wizard",O12&gt;=5),"x",IF(AND($O$11="wizard",$O$12&gt;3),"xx",IF(AND(O11="wizard",O12=3),"xxx"," "))))</f>
        <v xml:space="preserve"> </v>
      </c>
      <c r="R308" s="29" t="str">
        <f ca="1">IF(AND(O11="wizard",O12&gt;=11),"xxxx",IF(AND(O11="wizard",O12&gt;=7),"x",IF(AND($O$11="wizard",$O$12&gt;5),"xx",IF(AND(O11="wizard",O12=5),"xxx"," "))))</f>
        <v xml:space="preserve"> </v>
      </c>
      <c r="S308" s="29" t="str">
        <f ca="1">IF(AND(O11="wizard",O12&gt;=13),"xxxx",IF(AND(O11="wizard",O12&gt;=9),"x",IF(AND($O$11="wizard",$O$12&gt;7),"xx",IF(AND(O11="wizard",O12=7),"xxx"," "))))</f>
        <v xml:space="preserve"> </v>
      </c>
    </row>
    <row r="309" spans="2:20" ht="19.5" hidden="1" thickBot="1" x14ac:dyDescent="0.35">
      <c r="B309" s="29" t="s">
        <v>1271</v>
      </c>
      <c r="O309" s="29" t="str">
        <f ca="1">IF(O11="wizard",((O12-1)*2)+6," ")</f>
        <v xml:space="preserve"> </v>
      </c>
      <c r="P309" s="29">
        <f ca="1">IF(AND(O11="wizard",O12=2),O309,IF(AND(O11="wizard",O12=1),$O$309,IF(AND(O11="wizard",O12&gt;=3),MAX(8,O309-SUM(U216:X216)),0)))</f>
        <v>0</v>
      </c>
      <c r="Q309" s="29">
        <f ca="1">IF(Q$308="xxxx",MAX(R173,(RANDBETWEEN(5,6))),IF(Q308="x",MAX(R173,(RANDBETWEEN(3,6))),IF(Q308="xx",MAX(R173,(RANDBETWEEN(2,4))),IF(Q308="xxx",MAX(R173,(2)),0))))</f>
        <v>0</v>
      </c>
      <c r="R309" s="29">
        <f ca="1">IF($R308="xxxx",MAX(S173,(RANDBETWEEN(5,6))),IF(R308="x",MAX(S173,(RANDBETWEEN(3,6))),IF(R308="xx",MAX(S173,(RANDBETWEEN(2,4))),IF(R308="xxx",MAX(S173,(2)),0))))</f>
        <v>0</v>
      </c>
      <c r="S309" s="29">
        <f ca="1">IF(S$308="xxxx",MAX(T173,(RANDBETWEEN(5,6))),IF(S308="x",MAX(T173,(RANDBETWEEN(3,6))),IF(S308="xx",MAX(T173,(RANDBETWEEN(2,4))),IF(S308="xxx",MAX(T173,(2)),0))))</f>
        <v>0</v>
      </c>
    </row>
    <row r="310" spans="2:20" ht="19.5" hidden="1" thickBot="1" x14ac:dyDescent="0.35">
      <c r="P310" s="98" t="s">
        <v>1166</v>
      </c>
      <c r="Q310" s="98" t="s">
        <v>1167</v>
      </c>
      <c r="R310" s="98" t="s">
        <v>1168</v>
      </c>
      <c r="S310" s="98" t="s">
        <v>676</v>
      </c>
    </row>
    <row r="311" spans="2:20" ht="19.5" hidden="1" thickBot="1" x14ac:dyDescent="0.35">
      <c r="P311" s="98" t="str">
        <f ca="1">IF(AND(Q11="wizard",Q12&gt;=3),"x",IF(Q11="wizard","xx"," "))</f>
        <v xml:space="preserve"> </v>
      </c>
      <c r="Q311" s="98" t="str">
        <f ca="1">IF(AND(Q11="wizard",Q12&gt;=9),"xxxx",IF(AND(Q11="wizard",Q12&gt;=5),"x",IF(AND($Q$11="wizard",$Q$12&gt;3),"xx",IF(AND(Q11="wizard",Q12=3),"xxx"," "))))</f>
        <v xml:space="preserve"> </v>
      </c>
      <c r="R311" s="98" t="str">
        <f ca="1">IF(AND(Q11="wizard",Q12&gt;=11),"xxxx",IF(AND(Q11="wizard",Q12&gt;=7),"x",IF(AND($Q$11="wizard",$Q$12&gt;5),"xx",IF(AND(Q11="wizard",Q12=5),"xxx"," "))))</f>
        <v xml:space="preserve"> </v>
      </c>
      <c r="S311" s="98" t="str">
        <f ca="1">IF(AND(Q11="wizard",Q12&gt;=13),"xxxx",IF(AND(Q11="wizard",Q12&gt;=9),"x",IF(AND($Q$11="wizard",$Q$12&gt;7),"xx",IF(AND(Q11="wizard",Q12=7),"xxx"," "))))</f>
        <v xml:space="preserve"> </v>
      </c>
    </row>
    <row r="312" spans="2:20" ht="19.5" hidden="1" thickBot="1" x14ac:dyDescent="0.35">
      <c r="P312" s="98">
        <f ca="1">IF(AND(Q11="wizard",Q12=2),AK41,IF(AND(Q11="wizard",Q12=1),$AK$41,IF(AND(Q11="wizard",Q12&gt;=3),MAX(8,AK41-SUM(U219:X219)),0)))</f>
        <v>0</v>
      </c>
      <c r="Q312" s="98">
        <f ca="1">IF(Q$311="xxxx",MAX(R242,(RANDBETWEEN(5,6))),IF(Q311="x",MAX(R242,(RANDBETWEEN(3,6))),IF(Q311="xx",MAX(R242,(RANDBETWEEN(2,4))),IF(Q311="xxx",MAX(R242,(2)),0))))</f>
        <v>0</v>
      </c>
      <c r="R312" s="98">
        <f ca="1">IF($R311="xxxx",MAX(S242,(RANDBETWEEN(5,6))),IF(R311="x",MAX(S242,(RANDBETWEEN(3,6))),IF(R311="xx",MAX(S242,(RANDBETWEEN(2,4))),IF(R311="xxx",MAX(S242,(2)),0))))</f>
        <v>0</v>
      </c>
      <c r="S312" s="98">
        <f ca="1">IF(S$311="xxxx",MAX(T242,(RANDBETWEEN(5,6))),IF(S311="x",MAX(T242,(RANDBETWEEN(3,6))),IF(S311="xx",MAX(T242,(RANDBETWEEN(2,4))),IF(S311="xxx",MAX(T242,(2)),0))))</f>
        <v>0</v>
      </c>
    </row>
    <row r="313" spans="2:20" ht="19.5" hidden="1" thickBot="1" x14ac:dyDescent="0.35"/>
    <row r="314" spans="2:20" x14ac:dyDescent="0.3">
      <c r="B314" s="79"/>
      <c r="C314" s="27"/>
      <c r="D314" s="27"/>
      <c r="E314" s="27"/>
      <c r="F314" s="27"/>
      <c r="G314" s="27"/>
      <c r="H314" s="27"/>
      <c r="I314" s="27"/>
      <c r="J314" s="27"/>
      <c r="K314" s="27"/>
      <c r="L314" s="27"/>
      <c r="M314" s="27"/>
      <c r="N314" s="27"/>
      <c r="O314" s="27"/>
      <c r="P314" s="76" t="s">
        <v>1124</v>
      </c>
      <c r="Q314" s="76" t="s">
        <v>1166</v>
      </c>
      <c r="R314" s="76" t="s">
        <v>1167</v>
      </c>
      <c r="S314" s="76" t="s">
        <v>1168</v>
      </c>
      <c r="T314" s="77" t="s">
        <v>676</v>
      </c>
    </row>
    <row r="315" spans="2:20" x14ac:dyDescent="0.3">
      <c r="B315" s="79"/>
      <c r="C315" s="33"/>
      <c r="D315" s="33"/>
      <c r="E315" s="33"/>
      <c r="F315" s="33"/>
      <c r="G315" s="33"/>
      <c r="H315" s="33"/>
      <c r="I315" s="33"/>
      <c r="J315" s="33"/>
      <c r="K315" s="33"/>
      <c r="L315" s="33"/>
      <c r="M315" s="33"/>
      <c r="N315" s="33"/>
      <c r="O315" s="34">
        <v>1</v>
      </c>
      <c r="P315" s="33" t="str">
        <f t="shared" ref="P315:P324" ca="1" si="67">IF($O$11="wizard",P193,IF($Q$11="wizard",P262," "))</f>
        <v xml:space="preserve"> </v>
      </c>
      <c r="Q315" s="33" t="str">
        <f ca="1">IF(AND($O$11="wizard",$P$309&gt;=O315),INDEX('Spell Tables'!$T$242:$T$271,MATCH(1,(O315:O324),0)),IF(AND($Q$11="wizard",$P$312&gt;=O315),INDEX('Spell Tables'!$T$242:$T$271,MATCH(O315,('Spell Tables'!$R$242:$R$271),0))," "))</f>
        <v xml:space="preserve"> </v>
      </c>
      <c r="R315" s="33" t="str">
        <f ca="1">IF($Q$309&gt;=O315,INDEX('Spell Tables'!$X$242:$X$275,MATCH(O315,('Spell Tables'!$V$242:$V$275),0)),IF(AND($Q$11="wizard",$Q$312&gt;=O315),INDEX('Spell Tables'!$X$242:$X$275,MATCH(O315,('Spell Tables'!$V$242:$V$275),0))," "))</f>
        <v xml:space="preserve"> </v>
      </c>
      <c r="S315" s="33" t="str">
        <f ca="1">IF($R$309&gt;=O315,INDEX('Spell Tables'!$AB$242:$AB$270,MATCH(O315,('Spell Tables'!$Z$242:$Z$270),0)),IF(AND($Q$11="wizard",$R$312&gt;=O315),INDEX('Spell Tables'!$AB$242:$AB$270,MATCH(O315,('Spell Tables'!$Z$242:$Z$270),0))," "))</f>
        <v xml:space="preserve"> </v>
      </c>
      <c r="T315" s="72" t="str">
        <f ca="1">IF($S$309&gt;=O315,INDEX('Spell Tables'!$AF$242:$AF$264,MATCH(O315,('Spell Tables'!$AD$242:$AD$264),0)),IF(AND($Q$11="wizard",$S$312&gt;=O315),INDEX('Spell Tables'!$AF$242:$AF$264,MATCH(O315,('Spell Tables'!$AD$242:$AD$264),0))," "))</f>
        <v xml:space="preserve"> </v>
      </c>
    </row>
    <row r="316" spans="2:20" x14ac:dyDescent="0.3">
      <c r="B316" s="79"/>
      <c r="C316" s="33"/>
      <c r="D316" s="33"/>
      <c r="E316" s="33"/>
      <c r="F316" s="33"/>
      <c r="G316" s="33"/>
      <c r="H316" s="33"/>
      <c r="I316" s="33"/>
      <c r="J316" s="33"/>
      <c r="K316" s="33"/>
      <c r="L316" s="33"/>
      <c r="M316" s="33"/>
      <c r="N316" s="33"/>
      <c r="O316" s="34">
        <v>2</v>
      </c>
      <c r="P316" s="33" t="str">
        <f t="shared" ca="1" si="67"/>
        <v xml:space="preserve"> </v>
      </c>
      <c r="Q316" s="33" t="str">
        <f ca="1">IF(AND($O$11="wizard",$P$309&gt;=O316),INDEX('Spell Tables'!$T$242:$T$271,MATCH(O316,('Spell Tables'!$R$242:$R$271),0)),IF(AND($Q$11="wizard",$P$312&gt;=O316),INDEX('Spell Tables'!$T$242:$T$271,MATCH(O316,('Spell Tables'!$R$242:$R$271),0))," "))</f>
        <v xml:space="preserve"> </v>
      </c>
      <c r="R316" s="33" t="str">
        <f ca="1">IF($Q$309&gt;=O316,INDEX('Spell Tables'!$X$242:$X$275,MATCH(O316,('Spell Tables'!$V$242:$V$275),0)),IF(AND($Q$11="wizard",$Q$312&gt;=O316),INDEX('Spell Tables'!$X$242:$X$275,MATCH(O316,('Spell Tables'!$V$242:$V$275),0))," "))</f>
        <v xml:space="preserve"> </v>
      </c>
      <c r="S316" s="33" t="str">
        <f ca="1">IF($R$309&gt;=O316,INDEX('Spell Tables'!$AB$242:$AB$270,MATCH(O316,('Spell Tables'!$Z$242:$Z$270),0)),IF(AND($Q$11="wizard",$R$312&gt;=O316),INDEX('Spell Tables'!$AB$242:$AB$270,MATCH(O316,('Spell Tables'!$Z$242:$Z$270),0))," "))</f>
        <v xml:space="preserve"> </v>
      </c>
      <c r="T316" s="72" t="str">
        <f ca="1">IF($S$309&gt;=O316,INDEX('Spell Tables'!$AF$242:$AF$264,MATCH(O316,('Spell Tables'!$AD$242:$AD$264),0)),IF(AND($Q$11="wizard",$S$312&gt;=O316),INDEX('Spell Tables'!$AF$242:$AF$264,MATCH(O316,('Spell Tables'!$AD$242:$AD$264),0))," "))</f>
        <v xml:space="preserve"> </v>
      </c>
    </row>
    <row r="317" spans="2:20" x14ac:dyDescent="0.3">
      <c r="B317" s="79"/>
      <c r="C317" s="33"/>
      <c r="D317" s="33"/>
      <c r="E317" s="33"/>
      <c r="F317" s="33"/>
      <c r="G317" s="33"/>
      <c r="H317" s="33"/>
      <c r="I317" s="33"/>
      <c r="J317" s="33"/>
      <c r="K317" s="33"/>
      <c r="L317" s="33"/>
      <c r="M317" s="33"/>
      <c r="N317" s="33"/>
      <c r="O317" s="34">
        <v>3</v>
      </c>
      <c r="P317" s="33" t="str">
        <f t="shared" ca="1" si="67"/>
        <v xml:space="preserve"> </v>
      </c>
      <c r="Q317" s="33" t="str">
        <f ca="1">IF(AND($O$11="wizard",$P$309&gt;=O317),INDEX('Spell Tables'!$T$242:$T$271,MATCH(O317,('Spell Tables'!$R$242:$R$271),0)),IF(AND($Q$11="wizard",$P$312&gt;=O317),INDEX('Spell Tables'!$T$242:$T$271,MATCH(O317,('Spell Tables'!$R$242:$R$271),0))," "))</f>
        <v xml:space="preserve"> </v>
      </c>
      <c r="R317" s="33" t="str">
        <f ca="1">IF($Q$309&gt;=O317,INDEX('Spell Tables'!$X$242:$X$275,MATCH(O317,('Spell Tables'!$V$242:$V$275),0)),IF(AND($Q$11="wizard",$Q$312&gt;=O317),INDEX('Spell Tables'!$X$242:$X$275,MATCH(O317,('Spell Tables'!$V$242:$V$275),0))," "))</f>
        <v xml:space="preserve"> </v>
      </c>
      <c r="S317" s="33" t="str">
        <f ca="1">IF($R$309&gt;=O317,INDEX('Spell Tables'!$AB$242:$AB$270,MATCH(O317,('Spell Tables'!$Z$242:$Z$270),0)),IF(AND($Q$11="wizard",$R$312&gt;=O317),INDEX('Spell Tables'!$AB$242:$AB$270,MATCH(O317,('Spell Tables'!$Z$242:$Z$270),0))," "))</f>
        <v xml:space="preserve"> </v>
      </c>
      <c r="T317" s="72" t="str">
        <f ca="1">IF($S$309&gt;=O317,INDEX('Spell Tables'!$AF$242:$AF$264,MATCH(O317,('Spell Tables'!$AD$242:$AD$264),0)),IF(AND($Q$11="wizard",$S$312&gt;=O317),INDEX('Spell Tables'!$AF$242:$AF$264,MATCH(O317,('Spell Tables'!$AD$242:$AD$264),0))," "))</f>
        <v xml:space="preserve"> </v>
      </c>
    </row>
    <row r="318" spans="2:20" x14ac:dyDescent="0.3">
      <c r="B318" s="79"/>
      <c r="C318" s="33"/>
      <c r="D318" s="33"/>
      <c r="E318" s="33"/>
      <c r="F318" s="33"/>
      <c r="G318" s="33"/>
      <c r="H318" s="33"/>
      <c r="I318" s="33"/>
      <c r="J318" s="33"/>
      <c r="K318" s="33"/>
      <c r="L318" s="33"/>
      <c r="M318" s="33"/>
      <c r="N318" s="33"/>
      <c r="O318" s="34">
        <v>4</v>
      </c>
      <c r="P318" s="33" t="str">
        <f t="shared" ca="1" si="67"/>
        <v xml:space="preserve"> </v>
      </c>
      <c r="Q318" s="33" t="str">
        <f ca="1">IF(AND($O$11="wizard",$P$309&gt;=O318),INDEX('Spell Tables'!$T$242:$T$271,MATCH(O318,('Spell Tables'!$R$242:$R$271),0)),IF(AND($Q$11="wizard",$P$312&gt;=O318),INDEX('Spell Tables'!$T$242:$T$271,MATCH(O318,('Spell Tables'!$R$242:$R$271),0))," "))</f>
        <v xml:space="preserve"> </v>
      </c>
      <c r="R318" s="33" t="str">
        <f ca="1">IF($Q$309&gt;=O318,INDEX('Spell Tables'!$X$242:$X$275,MATCH(O318,('Spell Tables'!$V$242:$V$275),0)),IF(AND($Q$11="wizard",$Q$312&gt;=O318),INDEX('Spell Tables'!$X$242:$X$275,MATCH(O318,('Spell Tables'!$V$242:$V$275),0))," "))</f>
        <v xml:space="preserve"> </v>
      </c>
      <c r="S318" s="33" t="str">
        <f ca="1">IF($R$309&gt;=O318,INDEX('Spell Tables'!$AB$242:$AB$270,MATCH(O318,('Spell Tables'!$Z$242:$Z$270),0)),IF(AND($Q$11="wizard",$R$312&gt;=O318),INDEX('Spell Tables'!$AB$242:$AB$270,MATCH(O318,('Spell Tables'!$Z$242:$Z$270),0))," "))</f>
        <v xml:space="preserve"> </v>
      </c>
      <c r="T318" s="72" t="str">
        <f ca="1">IF($S$309&gt;=O318,INDEX('Spell Tables'!$AF$242:$AF$264,MATCH(O318,('Spell Tables'!$AD$242:$AD$264),0)),IF(AND($Q$11="wizard",$S$312&gt;=O318),INDEX('Spell Tables'!$AF$242:$AF$264,MATCH(O318,('Spell Tables'!$AD$242:$AD$264),0))," "))</f>
        <v xml:space="preserve"> </v>
      </c>
    </row>
    <row r="319" spans="2:20" x14ac:dyDescent="0.3">
      <c r="B319" s="79"/>
      <c r="C319" s="33"/>
      <c r="D319" s="33"/>
      <c r="E319" s="33"/>
      <c r="F319" s="33"/>
      <c r="G319" s="33"/>
      <c r="H319" s="33"/>
      <c r="I319" s="33"/>
      <c r="J319" s="33"/>
      <c r="K319" s="33"/>
      <c r="L319" s="33"/>
      <c r="M319" s="33"/>
      <c r="N319" s="33"/>
      <c r="O319" s="34">
        <v>5</v>
      </c>
      <c r="P319" s="33" t="str">
        <f t="shared" ca="1" si="67"/>
        <v xml:space="preserve"> </v>
      </c>
      <c r="Q319" s="33" t="str">
        <f ca="1">IF(AND($O$11="wizard",$P$309&gt;=O319),INDEX('Spell Tables'!$T$242:$T$271,MATCH(O319,('Spell Tables'!$R$242:$R$271),0)),IF(AND($Q$11="wizard",$P$312&gt;=O319),INDEX('Spell Tables'!$T$242:$T$271,MATCH(O319,('Spell Tables'!$R$242:$R$271),0))," "))</f>
        <v xml:space="preserve"> </v>
      </c>
      <c r="R319" s="33" t="str">
        <f ca="1">IF($Q$309&gt;=O319,INDEX('Spell Tables'!$X$242:$X$275,MATCH(O319,('Spell Tables'!$V$242:$V$275),0)),IF(AND($Q$11="wizard",$Q$312&gt;=O319),INDEX('Spell Tables'!$X$242:$X$275,MATCH(O319,('Spell Tables'!$V$242:$V$275),0))," "))</f>
        <v xml:space="preserve"> </v>
      </c>
      <c r="S319" s="33" t="str">
        <f ca="1">IF($R$309&gt;=O319,INDEX('Spell Tables'!$AB$242:$AB$270,MATCH(O319,('Spell Tables'!$Z$242:$Z$270),0)),IF(AND($Q$11="wizard",$R$312&gt;=O319),INDEX('Spell Tables'!$AB$242:$AB$270,MATCH(O319,('Spell Tables'!$Z$242:$Z$270),0))," "))</f>
        <v xml:space="preserve"> </v>
      </c>
      <c r="T319" s="72" t="str">
        <f ca="1">IF($S$309&gt;=O319,INDEX('Spell Tables'!$AF$242:$AF$264,MATCH(O319,('Spell Tables'!$AD$242:$AD$264),0)),IF(AND($Q$11="wizard",$S$312&gt;=O319),INDEX('Spell Tables'!$AF$242:$AF$264,MATCH(O319,('Spell Tables'!$AD$242:$AD$264),0))," "))</f>
        <v xml:space="preserve"> </v>
      </c>
    </row>
    <row r="320" spans="2:20" x14ac:dyDescent="0.3">
      <c r="B320" s="79"/>
      <c r="C320" s="33"/>
      <c r="D320" s="33"/>
      <c r="E320" s="33"/>
      <c r="F320" s="33"/>
      <c r="G320" s="33"/>
      <c r="H320" s="33"/>
      <c r="I320" s="33"/>
      <c r="J320" s="33"/>
      <c r="K320" s="33"/>
      <c r="L320" s="33"/>
      <c r="M320" s="33"/>
      <c r="N320" s="33"/>
      <c r="O320" s="34">
        <v>6</v>
      </c>
      <c r="P320" s="33" t="str">
        <f t="shared" ca="1" si="67"/>
        <v xml:space="preserve"> </v>
      </c>
      <c r="Q320" s="33" t="str">
        <f ca="1">IF(AND($O$11="wizard",$P$309&gt;=O320),INDEX('Spell Tables'!$T$242:$T$271,MATCH(O320,('Spell Tables'!$R$242:$R$271),0)),IF(AND($Q$11="wizard",$P$312&gt;=O320),INDEX('Spell Tables'!$T$242:$T$271,MATCH(O320,('Spell Tables'!$R$242:$R$271),0))," "))</f>
        <v xml:space="preserve"> </v>
      </c>
      <c r="R320" s="33" t="str">
        <f ca="1">IF($Q$309&gt;=O320,INDEX('Spell Tables'!$X$242:$X$275,MATCH(O320,('Spell Tables'!$V$242:$V$275),0)),IF(AND($Q$11="wizard",$Q$312&gt;=O320),INDEX('Spell Tables'!$X$242:$X$275,MATCH(O320,('Spell Tables'!$V$242:$V$275),0))," "))</f>
        <v xml:space="preserve"> </v>
      </c>
      <c r="S320" s="33" t="str">
        <f ca="1">IF($R$309&gt;=O320,INDEX('Spell Tables'!$AB$242:$AB$270,MATCH(O320,('Spell Tables'!$Z$242:$Z$270),0)),IF(AND($Q$11="wizard",$R$312&gt;=O320),INDEX('Spell Tables'!$AB$242:$AB$270,MATCH(O320,('Spell Tables'!$Z$242:$Z$270),0))," "))</f>
        <v xml:space="preserve"> </v>
      </c>
      <c r="T320" s="72" t="str">
        <f ca="1">IF($S$309&gt;=O320,INDEX('Spell Tables'!$AF$242:$AF$264,MATCH(O320,('Spell Tables'!$AD$242:$AD$264),0)),IF(AND($Q$11="wizard",$S$312&gt;=O320),INDEX('Spell Tables'!$AF$242:$AF$264,MATCH(O320,('Spell Tables'!$AD$242:$AD$264),0))," "))</f>
        <v xml:space="preserve"> </v>
      </c>
    </row>
    <row r="321" spans="1:20" x14ac:dyDescent="0.3">
      <c r="B321" s="79"/>
      <c r="C321" s="33"/>
      <c r="D321" s="33"/>
      <c r="E321" s="33"/>
      <c r="F321" s="33"/>
      <c r="G321" s="33"/>
      <c r="H321" s="33"/>
      <c r="I321" s="33"/>
      <c r="J321" s="33"/>
      <c r="K321" s="33"/>
      <c r="L321" s="33"/>
      <c r="M321" s="33"/>
      <c r="N321" s="33"/>
      <c r="O321" s="34">
        <v>7</v>
      </c>
      <c r="P321" s="33" t="str">
        <f t="shared" ca="1" si="67"/>
        <v xml:space="preserve"> </v>
      </c>
      <c r="Q321" s="33" t="str">
        <f ca="1">IF(AND($O$11="wizard",$P$309&gt;=O321),INDEX('Spell Tables'!$T$242:$T$271,MATCH(O321,('Spell Tables'!$R$242:$R$271),0)),IF(AND($Q$11="wizard",$P$312&gt;=O321),INDEX('Spell Tables'!$T$242:$T$271,MATCH(O321,('Spell Tables'!$R$242:$R$271),0))," "))</f>
        <v xml:space="preserve"> </v>
      </c>
      <c r="R321" s="33" t="str">
        <f ca="1">IF($Q$309&gt;=O321,INDEX('Spell Tables'!$X$242:$X$275,MATCH(O321,('Spell Tables'!$V$242:$V$275),0)),IF(AND($Q$11="wizard",$Q$312&gt;=O321),INDEX('Spell Tables'!$X$242:$X$275,MATCH(O321,('Spell Tables'!$V$242:$V$275),0))," "))</f>
        <v xml:space="preserve"> </v>
      </c>
      <c r="S321" s="33" t="str">
        <f ca="1">IF($R$309&gt;=O321,INDEX('Spell Tables'!$AB$242:$AB$270,MATCH(O321,('Spell Tables'!$Z$242:$Z$270),0)),IF(AND($Q$11="wizard",$R$312&gt;=O321),INDEX('Spell Tables'!$AB$242:$AB$270,MATCH(O321,('Spell Tables'!$Z$242:$Z$270),0))," "))</f>
        <v xml:space="preserve"> </v>
      </c>
      <c r="T321" s="72" t="str">
        <f ca="1">IF($S$309&gt;=O321,INDEX('Spell Tables'!$AF$242:$AF$264,MATCH(O321,('Spell Tables'!$AD$242:$AD$264),0)),IF(AND($Q$11="wizard",$S$312&gt;=O321),INDEX('Spell Tables'!$AF$242:$AF$264,MATCH(O321,('Spell Tables'!$AD$242:$AD$264),0))," "))</f>
        <v xml:space="preserve"> </v>
      </c>
    </row>
    <row r="322" spans="1:20" x14ac:dyDescent="0.3">
      <c r="B322" s="79"/>
      <c r="C322" s="33"/>
      <c r="D322" s="33"/>
      <c r="E322" s="33"/>
      <c r="F322" s="33"/>
      <c r="G322" s="33"/>
      <c r="H322" s="33"/>
      <c r="I322" s="33"/>
      <c r="J322" s="33"/>
      <c r="K322" s="33"/>
      <c r="L322" s="33"/>
      <c r="M322" s="33"/>
      <c r="N322" s="33"/>
      <c r="O322" s="34">
        <v>8</v>
      </c>
      <c r="P322" s="33" t="str">
        <f t="shared" ca="1" si="67"/>
        <v xml:space="preserve"> </v>
      </c>
      <c r="Q322" s="33" t="str">
        <f ca="1">IF(AND($O$11="wizard",$P$309&gt;=O322),INDEX('Spell Tables'!$T$242:$T$271,MATCH(O322,('Spell Tables'!$R$242:$R$271),0)),IF(AND($Q$11="wizard",$P$312&gt;=O322),INDEX('Spell Tables'!$T$242:$T$271,MATCH(O322,('Spell Tables'!$R$242:$R$271),0))," "))</f>
        <v xml:space="preserve"> </v>
      </c>
      <c r="R322" s="33" t="str">
        <f ca="1">IF($Q$309&gt;=O322,INDEX('Spell Tables'!$X$242:$X$275,MATCH(O322,('Spell Tables'!$V$242:$V$275),0)),IF(AND($Q$11="wizard",$Q$312&gt;=O322),INDEX('Spell Tables'!$X$242:$X$275,MATCH(O322,('Spell Tables'!$V$242:$V$275),0))," "))</f>
        <v xml:space="preserve"> </v>
      </c>
      <c r="S322" s="33" t="str">
        <f ca="1">IF($R$309&gt;=O322,INDEX('Spell Tables'!$AB$242:$AB$270,MATCH(O322,('Spell Tables'!$Z$242:$Z$270),0)),IF(AND($Q$11="wizard",$R$312&gt;=O322),INDEX('Spell Tables'!$AB$242:$AB$270,MATCH(O322,('Spell Tables'!$Z$242:$Z$270),0))," "))</f>
        <v xml:space="preserve"> </v>
      </c>
      <c r="T322" s="72" t="str">
        <f ca="1">IF($S$309&gt;=O322,INDEX('Spell Tables'!$AF$242:$AF$264,MATCH(O322,('Spell Tables'!$AD$242:$AD$264),0)),IF(AND($Q$11="wizard",$S$312&gt;=O322),INDEX('Spell Tables'!$AF$242:$AF$264,MATCH(O322,('Spell Tables'!$AD$242:$AD$264),0))," "))</f>
        <v xml:space="preserve"> </v>
      </c>
    </row>
    <row r="323" spans="1:20" x14ac:dyDescent="0.3">
      <c r="B323" s="79"/>
      <c r="C323" s="33"/>
      <c r="D323" s="33"/>
      <c r="E323" s="33"/>
      <c r="F323" s="33"/>
      <c r="G323" s="33"/>
      <c r="H323" s="33"/>
      <c r="I323" s="33"/>
      <c r="J323" s="33"/>
      <c r="K323" s="33"/>
      <c r="L323" s="33"/>
      <c r="M323" s="33"/>
      <c r="N323" s="33"/>
      <c r="O323" s="34">
        <v>9</v>
      </c>
      <c r="P323" s="33" t="str">
        <f t="shared" ca="1" si="67"/>
        <v xml:space="preserve"> </v>
      </c>
      <c r="Q323" s="33" t="str">
        <f ca="1">IF(AND($O$11="wizard",$P$309&gt;=O323),INDEX('Spell Tables'!$T$242:$T$271,MATCH(O323,('Spell Tables'!$R$242:$R$271),0)),IF(AND($Q$11="wizard",$P$312&gt;=O323),INDEX('Spell Tables'!$T$242:$T$271,MATCH(O323,('Spell Tables'!$R$242:$R$271),0))," "))</f>
        <v xml:space="preserve"> </v>
      </c>
      <c r="R323" s="33" t="str">
        <f ca="1">IF($Q$309&gt;=O323,INDEX('Spell Tables'!$X$242:$X$275,MATCH(O323,('Spell Tables'!$V$242:$V$275),0)),IF(AND($Q$11="wizard",$Q$312&gt;=O323),INDEX('Spell Tables'!$X$242:$X$275,MATCH(O323,('Spell Tables'!$V$242:$V$275),0))," "))</f>
        <v xml:space="preserve"> </v>
      </c>
      <c r="S323" s="33" t="str">
        <f ca="1">IF($R$309&gt;=O323,INDEX('Spell Tables'!$AB$242:$AB$270,MATCH(O323,('Spell Tables'!$Z$242:$Z$270),0)),IF(AND($Q$11="wizard",$R$312&gt;=O323),INDEX('Spell Tables'!$AB$242:$AB$270,MATCH(O323,('Spell Tables'!$Z$242:$Z$270),0))," "))</f>
        <v xml:space="preserve"> </v>
      </c>
      <c r="T323" s="72" t="str">
        <f ca="1">IF($S$309&gt;=O323,INDEX('Spell Tables'!$AF$242:$AF$264,MATCH(O323,('Spell Tables'!$AD$242:$AD$264),0)),IF(AND($Q$11="wizard",$S$312&gt;=O323),INDEX('Spell Tables'!$AF$242:$AF$264,MATCH(O323,('Spell Tables'!$AD$242:$AD$264),0))," "))</f>
        <v xml:space="preserve"> </v>
      </c>
    </row>
    <row r="324" spans="1:20" ht="19.5" thickBot="1" x14ac:dyDescent="0.35">
      <c r="B324" s="80"/>
      <c r="C324" s="38"/>
      <c r="D324" s="38"/>
      <c r="E324" s="38"/>
      <c r="F324" s="38"/>
      <c r="G324" s="38"/>
      <c r="H324" s="38"/>
      <c r="I324" s="38"/>
      <c r="J324" s="38"/>
      <c r="K324" s="38"/>
      <c r="L324" s="38"/>
      <c r="M324" s="38"/>
      <c r="N324" s="38"/>
      <c r="O324" s="82">
        <v>10</v>
      </c>
      <c r="P324" s="38" t="str">
        <f t="shared" ca="1" si="67"/>
        <v xml:space="preserve"> </v>
      </c>
      <c r="Q324" s="38" t="str">
        <f ca="1">IF(AND($O$11="wizard",$P$309&gt;=O324),INDEX('Spell Tables'!$T$242:$T$271,MATCH(O324,('Spell Tables'!$R$242:$R$271),0)),IF(AND($Q$11="wizard",$P$312&gt;=O324),INDEX('Spell Tables'!$T$242:$T$271,MATCH(O324,('Spell Tables'!$R$242:$R$271),0))," "))</f>
        <v xml:space="preserve"> </v>
      </c>
      <c r="R324" s="38" t="str">
        <f ca="1">IF($Q$309&gt;=O324,INDEX('Spell Tables'!$X$242:$X$275,MATCH(O324,('Spell Tables'!$V$242:$V$275),0)),IF(AND($Q$11="wizard",$Q$312&gt;=O324),INDEX('Spell Tables'!$X$242:$X$275,MATCH(O324,('Spell Tables'!$V$242:$V$275),0))," "))</f>
        <v xml:space="preserve"> </v>
      </c>
      <c r="S324" s="38" t="str">
        <f ca="1">IF($R$309&gt;=O324,INDEX('Spell Tables'!$AB$242:$AB$270,MATCH(O324,('Spell Tables'!$Z$242:$Z$270),0)),IF(AND($Q$11="wizard",$R$312&gt;=O324),INDEX('Spell Tables'!$AB$242:$AB$270,MATCH(O324,('Spell Tables'!$Z$242:$Z$270),0))," "))</f>
        <v xml:space="preserve"> </v>
      </c>
      <c r="T324" s="73" t="str">
        <f ca="1">IF($S$309&gt;=O324,INDEX('Spell Tables'!$AF$242:$AF$264,MATCH(O324,('Spell Tables'!$AD$242:$AD$264),0)),IF(AND($Q$11="wizard",$S$312&gt;=O324),INDEX('Spell Tables'!$AF$242:$AF$264,MATCH(O324,('Spell Tables'!$AD$242:$AD$264),0))," "))</f>
        <v xml:space="preserve"> </v>
      </c>
    </row>
    <row r="325" spans="1:20" ht="19.5" thickBot="1" x14ac:dyDescent="0.35">
      <c r="K325" s="100"/>
      <c r="L325" s="60"/>
      <c r="O325" s="99"/>
    </row>
    <row r="326" spans="1:20" ht="19.5" hidden="1" thickBot="1" x14ac:dyDescent="0.35">
      <c r="K326" s="100"/>
      <c r="L326" s="60"/>
      <c r="O326" s="65" t="s">
        <v>1169</v>
      </c>
      <c r="P326" s="65" t="s">
        <v>1170</v>
      </c>
      <c r="Q326" s="65" t="s">
        <v>1171</v>
      </c>
      <c r="R326" s="65" t="s">
        <v>677</v>
      </c>
      <c r="S326" s="101" t="s">
        <v>1172</v>
      </c>
    </row>
    <row r="327" spans="1:20" ht="19.5" hidden="1" thickBot="1" x14ac:dyDescent="0.35">
      <c r="K327" s="100"/>
      <c r="L327" s="60"/>
      <c r="O327" s="60" t="str">
        <f ca="1">IF(AND(O11="wizard",O12&gt;=15),"xxxx",IF(AND(O11="wizard",O12&gt;=11),"x",IF(AND($O$11="wizard",$O$12&gt;9),"xx",IF(AND(O11="wizard",O12=9),"xxx"," "))))</f>
        <v xml:space="preserve"> </v>
      </c>
      <c r="P327" s="60" t="str">
        <f ca="1">IF(AND(O11="wizard",O12&gt;=17),"xxxx",IF(AND(O11="wizard",O12&gt;=13),"x",IF(AND($O$11="wizard",$O$12&gt;11),"xx",IF(AND(O11="wizard",O12=11),"xxx"," "))))</f>
        <v xml:space="preserve"> </v>
      </c>
      <c r="Q327" s="60" t="str">
        <f ca="1">IF(AND(O11="wizard",O12&gt;=19),"xxxx",IF(AND(O11="wizard",O12&gt;=15),"x",IF(AND($O$11="wizard",$O$12&gt;13),"xx",IF(AND(O11="wizard",O12=13),"xxx"," "))))</f>
        <v xml:space="preserve"> </v>
      </c>
      <c r="R327" s="60" t="str">
        <f ca="1">IF(AND(O11="wizard",O12&gt;=17),"x",IF(AND($O$11="wizard",$O$12&gt;15),"xx",IF(AND(O11="wizard",O12=15),"xxx"," ")))</f>
        <v xml:space="preserve"> </v>
      </c>
      <c r="S327" s="102" t="str">
        <f ca="1">IF(AND($O$11="wizard",$O$12&gt;17),"xx",IF(AND(O11="wizard",O12=17),"xxx"," "))</f>
        <v xml:space="preserve"> </v>
      </c>
    </row>
    <row r="328" spans="1:20" ht="19.5" hidden="1" thickBot="1" x14ac:dyDescent="0.35">
      <c r="K328" s="100"/>
      <c r="L328" s="60"/>
      <c r="O328" s="65">
        <f ca="1">IF($O327="xxxx",MAX(P208,(RANDBETWEEN(5,6))),IF(O327="x",MAX(P208,(RANDBETWEEN(3,6))),IF(O327="xx",MAX(P208,(RANDBETWEEN(2,4))),IF(O327="xxx",MAX(P208,(2)),0))))</f>
        <v>0</v>
      </c>
      <c r="P328" s="65">
        <f ca="1">IF($P327="xxxx",RANDBETWEEN(5,6),IF(P327="x",RANDBETWEEN(3,6),IF(P327="xx",RANDBETWEEN(2,4),IF(P327="xxx",2,0))))</f>
        <v>0</v>
      </c>
      <c r="Q328" s="65">
        <f ca="1">IF($Q327="xxxx",RANDBETWEEN(5,6),IF(Q327="x",RANDBETWEEN(3,6),IF(Q327="xx",RANDBETWEEN(2,4),IF(Q327="xxx",2,0))))</f>
        <v>0</v>
      </c>
      <c r="R328" s="65">
        <f ca="1">IF(OR(R327="x",R327="xx"),RANDBETWEEN(2,4),IF(R327="xxx",2,0))</f>
        <v>0</v>
      </c>
      <c r="S328" s="101">
        <f ca="1">IF(S327="xx",RANDBETWEEN(2,4),IF(S327="xxx",2,0))</f>
        <v>0</v>
      </c>
    </row>
    <row r="329" spans="1:20" ht="19.5" hidden="1" thickBot="1" x14ac:dyDescent="0.35">
      <c r="K329" s="100"/>
      <c r="L329" s="60"/>
      <c r="O329" s="60" t="s">
        <v>1169</v>
      </c>
      <c r="P329" s="60" t="s">
        <v>1170</v>
      </c>
      <c r="Q329" s="60" t="s">
        <v>1171</v>
      </c>
      <c r="R329" s="60" t="s">
        <v>677</v>
      </c>
      <c r="S329" s="102" t="s">
        <v>1172</v>
      </c>
    </row>
    <row r="330" spans="1:20" ht="19.5" hidden="1" thickBot="1" x14ac:dyDescent="0.35">
      <c r="K330" s="100"/>
      <c r="L330" s="60"/>
      <c r="O330" s="65" t="str">
        <f ca="1">IF(AND(Q11="wizard",Q12&gt;=15),"xxxx",IF(AND(Q11="wizard",Q12&gt;=11),"x",IF(AND($Q$11="wizard",$Q$12&gt;9),"xx",IF(AND(Q11="wizard",Q12=9),"xxx"," "))))</f>
        <v xml:space="preserve"> </v>
      </c>
      <c r="P330" s="65" t="str">
        <f ca="1">IF(AND(Q11="wizard",Q12&gt;=17),"xxxx",IF(AND(Q11="wizard",Q12&gt;=13),"x",IF(AND($Q$11="wizard",$Q$12&gt;11),"xx",IF(AND(Q11="wizard",Q12=11),"xxx"," "))))</f>
        <v xml:space="preserve"> </v>
      </c>
      <c r="Q330" s="65" t="str">
        <f ca="1">IF(AND(Q11="wizard",Q12&gt;=19),"xxxx",IF(AND(Q11="wizard",Q12&gt;=15),"x",IF(AND($Q$11="wizard",$Q$12&gt;13),"xx",IF(AND(Q11="wizard",Q12=13),"xxx"," "))))</f>
        <v xml:space="preserve"> </v>
      </c>
      <c r="R330" s="65" t="str">
        <f ca="1">IF(AND(Q11="wizard",Q12&gt;=17),"x",IF(AND($Q$11="wizard",$Q$12&gt;15),"xx",IF(AND(Q11="wizard",Q12=15),"xxx"," ")))</f>
        <v xml:space="preserve"> </v>
      </c>
      <c r="S330" s="101" t="str">
        <f ca="1">IF(AND($Q$11="wizard",$Q$12&gt;17),"xx",IF(AND(Q11="wizard",Q12=17),"xxx"," "))</f>
        <v xml:space="preserve"> </v>
      </c>
    </row>
    <row r="331" spans="1:20" ht="19.5" hidden="1" thickBot="1" x14ac:dyDescent="0.35">
      <c r="K331" s="100"/>
      <c r="L331" s="60"/>
      <c r="O331" s="60">
        <f ca="1">IF($O330="xxxx",MAX(O275,(RANDBETWEEN(5,6))),IF(O330="x",MAX(O275,(RANDBETWEEN(3,6))),IF(O330="xx",MAX(O275,(RANDBETWEEN(2,4))),IF(O330="xxx",MAX(O275,(2)),0))))</f>
        <v>0</v>
      </c>
      <c r="P331" s="60">
        <f ca="1">IF($P330="xxxx",RANDBETWEEN(5,6),IF(P330="x",RANDBETWEEN(3,6),IF(P330="xx",RANDBETWEEN(2,4),IF(P330="xxx",2,0))))</f>
        <v>0</v>
      </c>
      <c r="Q331" s="60">
        <f ca="1">IF($Q330="xxxx",RANDBETWEEN(5,6),IF(Q330="x",RANDBETWEEN(3,6),IF(Q330="xx",RANDBETWEEN(2,4),IF(Q330="xxx",2,0))))</f>
        <v>0</v>
      </c>
      <c r="R331" s="60">
        <f ca="1">IF(OR(R330="x",R330="xx"),RANDBETWEEN(2,4),IF(R330="xxx",2,0))</f>
        <v>0</v>
      </c>
      <c r="S331" s="102">
        <f ca="1">IF(S330="xx",RANDBETWEEN(2,4),IF(S330="xxx",2,0))</f>
        <v>0</v>
      </c>
    </row>
    <row r="332" spans="1:20" ht="19.5" hidden="1" thickBot="1" x14ac:dyDescent="0.35">
      <c r="K332" s="100"/>
      <c r="L332" s="60"/>
      <c r="O332" s="65"/>
      <c r="P332" s="65"/>
      <c r="Q332" s="65"/>
      <c r="R332" s="65"/>
      <c r="S332" s="101"/>
    </row>
    <row r="333" spans="1:20" x14ac:dyDescent="0.3">
      <c r="A333" s="33"/>
      <c r="B333" s="72"/>
      <c r="K333" s="100"/>
      <c r="L333" s="60"/>
      <c r="P333" s="103" t="s">
        <v>1169</v>
      </c>
      <c r="Q333" s="103" t="s">
        <v>1170</v>
      </c>
      <c r="R333" s="103" t="s">
        <v>1171</v>
      </c>
      <c r="S333" s="103" t="s">
        <v>677</v>
      </c>
      <c r="T333" s="104" t="s">
        <v>1172</v>
      </c>
    </row>
    <row r="334" spans="1:20" x14ac:dyDescent="0.3">
      <c r="A334" s="33"/>
      <c r="B334" s="72"/>
      <c r="K334" s="100"/>
      <c r="L334" s="60"/>
      <c r="O334" s="83">
        <v>1</v>
      </c>
      <c r="P334" s="65" t="str">
        <f ca="1">IF($O$328&gt;=O315,INDEX('Spell Tables'!$AJ$242:$AJ$264,MATCH(O315,('Spell Tables'!$AH$242:$AH$264),0)),IF(AND($Q$11="wizard",$O$331&gt;=O315),INDEX('Spell Tables'!$AJ$242:$AJ$264,MATCH(O315,('Spell Tables'!$AH$242:$AH$264),0))," "))</f>
        <v xml:space="preserve"> </v>
      </c>
      <c r="Q334" s="65" t="str">
        <f ca="1">IF($P$328&gt;=O$315,INDEX('Spell Tables'!$AN$242:$AN$260,MATCH(O$315,('Spell Tables'!$AL$242:$AL$260),0))," ")</f>
        <v xml:space="preserve"> </v>
      </c>
      <c r="R334" s="65" t="str">
        <f ca="1">IF($Q$328&gt;=O$315,INDEX('Spell Tables'!$AR$242:$AR$256,MATCH(O$315,('Spell Tables'!$AP$242:$AP$256),0))," ")</f>
        <v xml:space="preserve"> </v>
      </c>
      <c r="S334" s="65" t="str">
        <f ca="1">IF($R$328&gt;=O$315,INDEX('Spell Tables'!$AV$242:$AV$255,MATCH(O$315,('Spell Tables'!$AT$242:$AT$255),0))," ")</f>
        <v xml:space="preserve"> </v>
      </c>
      <c r="T334" s="66" t="str">
        <f ca="1">IF($S$328&gt;=O$315,INDEX('Spell Tables'!$AZ$242:$AZ$253,MATCH(O$315,('Spell Tables'!$AX$242:$AX$253),0))," ")</f>
        <v xml:space="preserve"> </v>
      </c>
    </row>
    <row r="335" spans="1:20" x14ac:dyDescent="0.3">
      <c r="A335" s="33"/>
      <c r="B335" s="72"/>
      <c r="O335" s="84">
        <v>2</v>
      </c>
      <c r="P335" s="60" t="str">
        <f ca="1">IF($O$328&gt;=O316,INDEX('Spell Tables'!$AJ$242:$AJ$264,MATCH(O316,('Spell Tables'!$AH$242:$AH$264),0)),IF(AND($Q$11="wizard",$O$331&gt;=O316),INDEX('Spell Tables'!$AJ$242:$AJ$264,MATCH(O316,('Spell Tables'!$AH$242:$AH$264),0))," "))</f>
        <v xml:space="preserve"> </v>
      </c>
      <c r="Q335" s="60" t="str">
        <f ca="1">IF($P$328&gt;=O$316,INDEX('Spell Tables'!$AN$242:$AN$260,MATCH(O$316,('Spell Tables'!$AL$242:$AL$260),0))," ")</f>
        <v xml:space="preserve"> </v>
      </c>
      <c r="R335" s="60" t="str">
        <f ca="1">IF($Q$328&gt;=O$316,INDEX('Spell Tables'!$AR$242:$AR$256,MATCH(O$316,('Spell Tables'!$AP$242:$AP$256),0))," ")</f>
        <v xml:space="preserve"> </v>
      </c>
      <c r="S335" s="60" t="str">
        <f ca="1">IF($R$328&gt;=O$316,INDEX('Spell Tables'!$AV$242:$AV$255,MATCH(O$316,('Spell Tables'!$AT$242:$AT$255),0))," ")</f>
        <v xml:space="preserve"> </v>
      </c>
      <c r="T335" s="63" t="str">
        <f ca="1">IF($S$328&gt;=O$316,INDEX('Spell Tables'!$AZ$242:$AZ$253,MATCH(O$316,('Spell Tables'!$AX$242:$AX$253),0))," ")</f>
        <v xml:space="preserve"> </v>
      </c>
    </row>
    <row r="336" spans="1:20" x14ac:dyDescent="0.3">
      <c r="A336" s="33"/>
      <c r="B336" s="72"/>
      <c r="O336" s="83">
        <v>3</v>
      </c>
      <c r="P336" s="65" t="str">
        <f ca="1">IF($O$328&gt;=O317,INDEX('Spell Tables'!$AJ$242:$AJ$264,MATCH(O317,('Spell Tables'!$AH$242:$AH$264),0)),IF(AND($Q$11="wizard",$O$331&gt;=O317),INDEX('Spell Tables'!$AJ$242:$AJ$264,MATCH(O317,('Spell Tables'!$AH$242:$AH$264),0))," "))</f>
        <v xml:space="preserve"> </v>
      </c>
      <c r="Q336" s="65" t="str">
        <f ca="1">IF($P$328&gt;=O$317,INDEX('Spell Tables'!$AN$242:$AN$260,MATCH(O$317,('Spell Tables'!$AL$242:$AL$260),0))," ")</f>
        <v xml:space="preserve"> </v>
      </c>
      <c r="R336" s="65" t="str">
        <f ca="1">IF($Q$328&gt;=O$317,INDEX('Spell Tables'!$AR$242:$AR$256,MATCH(O$317,('Spell Tables'!$AP$242:$AP$256),0))," ")</f>
        <v xml:space="preserve"> </v>
      </c>
      <c r="S336" s="65" t="str">
        <f ca="1">IF($R$328&gt;=O$317,INDEX('Spell Tables'!$AV$242:$AV$255,MATCH(O$317,('Spell Tables'!$AT$242:$AT$255),0))," ")</f>
        <v xml:space="preserve"> </v>
      </c>
      <c r="T336" s="66" t="str">
        <f ca="1">IF($S$328&gt;=O$317,INDEX('Spell Tables'!$AZ$242:$AZ$253,MATCH(O$317,('Spell Tables'!$AX$242:$AX$253),0))," ")</f>
        <v xml:space="preserve"> </v>
      </c>
    </row>
    <row r="337" spans="1:20" x14ac:dyDescent="0.3">
      <c r="A337" s="33"/>
      <c r="B337" s="72"/>
      <c r="O337" s="84">
        <v>4</v>
      </c>
      <c r="P337" s="60" t="str">
        <f ca="1">IF($O$328&gt;=O318,INDEX('Spell Tables'!$AJ$242:$AJ$264,MATCH(O318,('Spell Tables'!$AH$242:$AH$264),0)),IF(AND($Q$11="wizard",$O$331&gt;=O318),INDEX('Spell Tables'!$AJ$242:$AJ$264,MATCH(O318,('Spell Tables'!$AH$242:$AH$264),0))," "))</f>
        <v xml:space="preserve"> </v>
      </c>
      <c r="Q337" s="60" t="str">
        <f ca="1">IF($P$328&gt;=O$318,INDEX('Spell Tables'!$AN$242:$AN$260,MATCH(O$318,('Spell Tables'!$AL$242:$AL$260),0))," ")</f>
        <v xml:space="preserve"> </v>
      </c>
      <c r="R337" s="60" t="str">
        <f ca="1">IF($Q$328&gt;=O$318,INDEX('Spell Tables'!$AR$242:$AR$256,MATCH(O$318,('Spell Tables'!$AP$242:$AP$256),0))," ")</f>
        <v xml:space="preserve"> </v>
      </c>
      <c r="S337" s="60" t="str">
        <f ca="1">IF($R$328&gt;=O$318,INDEX('Spell Tables'!$AV$242:$AV$255,MATCH(O$318,('Spell Tables'!$AT$242:$AT$255),0))," ")</f>
        <v xml:space="preserve"> </v>
      </c>
      <c r="T337" s="63" t="str">
        <f ca="1">IF($S$328&gt;=O$318,INDEX('Spell Tables'!$AZ$242:$AZ$253,MATCH(O$318,('Spell Tables'!$AX$242:$AX$253),0))," ")</f>
        <v xml:space="preserve"> </v>
      </c>
    </row>
    <row r="338" spans="1:20" x14ac:dyDescent="0.3">
      <c r="A338" s="33"/>
      <c r="B338" s="72"/>
      <c r="O338" s="83">
        <v>5</v>
      </c>
      <c r="P338" s="65" t="str">
        <f ca="1">IF($O$328&gt;=O319,INDEX('Spell Tables'!$AJ$242:$AJ$264,MATCH(O319,('Spell Tables'!$AH$242:$AH$264),0)),IF(AND($Q$11="wizard",$O$331&gt;=O319),INDEX('Spell Tables'!$AJ$242:$AJ$264,MATCH(O319,('Spell Tables'!$AH$242:$AH$264),0))," "))</f>
        <v xml:space="preserve"> </v>
      </c>
      <c r="Q338" s="65" t="str">
        <f ca="1">IF($P$328&gt;=O$319,INDEX('Spell Tables'!$AN$242:$AN$260,MATCH(O$319,('Spell Tables'!$AL$242:$AL$260),0))," ")</f>
        <v xml:space="preserve"> </v>
      </c>
      <c r="R338" s="65" t="str">
        <f ca="1">IF($Q$328&gt;=O$319,INDEX('Spell Tables'!$AR$242:$AR$256,MATCH(O$319,('Spell Tables'!$AP$242:$AP$256),0))," ")</f>
        <v xml:space="preserve"> </v>
      </c>
      <c r="S338" s="65" t="str">
        <f ca="1">IF($R$328&gt;=O$319,INDEX('Spell Tables'!$AV$242:$AV$255,MATCH(O$319,('Spell Tables'!$AT$242:$AT$255),0))," ")</f>
        <v xml:space="preserve"> </v>
      </c>
      <c r="T338" s="66" t="str">
        <f ca="1">IF($S$328&gt;=O$319,INDEX('Spell Tables'!$AZ$242:$AZ$253,MATCH(O$319,('Spell Tables'!$AX$242:$AX$253),0))," ")</f>
        <v xml:space="preserve"> </v>
      </c>
    </row>
    <row r="339" spans="1:20" x14ac:dyDescent="0.3">
      <c r="A339" s="33"/>
      <c r="B339" s="72"/>
      <c r="K339" s="100"/>
      <c r="L339" s="60"/>
      <c r="O339" s="84">
        <v>6</v>
      </c>
      <c r="P339" s="60" t="str">
        <f ca="1">IF($O$328&gt;=O320,INDEX('Spell Tables'!$AJ$242:$AJ$264,MATCH(O320,('Spell Tables'!$AH$242:$AH$264),0)),IF(AND($Q$11="wizard",$O$331&gt;=O320),INDEX('Spell Tables'!$AJ$242:$AJ$264,MATCH(O320,('Spell Tables'!$AH$242:$AH$264),0))," "))</f>
        <v xml:space="preserve"> </v>
      </c>
      <c r="Q339" s="60" t="str">
        <f ca="1">IF($P$328&gt;=O$320,INDEX('Spell Tables'!$AN$242:$AN$260,MATCH(O$320,('Spell Tables'!$AL$242:$AL$260),0))," ")</f>
        <v xml:space="preserve"> </v>
      </c>
      <c r="R339" s="60" t="str">
        <f ca="1">IF($Q$328&gt;=O$320,INDEX('Spell Tables'!$AR$242:$AR$256,MATCH(O$320,('Spell Tables'!$AP$242:$AP$256),0))," ")</f>
        <v xml:space="preserve"> </v>
      </c>
      <c r="S339" s="60" t="str">
        <f ca="1">IF($R$328&gt;=O$320,INDEX('Spell Tables'!$AV$242:$AV$255,MATCH(O$320,('Spell Tables'!$AT$242:$AT$255),0))," ")</f>
        <v xml:space="preserve"> </v>
      </c>
      <c r="T339" s="63" t="str">
        <f ca="1">IF($S$328&gt;=O$320,INDEX('Spell Tables'!$AZ$242:$AZ$253,MATCH(O$320,('Spell Tables'!$AX$242:$AX$253),0))," ")</f>
        <v xml:space="preserve"> </v>
      </c>
    </row>
    <row r="340" spans="1:20" x14ac:dyDescent="0.3">
      <c r="A340" s="33"/>
      <c r="B340" s="72"/>
      <c r="K340" s="100"/>
      <c r="L340" s="60"/>
      <c r="O340" s="83">
        <v>7</v>
      </c>
      <c r="P340" s="65" t="str">
        <f ca="1">IF($O$328&gt;=O321,INDEX('Spell Tables'!$AJ$242:$AJ$264,MATCH(O321,('Spell Tables'!$AH$242:$AH$264),0)),IF(AND($Q$11="wizard",$O$331&gt;=O321),INDEX('Spell Tables'!$AJ$242:$AJ$264,MATCH(O321,('Spell Tables'!$AH$242:$AH$264),0))," "))</f>
        <v xml:space="preserve"> </v>
      </c>
      <c r="Q340" s="65" t="str">
        <f ca="1">IF($P$328&gt;=O$321,INDEX('Spell Tables'!$AN$242:$AN$260,MATCH(O$321,('Spell Tables'!$AL$242:$AL$260),0))," ")</f>
        <v xml:space="preserve"> </v>
      </c>
      <c r="R340" s="65" t="str">
        <f ca="1">IF($Q$328&gt;=O$321,INDEX('Spell Tables'!$AR$242:$AR$256,MATCH(O$321,('Spell Tables'!$AP$242:$AP$256),0))," ")</f>
        <v xml:space="preserve"> </v>
      </c>
      <c r="S340" s="65" t="str">
        <f ca="1">IF($R$328&gt;=O$321,INDEX('Spell Tables'!$AV$242:$AV$255,MATCH(O$321,('Spell Tables'!$AT$242:$AT$255),0))," ")</f>
        <v xml:space="preserve"> </v>
      </c>
      <c r="T340" s="66" t="str">
        <f ca="1">IF($S$328&gt;=O$321,INDEX('Spell Tables'!$AZ$242:$AZ$253,MATCH(O$321,('Spell Tables'!$AX$242:$AX$253),0))," ")</f>
        <v xml:space="preserve"> </v>
      </c>
    </row>
    <row r="341" spans="1:20" x14ac:dyDescent="0.3">
      <c r="A341" s="33"/>
      <c r="B341" s="72"/>
      <c r="K341" s="100"/>
      <c r="L341" s="60"/>
      <c r="O341" s="84">
        <v>8</v>
      </c>
      <c r="P341" s="60" t="str">
        <f ca="1">IF($O$328&gt;=O322,INDEX('Spell Tables'!$AJ$242:$AJ$264,MATCH(O322,('Spell Tables'!$AH$242:$AH$264),0)),IF(AND($Q$11="wizard",$O$331&gt;=O322),INDEX('Spell Tables'!$AJ$242:$AJ$264,MATCH(O322,('Spell Tables'!$AH$242:$AH$264),0))," "))</f>
        <v xml:space="preserve"> </v>
      </c>
      <c r="Q341" s="60" t="str">
        <f ca="1">IF($P$328&gt;=O$322,INDEX('Spell Tables'!$AN$242:$AN$260,MATCH(O$322,('Spell Tables'!$AL$242:$AL$260),0))," ")</f>
        <v xml:space="preserve"> </v>
      </c>
      <c r="R341" s="60" t="str">
        <f ca="1">IF($Q$328&gt;=O$322,INDEX('Spell Tables'!$AR$242:$AR$256,MATCH(O$322,('Spell Tables'!$AP$242:$AP$256),0))," ")</f>
        <v xml:space="preserve"> </v>
      </c>
      <c r="S341" s="60" t="str">
        <f ca="1">IF($R$328&gt;=O$322,INDEX('Spell Tables'!$AV$242:$AV$255,MATCH(O$322,('Spell Tables'!$AT$242:$AT$255),0))," ")</f>
        <v xml:space="preserve"> </v>
      </c>
      <c r="T341" s="63" t="str">
        <f ca="1">IF($S$328&gt;=O$322,INDEX('Spell Tables'!$AZ$242:$AZ$253,MATCH(O$322,('Spell Tables'!$AX$242:$AX$253),0))," ")</f>
        <v xml:space="preserve"> </v>
      </c>
    </row>
    <row r="342" spans="1:20" x14ac:dyDescent="0.3">
      <c r="A342" s="33"/>
      <c r="B342" s="72"/>
      <c r="O342" s="83">
        <v>9</v>
      </c>
      <c r="P342" s="65" t="str">
        <f ca="1">IF($O$328&gt;=O323,INDEX('Spell Tables'!$AJ$242:$AJ$264,MATCH(O323,('Spell Tables'!$AH$242:$AH$264),0)),IF(AND($Q$11="wizard",$O$331&gt;=O323),INDEX('Spell Tables'!$AJ$242:$AJ$264,MATCH(O323,('Spell Tables'!$AH$242:$AH$264),0))," "))</f>
        <v xml:space="preserve"> </v>
      </c>
      <c r="Q342" s="65" t="str">
        <f ca="1">IF($P$328&gt;=O$323,INDEX('Spell Tables'!$AN$242:$AN$260,MATCH(O$323,('Spell Tables'!$AL$242:$AL$260),0))," ")</f>
        <v xml:space="preserve"> </v>
      </c>
      <c r="R342" s="65" t="str">
        <f ca="1">IF($Q$328&gt;=O$323,INDEX('Spell Tables'!$AR$242:$AR$256,MATCH(O$323,('Spell Tables'!$AP$242:$AP$256),0))," ")</f>
        <v xml:space="preserve"> </v>
      </c>
      <c r="S342" s="65" t="str">
        <f ca="1">IF($R$328&gt;=O$323,INDEX('Spell Tables'!$AV$242:$AV$255,MATCH(O$323,('Spell Tables'!$AT$242:$AT$255),0))," ")</f>
        <v xml:space="preserve"> </v>
      </c>
      <c r="T342" s="66" t="str">
        <f ca="1">IF($S$328&gt;=O$323,INDEX('Spell Tables'!$AZ$242:$AZ$253,MATCH(O$323,('Spell Tables'!$AX$242:$AX$253),0))," ")</f>
        <v xml:space="preserve"> </v>
      </c>
    </row>
    <row r="343" spans="1:20" ht="19.5" thickBot="1" x14ac:dyDescent="0.35">
      <c r="A343" s="33"/>
      <c r="B343" s="72"/>
      <c r="K343" s="31"/>
      <c r="O343" s="85">
        <v>10</v>
      </c>
      <c r="P343" s="67" t="str">
        <f ca="1">IF($O$328&gt;=O324,INDEX('Spell Tables'!$AJ$242:$AJ$264,MATCH(O324,('Spell Tables'!$AH$242:$AH$264),0)),IF(AND($Q$11="wizard",$O$331&gt;=O324),INDEX('Spell Tables'!$AJ$242:$AJ$264,MATCH(O324,('Spell Tables'!$AH$242:$AH$264),0))," "))</f>
        <v xml:space="preserve"> </v>
      </c>
      <c r="Q343" s="67" t="str">
        <f ca="1">IF($P$328&gt;=O$324,INDEX('Spell Tables'!$AN$242:$AN$260,MATCH(O$324,('Spell Tables'!$AL$242:$AL$260),0))," ")</f>
        <v xml:space="preserve"> </v>
      </c>
      <c r="R343" s="67" t="str">
        <f ca="1">IF($Q$328&gt;=O$324,INDEX('Spell Tables'!$AR$242:$AR$256,MATCH(O$324,('Spell Tables'!$AP$242:$AP$256),0))," ")</f>
        <v xml:space="preserve"> </v>
      </c>
      <c r="S343" s="67" t="str">
        <f ca="1">IF($R$328&gt;=O$324,INDEX('Spell Tables'!$AV$242:$AV$255,MATCH(O$324,('Spell Tables'!$AT$242:$AT$255),0))," ")</f>
        <v xml:space="preserve"> </v>
      </c>
      <c r="T343" s="68" t="str">
        <f ca="1">IF($S$328&gt;=O$324,INDEX('Spell Tables'!$AZ$242:$AZ$253,MATCH(O$324,('Spell Tables'!$AX$242:$AX$253),0))," ")</f>
        <v xml:space="preserve"> </v>
      </c>
    </row>
  </sheetData>
  <sheetProtection sheet="1" objects="1" scenarios="1"/>
  <hyperlinks>
    <hyperlink ref="A1" location="'Character Overview'!A1" display="Back to Overview" xr:uid="{43106635-FD4D-4BA4-8C63-BD0A235956C3}"/>
  </hyperlinks>
  <pageMargins left="0.25" right="0.25" top="0.75" bottom="0.75" header="0.3" footer="0.3"/>
  <pageSetup scale="34" orientation="landscape" horizontalDpi="4294967293" r:id="rId1"/>
  <drawing r:id="rId2"/>
  <tableParts count="56">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 r:id="rId50"/>
    <tablePart r:id="rId51"/>
    <tablePart r:id="rId52"/>
    <tablePart r:id="rId53"/>
    <tablePart r:id="rId54"/>
    <tablePart r:id="rId55"/>
    <tablePart r:id="rId56"/>
    <tablePart r:id="rId57"/>
    <tablePart r:id="rId58"/>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42C35-1B33-4F3A-B274-95669CB2183D}">
  <sheetPr codeName="Аркуш6">
    <pageSetUpPr fitToPage="1"/>
  </sheetPr>
  <dimension ref="A1:CJ343"/>
  <sheetViews>
    <sheetView showGridLines="0" showRowColHeaders="0" zoomScale="54" zoomScaleNormal="54" workbookViewId="0"/>
  </sheetViews>
  <sheetFormatPr defaultColWidth="8.85546875" defaultRowHeight="18.75" x14ac:dyDescent="0.3"/>
  <cols>
    <col min="1" max="1" width="23.140625" style="29" customWidth="1"/>
    <col min="2" max="2" width="62.7109375" style="29" customWidth="1"/>
    <col min="3" max="3" width="13.7109375" style="29" hidden="1" customWidth="1"/>
    <col min="4" max="5" width="3.85546875" style="29" hidden="1" customWidth="1"/>
    <col min="6" max="8" width="5" style="29" hidden="1" customWidth="1"/>
    <col min="9" max="9" width="11.7109375" style="29" hidden="1" customWidth="1"/>
    <col min="10" max="10" width="2.28515625" style="29" hidden="1" customWidth="1"/>
    <col min="11" max="11" width="14.7109375" style="29" hidden="1" customWidth="1"/>
    <col min="12" max="12" width="13.28515625" style="29" hidden="1" customWidth="1"/>
    <col min="13" max="13" width="7.28515625" style="29" hidden="1" customWidth="1"/>
    <col min="14" max="14" width="2.140625" style="29" hidden="1" customWidth="1"/>
    <col min="15" max="19" width="50.7109375" style="29" customWidth="1"/>
    <col min="20" max="20" width="34" style="29" customWidth="1"/>
    <col min="21" max="21" width="34.28515625" style="29" customWidth="1"/>
    <col min="22" max="22" width="34.140625" style="29" customWidth="1"/>
    <col min="23" max="23" width="29.85546875" style="29" customWidth="1"/>
    <col min="24" max="24" width="18.5703125" style="29" customWidth="1"/>
    <col min="25" max="25" width="34.28515625" style="29" bestFit="1" customWidth="1"/>
    <col min="26" max="26" width="32.7109375" style="29" customWidth="1"/>
    <col min="27" max="27" width="9.7109375" style="29" bestFit="1" customWidth="1"/>
    <col min="28" max="28" width="12.140625" style="29" bestFit="1" customWidth="1"/>
    <col min="29" max="29" width="8.85546875" style="29"/>
    <col min="30" max="30" width="0" style="29" hidden="1" customWidth="1"/>
    <col min="31" max="31" width="10.28515625" style="29" hidden="1" customWidth="1"/>
    <col min="32" max="32" width="23.5703125" style="29" hidden="1" customWidth="1"/>
    <col min="33" max="33" width="8.85546875" style="29" hidden="1" customWidth="1"/>
    <col min="34" max="34" width="17.85546875" style="29" hidden="1" customWidth="1"/>
    <col min="35" max="35" width="3.5703125" style="29" hidden="1" customWidth="1"/>
    <col min="36" max="36" width="21.85546875" style="29" hidden="1" customWidth="1"/>
    <col min="37" max="37" width="14.140625" style="29" hidden="1" customWidth="1"/>
    <col min="38" max="38" width="21.85546875" style="29" hidden="1" customWidth="1"/>
    <col min="39" max="39" width="5.7109375" style="29" hidden="1" customWidth="1"/>
    <col min="40" max="40" width="27.7109375" style="29" hidden="1" customWidth="1"/>
    <col min="41" max="41" width="10.7109375" style="29" hidden="1" customWidth="1"/>
    <col min="42" max="42" width="13.28515625" style="29" hidden="1" customWidth="1"/>
    <col min="43" max="43" width="13" style="29" hidden="1" customWidth="1"/>
    <col min="44" max="44" width="8.85546875" style="29" hidden="1" customWidth="1"/>
    <col min="45" max="45" width="11.7109375" style="29" hidden="1" customWidth="1"/>
    <col min="46" max="47" width="8.85546875" style="29" hidden="1" customWidth="1"/>
    <col min="48" max="49" width="15.28515625" style="29" hidden="1" customWidth="1"/>
    <col min="50" max="50" width="14.140625" style="29" hidden="1" customWidth="1"/>
    <col min="51" max="51" width="9.85546875" style="29" hidden="1" customWidth="1"/>
    <col min="52" max="52" width="12.140625" style="29" hidden="1" customWidth="1"/>
    <col min="53" max="53" width="15.28515625" style="29" hidden="1" customWidth="1"/>
    <col min="54" max="54" width="12.140625" style="29" hidden="1" customWidth="1"/>
    <col min="55" max="55" width="9" style="29" hidden="1" customWidth="1"/>
    <col min="56" max="57" width="10.42578125" style="29" hidden="1" customWidth="1"/>
    <col min="58" max="58" width="9.7109375" style="29" hidden="1" customWidth="1"/>
    <col min="59" max="59" width="10.42578125" style="29" hidden="1" customWidth="1"/>
    <col min="60" max="60" width="7.140625" style="29" hidden="1" customWidth="1"/>
    <col min="61" max="61" width="10.42578125" style="29" hidden="1" customWidth="1"/>
    <col min="62" max="62" width="11.7109375" style="29" hidden="1" customWidth="1"/>
    <col min="63" max="63" width="14.140625" style="29" hidden="1" customWidth="1"/>
    <col min="64" max="64" width="8.85546875" style="29" hidden="1" customWidth="1"/>
    <col min="65" max="65" width="15.7109375" style="29" hidden="1" customWidth="1"/>
    <col min="66" max="66" width="10" style="29" hidden="1" customWidth="1"/>
    <col min="67" max="67" width="13.42578125" style="29" hidden="1" customWidth="1"/>
    <col min="68" max="68" width="15.28515625" style="29" hidden="1" customWidth="1"/>
    <col min="69" max="69" width="15" style="29" hidden="1" customWidth="1"/>
    <col min="70" max="70" width="7.28515625" style="29" hidden="1" customWidth="1"/>
    <col min="71" max="71" width="17.85546875" style="29" hidden="1" customWidth="1"/>
    <col min="72" max="72" width="14.140625" style="29" hidden="1" customWidth="1"/>
    <col min="73" max="73" width="8.28515625" style="29" hidden="1" customWidth="1"/>
    <col min="74" max="74" width="15.28515625" style="29" hidden="1" customWidth="1"/>
    <col min="75" max="79" width="8.85546875" style="29" hidden="1" customWidth="1"/>
    <col min="80" max="80" width="21.140625" style="29" hidden="1" customWidth="1"/>
    <col min="81" max="81" width="12" style="29" hidden="1" customWidth="1"/>
    <col min="82" max="82" width="15.28515625" style="29" hidden="1" customWidth="1"/>
    <col min="83" max="88" width="8.85546875" style="29" hidden="1" customWidth="1"/>
    <col min="89" max="115" width="8.85546875" style="29" customWidth="1"/>
    <col min="116" max="16384" width="8.85546875" style="29"/>
  </cols>
  <sheetData>
    <row r="1" spans="1:83" ht="26.25" thickBot="1" x14ac:dyDescent="0.4">
      <c r="A1" s="153" t="s">
        <v>2755</v>
      </c>
      <c r="B1" s="30"/>
      <c r="C1" s="99"/>
      <c r="D1" s="99"/>
      <c r="E1" s="99"/>
      <c r="F1" s="99"/>
      <c r="G1" s="99"/>
      <c r="H1" s="99"/>
      <c r="I1" s="99"/>
      <c r="J1" s="99"/>
      <c r="K1" s="99"/>
      <c r="L1" s="99"/>
      <c r="M1" s="99"/>
      <c r="N1" s="99"/>
      <c r="O1" s="125" t="s">
        <v>0</v>
      </c>
      <c r="P1" s="126" t="str">
        <f ca="1">IF(AND(Q2="dwarf",O2="male"),VLOOKUP(RANDBETWEEN(1,30),Table4[],2),IF(AND(Q2="dwarf",O2="female"),VLOOKUP(RANDBETWEEN(1,23),Table13[],2),IF(AND(Q2="elf",O2="male"),VLOOKUP(RANDBETWEEN(1,38),Table6[],2),IF(AND(Q2="elf",O2="female"),VLOOKUP(RANDBETWEEN(1,36),Table15[],2),IF(AND(Q2="halfling",O2="male"),VLOOKUP(RANDBETWEEN(1,17),Table10[],2),IF(AND(Q2="halfling",O2="female"),VLOOKUP(RANDBETWEEN(1,18),Table16[],2),IF(AND(Q2="human",O2="male"),VLOOKUP(RANDBETWEEN(1,70),Table17[],2),IF(AND(Q2="human",O2="female"),VLOOKUP(RANDBETWEEN(1,67),Table19[],2),IF(AND(Q2="dragonborn",O2="male"),VLOOKUP(RANDBETWEEN(1,17),Table21[],2),IF(AND(Q2="dragonborn",O2="female"),VLOOKUP(RANDBETWEEN(1,17),Table22[],2),IF(AND(Q2="gnome",O2="male"),VLOOKUP(RANDBETWEEN(1,23),Table28[],2),IF(AND(Q2="gnome",O2="female"),VLOOKUP(RANDBETWEEN(1,22),Table29[],2),IF(AND(Q2="half-elf",O2="male"),VLOOKUP(RANDBETWEEN(1,108),Table31[],2),IF(AND(Q2="half-elf",O2="female"),VLOOKUP(RANDBETWEEN(1,103),Table32[],2),IF(AND(Q2="half-orc",O2="male"),VLOOKUP(RANDBETWEEN(1,10),Table35[],2),IF(AND(Q2="half-orc",O2="female"),VLOOKUP(RANDBETWEEN(1,13),Table36[],2),IF(AND(Q2="tiefling",O2="male"),VLOOKUP(RANDBETWEEN(1,33),Table37[],2),IF(AND(Q2="tiefling",O2="female"),VLOOKUP(RANDBETWEEN(1,34),Table38[],2)," "))))))))))))))))))</f>
        <v>Dimble</v>
      </c>
      <c r="Q1" s="127" t="str">
        <f ca="1">IF(Q2="dwarf",VLOOKUP(RANDBETWEEN(1,53),Table5[],2),IF(Q2="elf",VLOOKUP(RANDBETWEEN(1,73),Table7[],2),IF(Q2="halfling",VLOOKUP(RANDBETWEEN(1,20),Table11[],2),IF(Q2="human",VLOOKUP(RANDBETWEEN(1,52),Table18[],2),IF(Q2="dragonborn",VLOOKUP(RANDBETWEEN(1,18),Table24[],2),IF(Q2="gnome",VLOOKUP(RANDBETWEEN(1,13),Table27[],2),IF(Q2="half-elf",VLOOKUP(RANDBETWEEN(1,62),Table33[],2)," ")))))))</f>
        <v>Filchbatter</v>
      </c>
      <c r="R1" s="30"/>
      <c r="S1" s="30"/>
      <c r="AF1" s="29" t="s">
        <v>674</v>
      </c>
      <c r="AH1" s="29" t="s">
        <v>711</v>
      </c>
      <c r="AI1" s="29">
        <f ca="1">IF(O11="non-classed",RANDBETWEEN(1,10),IF(O11="wizard",SUM(6,4*O12,-4),IF(O11="warlock",SUM(8,5*O12,-5),IF(O11="sorcerer",SUM(6,4*O12,-6),IF(O11="rogue",SUM(8,5*O12,-5),IF(O11="ranger",SUM(10,6*O12,-6),IF(O11="paladin",SUM(10,6*O12,-6),IF(O11="barbarian",SUM(12,7*O12,-7),IF(O11="bard",SUM(8,5*O12,-5),IF(O11="cleric",SUM(8,5*O12,-5),IF(O11="druid",SUM(8,5*O12,-5),IF(O11="fighter",SUM(10,6*O12,-6),IF(O11="monk",SUM(8,5*O12,-5)," ")))))))))))))</f>
        <v>76</v>
      </c>
      <c r="AJ1" s="29" t="s">
        <v>714</v>
      </c>
      <c r="AK1" s="29">
        <f ca="1">(P40*P6)</f>
        <v>80</v>
      </c>
      <c r="CB1" s="31" t="s">
        <v>670</v>
      </c>
      <c r="CE1" s="31"/>
    </row>
    <row r="2" spans="1:83" x14ac:dyDescent="0.3">
      <c r="A2" s="30"/>
      <c r="B2" s="30"/>
      <c r="C2" s="33"/>
      <c r="D2" s="33"/>
      <c r="E2" s="33"/>
      <c r="F2" s="33"/>
      <c r="G2" s="33"/>
      <c r="H2" s="33"/>
      <c r="I2" s="33"/>
      <c r="J2" s="33"/>
      <c r="K2" s="33"/>
      <c r="L2" s="33"/>
      <c r="M2" s="33"/>
      <c r="N2" s="33"/>
      <c r="O2" s="110" t="str">
        <f ca="1">VLOOKUP(RANDBETWEEN(1,2),Table14[],2)</f>
        <v>Male</v>
      </c>
      <c r="P2" s="33" t="str">
        <f ca="1">IF(Q2="dwarf",VLOOKUP(RANDBETWEEN(1,2),Table8[],2),IF(Q2="elf",VLOOKUP(RANDBETWEEN(1,3),Table9[],2),IF(Q2="halfling",VLOOKUP(RANDBETWEEN(1,2),Table12[],2),IF(Q2="Dragonborn",VLOOKUP(RANDBETWEEN(1,10),Table25[],2),IF(Q2="Gnome",VLOOKUP(RANDBETWEEN(1,2),Table30[],2)," ")))))</f>
        <v>Forest</v>
      </c>
      <c r="Q2" s="72" t="str">
        <f ca="1">VLOOKUP(RANDBETWEEN(1,9),Table2[],2)</f>
        <v>Gnome</v>
      </c>
      <c r="R2" s="30"/>
      <c r="S2" s="30"/>
      <c r="AE2" s="29" t="s">
        <v>676</v>
      </c>
      <c r="AF2" s="29" t="str">
        <f ca="1">IF($P$6&gt;=4,VLOOKUP(RANDBETWEEN(1,6),Table41[],2)," ")</f>
        <v>Constitution</v>
      </c>
      <c r="AH2" s="29" t="s">
        <v>712</v>
      </c>
      <c r="AI2" s="29">
        <f ca="1">IF(Q11="wizard",4*Q12,IF(Q11="warlock",5*Q12,IF(Q11="sorcerer",4*Q12,IF(Q11="rogue",5*Q12,IF(Q11="ranger",6*Q12,IF(Q11="paladin",6*Q12,IF(Q11="barbarian",7*Q12,IF(Q11="bard",5*Q12,IF(Q11="cleric",5*Q12,IF(Q11="druid",5*Q12,IF(Q11="fighter",6*Q12,IF(Q11="monk",5*Q12," "))))))))))))</f>
        <v>48</v>
      </c>
      <c r="CB2" s="35">
        <f t="shared" ref="CB2:CB7" ca="1" si="0">_xlfn.RANK.EQ(CC2,$CC$2:$CC$7)</f>
        <v>2</v>
      </c>
      <c r="CC2" s="36">
        <f ca="1">IF(BM7&gt;0,0,RAND())</f>
        <v>0.64934133439103459</v>
      </c>
      <c r="CD2" s="29" t="s">
        <v>29</v>
      </c>
    </row>
    <row r="3" spans="1:83" ht="19.5" thickBot="1" x14ac:dyDescent="0.35">
      <c r="A3" s="30"/>
      <c r="B3" s="30"/>
      <c r="C3" s="38"/>
      <c r="D3" s="38"/>
      <c r="E3" s="38"/>
      <c r="F3" s="38"/>
      <c r="G3" s="38"/>
      <c r="H3" s="38"/>
      <c r="I3" s="38"/>
      <c r="J3" s="38"/>
      <c r="K3" s="38"/>
      <c r="L3" s="38"/>
      <c r="M3" s="38"/>
      <c r="N3" s="38"/>
      <c r="O3" s="37" t="str">
        <f ca="1">VLOOKUP(RANDBETWEEN(1,20),Table253[],2)</f>
        <v>Young Adult</v>
      </c>
      <c r="P3" s="38" t="str">
        <f ca="1">IF(AND(Q2="tiefling",O3="young adult"),SUM(17,RANDBETWEEN(1,23))&amp;" years old",IF(AND(Q2="tiefling",O3="adult"),SUM(40,RANDBETWEEN(1,30))&amp;" years old",IF(AND(Q2="tiefling",O3="elderly"),SUM(70,RANDBETWEEN(1,30))&amp;" years old",IF(AND(Q2="half-orc",O3="young adult"),SUM(13,RANDBETWEEN(1,32))&amp;" years old",IF(AND(Q2="half-orc",O3="adult"),SUM(45,RANDBETWEEN(1,15))&amp;" years old",IF(AND(Q2="half-orc",O3="elderly"),SUM(60,RANDBETWEEN(1,15))&amp;" years old",IF(AND(Q2="half-elf",O3="young adult"),SUM(19,RANDBETWEEN(1,30))&amp;" years old",IF(AND(Q2="half-elf",O3="adult"),SUM(50,RANDBETWEEN(1,100))&amp;" years old",IF(AND(Q2="half-elf",O3="elderly"),SUM(150,RANDBETWEEN(1,30))&amp;" years old",IF(AND(Q2="gnome",O3="young adult"),SUM(19,RANDBETWEEN(1,20))&amp;" years old",IF(AND(Q2="gnome",O3="adult"),SUM(40,RANDBETWEEN(1,160))&amp;" years old",IF(AND(Q2="gnome",O3="elderly"),SUM(200,RANDBETWEEN(1,200))&amp;" years old",IF(AND(Q2="dragonborn",O3="young adult"),SUM(14,RANDBETWEEN(1,5))&amp;" years old",IF(AND(Q2="dragonborn",O3="adult"),SUM(20,RANDBETWEEN(1,30))&amp;" years old",IF(AND(Q2="dragonborn",O3="elderly"),SUM(50,RANDBETWEEN(1,30))&amp;" years old",IF(AND(Q2="halfling",O3="young adult"),SUM(19,RANDBETWEEN(1,20))&amp;" years old",IF(AND(Q2="halfling",O3="adult"),SUM(40,RANDBETWEEN(1,110))&amp;" years old",IF(AND(Q2="halfling",O3="elderly"),SUM(150,RANDBETWEEN(1,100))&amp;" years old",IF(AND(Q2="elf",O3="young adult"),SUM(99,RANDBETWEEN(1,350))&amp;" years old",IF(AND(Q2="elf",O3="adult"),SUM(450,RANDBETWEEN(1,200))&amp;" years old",IF(AND(Q2="elf",O3="elderly"),SUM(650,RANDBETWEEN(1,100))&amp;" years old",IF(AND(Q2="dwarf",O3="young adult"),SUM(17,RANDBETWEEN(1,32))&amp;" years old",IF(AND(Q2="dwarf",O3="adult"),SUM(50,RANDBETWEEN(1,150))&amp;" years old",IF(AND(Q2="dwarf",O3="elderly"),SUM(200,RANDBETWEEN(1,150))&amp;" years old",IF(AND(Q2="human",O3="young adult"),SUM(17,RANDBETWEEN(1,12))&amp;" years old",IF(AND(Q2="human",O3="adult"),SUM(30,RANDBETWEEN(1,35))&amp;" years old",IF(AND(Q2="human",O3="elderly"),SUM(65,RANDBETWEEN(1,25))&amp;" years old"," ")))))))))))))))))))))))))))</f>
        <v>35 years old</v>
      </c>
      <c r="Q3" s="113"/>
      <c r="R3" s="30"/>
      <c r="AE3" s="29" t="s">
        <v>676</v>
      </c>
      <c r="AF3" s="29" t="str">
        <f ca="1">IF($P$6&gt;=4,VLOOKUP(RANDBETWEEN(1,6),Table41[],2)," ")</f>
        <v>Charisma</v>
      </c>
      <c r="AH3" s="29" t="s">
        <v>713</v>
      </c>
      <c r="AI3" s="29" t="str">
        <f ca="1">IF(P2="hill",(P6)," ")</f>
        <v xml:space="preserve"> </v>
      </c>
      <c r="CB3" s="35">
        <f t="shared" ca="1" si="0"/>
        <v>1</v>
      </c>
      <c r="CC3" s="36">
        <f ca="1">IF(BM9&gt;0,0,RAND())</f>
        <v>0.79735850119533247</v>
      </c>
      <c r="CD3" s="29" t="s">
        <v>14</v>
      </c>
    </row>
    <row r="4" spans="1:83" ht="19.5" thickBot="1" x14ac:dyDescent="0.35">
      <c r="A4" s="33"/>
      <c r="B4" s="30"/>
      <c r="C4" s="39"/>
      <c r="D4" s="39"/>
      <c r="E4" s="39"/>
      <c r="F4" s="39"/>
      <c r="G4" s="39"/>
      <c r="H4" s="39"/>
      <c r="I4" s="39"/>
      <c r="J4" s="39"/>
      <c r="K4" s="39"/>
      <c r="L4" s="39"/>
      <c r="M4" s="39"/>
      <c r="N4" s="39"/>
      <c r="O4" s="40"/>
      <c r="Q4" s="41"/>
      <c r="R4" s="41"/>
      <c r="AE4" s="29" t="s">
        <v>677</v>
      </c>
      <c r="AF4" s="29" t="str">
        <f ca="1">IF($P$6&gt;=8,VLOOKUP(RANDBETWEEN(1,6),Table41[],2)," ")</f>
        <v>Intelligence</v>
      </c>
      <c r="AH4" s="29" t="s">
        <v>1592</v>
      </c>
      <c r="AI4" s="29" t="str">
        <f ca="1">IF(OR(P15="draconic bloodline",R15="draconic bloodline"),O12," ")</f>
        <v xml:space="preserve"> </v>
      </c>
      <c r="CB4" s="35">
        <f t="shared" ca="1" si="0"/>
        <v>6</v>
      </c>
      <c r="CC4" s="36">
        <f ca="1">IF(BM13&gt;0,0,RAND())</f>
        <v>1.3653068434747562E-2</v>
      </c>
      <c r="CD4" s="29" t="s">
        <v>18</v>
      </c>
    </row>
    <row r="5" spans="1:83" ht="19.5" thickBot="1" x14ac:dyDescent="0.35">
      <c r="B5" s="42" t="s">
        <v>35</v>
      </c>
      <c r="O5" s="43" t="s">
        <v>41</v>
      </c>
      <c r="P5" s="43" t="s">
        <v>1881</v>
      </c>
      <c r="Q5" s="44" t="str">
        <f ca="1">"Max. HP: "&amp;SUM(AI1,AI2,AI3,AK1,AI4)</f>
        <v>Max. HP: 204</v>
      </c>
      <c r="R5" s="45" t="s">
        <v>33</v>
      </c>
      <c r="AE5" s="29" t="s">
        <v>677</v>
      </c>
      <c r="AF5" s="29" t="str">
        <f ca="1">IF($P$6&gt;=8,VLOOKUP(RANDBETWEEN(1,6),Table41[],2)," ")</f>
        <v>Constitution</v>
      </c>
      <c r="AV5" s="29" t="s">
        <v>744</v>
      </c>
      <c r="BM5" s="29" t="s">
        <v>1825</v>
      </c>
      <c r="BN5" s="29" t="s">
        <v>744</v>
      </c>
      <c r="BO5" s="29" t="s">
        <v>728</v>
      </c>
      <c r="BP5" s="29" t="s">
        <v>745</v>
      </c>
      <c r="BQ5" s="29" t="s">
        <v>1569</v>
      </c>
      <c r="BR5" s="29" t="s">
        <v>211</v>
      </c>
      <c r="BS5" s="29" t="s">
        <v>1343</v>
      </c>
      <c r="BT5" s="29" t="s">
        <v>1344</v>
      </c>
      <c r="BU5" s="29" t="s">
        <v>739</v>
      </c>
      <c r="CB5" s="35">
        <f t="shared" ca="1" si="0"/>
        <v>4</v>
      </c>
      <c r="CC5" s="36">
        <f ca="1">IF(BM16&gt;0,0,RAND())</f>
        <v>0.38034499253541643</v>
      </c>
      <c r="CD5" s="29" t="s">
        <v>21</v>
      </c>
    </row>
    <row r="6" spans="1:83" ht="20.25" thickTop="1" thickBot="1" x14ac:dyDescent="0.35">
      <c r="B6" s="32">
        <f ca="1">P39</f>
        <v>4</v>
      </c>
      <c r="O6" s="46" t="str">
        <f ca="1">IF(OR(Q2="dwarf",Q2="elf",Q2="human",Q2="dragonborn",Q2="half-elf",Q2="half-orc",Q2="tiefling"),"Medium",IF(OR(Q2="gnome",Q2="halfling"),"Small"," "))</f>
        <v>Small</v>
      </c>
      <c r="P6" s="47">
        <f ca="1">IF(AF14=1,O12,IF(AF14=2,SUM(O12,Q12)))</f>
        <v>20</v>
      </c>
      <c r="Q6" s="48" t="s">
        <v>1882</v>
      </c>
      <c r="R6" s="47" t="str">
        <f ca="1">VLOOKUP(RANDBETWEEN(1,100),Table92[],2)</f>
        <v>Lawful good</v>
      </c>
      <c r="U6" s="49"/>
      <c r="AE6" s="29" t="s">
        <v>678</v>
      </c>
      <c r="AF6" s="29" t="str">
        <f ca="1">IF($P$6&gt;=12,VLOOKUP(RANDBETWEEN(1,6),Table41[],2)," ")</f>
        <v>Charisma</v>
      </c>
      <c r="AH6" s="29" t="s">
        <v>12</v>
      </c>
      <c r="AI6" s="29">
        <f ca="1">$P$39</f>
        <v>4</v>
      </c>
      <c r="AJ6" s="29" t="str">
        <f t="shared" ref="AJ6:AU6" ca="1" si="1">IF(COUNTIF(AJ$27:AJ$33,$AH$6),$P$8," ")</f>
        <v xml:space="preserve"> </v>
      </c>
      <c r="AK6" s="29" t="str">
        <f t="shared" ca="1" si="1"/>
        <v xml:space="preserve"> </v>
      </c>
      <c r="AL6" s="29" t="str">
        <f t="shared" ca="1" si="1"/>
        <v xml:space="preserve"> </v>
      </c>
      <c r="AM6" s="29" t="str">
        <f t="shared" ca="1" si="1"/>
        <v xml:space="preserve"> </v>
      </c>
      <c r="AN6" s="29" t="str">
        <f t="shared" ca="1" si="1"/>
        <v xml:space="preserve"> </v>
      </c>
      <c r="AO6" s="29" t="str">
        <f t="shared" ca="1" si="1"/>
        <v xml:space="preserve"> </v>
      </c>
      <c r="AP6" s="29" t="str">
        <f t="shared" ca="1" si="1"/>
        <v xml:space="preserve"> </v>
      </c>
      <c r="AQ6" s="29" t="str">
        <f t="shared" ca="1" si="1"/>
        <v xml:space="preserve"> </v>
      </c>
      <c r="AR6" s="29" t="str">
        <f t="shared" ca="1" si="1"/>
        <v xml:space="preserve"> </v>
      </c>
      <c r="AS6" s="29" t="str">
        <f t="shared" ca="1" si="1"/>
        <v xml:space="preserve"> </v>
      </c>
      <c r="AT6" s="29" t="str">
        <f t="shared" ca="1" si="1"/>
        <v xml:space="preserve"> </v>
      </c>
      <c r="AU6" s="29" t="str">
        <f t="shared" ca="1" si="1"/>
        <v xml:space="preserve"> </v>
      </c>
      <c r="AV6" s="29">
        <f ca="1">SUM(AJ6:AU6)</f>
        <v>0</v>
      </c>
      <c r="AW6" s="29" t="s">
        <v>12</v>
      </c>
      <c r="BA6" s="29">
        <f ca="1">IF(S11="Entertainer",P8," ")</f>
        <v>6</v>
      </c>
      <c r="BM6" s="29">
        <f t="shared" ref="BM6:BM23" ca="1" si="2">SUM(AX6:BL6)</f>
        <v>6</v>
      </c>
      <c r="BN6" s="29">
        <f ca="1">AV6</f>
        <v>0</v>
      </c>
      <c r="BO6" s="29" t="str">
        <f t="shared" ref="BO6:BO23" ca="1" si="3">IF(AND($O$11="bard",$O$12&gt;=3,BN26=1),$P$8,IF(AND($O$11="bard",$O$12&gt;=3,BN26=2),$P$8,IF(AND($O$11="bard",$O$12&gt;=10,BN26=3,$P$15="college of lore"),$P$8,IF(AND($O$11="bard",$O$12&gt;=10,BN26=4,$P$15="college of lore"),$P$8,IF(AND($Q$11="bard",$Q$12&gt;=3,BN26=1),$P$8,IF(AND($Q$11="bard",$Q$12&gt;=3,BN26=2),$P$8,IF(AND($Q$11="bard",$Q$12&gt;=10,BN26=3,$P$15="college of lore"),$P$8,IF(AND($Q$11="bard",$Q$12&gt;=10,BN26=4,$P$15="college of lore"),$P$8," "))))))))</f>
        <v xml:space="preserve"> </v>
      </c>
      <c r="BP6" s="29" t="str">
        <f t="shared" ref="BP6:BP23" ca="1" si="4">IF(AND($O$11="bard",$O$12&gt;=2,AV6&lt;=0),ROUNDDOWN($P$8*0.5,0),IF(AND($Q$11="bard",$Q$12&gt;=2,AV6&lt;=0),ROUNDDOWN($P$8*0.5,0)," "))</f>
        <v xml:space="preserve"> </v>
      </c>
      <c r="BQ6" s="29" t="str">
        <f t="shared" ref="BQ6:BQ23" ca="1" si="5">IF(AND($O$11="rogue",BN26=1),$P$8,IF(AND($O$11="rogue",BN26=2,$AF$25=1),$P$8,IF(AND($O$11="rogue",$O$12&gt;6,BN26=3),$P$8,IF(AND($O$11="rogue",$O$12&gt;6,BN26=4),$P$8," "))))</f>
        <v xml:space="preserve"> </v>
      </c>
      <c r="BR6" s="29">
        <f t="shared" ref="BR6:BR23" ca="1" si="6">IF(AND($Q$2="half-elf",BR26=1),$P$8,IF(AND($Q$2="half-elf",BR26=2),$P$8,0))</f>
        <v>0</v>
      </c>
      <c r="BU6" s="29">
        <f ca="1">SUM(BM6:BT6,AI6)</f>
        <v>10</v>
      </c>
      <c r="BV6" s="29" t="s">
        <v>12</v>
      </c>
      <c r="CB6" s="35">
        <f t="shared" ca="1" si="0"/>
        <v>3</v>
      </c>
      <c r="CC6" s="36">
        <f ca="1">IF(BM17&gt;0,0,RAND())</f>
        <v>0.44270566707977421</v>
      </c>
      <c r="CD6" s="29" t="s">
        <v>22</v>
      </c>
      <c r="CE6" s="31"/>
    </row>
    <row r="7" spans="1:83" ht="19.5" thickBot="1" x14ac:dyDescent="0.35">
      <c r="B7" s="42" t="s">
        <v>36</v>
      </c>
      <c r="O7" s="50" t="str">
        <f ca="1">IF(Q2="Tiefling","Height: "&amp;SUM(57,AE31)&amp;" inches",IF(Q2="half-orc","Height: "&amp;SUM(58,AE32)&amp;" inches",IF(Q2="Half-elf","Height: "&amp;SUM(57,AE31)&amp;" inches",IF(Q2="Gnome","Height: "&amp;SUM(35,AE29)&amp;" inches",IF(Q2="Dragonborn","Height: "&amp;SUM(66,AE31)&amp;" inches",IF(Q2="Halfling","Height: "&amp;SUM(31,AE29)&amp;" inches",IF(P2="dark","Height: "&amp;SUM(53,AE30)&amp;" inches",IF(P2="wood","Height: "&amp;SUM(54,AE32)&amp;" inches",IF(P2="high","Height: "&amp;SUM(54,AE32)&amp;" inches",IF(P2="mountain","Height: "&amp;SUM(48,AE29)&amp;" inches",IF(P2="hill","Height: "&amp;SUM(44,AE29)&amp;" inches",IF(Q2="human","Height: "&amp;SUM(56,AE32)&amp;" inches"," "))))))))))))</f>
        <v>Height: 41 inches</v>
      </c>
      <c r="P7" s="43" t="s">
        <v>34</v>
      </c>
      <c r="AE7" s="29" t="s">
        <v>678</v>
      </c>
      <c r="AF7" s="29" t="str">
        <f ca="1">IF($P$6&gt;=12,VLOOKUP(RANDBETWEEN(1,6),Table41[],2)," ")</f>
        <v>Intelligence</v>
      </c>
      <c r="AH7" s="29" t="s">
        <v>29</v>
      </c>
      <c r="AI7" s="29">
        <f ca="1">$P$42</f>
        <v>2</v>
      </c>
      <c r="AJ7" s="29" t="str">
        <f t="shared" ref="AJ7:AU7" ca="1" si="7">IF(COUNTIF(AJ$27:AJ$33,$AH$7),$P$8," ")</f>
        <v xml:space="preserve"> </v>
      </c>
      <c r="AK7" s="29" t="str">
        <f t="shared" ca="1" si="7"/>
        <v xml:space="preserve"> </v>
      </c>
      <c r="AL7" s="29" t="str">
        <f t="shared" ca="1" si="7"/>
        <v xml:space="preserve"> </v>
      </c>
      <c r="AM7" s="29" t="str">
        <f t="shared" ca="1" si="7"/>
        <v xml:space="preserve"> </v>
      </c>
      <c r="AN7" s="29" t="str">
        <f t="shared" ca="1" si="7"/>
        <v xml:space="preserve"> </v>
      </c>
      <c r="AO7" s="29" t="str">
        <f t="shared" ca="1" si="7"/>
        <v xml:space="preserve"> </v>
      </c>
      <c r="AP7" s="29" t="str">
        <f t="shared" ca="1" si="7"/>
        <v xml:space="preserve"> </v>
      </c>
      <c r="AQ7" s="29" t="str">
        <f t="shared" ca="1" si="7"/>
        <v xml:space="preserve"> </v>
      </c>
      <c r="AR7" s="29" t="str">
        <f t="shared" ca="1" si="7"/>
        <v xml:space="preserve"> </v>
      </c>
      <c r="AS7" s="29" t="str">
        <f t="shared" ca="1" si="7"/>
        <v xml:space="preserve"> </v>
      </c>
      <c r="AT7" s="29" t="str">
        <f t="shared" ca="1" si="7"/>
        <v xml:space="preserve"> </v>
      </c>
      <c r="AU7" s="29" t="str">
        <f t="shared" ca="1" si="7"/>
        <v xml:space="preserve"> </v>
      </c>
      <c r="AV7" s="29">
        <f t="shared" ref="AV7:AV23" ca="1" si="8">SUM(AJ7:AU7)</f>
        <v>0</v>
      </c>
      <c r="AW7" s="29" t="s">
        <v>29</v>
      </c>
      <c r="BB7" s="29" t="str">
        <f ca="1">IF(S11="Folk Hero",P8," ")</f>
        <v xml:space="preserve"> </v>
      </c>
      <c r="BM7" s="29">
        <f t="shared" ca="1" si="2"/>
        <v>0</v>
      </c>
      <c r="BN7" s="29">
        <f t="shared" ref="BN7:BN23" ca="1" si="9">AV7</f>
        <v>0</v>
      </c>
      <c r="BO7" s="29" t="str">
        <f t="shared" ca="1" si="3"/>
        <v xml:space="preserve"> </v>
      </c>
      <c r="BP7" s="29" t="str">
        <f t="shared" ca="1" si="4"/>
        <v xml:space="preserve"> </v>
      </c>
      <c r="BQ7" s="29" t="str">
        <f t="shared" ca="1" si="5"/>
        <v xml:space="preserve"> </v>
      </c>
      <c r="BR7" s="29">
        <f t="shared" ca="1" si="6"/>
        <v>0</v>
      </c>
      <c r="BT7" s="29">
        <f ca="1">IF(AND(BY30=1,OR($P$15="nature",$R$15="nature")),$P$8,0)</f>
        <v>0</v>
      </c>
      <c r="BU7" s="29">
        <f t="shared" ref="BU7:BU23" ca="1" si="10">SUM(BM7:BT7)</f>
        <v>0</v>
      </c>
      <c r="BV7" s="29" t="s">
        <v>29</v>
      </c>
      <c r="CB7" s="35">
        <f t="shared" ca="1" si="0"/>
        <v>5</v>
      </c>
      <c r="CC7" s="36">
        <f ca="1">IF(BM23&gt;0,0,RAND())</f>
        <v>0.25127689858400881</v>
      </c>
      <c r="CD7" s="29" t="s">
        <v>28</v>
      </c>
    </row>
    <row r="8" spans="1:83" ht="20.25" thickTop="1" thickBot="1" x14ac:dyDescent="0.35">
      <c r="B8" s="51" t="str">
        <f ca="1">IF(AND(B89="unarmored defense",B90&lt;&gt;"shield",Q12&gt;=2,Q11="monk",OR(Q2="dwarf",Q2="halfling",Q2="gnome")),SUM(15,INDEX('Class Tables'!L98:L117,MATCH(O12,('Class Tables'!I98:I117),0)))&amp;" ft.",IF(AND(B89="unarmored defense",B90&lt;&gt;"Shield",Q12&gt;=2,Q11="monk",P2="wood"),SUM(25,INDEX('Class Tables'!L98:L117,MATCH(O12,('Class Tables'!I98:I117),0)))&amp;" ft.",IF(AND(B89="unarmored defense",B90&lt;&gt;"shield",Q12&gt;=2,Q11="monk",OR(Q2="human",Q2="elf",Q2="dragonborn",Q2="half-elf",Q2="half-orc",Q2="tiefling")),SUM(20,INDEX('Class Tables'!L98:L117,MATCH(O12,('Class Tables'!I98:I117),0)))&amp;" ft.",IF(AND(B89="unarmored defense",B90&lt;&gt;"shield",O12&gt;=2,O11="monk",OR(Q2="dwarf",Q2="halfling",Q2="gnome")),SUM(25,INDEX('Class Tables'!L98:L117,MATCH(O12,('Class Tables'!I98:I117),0)))&amp;" ft.",IF(AND(B89="unarmored defense",B90&lt;&gt;"Shield",O12&gt;=2,O11="monk",P2="wood"),SUM(35,INDEX('Class Tables'!L98:L117,MATCH(O12,('Class Tables'!I98:I117),0)))&amp;" ft.",IF(AND(B89="unarmored defense",B90&lt;&gt;"shield",O12&gt;=2,O11="monk",OR(Q2="human",Q2="elf",Q2="dragonborn",Q2="half-elf",Q2="half-orc",Q2="tiefling")),SUM(30,INDEX('Class Tables'!L98:L117,MATCH(O12,('Class Tables'!I98:I117),0)))&amp;" ft.",IF(AND(B89="unarmored defense",Q12&gt;=5,Q11="barbarian",OR(Q2="dwarf",Q2="halfling",Q2="gnome")),"35 ft.",IF(AND(B89="unarmored defense",Q12&gt;=5,Q11="barbarian",P2="wood"),"45 ft.",IF(AND(B89="unarmored defense",Q12&gt;=5,Q11="barbarian",OR(Q2="human",Q2="elf",Q2="dragonborn",Q2="half-elf",Q2="half-orc",Q2="tiefling")),"40 ft.",IF(AND(B89="unarmored defense",O12&gt;=5,O11="barbarian",OR(Q2="dwarf",Q2="halfling",Q2="gnome")),"35 ft.",IF(AND(B89="unarmored defense",O12&gt;=O11="barbarian",P2="wood"),"45 ft.",IF(AND(B89="unarmored defense",O12&gt;=5,O11="barbarian",OR(Q2="human",Q2="elf",Q2="dragonborn",Q2="half-elf",Q2="half-orc",Q2="tiefling")),"40 ft.",IF(OR(Q2="dwarf",Q2="halfling",Q2="gnome"),"25 ft.",IF(P2="wood","35 ft.",IF(OR(Q2="human",Q2="elf",Q2="dragonborn",Q2="half-elf",Q2="half-orc",Q2="tiefling"),"30 ft."," ")))))))))))))))</f>
        <v>25 ft.</v>
      </c>
      <c r="O8" s="47" t="str">
        <f ca="1">IF(P2="dark","Weight: "&amp;SUM(AE30*RANDBETWEEN(1,6),75)&amp;" lbs.",IF(P2="wood","Weight: "&amp;SUM(AE32*RANDBETWEEN(1,4),100)&amp;" lbs.",IF(P2="high","Weight: "&amp;SUM(AE32*RANDBETWEEN(1,4),90)&amp;" lbs.",IF(P2="mountain","Weight: "&amp;SUM(AE29*RANDBETWEEN(2,12),130)&amp;" lbs.",IF(P2="hill","Weight: "&amp;SUM(AE29*RANDBETWEEN(2,12),115)&amp;" lbs.",IF(Q2="tiefling","Weight: "&amp;SUM(AE31*RANDBETWEEN(2,8),110)&amp;" lbs.",IF(Q2="Half-orc","Weight: "&amp;SUM(AE32*RANDBETWEEN(2,12),140),IF(Q2="Half-elf","Weight: "&amp;SUM(AE31*RANDBETWEEN(2,8),110),IF(Q2="Gnome","Weight: "&amp;SUM(AE29,35),IF(Q2="Dragonborn","Weight: "&amp;SUM(AE31*RANDBETWEEN(2,12),175)&amp;" lbs.",IF(Q2="Halfling","Weight: "&amp;SUM(AE29,35)&amp;" lbs.",IF(Q2="Human","Weight: "&amp;SUM(AE32*RANDBETWEEN(2,8),110)&amp;" lbs."," "))))))))))))</f>
        <v>Weight: 41</v>
      </c>
      <c r="P8" s="111">
        <f ca="1">VLOOKUP(P6,Table26[],2)</f>
        <v>6</v>
      </c>
      <c r="Q8" s="33"/>
      <c r="R8" s="33"/>
      <c r="AE8" s="29" t="s">
        <v>679</v>
      </c>
      <c r="AF8" s="29" t="str">
        <f ca="1">IF($P$6&gt;=16,VLOOKUP(RANDBETWEEN(1,6),Table41[],2)," ")</f>
        <v>Dexterity</v>
      </c>
      <c r="AH8" s="29" t="s">
        <v>13</v>
      </c>
      <c r="AI8" s="29">
        <f ca="1">$P$41</f>
        <v>4</v>
      </c>
      <c r="AJ8" s="29" t="str">
        <f t="shared" ref="AJ8:AU8" ca="1" si="11">IF(COUNTIF(AJ$27:AJ$33,$AH$8),$P$8," ")</f>
        <v xml:space="preserve"> </v>
      </c>
      <c r="AK8" s="29" t="str">
        <f t="shared" ca="1" si="11"/>
        <v xml:space="preserve"> </v>
      </c>
      <c r="AL8" s="29" t="str">
        <f t="shared" ca="1" si="11"/>
        <v xml:space="preserve"> </v>
      </c>
      <c r="AM8" s="29" t="str">
        <f t="shared" ca="1" si="11"/>
        <v xml:space="preserve"> </v>
      </c>
      <c r="AN8" s="29" t="str">
        <f t="shared" ca="1" si="11"/>
        <v xml:space="preserve"> </v>
      </c>
      <c r="AO8" s="29" t="str">
        <f t="shared" ca="1" si="11"/>
        <v xml:space="preserve"> </v>
      </c>
      <c r="AP8" s="29" t="str">
        <f t="shared" ca="1" si="11"/>
        <v xml:space="preserve"> </v>
      </c>
      <c r="AQ8" s="29" t="str">
        <f t="shared" ca="1" si="11"/>
        <v xml:space="preserve"> </v>
      </c>
      <c r="AR8" s="29" t="str">
        <f t="shared" ca="1" si="11"/>
        <v xml:space="preserve"> </v>
      </c>
      <c r="AS8" s="29" t="str">
        <f t="shared" ca="1" si="11"/>
        <v xml:space="preserve"> </v>
      </c>
      <c r="AT8" s="29" t="str">
        <f t="shared" ca="1" si="11"/>
        <v xml:space="preserve"> </v>
      </c>
      <c r="AU8" s="29" t="str">
        <f t="shared" ca="1" si="11"/>
        <v xml:space="preserve"> </v>
      </c>
      <c r="AV8" s="29">
        <f t="shared" ca="1" si="8"/>
        <v>0</v>
      </c>
      <c r="AW8" s="29" t="s">
        <v>13</v>
      </c>
      <c r="BI8" s="29" t="str">
        <f ca="1">IF(S11="Sage",P8," ")</f>
        <v xml:space="preserve"> </v>
      </c>
      <c r="BM8" s="29">
        <f t="shared" ca="1" si="2"/>
        <v>0</v>
      </c>
      <c r="BN8" s="29">
        <f t="shared" ca="1" si="9"/>
        <v>0</v>
      </c>
      <c r="BO8" s="29" t="str">
        <f t="shared" ca="1" si="3"/>
        <v xml:space="preserve"> </v>
      </c>
      <c r="BP8" s="29" t="str">
        <f t="shared" ca="1" si="4"/>
        <v xml:space="preserve"> </v>
      </c>
      <c r="BQ8" s="29" t="str">
        <f t="shared" ca="1" si="5"/>
        <v xml:space="preserve"> </v>
      </c>
      <c r="BR8" s="29">
        <f t="shared" ca="1" si="6"/>
        <v>0</v>
      </c>
      <c r="BS8" s="29">
        <f ca="1">IF(AND($BY$26=1,OR($P$15="knowledge",$R$15="knowledge")),$P$8*2,IF(AND($BY$26=2,OR($P$15="knowledge",$R$15="knowledge")),$P$8*2,0))</f>
        <v>0</v>
      </c>
      <c r="BU8" s="29">
        <f t="shared" ca="1" si="10"/>
        <v>0</v>
      </c>
      <c r="BV8" s="29" t="s">
        <v>13</v>
      </c>
      <c r="CB8" s="52"/>
      <c r="CC8" s="52"/>
    </row>
    <row r="9" spans="1:83" ht="19.5" thickBot="1" x14ac:dyDescent="0.35">
      <c r="AE9" s="29" t="s">
        <v>679</v>
      </c>
      <c r="AF9" s="29" t="str">
        <f ca="1">IF($P$6&gt;=16,VLOOKUP(RANDBETWEEN(1,6),Table41[],2)," ")</f>
        <v>Strength</v>
      </c>
      <c r="AH9" s="29" t="s">
        <v>14</v>
      </c>
      <c r="AI9" s="29">
        <f ca="1">$P$38</f>
        <v>1</v>
      </c>
      <c r="AJ9" s="29" t="str">
        <f t="shared" ref="AJ9:AU9" ca="1" si="12">IF(COUNTIF(AJ$27:AJ$33,$AH$9),$P$8," ")</f>
        <v xml:space="preserve"> </v>
      </c>
      <c r="AK9" s="29" t="str">
        <f t="shared" ca="1" si="12"/>
        <v xml:space="preserve"> </v>
      </c>
      <c r="AL9" s="29" t="str">
        <f t="shared" ca="1" si="12"/>
        <v xml:space="preserve"> </v>
      </c>
      <c r="AM9" s="29" t="str">
        <f t="shared" ca="1" si="12"/>
        <v xml:space="preserve"> </v>
      </c>
      <c r="AN9" s="29" t="str">
        <f t="shared" ca="1" si="12"/>
        <v xml:space="preserve"> </v>
      </c>
      <c r="AO9" s="29" t="str">
        <f t="shared" ca="1" si="12"/>
        <v xml:space="preserve"> </v>
      </c>
      <c r="AP9" s="29" t="str">
        <f t="shared" ca="1" si="12"/>
        <v xml:space="preserve"> </v>
      </c>
      <c r="AQ9" s="29" t="str">
        <f t="shared" ca="1" si="12"/>
        <v xml:space="preserve"> </v>
      </c>
      <c r="AR9" s="29" t="str">
        <f t="shared" ca="1" si="12"/>
        <v xml:space="preserve"> </v>
      </c>
      <c r="AS9" s="29" t="str">
        <f t="shared" ca="1" si="12"/>
        <v xml:space="preserve"> </v>
      </c>
      <c r="AT9" s="29" t="str">
        <f t="shared" ca="1" si="12"/>
        <v xml:space="preserve"> </v>
      </c>
      <c r="AU9" s="29" t="str">
        <f t="shared" ca="1" si="12"/>
        <v xml:space="preserve"> </v>
      </c>
      <c r="AV9" s="29">
        <f t="shared" ca="1" si="8"/>
        <v>0</v>
      </c>
      <c r="AW9" s="29" t="s">
        <v>14</v>
      </c>
      <c r="BG9" s="29" t="str">
        <f ca="1">IF(S11="Outlander",P8," ")</f>
        <v xml:space="preserve"> </v>
      </c>
      <c r="BH9" s="29" t="str">
        <f ca="1">IF(S11="Pirate",P8," ")</f>
        <v xml:space="preserve"> </v>
      </c>
      <c r="BJ9" s="29" t="str">
        <f ca="1">IF(S11="Sailor",P8," ")</f>
        <v xml:space="preserve"> </v>
      </c>
      <c r="BK9" s="29" t="str">
        <f ca="1">IF(S11="Soldier",P8," ")</f>
        <v xml:space="preserve"> </v>
      </c>
      <c r="BM9" s="29">
        <f t="shared" ca="1" si="2"/>
        <v>0</v>
      </c>
      <c r="BN9" s="29">
        <f t="shared" ca="1" si="9"/>
        <v>0</v>
      </c>
      <c r="BO9" s="29" t="str">
        <f t="shared" ca="1" si="3"/>
        <v xml:space="preserve"> </v>
      </c>
      <c r="BP9" s="29" t="str">
        <f t="shared" ca="1" si="4"/>
        <v xml:space="preserve"> </v>
      </c>
      <c r="BQ9" s="29" t="str">
        <f t="shared" ca="1" si="5"/>
        <v xml:space="preserve"> </v>
      </c>
      <c r="BR9" s="29">
        <f t="shared" ca="1" si="6"/>
        <v>0</v>
      </c>
      <c r="BU9" s="29">
        <f t="shared" ca="1" si="10"/>
        <v>0</v>
      </c>
      <c r="BV9" s="29" t="s">
        <v>14</v>
      </c>
      <c r="CB9" s="31" t="s">
        <v>740</v>
      </c>
      <c r="CC9" s="31" t="s">
        <v>742</v>
      </c>
      <c r="CD9" s="31"/>
    </row>
    <row r="10" spans="1:83" ht="26.25" thickBot="1" x14ac:dyDescent="0.4">
      <c r="O10" s="124" t="s">
        <v>681</v>
      </c>
      <c r="Q10" s="124" t="s">
        <v>682</v>
      </c>
      <c r="R10" s="49"/>
      <c r="S10" s="123" t="s">
        <v>32</v>
      </c>
      <c r="AE10" s="29" t="s">
        <v>680</v>
      </c>
      <c r="AF10" s="29" t="str">
        <f ca="1">IF($P$6&gt;=19,VLOOKUP(RANDBETWEEN(1,6),Table41[],2)," ")</f>
        <v>Intelligence</v>
      </c>
      <c r="AH10" s="29" t="s">
        <v>15</v>
      </c>
      <c r="AI10" s="29">
        <f ca="1">$P$43</f>
        <v>0</v>
      </c>
      <c r="AJ10" s="29" t="str">
        <f t="shared" ref="AJ10:AU10" ca="1" si="13">IF(COUNTIF(AJ$27:AJ$33,$AH$10),$P$8," ")</f>
        <v xml:space="preserve"> </v>
      </c>
      <c r="AK10" s="29" t="str">
        <f t="shared" ca="1" si="13"/>
        <v xml:space="preserve"> </v>
      </c>
      <c r="AL10" s="29" t="str">
        <f t="shared" ca="1" si="13"/>
        <v xml:space="preserve"> </v>
      </c>
      <c r="AM10" s="29" t="str">
        <f t="shared" ca="1" si="13"/>
        <v xml:space="preserve"> </v>
      </c>
      <c r="AN10" s="29" t="str">
        <f t="shared" ca="1" si="13"/>
        <v xml:space="preserve"> </v>
      </c>
      <c r="AO10" s="29" t="str">
        <f t="shared" ca="1" si="13"/>
        <v xml:space="preserve"> </v>
      </c>
      <c r="AP10" s="29" t="str">
        <f t="shared" ca="1" si="13"/>
        <v xml:space="preserve"> </v>
      </c>
      <c r="AQ10" s="29" t="str">
        <f t="shared" ca="1" si="13"/>
        <v xml:space="preserve"> </v>
      </c>
      <c r="AR10" s="29" t="str">
        <f t="shared" ca="1" si="13"/>
        <v xml:space="preserve"> </v>
      </c>
      <c r="AS10" s="29" t="str">
        <f t="shared" ca="1" si="13"/>
        <v xml:space="preserve"> </v>
      </c>
      <c r="AT10" s="29" t="str">
        <f t="shared" ca="1" si="13"/>
        <v xml:space="preserve"> </v>
      </c>
      <c r="AU10" s="29" t="str">
        <f t="shared" ca="1" si="13"/>
        <v xml:space="preserve"> </v>
      </c>
      <c r="AV10" s="29">
        <f t="shared" ca="1" si="8"/>
        <v>0</v>
      </c>
      <c r="AW10" s="29" t="s">
        <v>15</v>
      </c>
      <c r="AY10" s="29" t="str">
        <f ca="1">IF(S11="Charlatan",P8," ")</f>
        <v xml:space="preserve"> </v>
      </c>
      <c r="AZ10" s="29" t="str">
        <f ca="1">IF(S11="Criminal",P8," ")</f>
        <v xml:space="preserve"> </v>
      </c>
      <c r="BE10" s="29" t="str">
        <f ca="1">IF(S11="Knight",P8," ")</f>
        <v xml:space="preserve"> </v>
      </c>
      <c r="BF10" s="29" t="str">
        <f ca="1">IF(S11="Noble",P8," ")</f>
        <v xml:space="preserve"> </v>
      </c>
      <c r="BM10" s="29">
        <f t="shared" ca="1" si="2"/>
        <v>0</v>
      </c>
      <c r="BN10" s="29">
        <f t="shared" ca="1" si="9"/>
        <v>0</v>
      </c>
      <c r="BO10" s="29" t="str">
        <f t="shared" ca="1" si="3"/>
        <v xml:space="preserve"> </v>
      </c>
      <c r="BP10" s="29" t="str">
        <f t="shared" ca="1" si="4"/>
        <v xml:space="preserve"> </v>
      </c>
      <c r="BQ10" s="29" t="str">
        <f t="shared" ca="1" si="5"/>
        <v xml:space="preserve"> </v>
      </c>
      <c r="BR10" s="29">
        <f t="shared" ca="1" si="6"/>
        <v>0</v>
      </c>
      <c r="BU10" s="29">
        <f t="shared" ca="1" si="10"/>
        <v>0</v>
      </c>
      <c r="BV10" s="29" t="s">
        <v>15</v>
      </c>
      <c r="CB10" s="35">
        <f t="shared" ref="CB10:CB27" ca="1" si="14">_xlfn.RANK.EQ(CC10,$CC$10:$CC$27)</f>
        <v>17</v>
      </c>
      <c r="CC10" s="36">
        <f t="shared" ref="CC10:CC27" ca="1" si="15">IF(BM6&gt;0,0,RAND())</f>
        <v>0</v>
      </c>
      <c r="CD10" s="29" t="s">
        <v>12</v>
      </c>
    </row>
    <row r="11" spans="1:83" ht="19.5" thickTop="1" x14ac:dyDescent="0.3">
      <c r="O11" s="46" t="str">
        <f ca="1">VLOOKUP(RANDBETWEEN(1,16),Table43[],2)</f>
        <v>Fighter</v>
      </c>
      <c r="Q11" s="139" t="str">
        <f ca="1">IF(O11="non-classed",VLOOKUP(RANDBETWEEN(1,124),Table252[],2),IF(AND(O11="barbarian",AF14=2),VLOOKUP(RANDBETWEEN(1,11),Table43[],3),IF(AND(O11="bard",AF14=2),VLOOKUP(RANDBETWEEN(1,11),Table43[],4),IF(AND(O11="cleric",AF14=2),VLOOKUP(RANDBETWEEN(1,11),Table43[],5),IF(AND(O11="druid",AF14=2),VLOOKUP(RANDBETWEEN(1,11),Table43[],6),IF(AND(O11="fighter",AF14=2),VLOOKUP(RANDBETWEEN(1,11),Table43[],7),IF(AND(O11="Monk",AF14=2),VLOOKUP(RANDBETWEEN(1,11),Table43[],8),IF(AND(O11="Paladin",AF14=2),VLOOKUP(RANDBETWEEN(1,11),Table43[],9),IF(AND(O11="Ranger",AF14=2),VLOOKUP(RANDBETWEEN(1,11),Table43[],10),IF(AND(O11="Rogue",AF14=2),VLOOKUP(RANDBETWEEN(1,11),Table43[],11),IF(AND(O11="sorcerer",AF14=2),VLOOKUP(RANDBETWEEN(1,11),Table43[],12),IF(AND(O11="warlock",AF14=2),VLOOKUP(RANDBETWEEN(1,11),Table43[],13),IF(AND(O11="wizard",AF14=2),VLOOKUP(RANDBETWEEN(1,11),Table43[],14)," ")))))))))))))</f>
        <v>Ranger</v>
      </c>
      <c r="R11" s="49"/>
      <c r="S11" s="33" t="str">
        <f ca="1">IF(O11&lt;&gt;"non-classed",VLOOKUP(RANDBETWEEN(1,15),Table254[],2)," ")</f>
        <v>Entertainer</v>
      </c>
      <c r="AE11" s="29" t="s">
        <v>680</v>
      </c>
      <c r="AF11" s="29" t="str">
        <f ca="1">IF($P$6&gt;=19,VLOOKUP(RANDBETWEEN(1,6),Table41[],2)," ")</f>
        <v>Intelligence</v>
      </c>
      <c r="AH11" s="29" t="s">
        <v>16</v>
      </c>
      <c r="AI11" s="29">
        <f ca="1">$P$41</f>
        <v>4</v>
      </c>
      <c r="AJ11" s="29" t="str">
        <f t="shared" ref="AJ11:AU11" ca="1" si="16">IF(COUNTIF(AJ$27:AJ$33,$AH$11),$P$8," ")</f>
        <v xml:space="preserve"> </v>
      </c>
      <c r="AK11" s="29" t="str">
        <f t="shared" ca="1" si="16"/>
        <v xml:space="preserve"> </v>
      </c>
      <c r="AL11" s="29" t="str">
        <f t="shared" ca="1" si="16"/>
        <v xml:space="preserve"> </v>
      </c>
      <c r="AM11" s="29" t="str">
        <f t="shared" ca="1" si="16"/>
        <v xml:space="preserve"> </v>
      </c>
      <c r="AN11" s="29" t="str">
        <f t="shared" ca="1" si="16"/>
        <v xml:space="preserve"> </v>
      </c>
      <c r="AO11" s="29" t="str">
        <f t="shared" ca="1" si="16"/>
        <v xml:space="preserve"> </v>
      </c>
      <c r="AP11" s="29" t="str">
        <f t="shared" ca="1" si="16"/>
        <v xml:space="preserve"> </v>
      </c>
      <c r="AQ11" s="29" t="str">
        <f t="shared" ca="1" si="16"/>
        <v xml:space="preserve"> </v>
      </c>
      <c r="AR11" s="29" t="str">
        <f t="shared" ca="1" si="16"/>
        <v xml:space="preserve"> </v>
      </c>
      <c r="AS11" s="29" t="str">
        <f t="shared" ca="1" si="16"/>
        <v xml:space="preserve"> </v>
      </c>
      <c r="AT11" s="29" t="str">
        <f t="shared" ca="1" si="16"/>
        <v xml:space="preserve"> </v>
      </c>
      <c r="AU11" s="29" t="str">
        <f t="shared" ca="1" si="16"/>
        <v xml:space="preserve"> </v>
      </c>
      <c r="AV11" s="29">
        <f t="shared" ca="1" si="8"/>
        <v>0</v>
      </c>
      <c r="AW11" s="29" t="s">
        <v>16</v>
      </c>
      <c r="BI11" s="29" t="str">
        <f ca="1">IF(S11="Sage",P8," ")</f>
        <v xml:space="preserve"> </v>
      </c>
      <c r="BM11" s="29">
        <f t="shared" ca="1" si="2"/>
        <v>0</v>
      </c>
      <c r="BN11" s="29">
        <f t="shared" ca="1" si="9"/>
        <v>0</v>
      </c>
      <c r="BO11" s="29" t="str">
        <f t="shared" ca="1" si="3"/>
        <v xml:space="preserve"> </v>
      </c>
      <c r="BP11" s="29" t="str">
        <f t="shared" ca="1" si="4"/>
        <v xml:space="preserve"> </v>
      </c>
      <c r="BQ11" s="29" t="str">
        <f t="shared" ca="1" si="5"/>
        <v xml:space="preserve"> </v>
      </c>
      <c r="BR11" s="29">
        <f t="shared" ca="1" si="6"/>
        <v>0</v>
      </c>
      <c r="BS11" s="29">
        <f ca="1">IF(AND($BY$27=1,OR($P$15="knowledge",$R$15="knowledge")),$P$8*2,IF(AND($BY$27=2,OR($P$15="knowledge",$R$15="knowledge")),$P$8*2,0))</f>
        <v>0</v>
      </c>
      <c r="BU11" s="29">
        <f t="shared" ca="1" si="10"/>
        <v>0</v>
      </c>
      <c r="BV11" s="29" t="s">
        <v>16</v>
      </c>
      <c r="CB11" s="35">
        <f t="shared" ca="1" si="14"/>
        <v>1</v>
      </c>
      <c r="CC11" s="36">
        <f t="shared" ca="1" si="15"/>
        <v>0.95186845308080215</v>
      </c>
      <c r="CD11" s="29" t="s">
        <v>29</v>
      </c>
    </row>
    <row r="12" spans="1:83" ht="19.5" thickBot="1" x14ac:dyDescent="0.35">
      <c r="O12" s="24">
        <f ca="1">IF($AF$14=1,RANDBETWEEN(1,20),IF(Q12=1,RANDBETWEEN(1,19),IF(Q12=2,RANDBETWEEN(2,18),IF(Q12=3,RANDBETWEEN(3,17),IF(Q12=4,RANDBETWEEN(4,16),IF(Q12=5,RANDBETWEEN(5,15),IF(Q12=6,RANDBETWEEN(6,14),IF(Q12=7,RANDBETWEEN(7,13),IF(Q12=8,RANDBETWEEN(8,12),IF(Q12=9,RANDBETWEEN(9,11),IF(Q12=10,10," ")))))))))))</f>
        <v>12</v>
      </c>
      <c r="Q12" s="54">
        <f ca="1">IF(O11="non-classed"," ",IF(AF14=1," ",IF(AF14=2,RANDBETWEEN(1,10))))</f>
        <v>8</v>
      </c>
      <c r="AH12" s="29" t="s">
        <v>17</v>
      </c>
      <c r="AI12" s="29">
        <f ca="1">$P$42</f>
        <v>2</v>
      </c>
      <c r="AJ12" s="29" t="str">
        <f t="shared" ref="AJ12:AU12" ca="1" si="17">IF(COUNTIF(AJ$27:AJ$33,$AH$12),$P$8," ")</f>
        <v xml:space="preserve"> </v>
      </c>
      <c r="AK12" s="29" t="str">
        <f t="shared" ca="1" si="17"/>
        <v xml:space="preserve"> </v>
      </c>
      <c r="AL12" s="29" t="str">
        <f t="shared" ca="1" si="17"/>
        <v xml:space="preserve"> </v>
      </c>
      <c r="AM12" s="29" t="str">
        <f t="shared" ca="1" si="17"/>
        <v xml:space="preserve"> </v>
      </c>
      <c r="AN12" s="29" t="str">
        <f t="shared" ca="1" si="17"/>
        <v xml:space="preserve"> </v>
      </c>
      <c r="AO12" s="29" t="str">
        <f t="shared" ca="1" si="17"/>
        <v xml:space="preserve"> </v>
      </c>
      <c r="AP12" s="29" t="str">
        <f t="shared" ca="1" si="17"/>
        <v xml:space="preserve"> </v>
      </c>
      <c r="AQ12" s="29" t="str">
        <f t="shared" ca="1" si="17"/>
        <v xml:space="preserve"> </v>
      </c>
      <c r="AR12" s="29" t="str">
        <f t="shared" ca="1" si="17"/>
        <v xml:space="preserve"> </v>
      </c>
      <c r="AS12" s="29" t="str">
        <f t="shared" ca="1" si="17"/>
        <v xml:space="preserve"> </v>
      </c>
      <c r="AT12" s="29" t="str">
        <f t="shared" ca="1" si="17"/>
        <v xml:space="preserve"> </v>
      </c>
      <c r="AU12" s="29" t="str">
        <f t="shared" ca="1" si="17"/>
        <v xml:space="preserve"> </v>
      </c>
      <c r="AV12" s="29">
        <f t="shared" ca="1" si="8"/>
        <v>0</v>
      </c>
      <c r="AW12" s="29" t="s">
        <v>17</v>
      </c>
      <c r="AX12" s="29" t="str">
        <f ca="1">IF(S11="acolyte",P8," ")</f>
        <v xml:space="preserve"> </v>
      </c>
      <c r="BC12" s="29" t="str">
        <f ca="1">IF(S11="Guild Artisan",P8," ")</f>
        <v xml:space="preserve"> </v>
      </c>
      <c r="BM12" s="29">
        <f t="shared" ca="1" si="2"/>
        <v>0</v>
      </c>
      <c r="BN12" s="29">
        <f t="shared" ca="1" si="9"/>
        <v>0</v>
      </c>
      <c r="BO12" s="29" t="str">
        <f t="shared" ca="1" si="3"/>
        <v xml:space="preserve"> </v>
      </c>
      <c r="BP12" s="29" t="str">
        <f t="shared" ca="1" si="4"/>
        <v xml:space="preserve"> </v>
      </c>
      <c r="BQ12" s="29" t="str">
        <f t="shared" ca="1" si="5"/>
        <v xml:space="preserve"> </v>
      </c>
      <c r="BR12" s="29">
        <f t="shared" ca="1" si="6"/>
        <v>0</v>
      </c>
      <c r="BU12" s="29">
        <f t="shared" ca="1" si="10"/>
        <v>0</v>
      </c>
      <c r="BV12" s="29" t="s">
        <v>17</v>
      </c>
      <c r="CB12" s="35">
        <f t="shared" ca="1" si="14"/>
        <v>11</v>
      </c>
      <c r="CC12" s="36">
        <f t="shared" ca="1" si="15"/>
        <v>0.54222025095881266</v>
      </c>
      <c r="CD12" s="29" t="s">
        <v>13</v>
      </c>
    </row>
    <row r="13" spans="1:83" x14ac:dyDescent="0.3">
      <c r="AF13" s="29" t="s">
        <v>683</v>
      </c>
      <c r="AH13" s="29" t="s">
        <v>18</v>
      </c>
      <c r="AI13" s="29">
        <f ca="1">$P$43</f>
        <v>0</v>
      </c>
      <c r="AJ13" s="29" t="str">
        <f t="shared" ref="AJ13:AU13" ca="1" si="18">IF(COUNTIF(AJ$27:AJ$33,$AH$13),$P$8," ")</f>
        <v xml:space="preserve"> </v>
      </c>
      <c r="AK13" s="29" t="str">
        <f t="shared" ca="1" si="18"/>
        <v xml:space="preserve"> </v>
      </c>
      <c r="AL13" s="29" t="str">
        <f t="shared" ca="1" si="18"/>
        <v xml:space="preserve"> </v>
      </c>
      <c r="AM13" s="29" t="str">
        <f t="shared" ca="1" si="18"/>
        <v xml:space="preserve"> </v>
      </c>
      <c r="AN13" s="29" t="str">
        <f t="shared" ca="1" si="18"/>
        <v xml:space="preserve"> </v>
      </c>
      <c r="AO13" s="29" t="str">
        <f t="shared" ca="1" si="18"/>
        <v xml:space="preserve"> </v>
      </c>
      <c r="AP13" s="29" t="str">
        <f t="shared" ca="1" si="18"/>
        <v xml:space="preserve"> </v>
      </c>
      <c r="AQ13" s="29" t="str">
        <f t="shared" ca="1" si="18"/>
        <v xml:space="preserve"> </v>
      </c>
      <c r="AR13" s="29" t="str">
        <f t="shared" ca="1" si="18"/>
        <v xml:space="preserve"> </v>
      </c>
      <c r="AS13" s="29" t="str">
        <f t="shared" ca="1" si="18"/>
        <v xml:space="preserve"> </v>
      </c>
      <c r="AT13" s="29" t="str">
        <f t="shared" ca="1" si="18"/>
        <v xml:space="preserve"> </v>
      </c>
      <c r="AU13" s="29" t="str">
        <f t="shared" ca="1" si="18"/>
        <v xml:space="preserve"> </v>
      </c>
      <c r="AV13" s="29">
        <f t="shared" ca="1" si="8"/>
        <v>0</v>
      </c>
      <c r="AW13" s="29" t="s">
        <v>18</v>
      </c>
      <c r="BK13" s="29" t="str">
        <f ca="1">IF(S11="Soldier",P8," ")</f>
        <v xml:space="preserve"> </v>
      </c>
      <c r="BM13" s="29">
        <f t="shared" ca="1" si="2"/>
        <v>0</v>
      </c>
      <c r="BN13" s="29">
        <f t="shared" ca="1" si="9"/>
        <v>0</v>
      </c>
      <c r="BO13" s="29" t="str">
        <f t="shared" ca="1" si="3"/>
        <v xml:space="preserve"> </v>
      </c>
      <c r="BP13" s="29" t="str">
        <f t="shared" ca="1" si="4"/>
        <v xml:space="preserve"> </v>
      </c>
      <c r="BQ13" s="29" t="str">
        <f t="shared" ca="1" si="5"/>
        <v xml:space="preserve"> </v>
      </c>
      <c r="BR13" s="29">
        <f t="shared" ca="1" si="6"/>
        <v>0</v>
      </c>
      <c r="BU13" s="29">
        <f t="shared" ca="1" si="10"/>
        <v>0</v>
      </c>
      <c r="BV13" s="29" t="s">
        <v>18</v>
      </c>
      <c r="CB13" s="35">
        <f t="shared" ca="1" si="14"/>
        <v>13</v>
      </c>
      <c r="CC13" s="36">
        <f t="shared" ca="1" si="15"/>
        <v>0.40159831904628684</v>
      </c>
      <c r="CD13" s="29" t="s">
        <v>14</v>
      </c>
    </row>
    <row r="14" spans="1:83" ht="26.25" thickBot="1" x14ac:dyDescent="0.4">
      <c r="B14" s="123" t="s">
        <v>45</v>
      </c>
      <c r="O14" s="123" t="s">
        <v>709</v>
      </c>
      <c r="P14" s="123" t="s">
        <v>743</v>
      </c>
      <c r="Q14" s="123" t="s">
        <v>698</v>
      </c>
      <c r="R14" s="123" t="s">
        <v>743</v>
      </c>
      <c r="S14" s="123" t="s">
        <v>1826</v>
      </c>
      <c r="AF14" s="29">
        <f ca="1">IF(O11="non-classed",1,VLOOKUP(RANDBETWEEN(1,10),Table42[],2))</f>
        <v>2</v>
      </c>
      <c r="AH14" s="29" t="s">
        <v>19</v>
      </c>
      <c r="AI14" s="29">
        <f ca="1">$P$41</f>
        <v>4</v>
      </c>
      <c r="AJ14" s="29" t="str">
        <f t="shared" ref="AJ14:AU14" ca="1" si="19">IF(COUNTIF(AJ$27:AJ$33,$AH$14),$P$8," ")</f>
        <v xml:space="preserve"> </v>
      </c>
      <c r="AK14" s="29" t="str">
        <f t="shared" ca="1" si="19"/>
        <v xml:space="preserve"> </v>
      </c>
      <c r="AL14" s="29" t="str">
        <f t="shared" ca="1" si="19"/>
        <v xml:space="preserve"> </v>
      </c>
      <c r="AM14" s="29" t="str">
        <f t="shared" ca="1" si="19"/>
        <v xml:space="preserve"> </v>
      </c>
      <c r="AN14" s="29" t="str">
        <f t="shared" ca="1" si="19"/>
        <v xml:space="preserve"> </v>
      </c>
      <c r="AO14" s="29" t="str">
        <f t="shared" ca="1" si="19"/>
        <v xml:space="preserve"> </v>
      </c>
      <c r="AP14" s="29" t="str">
        <f t="shared" ca="1" si="19"/>
        <v xml:space="preserve"> </v>
      </c>
      <c r="AQ14" s="29" t="str">
        <f t="shared" ca="1" si="19"/>
        <v xml:space="preserve"> </v>
      </c>
      <c r="AR14" s="29" t="str">
        <f t="shared" ca="1" si="19"/>
        <v xml:space="preserve"> </v>
      </c>
      <c r="AS14" s="29" t="str">
        <f t="shared" ca="1" si="19"/>
        <v xml:space="preserve"> </v>
      </c>
      <c r="AT14" s="29" t="str">
        <f t="shared" ca="1" si="19"/>
        <v xml:space="preserve"> </v>
      </c>
      <c r="AU14" s="29" t="str">
        <f t="shared" ca="1" si="19"/>
        <v xml:space="preserve"> </v>
      </c>
      <c r="AV14" s="29">
        <f t="shared" ca="1" si="8"/>
        <v>0</v>
      </c>
      <c r="AW14" s="29" t="s">
        <v>19</v>
      </c>
      <c r="BM14" s="29">
        <f t="shared" si="2"/>
        <v>0</v>
      </c>
      <c r="BN14" s="29">
        <f t="shared" ca="1" si="9"/>
        <v>0</v>
      </c>
      <c r="BO14" s="29" t="str">
        <f t="shared" ca="1" si="3"/>
        <v xml:space="preserve"> </v>
      </c>
      <c r="BP14" s="29" t="str">
        <f t="shared" ca="1" si="4"/>
        <v xml:space="preserve"> </v>
      </c>
      <c r="BQ14" s="29" t="str">
        <f t="shared" ca="1" si="5"/>
        <v xml:space="preserve"> </v>
      </c>
      <c r="BR14" s="29">
        <f t="shared" ca="1" si="6"/>
        <v>0</v>
      </c>
      <c r="BU14" s="29">
        <f t="shared" ca="1" si="10"/>
        <v>0</v>
      </c>
      <c r="BV14" s="29" t="s">
        <v>19</v>
      </c>
      <c r="CB14" s="35">
        <f t="shared" ca="1" si="14"/>
        <v>16</v>
      </c>
      <c r="CC14" s="36">
        <f t="shared" ca="1" si="15"/>
        <v>9.3435726319149204E-2</v>
      </c>
      <c r="CD14" s="29" t="s">
        <v>15</v>
      </c>
      <c r="CE14" s="31"/>
    </row>
    <row r="15" spans="1:83" ht="19.5" thickTop="1" x14ac:dyDescent="0.3">
      <c r="B15" s="33" t="str">
        <f ca="1">IF(P2="dark","Darkvision 120 ft.",IF(OR(Q2="dwarf",Q2="elf",Q2="gnome",Q2="half-elf",Q2="half-orc",Q2="tiefling"),"Darkvision 60 ft.",IF(Q2="halfling","Lucky",IF(Q2="dragonborn","Breath Weapon"," "))))</f>
        <v>Darkvision 60 ft.</v>
      </c>
      <c r="O15" s="33" t="str">
        <f ca="1">IF(O11="wizard","Ritual Casting",IF(O11="warlock","Otherworldly Patron - "&amp;VLOOKUP(RANDBETWEEN(1,2),Table226[],2),IF(O11="sorcerer","Spellcasting Focus",IF(O11="rogue","Sneak Attack - "&amp;INDEX('Class Tables'!E56:E75,MATCH(O12,('Class Tables'!D56:D75),0)),IF(AND(O11="ranger",AF24=2),"Favored Enemy - "&amp;INDEX('Class Tables'!S177:S220,MATCH(1,('Class Tables'!Q177:Q220),0)),IF(AND(O11="ranger",AF24=1),"Favored Enemy - "&amp;INDEX('Class Tables'!R162:R174,MATCH(1,('Class Tables'!Q162:Q174),0)),IF(O11="paladin","Divine Sense - "&amp;SUM(1,P43)&amp;" Uses",IF(O11="monk","Unarmored Defense",IF(O11="fighter",INDEX('Class Tables'!F48:F53,MATCH(1,('Class Tables'!D48:D53),0)),IF(O11="barbarian","Rage "&amp;INDEX('Class Tables'!J141:J160,MATCH(O12,('Class Tables'!I141:I160),0))&amp; " times, "&amp;INDEX('Class Tables'!K141:K160,MATCH(O12,('Class Tables'!I141:I160),0)),IF(O11="bard","Bardic Inspiration "&amp;P43&amp;" uses at "&amp;INDEX('Class Tables'!M58:M77,MATCH(O12,('Class Tables'!L58:L77),0)),IF(OR(O11="cleric",O11="druid"),"Ritual Casting"," "))))))))))))</f>
        <v>Dueling Style</v>
      </c>
      <c r="P15" s="33" t="str">
        <f ca="1">IF(AND(O11="wizard",O12&gt;=2),VLOOKUP(RANDBETWEEN(1,8),Table251[],2),IF(O11="warlock",O15,IF(O11="sorcerer",VLOOKUP(RANDBETWEEN(1,2),Table224[],2),IF(AND(O11="ranger",O12&gt;=3),VLOOKUP(RANDBETWEEN(1,2),Table97[],2),IF(AND(O11="paladin",O12&gt;=3),VLOOKUP(RANDBETWEEN(1,3),Table90[],2),IF(AND(O11="monk",O12&gt;=3),VLOOKUP(RANDBETWEEN(1,3),Table82[],2),IF(AND(O11="druid",O12&gt;=2),VLOOKUP(RANDBETWEEN(1,2),Table73[],2),IF(O11="cleric",VLOOKUP(RANDBETWEEN(1,7),Table65[],2),IF(AND($O$11="barbarian",$O$12&gt;=3),VLOOKUP(RANDBETWEEN(1,2),Table40[],2),IF(AND(O11="bard",O12&gt;=3),VLOOKUP(RANDBETWEEN(1,2),Table47[],2),IF(AND(O11="fighter",O12&gt;=3),VLOOKUP(RANDBETWEEN(1,3),Table178[],2),IF(AND(O11="rogue",O12&gt;=3),VLOOKUP(RANDBETWEEN(1,3),Table189[],2)," "))))))))))))</f>
        <v>Champion</v>
      </c>
      <c r="Q15" s="33" t="str">
        <f ca="1">IF(Q11="wizard","Ritual Casting",IF(Q11="warlock","Otherworldly Patron - "&amp;VLOOKUP(RANDBETWEEN(1,2),Table226[],2),IF(Q11="sorcerer","Spellcasting Focus",IF(Q11="rogue","Sneak Attack - "&amp;INDEX('Class Tables'!E56:E75,MATCH(Q12,('Class Tables'!D56:D75),0)),IF(AND(Q11="ranger",AF24=2),"Favored Enemy - "&amp;INDEX('Class Tables'!S177:S220,MATCH(1,('Class Tables'!Q177:Q220),0)),IF(AND(Q11="ranger",AF24=1),"Favored Enemy - "&amp;INDEX('Class Tables'!R162:R174,MATCH(1,('Class Tables'!Q162:Q174),0)),IF(Q11="paladin","Divine Sense - "&amp;SUM(1,P43)&amp;" Uses",IF(Q11="monk","Unarmored Defense",IF(Q11="fighter",INDEX('Class Tables'!F48:F53,MATCH(1,('Class Tables'!D48:D53),0)),IF(Q11="barbarian","Rage "&amp;INDEX('Class Tables'!J141:J160,MATCH(Q12,('Class Tables'!I141:I160),0))&amp; " times, "&amp;INDEX('Class Tables'!K141:K160,MATCH(Q12,('Class Tables'!I141:I160),0)),IF(Q11="bard","Bardic Inspiration - "&amp;P43&amp;" uses at "&amp;INDEX('Class Tables'!M58:M77,MATCH(Q12,('Class Tables'!L58:L77),0)),IF(OR(Q11="cleric",Q11="druid"),"Ritual Casting"," "))))))))))))</f>
        <v>Favored Enemy - Sahuagin</v>
      </c>
      <c r="R15" s="33" t="str">
        <f ca="1">IF(Q11="warlock",O15,IF(Q11="sorcerer",VLOOKUP(RANDBETWEEN(1,2),Table224[],2),IF(AND(Q11="ranger",Q12&gt;=3),VLOOKUP(RANDBETWEEN(1,2),Table97[],2),IF(AND(Q11="paladin",Q12&gt;=3),VLOOKUP(RANDBETWEEN(1,3),Table90[],2),IF(AND(Q11="monk",Q12&gt;=3),VLOOKUP(RANDBETWEEN(1,3),Table82[],2),IF(AND(Q11="druid",Q12&gt;=2),VLOOKUP(RANDBETWEEN(1,2),Table73[],2),IF(Q11="cleric",VLOOKUP(RANDBETWEEN(1,7),Table65[],2),IF(AND($Q$11="barbarian",$Q$12&gt;=3),VLOOKUP(RANDBETWEEN(1,2),Table40[],2),IF(AND(Q11="bard",Q12&gt;=3),VLOOKUP(RANDBETWEEN(1,2),Table47[],2),IF(AND($Q$11="fighter",$Q$12&gt;=3),VLOOKUP(RANDBETWEEN(1,3),Table178[],2),IF(AND(Q11="rogue",Q12&gt;=3),VLOOKUP(RANDBETWEEN(1,3),Table189[],2)," ")))))))))))</f>
        <v>Hunter</v>
      </c>
      <c r="S15" s="33" t="str">
        <f ca="1">IF(S11="urchin","City Secrets",IF(S11="soldier",VLOOKUP(RANDBETWEEN(1,8),Table263[],2),IF(S11="pirate","Bad Reputation",IF(S11="Sailor","Ship's Passage",IF(S11="sage",VLOOKUP(RANDBETWEEN(1,8),Table262[],2),IF(S11="outlander",VLOOKUP(RANDBETWEEN(1,10),Table261[],2),IF(S11="knight","Retainers",IF(S11="noble","Position of Privlege",IF(S11="hermit","Discovery",IF(S11="guild artisan",VLOOKUP(RANDBETWEEN(1,20),Table260[],2),IF(S11="folk hero","Rustic Hospitality",IF(S11="entertainer",VLOOKUP(RANDBETWEEN(1,10),Table259[],2),IF(S11="Criminal","Criminal Contact",IF(S11="Charlatan","False Identity",IF(S11="acolyte","Shelter of the Faithful"," ")))))))))))))))</f>
        <v>Jester</v>
      </c>
      <c r="AF15" s="29" t="s">
        <v>1336</v>
      </c>
      <c r="AH15" s="29" t="s">
        <v>20</v>
      </c>
      <c r="AI15" s="29">
        <f ca="1">$P$42</f>
        <v>2</v>
      </c>
      <c r="AJ15" s="29" t="str">
        <f t="shared" ref="AJ15:AU15" ca="1" si="20">IF(COUNTIF(AJ$27:AJ$33,$AH$15),$P$8," ")</f>
        <v xml:space="preserve"> </v>
      </c>
      <c r="AK15" s="29" t="str">
        <f t="shared" ca="1" si="20"/>
        <v xml:space="preserve"> </v>
      </c>
      <c r="AL15" s="29" t="str">
        <f t="shared" ca="1" si="20"/>
        <v xml:space="preserve"> </v>
      </c>
      <c r="AM15" s="29" t="str">
        <f t="shared" ca="1" si="20"/>
        <v xml:space="preserve"> </v>
      </c>
      <c r="AN15" s="29" t="str">
        <f t="shared" ca="1" si="20"/>
        <v xml:space="preserve"> </v>
      </c>
      <c r="AO15" s="29" t="str">
        <f t="shared" ca="1" si="20"/>
        <v xml:space="preserve"> </v>
      </c>
      <c r="AP15" s="29" t="str">
        <f t="shared" ca="1" si="20"/>
        <v xml:space="preserve"> </v>
      </c>
      <c r="AQ15" s="29" t="str">
        <f t="shared" ca="1" si="20"/>
        <v xml:space="preserve"> </v>
      </c>
      <c r="AR15" s="29" t="str">
        <f t="shared" ca="1" si="20"/>
        <v xml:space="preserve"> </v>
      </c>
      <c r="AS15" s="29" t="str">
        <f t="shared" ca="1" si="20"/>
        <v xml:space="preserve"> </v>
      </c>
      <c r="AT15" s="29" t="str">
        <f t="shared" ca="1" si="20"/>
        <v xml:space="preserve"> </v>
      </c>
      <c r="AU15" s="29" t="str">
        <f t="shared" ca="1" si="20"/>
        <v xml:space="preserve"> </v>
      </c>
      <c r="AV15" s="29">
        <f t="shared" ca="1" si="8"/>
        <v>0</v>
      </c>
      <c r="AW15" s="29" t="s">
        <v>20</v>
      </c>
      <c r="BD15" s="29" t="str">
        <f ca="1">IF(S11="Hermit",P8," ")</f>
        <v xml:space="preserve"> </v>
      </c>
      <c r="BM15" s="29">
        <f t="shared" ca="1" si="2"/>
        <v>0</v>
      </c>
      <c r="BN15" s="29">
        <f t="shared" ca="1" si="9"/>
        <v>0</v>
      </c>
      <c r="BO15" s="29" t="str">
        <f t="shared" ca="1" si="3"/>
        <v xml:space="preserve"> </v>
      </c>
      <c r="BP15" s="29" t="str">
        <f t="shared" ca="1" si="4"/>
        <v xml:space="preserve"> </v>
      </c>
      <c r="BQ15" s="29" t="str">
        <f t="shared" ca="1" si="5"/>
        <v xml:space="preserve"> </v>
      </c>
      <c r="BR15" s="29">
        <f t="shared" ca="1" si="6"/>
        <v>0</v>
      </c>
      <c r="BU15" s="29">
        <f t="shared" ca="1" si="10"/>
        <v>0</v>
      </c>
      <c r="BV15" s="29" t="s">
        <v>20</v>
      </c>
      <c r="CB15" s="35">
        <f t="shared" ca="1" si="14"/>
        <v>10</v>
      </c>
      <c r="CC15" s="36">
        <f t="shared" ca="1" si="15"/>
        <v>0.5672764383357467</v>
      </c>
      <c r="CD15" s="29" t="s">
        <v>16</v>
      </c>
    </row>
    <row r="16" spans="1:83" x14ac:dyDescent="0.3">
      <c r="B16" s="33" t="str">
        <f ca="1">IF(Q2="dwarf","Dwarven Resilience",IF(OR(Q2="half-elf",Q2="elf"),"Fey Ancestry",IF(Q2="halfling","Brave",IF(Q2="dragonborn","Damage Resistance",IF(Q2="gnome","Gnome Cunning",IF(Q2="half-orc","Menacing",IF(Q2="tiefling","Hellish Resistance"," ")))))))</f>
        <v>Gnome Cunning</v>
      </c>
      <c r="O16" s="33" t="str">
        <f ca="1">IF(O11="wizard","Spellcasting Focus",IF(AND(O11="warlock",O12&gt;=3),VLOOKUP(RANDBETWEEN(1,3),Table227[],2),IF(AND(O11="sorcerer",O12&gt;=2),"Sorcery Points - "&amp;O12,IF(AND(O11="rogue",O12&gt;=2),"Cunning Action",IF(AND(O11="ranger",AF24=2),"Favored Enemy - "&amp;INDEX('Class Tables'!S177:S220,MATCH(2,('Class Tables'!Q177:Q220),0)),IF(O11="paladin","Lay On Hands "&amp;O12*5&amp;" HP",IF(O11="monk","Martial Arts - "&amp;INDEX('Class Tables'!J98:J117,MATCH(O12,('Class Tables'!I98:I117),0)),IF(O11="fighter","Second Wind - 1d10+"&amp;O12&amp;" hp",IF(O11="barbarian","Unarmored Defense",IF(AND(O11="bard",O12&gt;=2),"Jack of All Trades",IF(OR(O11="cleric",O11="druid"),"Spellcasting Focus"," ")))))))))))</f>
        <v>Second Wind - 1d10+12 hp</v>
      </c>
      <c r="P16" s="33" t="str">
        <f ca="1">IF(AND(P15="school of transmutation",O12&gt;=2),"Transmutation Savant",IF(AND(P15="school of necromancy",O12&gt;=2),"Necromancy Savant",IF(AND(P15="school of illusion",O12&gt;=2),"Illusion Savant",IF(AND(P15="school of evocation",O12&gt;=2),"Evocation Savant",IF(AND(P15="school of enchantment",O12&gt;=2),"Enchantment Savant",IF(AND(P15="school of divination",O12&gt;=2),"Divination Savant",IF(AND(P15="school of conjuration",O12&gt;=2),"Conjuration Savant",IF(P15="school of abjuration","Abjuration Savant",IF(AND(P15="otherworldly patron - great old one",O12&gt;=1),"Awakened Mind",IF(AND(P15="otherworldly patron - fiend",O12&gt;=3),"Dark One's Blessing - "&amp;SUM(O12,P43)&amp;" hp",IF(P15="otherworldly patron - Archfey","Fey Presence",IF(P15="wild magic","Wild Magic Surge",IF(P15="draconic bloodline",VLOOKUP(RANDBETWEEN(1,10),Table25[],2)&amp;" Dragon Ancestry",IF(P15="arcane trickster","Mage Hand Legerdemain",IF(P15="assassin","Assassinate",IF(P15="thief","Fast Hands",IF(P15="beastmaster","Companion - "&amp;VLOOKUP(RANDBETWEEN(1,39),Table218[],2),IF(P15="hunter",VLOOKUP(RANDBETWEEN(1,3),Table108[],2),IF(P15="oath of vengeance","Channel Divinity: Abjure Enemy",IF(P15="oath of the ancients","Channel Divinity: Nature's Wrath",IF(P15="Oath of Devotion","Channel Divinity: Sacred Weapon",IF(AND(P15="way of the four elements",O12&gt;=5),"Max. Ki Point for Spell - "&amp;INDEX('Class Tables'!N120:N137,MATCH(O12,('Class Tables'!M120:M137),0)),IF(AND(P15="way of the shadow",O12&gt;=6),"Shadow Step",IF(P15="way of the open hand","Open Hand Technique",IF(P15="eldritch Knight","Weapon Bond",IF(AND(P15="battle master",O12&gt;=7),"Know Your Enemy",IF(P15="champion","Improved Critical",IF(P15="moon","Combat Wild Shape",IF(P15="land","Natural Recovery - "&amp;ROUNDUP(O12*0.5,0)&amp;" slots",IF(AND(P15="war",O12&gt;=1),"War Priest",IF(AND(P15="trickery",O12&gt;=1),"Blessing of the Trickster",IF(AND(P15="tempest",O12&gt;=1),"Wrath of the Storm",IF(AND(P15="nature",O12&gt;=2),"Channel Divinity: Charm Animals and Plants",IF(AND(P15="light",O12&gt;=1),"Warding Flare",IF(P15="life","Disciple of Life",IF(AND(P15="knowledge",O12&gt;=2),"Channel Divinity: Knowledge of the Ages",IF(P15="path of the berserker","Frenzy",IF(P15="path of the totem warrior","Spirit Seeker",IF(P15="college of lore","Cutting Words",IF(P15="college of valor","Combat Inspiration"," "))))))))))))))))))))))))))))))))))))))))</f>
        <v>Improved Critical</v>
      </c>
      <c r="Q16" s="33" t="str">
        <f ca="1">IF(Q11="wizard","Spellcasting Focus",IF(AND(Q11="warlock",Q12&gt;=3),VLOOKUP(RANDBETWEEN(1,3),Table227[],2),IF(AND(Q11="sorcerer",Q12&gt;=2),"Sorcery Points - "&amp;Q12,IF(AND(Q11="rogue",Q12&gt;=2),"Cunning Action",IF(AND(Q11="ranger",AF24=2),"Favored Enemy - "&amp;INDEX('Class Tables'!S177:S220,MATCH(2,('Class Tables'!Q177:Q220),0)),IF(Q11="paladin","Lay On Hands "&amp;Q12*5&amp;" HP",IF(Q11="monk","Martial Arts - "&amp;INDEX('Class Tables'!J98:J117,MATCH(Q12,('Class Tables'!I98:I117),0)),IF(Q11="fighter","Second Wind - 1d10+"&amp;Q12&amp;" hp",IF(Q11="barbarian","Unarmored Defense AC "&amp;SUM(10,P39,P40),IF(AND(Q11="bard",Q12&gt;=2),"Jack of All Trades",IF(OR(Q11="cleric",Q11="druid"),"Spellcasting Focus"," ")))))))))))</f>
        <v>Favored Enemy - Wereraven</v>
      </c>
      <c r="R16" s="33" t="str">
        <f ca="1">IF(AND(R15="otherworldly patron - great old one",Q12&gt;=1),"Awakened Mind",IF(AND(R15="otherworldly patron - fiend",Q12&gt;=3),"Dark One's Blessing - "&amp;SUM(O12,P43)&amp;" hp",IF(R15="otherworldly patron - Archfey","Fey Presence",IF(R15="wild magic","Wild Magic Surge",IF(R15="draconic bloodline",VLOOKUP(RANDBETWEEN(1,10),Table25[],2)&amp;" Dragon Ancestry",IF(R15="arcane trickster","Mage Hand Legerdemain",IF(R15="assassin","Assassinate",IF(R15="thief","Fast Hands",IF(R15="beastmaster","Companion - "&amp;VLOOKUP(RANDBETWEEN(1,39),Table218[],2),IF(R15="hunter",VLOOKUP(RANDBETWEEN(1,3),Table108[],2),IF(R15="oath of vengeance","Channel Divinity: Abjure Enemy",IF(R15="oath of the ancients","Channel Divinity: Nature's Wrath",IF(R15="Oath of Devotion","Channel Divinity: Sacred Weapon",IF(AND(R15="way of the four elements",Q12&gt;=5),"Max. Ki Point for Spell - "&amp;INDEX('Class Tables'!N120:N137,MATCH(Q12,('Class Tables'!M120:M137),0)),IF(AND(R15="way of the shadow",Q12&gt;=6),"Shadow Step",IF(R15="way of the open hand","Open Hand Technique",IF(R15="eldritch knight","Weapon Bond",IF(AND(R15="battle master",Q12&gt;=7),"Know Your Enemy",IF(R15="champion","Improved Critical",IF(R15="moon","Combat Wild Shape",IF(R15="land","Natural Recovery",IF(AND(R15="war",Q12&gt;=1),"War Priest",IF(AND(R15="trickery",Q12&gt;=1),"Blessing of the Trickster",IF(AND(R15="nature",Q12&gt;=1),"Wrath of the Storm",IF(AND(R15="Nature",Q12&gt;=2),"Channel Divinity: Charm Animals and Plants",IF(AND(R15="light",Q12&gt;=1),"Warding Flare",IF(R15="life","Disciple of Life",IF(AND(R15="knowledge",Q12&gt;=2),"Channel Divinity: Knowledge of the Ages",IF(R15="path of the berserker","Frenzy",IF(R15="path of the totem warrior","Spirit Seeker",IF(R15="college of lore","Cutting Words",IF(R15="college of valor","Combat Inspiration"," "))))))))))))))))))))))))))))))))</f>
        <v>Horde Breaker</v>
      </c>
      <c r="S16" s="33" t="str">
        <f ca="1">IF(S11="soldier","Military Rank",IF(S11="sage","Researcher",IF(S11="outlander","Wanderer",IF(S11="guild artisan","Guild Membership",IF(S11="entertainer","By Popular Demand",IF(S11="criminal",VLOOKUP(RANDBETWEEN(1,8),Table256[],2)," "))))))</f>
        <v>By Popular Demand</v>
      </c>
      <c r="AE16" s="29" t="s">
        <v>1339</v>
      </c>
      <c r="AF16" s="29">
        <f ca="1">IF(AND(AF14=2,OR(Q11="monk",Q11="barbarian",Q11="warlock"),OR(O11="paladin",O11="ranger",P15="arcane trickster",P15="eldritch knight")),Q12,IF(AND($AF$14=2,OR(O11="bard",O11="druid",O11="cleric",O11="sorcerer",O11="wizard")),O12,IF(AND($AF$14=2,OR(O11="paladin",O11="ranger")),O12*0.5,IF(AND($AF$14=2,OR($P$15="arcane trickster",$P$15="eldritch knight")),O12*0.33,0))))</f>
        <v>0</v>
      </c>
      <c r="AH16" s="29" t="s">
        <v>21</v>
      </c>
      <c r="AI16" s="29">
        <f ca="1">$P$41</f>
        <v>4</v>
      </c>
      <c r="AJ16" s="29" t="str">
        <f t="shared" ref="AJ16:AU16" ca="1" si="21">IF(COUNTIF(AJ$27:AJ$33,$AH$16),$P$8," ")</f>
        <v xml:space="preserve"> </v>
      </c>
      <c r="AK16" s="29" t="str">
        <f t="shared" ca="1" si="21"/>
        <v xml:space="preserve"> </v>
      </c>
      <c r="AL16" s="29" t="str">
        <f t="shared" ca="1" si="21"/>
        <v xml:space="preserve"> </v>
      </c>
      <c r="AM16" s="29" t="str">
        <f t="shared" ca="1" si="21"/>
        <v xml:space="preserve"> </v>
      </c>
      <c r="AN16" s="29" t="str">
        <f t="shared" ca="1" si="21"/>
        <v xml:space="preserve"> </v>
      </c>
      <c r="AO16" s="29" t="str">
        <f t="shared" ca="1" si="21"/>
        <v xml:space="preserve"> </v>
      </c>
      <c r="AP16" s="29" t="str">
        <f t="shared" ca="1" si="21"/>
        <v xml:space="preserve"> </v>
      </c>
      <c r="AQ16" s="29" t="str">
        <f t="shared" ca="1" si="21"/>
        <v xml:space="preserve"> </v>
      </c>
      <c r="AR16" s="29" t="str">
        <f t="shared" ca="1" si="21"/>
        <v xml:space="preserve"> </v>
      </c>
      <c r="AS16" s="29" t="str">
        <f t="shared" ca="1" si="21"/>
        <v xml:space="preserve"> </v>
      </c>
      <c r="AT16" s="29" t="str">
        <f t="shared" ca="1" si="21"/>
        <v xml:space="preserve"> </v>
      </c>
      <c r="AU16" s="29" t="str">
        <f t="shared" ca="1" si="21"/>
        <v xml:space="preserve"> </v>
      </c>
      <c r="AV16" s="29">
        <f t="shared" ca="1" si="8"/>
        <v>0</v>
      </c>
      <c r="AW16" s="29" t="s">
        <v>21</v>
      </c>
      <c r="BM16" s="29">
        <f t="shared" si="2"/>
        <v>0</v>
      </c>
      <c r="BN16" s="29">
        <f t="shared" ca="1" si="9"/>
        <v>0</v>
      </c>
      <c r="BO16" s="29" t="str">
        <f t="shared" ca="1" si="3"/>
        <v xml:space="preserve"> </v>
      </c>
      <c r="BP16" s="29" t="str">
        <f t="shared" ca="1" si="4"/>
        <v xml:space="preserve"> </v>
      </c>
      <c r="BQ16" s="29" t="str">
        <f t="shared" ca="1" si="5"/>
        <v xml:space="preserve"> </v>
      </c>
      <c r="BR16" s="29">
        <f t="shared" ca="1" si="6"/>
        <v>0</v>
      </c>
      <c r="BS16" s="29">
        <f ca="1">IF(AND($BY$28=1,OR($P$15="knowledge",$R$15="knowledge")),$P$8*2,IF(AND($BY$28=2,OR($P$15="knowledge",$R$15="knowledge")),$P$8*2,0))</f>
        <v>0</v>
      </c>
      <c r="BT16" s="29">
        <f ca="1">IF(AND(BY31=1,OR($P$15="nature",$R$15="nature")),$P$8,0)</f>
        <v>0</v>
      </c>
      <c r="BU16" s="29">
        <f t="shared" ca="1" si="10"/>
        <v>0</v>
      </c>
      <c r="BV16" s="29" t="s">
        <v>21</v>
      </c>
      <c r="CB16" s="35">
        <f t="shared" ca="1" si="14"/>
        <v>15</v>
      </c>
      <c r="CC16" s="36">
        <f t="shared" ca="1" si="15"/>
        <v>0.31860443696492202</v>
      </c>
      <c r="CD16" s="29" t="s">
        <v>17</v>
      </c>
    </row>
    <row r="17" spans="2:83" ht="26.25" thickBot="1" x14ac:dyDescent="0.4">
      <c r="B17" s="33" t="str">
        <f ca="1">IF(Q2="dwarf","Stonecunning",IF(Q2="elf","Trance",IF(Q2="halfling","Halfling Nimbleness",IF(P2="forest","Speak with Small Beasts",IF(P2="rock","Artificer's Lore",IF(Q2="half-orc","Relentless Endurance",IF(Q2="tiefling","Infernal Legacy"," ")))))))</f>
        <v>Speak with Small Beasts</v>
      </c>
      <c r="O17" s="33" t="str">
        <f ca="1">IF(O11="wizard","Arcane Recovery - "&amp;ROUNDDOWN(O12*0.5,0)&amp;" slots",IF(AND(O11="warlock",O12&gt;=20),"Eldritch Master",IF(AND(O11="sorcerer",O12&gt;=2),"Flexible Casting",IF(AND(O11="rogue",O12&gt;=5),"Uncanny Dodge",IF(O11="ranger","Natural Explorer: "&amp;INDEX('Class Tables'!F212:F219,MATCH(1,('Class Tables'!D212:D219),0)),IF(AND(O11="paladin",O12&gt;=2),VLOOKUP(RANDBETWEEN(1,4),Table89[],2),IF(AND(O11="monk",O12&gt;=2),"Ki Points - "&amp;INDEX('Class Tables'!K98:K117,MATCH(O12,('Class Tables'!I98:I117),0)),IF(AND(O11="fighter",O12&gt;=2),"Action Surge",IF(AND($O$11="barbarian",$O$12&gt;=2),"Reckless Attack",IF(AND(O11="bard",O12&gt;=2),"Song of Rest - "&amp;INDEX('Class Tables'!N58:N77,MATCH(O12,('Class Tables'!L58:L77),0))&amp;" hp",IF(AND(O11="druid",O12&gt;=2),"Wild Shape - "&amp;INDEX('Class Tables'!R140:R159,MATCH(O12,('Class Tables'!Q140:Q159),0)),IF(AND(O11="cleric",O12&gt;=2),"Channel Divinity - "&amp;INDEX('Class Tables'!N140:N159,MATCH(O12,('Class Tables'!M140:M159),0))&amp;" uses"," "))))))))))))</f>
        <v>Action Surge</v>
      </c>
      <c r="P17" s="33" t="str">
        <f ca="1">IF(AND(P15="school of transmutation",O12&gt;=2),"Minor Alchemy",IF(AND(P15="school of necromancy",O12&gt;=2),"Grim Harvest",IF(AND(P15="school of illusion",O12&gt;=2),"Improved Minor Illusion",IF(AND(P15="school of evocation",O12&gt;=2),"Sculpt Spells",IF(AND(P15="school of enchantment",O12&gt;=2),"Hypnotic Gaze",IF(AND(P15="school of divination",O12&gt;=2),"Portent",IF(AND(P15="school of conjuration",O12&gt;=2),"Minor Conjuration",IF(P15="school of abjuration","Arcane Ward - "&amp;SUM(O12,P41)&amp;" hp",IF(AND(P15="otherworldly patron - great old one",O12&gt;=6),"Entropic Ward",IF(AND(P15="otherworldly patron - fiend",O12&gt;=10),"Fiendish Resilience",IF(AND(P15="otherworldly patron - Archfey",O12&gt;=6),"Misty Escape",IF(P15="wild magic","Tides of Chaos",IF(P15="draconic bloodline","Draconic Resilience - AC "&amp;SUM(13+P39),IF(AND(P15="arcane trickster",O12&gt;=9),"Magical Ambush",IF(AND(P15="assassin",O12&gt;=9),"Infiltration Expertise",IF(P15="thief","Second-Story Work",IF(AND(P15="beastmaster",O12&gt;=7),"Exceptional Training",IF(AND(P15="hunter",O12&gt;=7),VLOOKUP(RANDBETWEEN(1,3),Table126[],2),IF(P15="oath of vengeance","Channel Divinity: Vow of Enmity",IF(P15="oath of the ancients","Channel Divinity: Turn the Faithless",IF(P15="oath of devotion","Channel Divinity: Turn the Unholy",IF(P15="way of the four elements","Elemental Attunement",IF(AND(P15="way of the shadow",O12&gt;=11),"Cloak of Shadows",IF(AND(P15="way of the open hand",O12&gt;=6),"Wholeness of Body "&amp;O12*3&amp;" hp",IF(AND(P15="eldritch knight",O12&gt;=7),"War Magic",IF(AND(P15="battle master",O12&gt;=15),"Relentless",IF(AND(P15="champion",O12&gt;=7),"Remarkable Athlete",IF(P15="moon","Circle Forms - CR: "&amp;ROUNDDOWN(O12*0.33,0),IF(AND(P15="land",O12&gt;=6),"Land's Stride",IF(AND(P15="war",O12&gt;=2),"Channel Divinity: Guided Strike",IF(AND(P15="trickery",O12&gt;=2),"Channel Divinity: Invoke Duplicity",IF(AND(P15="tempest",O12&gt;=2),"Channel Divinity: Destructive Wrath",IF(AND(P15="nature",O12&gt;=6),"Dampen Elements",IF(AND(P15="light",O12&gt;=2),"Channel Divinity: Radiance of the Dawn",IF(AND(P15="life",O12&gt;=2),"Channel Divinity: Preserve Life - "&amp;O12*5&amp;" hp",IF(AND(P15="knowledge",O12&gt;=6),"Channel Divinity: Read Thoughts",IF($P$15="path of the totem warrior",VLOOKUP(RANDBETWEEN(1,3),Table44[],2),IF(AND(P15="college of lore",O12&gt;=14),"Peerless Skill",IF(AND(P15="college of valor",O12&gt;=6),"Extra Attack"," ")))))))))))))))))))))))))))))))))))))))</f>
        <v>Remarkable Athlete</v>
      </c>
      <c r="Q17" s="33" t="str">
        <f ca="1">IF(Q11="wizard","Arcane Recovery - "&amp;ROUNDDOWN(Q12*0.5,0)&amp;" slots",IF(AND(Q11="sorcerer",Q12&gt;=2),"Flexible Casting",IF(AND(Q11="rogue",Q12&gt;=5),"Uncanny Dodge",IF(Q11="ranger","Natural Explorer: "&amp;INDEX('Class Tables'!F212:F219,MATCH(1,('Class Tables'!D212:D219),0)),IF(AND(Q11="paladin",Q12&gt;=2),VLOOKUP(RANDBETWEEN(1,4),Table89[],2),IF(AND(Q11="monk",Q12&gt;=2),"Ki Points - "&amp;INDEX('Class Tables'!K98:K117,MATCH(Q12,('Class Tables'!I98:I117),0)),IF(AND(Q11="fighter",Q12&gt;=2),"Action Surge",IF(AND($Q$11="barbarian",$Q$12&gt;=2),"Reckless Attack",IF(AND(Q11="bard",Q12&gt;=2),"Song of Rest - "&amp;INDEX('Class Tables'!N58:N77,MATCH(Q12,('Class Tables'!L58:L77),0))&amp;" hp",IF(AND(Q11="cleric",Q12&gt;=2),"Channel Divinity - "&amp;INDEX('Class Tables'!N140:N159,MATCH(Q12,('Class Tables'!M140:M159),0))&amp;" uses",IF(AND(Q11="druid",Q12&gt;=2),"Wild Shape - "&amp;INDEX('Class Tables'!R140:R159,MATCH(Q12,('Class Tables'!Q140:Q159),0))," ")))))))))))</f>
        <v>Natural Explorer: Forest</v>
      </c>
      <c r="R17" s="33" t="str">
        <f ca="1">IF(AND(R15="otherworldly patron - great old one",Q12&gt;=6),"Entropic Ward",IF(AND(R15="otherworldly patron - fiend",Q12&gt;=10),"Fiendish Resilience",IF(AND(R15="otherworldly patron - Archfey",Q12&gt;=6),"Misty Escape",IF(R15="wild magic","Tides of Chaos",IF(R15="draconic bloodline","Draconic Resilience - AC "&amp;SUM(13+P39),IF(AND(R15="arcane trickster",Q12&gt;=9),"Magical Ambush",IF(AND(R15="assassin",Q12&gt;=9),"Infiltration Expertise",IF(R15="thief","Second-Story Work",IF(AND(R15="beastmaster",Q12&gt;=7),"Exceptional Training",IF(AND(R15="hunter",Q12&gt;=7),VLOOKUP(RANDBETWEEN(1,3),Table126[],2),IF(R15="oath of vengeance","Channel Divinity: Vow of Enmity",IF(R15="oath of the ancients","Channel Divinity: Turn the Faithless",IF(R15="oath of devotion","Channel Divinity: Turn the Unholy",IF(R15="way of the four elements","Elemental Attunement",IF(AND(R15="way of the open hand",Q12&gt;=6),"Wholeness of Body "&amp;Q12*3&amp;" hp",IF(AND(R15="eldritch knight",Q12&gt;=7),"War Magic",IF(AND(R15="champion",Q12&gt;=7),"Remarkable Athlete",IF(R15="moon","Circle Forms",IF(AND(R15="land",Q12&gt;=6),"Land's Stride",IF(AND(R15="war",Q12&gt;=2),"Channel Divinity: Guided Strike",IF(AND(R15="trickery",Q12&gt;=2),"Channel Divinity: Invoke Duplicity",IF(AND(R15="nature",Q12&gt;=2),"Channel Divinity: Destructive Wrath",IF(AND(R15="nature",Q12&gt;=6),"Dampen Elements",IF(AND(R15="light",Q12&gt;=2),"Channel Divinity: Radiance of the Dawn",IF(AND(R15="life",Q12&gt;=2),"Channel Divinity: Preserve Life - "&amp;Q12*5&amp;" hp",IF(AND(R15="knowledge",Q12&gt;=6),"Channel Divinity: Read Thoughts",IF($R$15="path of the totem warrior",VLOOKUP(RANDBETWEEN(1,3),Table44[],2),IF(AND(Q12&gt;=14,R15="college of lore"),"Peerless Skill",IF(AND(Q12&gt;=6,R15="College of Valor"),"Extra Attack"," ")))))))))))))))))))))))))))))</f>
        <v>Steel Will</v>
      </c>
      <c r="S17" s="123" t="s">
        <v>40</v>
      </c>
      <c r="AE17" s="29" t="s">
        <v>1337</v>
      </c>
      <c r="AF17" s="29">
        <f ca="1">IF(AND(AF14=2,OR(O11="monk",O11="barbarian",O11="warlock"),OR(Q11="paladin",Q11="ranger",R15="arcane trickster",R15="eldritch knight")),Q12,IF(AND($AF$14=2,OR(Q11="bard",Q11="druid",Q11="cleric",Q11="sorcerer",Q11="wizard")),Q12,IF(AND($AF$14=2,OR(Q11="paladin",Q11="ranger")),Q12*0.5,IF(AND($AF$14=2,OR($R$15="arcane trickster",$R$15="eldritch knight")),Q12*0.33,0))))</f>
        <v>4</v>
      </c>
      <c r="AH17" s="29" t="s">
        <v>22</v>
      </c>
      <c r="AI17" s="29">
        <f ca="1">$P$42</f>
        <v>2</v>
      </c>
      <c r="AJ17" s="29" t="str">
        <f t="shared" ref="AJ17:AU17" ca="1" si="22">IF(COUNTIF(AJ$27:AJ$33,$AH$17),$P$8," ")</f>
        <v xml:space="preserve"> </v>
      </c>
      <c r="AK17" s="29" t="str">
        <f t="shared" ca="1" si="22"/>
        <v xml:space="preserve"> </v>
      </c>
      <c r="AL17" s="29" t="str">
        <f t="shared" ca="1" si="22"/>
        <v xml:space="preserve"> </v>
      </c>
      <c r="AM17" s="29" t="str">
        <f t="shared" ca="1" si="22"/>
        <v xml:space="preserve"> </v>
      </c>
      <c r="AN17" s="29" t="str">
        <f t="shared" ca="1" si="22"/>
        <v xml:space="preserve"> </v>
      </c>
      <c r="AO17" s="29" t="str">
        <f t="shared" ca="1" si="22"/>
        <v xml:space="preserve"> </v>
      </c>
      <c r="AP17" s="29" t="str">
        <f t="shared" ca="1" si="22"/>
        <v xml:space="preserve"> </v>
      </c>
      <c r="AQ17" s="29" t="str">
        <f t="shared" ca="1" si="22"/>
        <v xml:space="preserve"> </v>
      </c>
      <c r="AR17" s="29" t="str">
        <f t="shared" ca="1" si="22"/>
        <v xml:space="preserve"> </v>
      </c>
      <c r="AS17" s="29" t="str">
        <f t="shared" ca="1" si="22"/>
        <v xml:space="preserve"> </v>
      </c>
      <c r="AT17" s="29" t="str">
        <f t="shared" ca="1" si="22"/>
        <v xml:space="preserve"> </v>
      </c>
      <c r="AU17" s="29" t="str">
        <f t="shared" ca="1" si="22"/>
        <v xml:space="preserve"> </v>
      </c>
      <c r="AV17" s="29">
        <f t="shared" ca="1" si="8"/>
        <v>0</v>
      </c>
      <c r="AW17" s="29" t="s">
        <v>22</v>
      </c>
      <c r="BH17" s="29" t="str">
        <f ca="1">IF(S11="Pirate",P8," ")</f>
        <v xml:space="preserve"> </v>
      </c>
      <c r="BJ17" s="29" t="str">
        <f ca="1">IF(S11="Sailor",P8," ")</f>
        <v xml:space="preserve"> </v>
      </c>
      <c r="BM17" s="29">
        <f t="shared" ca="1" si="2"/>
        <v>0</v>
      </c>
      <c r="BN17" s="29">
        <f t="shared" ca="1" si="9"/>
        <v>0</v>
      </c>
      <c r="BO17" s="29" t="str">
        <f t="shared" ca="1" si="3"/>
        <v xml:space="preserve"> </v>
      </c>
      <c r="BP17" s="29" t="str">
        <f t="shared" ca="1" si="4"/>
        <v xml:space="preserve"> </v>
      </c>
      <c r="BQ17" s="29" t="str">
        <f t="shared" ca="1" si="5"/>
        <v xml:space="preserve"> </v>
      </c>
      <c r="BR17" s="29">
        <f t="shared" ca="1" si="6"/>
        <v>0</v>
      </c>
      <c r="BU17" s="29">
        <f t="shared" ca="1" si="10"/>
        <v>0</v>
      </c>
      <c r="BV17" s="29" t="s">
        <v>22</v>
      </c>
      <c r="CB17" s="35">
        <f t="shared" ca="1" si="14"/>
        <v>4</v>
      </c>
      <c r="CC17" s="36">
        <f t="shared" ca="1" si="15"/>
        <v>0.79423160000731086</v>
      </c>
      <c r="CD17" s="29" t="s">
        <v>18</v>
      </c>
    </row>
    <row r="18" spans="2:83" ht="19.5" thickTop="1" x14ac:dyDescent="0.3">
      <c r="B18" s="33" t="str">
        <f ca="1">IF(P2="wood","Mask of the Wild",IF(P2="dark","Sunlight Sensitivity",IF(P2="lightfoot","Naturally Stealthy",IF(P2="stout","Stout Resilience",IF(P2="rock","Tinker",IF(Q2="half-orc","Savage Attacks"," "))))))</f>
        <v xml:space="preserve"> </v>
      </c>
      <c r="O18" s="33" t="str">
        <f ca="1">IF(AND(O11="wizard",O12&gt;=18),"Spell Mastery - "&amp;INDEX(Q193:Q202,MATCH(1,(O193:O202),0)),IF(AND(AF26=2,O11="warlock",O12&gt;=2,COUNTIF(P193:P202,"*"&amp;"eldritch blast"&amp;"*")),"Invocation - Agonizing Blast",IF(AND(O11="warlock",O12&gt;=15),"Invocation - "&amp;INDEX('Class Tables'!F164:F187,MATCH(1,('Class Tables'!D164:D187),0)),IF(AND(O11="warlock",O12&gt;=9),"Invocation - "&amp;INDEX('Class Tables'!F141:F161,MATCH(1,('Class Tables'!D141:D161),0)),IF(AND(O11="warlock",O12&gt;=7),"Invocation - "&amp;INDEX('Class Tables'!F122:F138,MATCH(1,('Class Tables'!D122:D138),0)),IF(AND(O11="warlock",O12&gt;=5),"Invocation - "&amp;INDEX('Class Tables'!F106:F119,MATCH(1,('Class Tables'!D106:D119),0)),IF(AND(O11="warlock",O12&gt;=2),"Invocation - "&amp;INDEX('Class Tables'!F93:F103,MATCH(1,('Class Tables'!D93:D103),0)),IF(AND(O11="sorcerer",O12&gt;=3),"MM - "&amp;INDEX('Class Tables'!F78:F85,MATCH(1,('Class Tables'!D78:D85),0)),IF(AND(O11="rogue",O12&gt;=7),"Evasion",IF(AND(O11="ranger",O12&gt;=2),VLOOKUP(RANDBETWEEN(1,4),Table96[],2),IF(AND(O11="paladin",O12&gt;=2),"Spellcasting Focus",IF(AND(O11="monk",O12&gt;=2),"Ki DC - "&amp;SUM(8,P8,P42),IF(AND(O11="fighter",O12&gt;=5),"Extra Attack -"&amp;INDEX('Class Tables'!U140:U159,MATCH(O12,('Class Tables'!T140:T159),0)),IF(AND($O$11="barbarian",$O$12&gt;=2),"Danger Sense",IF(AND(O11="bard",O12&gt;=5),"Font of Inspiration",IF(AND(O11="druid",O12&gt;=18),"Timeless Body",IF(AND(O11="cleric",O12&gt;=2),"Channel Divinity: Turn Undead"," ")))))))))))))))))</f>
        <v>Extra Attack -3 total</v>
      </c>
      <c r="P18" s="33" t="str">
        <f ca="1">IF(AND(P15="school of transmutation",O12&gt;=6),"Transmuter's Stone",IF(AND(P15="school of necromancy",O12&gt;=6),"Undead Thralls",IF(AND(P15="school of illusion",O12&gt;=6),"Malleable Illusions",IF(AND(P15="school of evocation",O12&gt;=6),"Potent Cantrip",IF(AND(P15="school of enchantment",O12&gt;=6),"Instinctive Charm",IF(AND(P15="school of divination",O12&gt;=6),"Expert Divination",IF(AND(P15="school of conjuration",O12&gt;=6),"Benign Transposition",IF(AND(P15="school of abjuration",O12&gt;=6),"Projected Ward",IF(AND(P15="otherworldly patron - great old one",O12&gt;=10),"Thought Shield",IF(AND(P15="otherworldly patron - fiend",O12&gt;=14),"Hurl Through Hell",IF(AND(P15="otherworldly patron - Archfey",O12&gt;=10),"Beguiling Defenses",IF(AND(P15="wild magic",O12&gt;=6),"Bend Luck",IF(AND(P15="draconic bloodline",O12&gt;=6),"Elemental Affinity",IF(AND(P15="arcane trickster",O12&gt;=13),"Versatile Trickster",IF(AND(P15="assassin",O12&gt;=13),"Imposter",IF(AND(P15="thief",O12&gt;=9),"Supreme Sneak",IF(AND(P15="beastmaster",O12&gt;=11),"Beastial Fury",IF(AND(P15="hunter",O12&gt;=11),VLOOKUP(RANDBETWEEN(1,2),Table179[],2),IF(AND(P15="oath of vengeance",O12&gt;=7),"Relentless Avenger",IF(AND(P15="oath of the ancients",O12&gt;=7),"Aura of Warding",IF(AND(P15="oath of devotion",O12&gt;=7),"Aura of Devotion",IF(P15="way of the four elements",INDEX('Class Tables'!K120:K126,MATCH(1,('Class Tables'!I120:I126),0)),IF(AND(P15="way of the shadow",O12&gt;=17),"Opportunist",IF(AND(P15="way of the open hand",O12&gt;=11),"Tranquility DC "&amp;SUM(8,P42,P8),IF(AND(P15="eldritch knight",O12&gt;=10),"Eldritch Strike",IF(P15="battle Master",INDEX('Class Tables'!J58:J77,MATCH(O12,('Class Tables'!I58:I77),0)),IF(AND(P15="champion",O12&gt;=10),INDEX('Class Tables'!F48:F53,MATCH(2,('Class Tables'!D48:D53),0)),IF(AND(P15="moon",O12&gt;=6),"Primal Strike",IF(AND(P15="land",O12&gt;=10),"Nature's Ward",IF(AND(P15="war",O12&gt;=6),"Channel Divinity: War God's Blessing",IF(AND(P15="trickery",O12&gt;=6),"Channel Divinity: Cloak of Shadows",IF(AND(P15="nature",O12&gt;=6),"Thunderbolt Strike",IF(AND(P15="nature",O12&gt;=8),"Divine Strike",IF(AND(P15="light",O12&gt;=6),"Improved Flare",IF(AND(P15="life",O12&gt;=6),"Blessed Healer",IF(AND(P15="knowledge",O12&gt;=8),"Potent Spellcasting",IF(AND(P15="path of the berserker",O12&gt;=6,O11="barbarian"),"Mindless Rage",IF(AND(P15="path of the totem warrior",O12&gt;=6,O11="barbarian"),VLOOKUP(RANDBETWEEN(1,3),Table44[],3),IF(AND(P15="college of valor",O12&gt;=14),"Battle Magic"," ")))))))))))))))))))))))))))))))))))))))</f>
        <v>Archery Style</v>
      </c>
      <c r="Q18" s="33" t="str">
        <f ca="1">IF(AND(Q11="warlock",Q12&gt;=9),"Invocation - "&amp;INDEX('Class Tables'!F141:F161,MATCH(1,('Class Tables'!D141:D161),0)),IF(AND(Q11="warlock",Q12&gt;=7),"Invocation - "&amp;INDEX('Class Tables'!F122:F138,MATCH(1,('Class Tables'!D122:D138),0)),IF(AND(Q11="warlock",Q12&gt;=5),"Invocation - "&amp;INDEX('Class Tables'!F106:F119,MATCH(1,('Class Tables'!D106:D119),0)),IF(AND(Q11="warlock",Q12&gt;=2),"Invocation - "&amp;INDEX('Class Tables'!F93:F103,MATCH(1,('Class Tables'!D93:D103),0)),IF(AND(Q11="sorcerer",Q12&gt;=3),"MM - "&amp;INDEX('Class Tables'!F78:F85,MATCH(1,('Class Tables'!D78:D85),0)),IF(AND(Q11="rogue",Q12&gt;=7),"Evasion",IF(AND(Q11="ranger",Q12&gt;=2),VLOOKUP(RANDBETWEEN(1,4),Table96[],2),IF(AND(Q11="paladin",Q12&gt;=2),"Spellcasting Focus",IF(AND(Q11="monk",Q12&gt;=2),"Ki DC - "&amp;SUM(8,P8,P42),IF(AND(Q11="fighter",Q12&gt;=5),"Extra Attack - "&amp;INDEX('Class Tables'!U140:U159,MATCH(Q12,('Class Tables'!T140:T159),0)),IF(AND($Q$11="barbarian",$Q$12&gt;=2),"Danger Sense",IF(AND(Q11="bard",Q12&gt;=5),"Font of Inspiration",IF(AND(Q11="cleric",Q12&gt;=2),"Channel Divinity: Turn Undead",IF(AND(Q11="druid",Q12&gt;=18),"Timeless Body"," "))))))))))))))</f>
        <v>Two-Weapon Style</v>
      </c>
      <c r="R18" s="33" t="str">
        <f ca="1">IF(AND(R15="otherworldly patron - great old one",Q12&gt;=10),"Thought Shield",IF(AND(R15="otherworldly patron - Archfey",Q12&gt;=10),"Beguiling Defenses",IF(AND(R15="wild magic",Q12&gt;=6),"Bend Luck",IF(AND(R15="draconic bloodline",Q12&gt;=6),"Elemental Affinity",IF(AND(R15="thief",Q12&gt;=9),"Supreme Sneak",IF(AND(R15="oath of vengeance",Q12&gt;=7),"Relentless Avenger",IF(AND(R15="oath of the ancients",Q12&gt;=7),"Aura of Warding",IF(AND(R15="oath of devotion",Q12&gt;=7),"Aura of Devotion",IF(R15="way of the four elements",INDEX('Class Tables'!K120:K126,MATCH(1,('Class Tables'!I120:I126),0)),IF(AND(R15="eldritch knight",Q12&gt;=10),"Eldritch Strike",IF(R15="battle Master",INDEX('Class Tables'!J58:J77,MATCH(Q12,('Class Tables'!I58:I77),0)),IF(AND(R15="champion",Q12&gt;=10),INDEX('Class Tables'!F48:F53,MATCH(2,('Class Tables'!D48:D53),0)),IF(AND(R15="moon",Q12&gt;=6),"Primal Strike",IF(AND(R15="land",Q12&gt;=10),"Nature's Ward",IF(AND(R15="war",Q12&gt;=6),"War God's Blessing",IF(AND(R15="trickery",Q12&gt;=6),"Channel Divinity: Cloak of Shadows",IF(AND(R15="nature",Q12&gt;=6),"Thunderbolt Strike",IF(AND(R15="nature",Q12&gt;=8),"Divine Strike",IF(AND(R15="light",Q12&gt;=6),"Improved Flare",IF(AND(R15="life",Q12&gt;=6),"Blessed Healer",IF(AND(R15="knowledge",Q12&gt;=8),"Potent Spellcasting",IF(AND(R15="path of the berserker",Q12&gt;=6),"Mindless Rage",IF(AND(R15="path of the totem warrior",Q12&gt;=6),VLOOKUP(RANDBETWEEN(1,3),Table44[],3)," ")))))))))))))))))))))))</f>
        <v xml:space="preserve"> </v>
      </c>
      <c r="S18" s="33" t="s">
        <v>51</v>
      </c>
      <c r="AE18" s="29" t="s">
        <v>1338</v>
      </c>
      <c r="AF18" s="29">
        <f ca="1">ROUNDDOWN(SUM(AF16:AF17),0)</f>
        <v>4</v>
      </c>
      <c r="AH18" s="29" t="s">
        <v>23</v>
      </c>
      <c r="AI18" s="29">
        <f ca="1">$P$43</f>
        <v>0</v>
      </c>
      <c r="AJ18" s="29" t="str">
        <f t="shared" ref="AJ18:AU18" ca="1" si="23">IF(COUNTIF(AJ$27:AJ$33,$AH$18),$P$8," ")</f>
        <v xml:space="preserve"> </v>
      </c>
      <c r="AK18" s="29" t="str">
        <f t="shared" ca="1" si="23"/>
        <v xml:space="preserve"> </v>
      </c>
      <c r="AL18" s="29" t="str">
        <f t="shared" ca="1" si="23"/>
        <v xml:space="preserve"> </v>
      </c>
      <c r="AM18" s="29" t="str">
        <f t="shared" ca="1" si="23"/>
        <v xml:space="preserve"> </v>
      </c>
      <c r="AN18" s="29" t="str">
        <f t="shared" ca="1" si="23"/>
        <v xml:space="preserve"> </v>
      </c>
      <c r="AO18" s="29" t="str">
        <f t="shared" ca="1" si="23"/>
        <v xml:space="preserve"> </v>
      </c>
      <c r="AP18" s="29" t="str">
        <f t="shared" ca="1" si="23"/>
        <v xml:space="preserve"> </v>
      </c>
      <c r="AQ18" s="29" t="str">
        <f t="shared" ca="1" si="23"/>
        <v xml:space="preserve"> </v>
      </c>
      <c r="AR18" s="29" t="str">
        <f t="shared" ca="1" si="23"/>
        <v xml:space="preserve"> </v>
      </c>
      <c r="AS18" s="29" t="str">
        <f t="shared" ca="1" si="23"/>
        <v xml:space="preserve"> </v>
      </c>
      <c r="AT18" s="29" t="str">
        <f t="shared" ca="1" si="23"/>
        <v xml:space="preserve"> </v>
      </c>
      <c r="AU18" s="29" t="str">
        <f t="shared" ca="1" si="23"/>
        <v xml:space="preserve"> </v>
      </c>
      <c r="AV18" s="29">
        <f t="shared" ca="1" si="8"/>
        <v>0</v>
      </c>
      <c r="AW18" s="29" t="s">
        <v>23</v>
      </c>
      <c r="BA18" s="29">
        <f ca="1">IF(S11="Entertainer",P8," ")</f>
        <v>6</v>
      </c>
      <c r="BM18" s="29">
        <f t="shared" ca="1" si="2"/>
        <v>6</v>
      </c>
      <c r="BN18" s="29">
        <f t="shared" ca="1" si="9"/>
        <v>0</v>
      </c>
      <c r="BO18" s="29" t="str">
        <f t="shared" ca="1" si="3"/>
        <v xml:space="preserve"> </v>
      </c>
      <c r="BP18" s="29" t="str">
        <f t="shared" ca="1" si="4"/>
        <v xml:space="preserve"> </v>
      </c>
      <c r="BQ18" s="29" t="str">
        <f t="shared" ca="1" si="5"/>
        <v xml:space="preserve"> </v>
      </c>
      <c r="BR18" s="29">
        <f t="shared" ca="1" si="6"/>
        <v>0</v>
      </c>
      <c r="BU18" s="29">
        <f t="shared" ca="1" si="10"/>
        <v>6</v>
      </c>
      <c r="BV18" s="29" t="s">
        <v>23</v>
      </c>
      <c r="CB18" s="35">
        <f t="shared" ca="1" si="14"/>
        <v>8</v>
      </c>
      <c r="CC18" s="36">
        <f t="shared" ca="1" si="15"/>
        <v>0.63913295502925171</v>
      </c>
      <c r="CD18" s="29" t="s">
        <v>19</v>
      </c>
    </row>
    <row r="19" spans="2:83" x14ac:dyDescent="0.3">
      <c r="B19" s="33" t="str">
        <f ca="1">IF(P2="dark","Drow Magic"," ")</f>
        <v xml:space="preserve"> </v>
      </c>
      <c r="O19" s="33" t="str">
        <f ca="1">IF(AND(O11="wizard",O12&gt;=18),"Spell Mastery - "&amp;INDEX(R193:R202,MATCH(1,(O193:O202),0)),IF(AND(O12&gt;=2,O16="pact of the chain",AF26=1),"Invocation - Voice of the Chain Master",IF(AND(O12&gt;=5,O16="pact of the blade",AF26=1),"Invocation - Thirsting Blade",IF(AND(O11="warlock",O12&gt;=2,O16="pact of the tome",AF26=1),"Invocation - Book of Ancient Secrets",IF(AND(O11="warlock",O12&gt;=2,COUNTIF(P193:P202,"*"&amp;"Eldritch blast"&amp;"*")),"Invocation - Repelling Blast",IF(AND(O11="warlock",O12&gt;=15),"Invocation - "&amp;INDEX('Class Tables'!F164:F187,MATCH(2,('Class Tables'!D164:D187),0)),IF(AND(O11="warlock",O12&gt;=9),"Invocation - "&amp;INDEX('Class Tables'!F141:F161,MATCH(2,('Class Tables'!D141:D161),0)),IF(AND(O11="warlock",O12&gt;=7),"Invocation - "&amp;INDEX('Class Tables'!F122:F138,MATCH(2,('Class Tables'!D122:D138),0)),IF(AND(O11="warlock",O12&gt;=5),"Invocation - "&amp;INDEX('Class Tables'!F106:F119,MATCH(2,('Class Tables'!D106:D119),0)),IF(AND(O11="warlock",O12&gt;=2),"Invocation - "&amp;INDEX('Class Tables'!F93:F103,MATCH(2,('Class Tables'!D93:D103),0)),IF(AND(O11="sorcerer",O12&gt;=10),"MM - "&amp;INDEX('Class Tables'!F78:F85,MATCH(2,('Class Tables'!D78:D85),0)),IF(AND(O11="rogue",O12&gt;=11),"Reliable Talent",IF(AND(O11="ranger",O12&gt;=3),"Primeval Awareness",IF(AND(O11="paladin",O12&gt;=2),"Divine Smite",IF(AND(O11="monk",O12&gt;=2),"Flurry of Blows",IF(AND(O11="fighter",O12&gt;=9),"Indomitable",IF(AND($O$11="barbarian",$O$12&gt;=5),"Extra Attack",IF(AND(O11="bard",O12&gt;=6),"Countercharm",IF(AND(O11="cleric",O12&gt;=5),"Destroy Undead - "&amp;INDEX('Class Tables'!O140:O159,MATCH(O12,('Class Tables'!M140:M159),0)),IF(AND(O11="druid",O12&gt;=18),"Beast Spells"," "))))))))))))))))))))</f>
        <v>Indomitable</v>
      </c>
      <c r="P19" s="33" t="str">
        <f ca="1">IF(AND(P15="school of transmutation",O12&gt;=10),"Shapechanger",IF(AND(P15="school of necromancy",O12&gt;=10),"Inured to Undeath",IF(AND(P15="school of illusion",O12&gt;=10),"Illusory Self",IF(AND(P15="school of evocation",O12&gt;=10),"Empowered Evocation",IF(AND(P15="school of enchantment",O12&gt;=10),"Split Enchantment",IF(AND(P15="school of divination",O12&gt;=10),"The Third Eye",IF(AND(P15="school of conjuration",O12&gt;=10),"Focused Conjuration",IF(AND(P15="school of abjuration",O12&gt;=10),"Improved Abjuration",IF(AND(P15="otherworldly patron - great old one",O12&gt;=14),"Create Thrall",IF(AND(P15="otherworldly patron - Archfey",O12&gt;=14),"Dark Delirium",IF(AND(P15="wild magic",O12&gt;=14),"Controlled Chaos",IF(AND(P15="draconic bloodline",O12&gt;=14),"Dragon Wings",IF(AND(P15="arcane trickster",O12&gt;=17),"Spell Thief",IF(AND(P15="assassin",O12&gt;=17),"Death Strike DC"&amp;SUM(8,P8,P39),IF(AND(P15="thief",O12&gt;=13),"Use Magic Device",IF(AND(P15="beastmaster",O12&gt;=15),"Share Spells",IF(AND(P15="hunter",O12&gt;=15),VLOOKUP(RANDBETWEEN(1,3),Table199[],2),IF(AND(P15="oath of vengeance",O12&gt;=15),"Soul of Vengeance",IF(AND(P15="oath of the ancients",O12&gt;=15),"Undying Sentinel",(IF(AND(P15="oath of devotion",O12&gt;=15),"Purity of Spirit",IF(P15="way of the four elements",INDEX('Class Tables'!K120:K126,MATCH(2,('Class Tables'!I120:I126),0)),IF(AND(P15="way of the open hand",O12&gt;=17),"Quivering Palm",IF(AND(P15="eldritch Knight",O12&gt;=15),"Arcane Charge",IF(P15="battle master","Maneuver DC "&amp;SUM(P8,8,AF22),IF(AND(P15="champion",O12&gt;=15),"Superior Critcial",IF(AND(P15="moon",O12&gt;=10),"Elemental Wild Strike",IF(AND(P15="land",O12&gt;=14),"Nature's Sanctuary",IF(AND(P15="war",O12&gt;=8),"Divine Strike",IF(AND(P15="trickery",O12&gt;=8),"Divine Strike",IF(AND(P15="nature",O12&gt;=8),"Divine Strike",IF(AND(P15="nature",O12&gt;=17),"Master of Nature",IF(AND(P15="light",O12&gt;=8),"Potent Spellcasting",IF(AND(P15="life",O12&gt;=8),"Divine Strike",IF(AND(P15="knowledge",O12&gt;=17),"Visions of the Past",IF(AND(O12&gt;=10,P15="path of the berserker"),"Intimidating Presence DC "&amp;SUM(8,P8,P43),IF(AND(O12&gt;=10,P15="path of the totem warrior"),"Spirit Walker"," ")))))))))))))))))))))))))))))))))))))</f>
        <v xml:space="preserve"> </v>
      </c>
      <c r="Q19" s="33" t="str">
        <f ca="1">IF(AND(Q11="warlock",Q12&gt;=9),"Invocation - "&amp;INDEX('Class Tables'!F141:F161,MATCH(2,('Class Tables'!D141:D161),0)),IF(AND(Q11="warlock",Q12&gt;=7),"Invocation - "&amp;INDEX('Class Tables'!F122:F138,MATCH(2,('Class Tables'!D122:D138),0)),IF(AND(Q11="warlock",Q12&gt;=5),"Invocation - "&amp;INDEX('Class Tables'!F106:F119,MATCH(2,('Class Tables'!D106:D119),0)),IF(AND(Q11="warlock",Q12&gt;=2),"Invocation - "&amp;INDEX('Class Tables'!F93:F103,MATCH(2,('Class Tables'!D93:D103),0)),IF(AND(Q11="sorcerer",Q12&gt;=10),"MM - "&amp;INDEX('Class Tables'!F78:F85,MATCH(2,('Class Tables'!D78:D85),0)),IF(AND(Q11="ranger",Q12&gt;=3),"Primeval Awareness",IF(AND(Q11="paladin",Q12&gt;=2),"Divine Smite",IF(AND(Q11="monk",Q12&gt;=2),"Flurry of Blows",IF(AND(Q11="fighter",Q12&gt;=9),"Indomitable",IF(AND($Q$11="barbarian",$Q$12&gt;=5),"Extra Attack",IF(AND(Q11="bard",Q12&gt;=6),"Countercharm",IF(AND(Q11="cleric",Q12&gt;=5),"Destroy Undead - "&amp;INDEX('Class Tables'!O140:O159,MATCH(Q12,('Class Tables'!M140:M159),0)),IF(AND(Q11="druid",Q12&gt;=18),"Beast Spells"," ")))))))))))))</f>
        <v>Primeval Awareness</v>
      </c>
      <c r="R19" s="33" t="str">
        <f ca="1">IF(R15="way of the four elements",INDEX('Class Tables'!K120:K126,MATCH(2,('Class Tables'!I120:I126),0)),IF(R15="battle master","Maneuver DC "&amp;SUM(P8,8,AF22),IF(AND(R15="moon",Q12&gt;=10),"Elemental Wild Shape",IF(AND(R15="war",Q12&gt;=8),"Divine Strike",IF(AND(R15="trickery",Q12&gt;=8),"Divine Strike",IF(AND(R15="nature",Q12&gt;=8),"Divine Strike",IF(AND(R15="light",Q12&gt;=8),"Potent Spellcasting",IF(AND(R15="life",Q12&gt;=8),"Divine Strike",IF(AND(R15="knowledge",Q12&gt;=17),"Visions of the Past",IF(AND(Q12&gt;=10,R15="path of the berserker"),"Intimidating Presence DC "&amp;SUM(8,P8,P43),IF(AND(Q12&gt;=10,R15="path of the totem warrior"),"Spirit Walker"," ")))))))))))</f>
        <v xml:space="preserve"> </v>
      </c>
      <c r="S19" s="33" t="str">
        <f ca="1">IF(Q2="dwarf","Dwarvish",IF(OR(Q2="half-elf",Q2="elf"),"Elvish",IF(Q2="halfling","Halfling",IF(Q2="human",VLOOKUP(RANDBETWEEN(1,8),Table20[],2),IF(Q2="gnome","Gnomish",IF(Q2="half-orc","Orc",IF(Q2="tiefling","Infernal"," ")))))))</f>
        <v>Gnomish</v>
      </c>
      <c r="AH19" s="29" t="s">
        <v>24</v>
      </c>
      <c r="AI19" s="29">
        <f ca="1">$P$43</f>
        <v>0</v>
      </c>
      <c r="AJ19" s="29" t="str">
        <f t="shared" ref="AJ19:AU19" ca="1" si="24">IF(COUNTIF(AJ$27:AJ$33,$AH$19),$P$8," ")</f>
        <v xml:space="preserve"> </v>
      </c>
      <c r="AK19" s="29" t="str">
        <f t="shared" ca="1" si="24"/>
        <v xml:space="preserve"> </v>
      </c>
      <c r="AL19" s="29" t="str">
        <f t="shared" ca="1" si="24"/>
        <v xml:space="preserve"> </v>
      </c>
      <c r="AM19" s="29" t="str">
        <f t="shared" ca="1" si="24"/>
        <v xml:space="preserve"> </v>
      </c>
      <c r="AN19" s="29" t="str">
        <f t="shared" ca="1" si="24"/>
        <v xml:space="preserve"> </v>
      </c>
      <c r="AO19" s="29" t="str">
        <f t="shared" ca="1" si="24"/>
        <v xml:space="preserve"> </v>
      </c>
      <c r="AP19" s="29" t="str">
        <f t="shared" ca="1" si="24"/>
        <v xml:space="preserve"> </v>
      </c>
      <c r="AQ19" s="29" t="str">
        <f t="shared" ca="1" si="24"/>
        <v xml:space="preserve"> </v>
      </c>
      <c r="AR19" s="29" t="str">
        <f t="shared" ca="1" si="24"/>
        <v xml:space="preserve"> </v>
      </c>
      <c r="AS19" s="29" t="str">
        <f t="shared" ca="1" si="24"/>
        <v xml:space="preserve"> </v>
      </c>
      <c r="AT19" s="29" t="str">
        <f t="shared" ca="1" si="24"/>
        <v xml:space="preserve"> </v>
      </c>
      <c r="AU19" s="29" t="str">
        <f t="shared" ca="1" si="24"/>
        <v xml:space="preserve"> </v>
      </c>
      <c r="AV19" s="29">
        <f t="shared" ca="1" si="8"/>
        <v>0</v>
      </c>
      <c r="AW19" s="29" t="s">
        <v>24</v>
      </c>
      <c r="BE19" s="29" t="str">
        <f ca="1">IF(S11="Knight",P8," ")</f>
        <v xml:space="preserve"> </v>
      </c>
      <c r="BF19" s="29" t="str">
        <f ca="1">IF(S11="Noble",P8," ")</f>
        <v xml:space="preserve"> </v>
      </c>
      <c r="BM19" s="29">
        <f t="shared" ca="1" si="2"/>
        <v>0</v>
      </c>
      <c r="BN19" s="29">
        <f t="shared" ca="1" si="9"/>
        <v>0</v>
      </c>
      <c r="BO19" s="29" t="str">
        <f t="shared" ca="1" si="3"/>
        <v xml:space="preserve"> </v>
      </c>
      <c r="BP19" s="29" t="str">
        <f t="shared" ca="1" si="4"/>
        <v xml:space="preserve"> </v>
      </c>
      <c r="BQ19" s="29" t="str">
        <f t="shared" ca="1" si="5"/>
        <v xml:space="preserve"> </v>
      </c>
      <c r="BR19" s="29">
        <f t="shared" ca="1" si="6"/>
        <v>0</v>
      </c>
      <c r="BU19" s="29">
        <f t="shared" ca="1" si="10"/>
        <v>0</v>
      </c>
      <c r="BV19" s="29" t="s">
        <v>24</v>
      </c>
      <c r="CB19" s="35">
        <f t="shared" ca="1" si="14"/>
        <v>6</v>
      </c>
      <c r="CC19" s="36">
        <f t="shared" ca="1" si="15"/>
        <v>0.64244419893776683</v>
      </c>
      <c r="CD19" s="29" t="s">
        <v>20</v>
      </c>
      <c r="CE19" s="31"/>
    </row>
    <row r="20" spans="2:83" x14ac:dyDescent="0.3">
      <c r="O20" s="33" t="str">
        <f ca="1">IF(AND(O11="warlock",O12&gt;=2,AF26=2,COUNTIF(P193:P202,"*"&amp;"Eldritch blast"&amp;"*")),"Invocation - Eldritch Spear",IF(AND(O11="warlock",O12&gt;=15),"Invocation - "&amp;INDEX('Class Tables'!F164:F187,MATCH(3,('Class Tables'!D164:D187),0)),IF(AND(O11="warlock",O12&gt;=9),"Invocation - "&amp;INDEX('Class Tables'!F141:F161,MATCH(3,('Class Tables'!D141:D161),0)),IF(AND(O11="warlock",O12&gt;=7),"Invocation - "&amp;INDEX('Class Tables'!F122:F138,MATCH(3,('Class Tables'!D122:D138),0)),IF(AND(O11="warlock",O12&gt;=5),"Invocation - "&amp;INDEX('Class Tables'!F106:F119,MATCH(3,('Class Tables'!D106:D119),0)),IF(AND(O11="sorcerer",O12&gt;=20),"Sorcerous Restoration",IF(AND(O11="sorcerer",O12&gt;=17),"MM - "&amp;INDEX('Class Tables'!F78:F85,MATCH(3,('Class Tables'!D78:D85),0)),IF(AND(O11="rogue",O12&gt;=14),"Blindsense",IF(AND(O11="ranger",O12&gt;=5),"Extra Attack",IF(AND(O11="paladin",O12&gt;=3),"Divine Health",IF(AND(O11="monk",O12&gt;=2),"Patient Defense",IF(AND(O11="barbarian",O12&gt;=5),"Fast Movement",IF(AND(O11="bard",O12&gt;=20),"Superior Inspiration",IF(AND(O11="druid",O12&gt;=20),"Archdruid",IF(AND(O11="cleric",O12&gt;=10),"Divine Intervention"," ")))))))))))))))</f>
        <v xml:space="preserve"> </v>
      </c>
      <c r="P20" s="33" t="str">
        <f ca="1">IF(AND(P15="school of transmutation",O12&gt;=14),"Master Transmuter",IF(AND(P15="school of necromancy",O12&gt;=14),"Command Undead",IF(AND(P15="school of illusion",O12&gt;=14),"Illusory Reality",IF(AND(P15="school of evocation",O12&gt;=14),"Overchannel",IF(AND(P15="school of enchantment",O12&gt;=14),"Alter Memories",IF(AND(P15="school of divination",O12&gt;=14),"Greater Portent",IF(AND(P15="school of conjuration",O12&gt;=14),"Durable Summons",IF(AND(P15="school of abjuration",O12&gt;=14),"Spell Resistance",IF(AND(P15="wild magic",O12&gt;=18),"Spell Bombardment",IF(AND(P15="Draconic Bloodline",O12&gt;=18),"Draconic Presence",IF(AND(P15="thief",O12&gt;=17),"Thief's Reflexes",IF(AND(P15="oath of vengeance",O12&gt;=20),"Avenging Angel",IF(AND(P15="oath of the ancients",O12&gt;=20),"Elder Champion",IF(AND(P15="Oath of Devotion",O12&gt;=20),"Holy Nimbus",IF(AND(P15="way of the four elements",O12&gt;=6),INDEX('Class Tables'!K128:K129,MATCH(1,('Class Tables'!I128:I129),0)),IF(AND(P15="eldritch knight",O12&gt;=18),"Improved War Magic",IF(P15="battle master",INDEX('Class Tables'!K40:K55,MATCH(1,('Class Tables'!I40:I55),0)),IF(AND(P15="champion",O12&gt;=18),"Survivor - "&amp;SUM(5+P48)&amp;" hp",IF(AND(P15="moon",O12&gt;=14),"Thousand Forms",IF(P15="land",VLOOKUP(RANDBETWEEN(1,8),Table74[],2),IF(AND(P15="war",O12&gt;=17),"Avatar of Battle",IF(AND(P15="trickery",O12&gt;=17),"Improved Duplicity",IF(AND(P15="nature",O12&gt;=17),"Stormborn",IF(AND(P15="light",O12&gt;=17),"Corona of Light",IF(AND(P15="life",O12&gt;=17),"Supreme Healing",IF(AND(P15="path of the totem warrior",O12&gt;=14),VLOOKUP(RANDBETWEEN(1,3),Table44[],4)," "))))))))))))))))))))))))))</f>
        <v xml:space="preserve"> </v>
      </c>
      <c r="Q20" s="33" t="str">
        <f ca="1">IF(AND(Q11="warlock",Q12&gt;=9),"Invocation - "&amp;INDEX('Class Tables'!F141:F161,MATCH(3,('Class Tables'!D141:D161),0)),IF(AND(Q11="warlock",Q12&gt;=7),"Invocation - "&amp;INDEX('Class Tables'!F122:F138,MATCH(3,('Class Tables'!D122:D138),0)),IF(AND(Q11="warlock",Q12&gt;=5),"Invocation - "&amp;INDEX('Class Tables'!F106:F119,MATCH(3,('Class Tables'!D106:D119),0)),IF(AND(Q11="ranger",Q12&gt;=5),"Extra Attack",IF(AND(Q11="paladin",Q12&gt;=3),"Divine Health",IF(AND(Q11="monk",Q12&gt;=2),"Patient Defense",IF(AND(Q11="barbarian",Q12&gt;=5),"Fast Movement",IF(AND(Q11="cleric",Q12&gt;=10),"Divine Intervention"," "))))))))</f>
        <v>Extra Attack</v>
      </c>
      <c r="R20" s="33" t="str">
        <f ca="1">IF(AND(R15="way of the four elements",Q12&gt;=6),INDEX('Class Tables'!K128:K129,MATCH(1,('Class Tables'!I128:I129),0)),IF(R15="battle master",INDEX('Class Tables'!K40:K55,MATCH(1,('Class Tables'!I40:I55),0)),IF(R15="land",VLOOKUP(RANDBETWEEN(1,8),Table74[],2)," ")))</f>
        <v xml:space="preserve"> </v>
      </c>
      <c r="S20" s="33" t="str">
        <f ca="1">IF(P2="high",INDEX('Class Tables'!S177:S220,MATCH(1,('Class Tables'!Q177:Q220),0))," ")</f>
        <v xml:space="preserve"> </v>
      </c>
      <c r="AE20" s="29" t="s">
        <v>1990</v>
      </c>
      <c r="AF20" s="29">
        <f ca="1">RANDBETWEEN(1,3)</f>
        <v>1</v>
      </c>
      <c r="AH20" s="29" t="s">
        <v>25</v>
      </c>
      <c r="AI20" s="29">
        <f ca="1">$P$41</f>
        <v>4</v>
      </c>
      <c r="AJ20" s="29" t="str">
        <f t="shared" ref="AJ20:AU20" ca="1" si="25">IF(COUNTIF(AJ$27:AJ$33,$AH$20),$P$8," ")</f>
        <v xml:space="preserve"> </v>
      </c>
      <c r="AK20" s="29" t="str">
        <f t="shared" ca="1" si="25"/>
        <v xml:space="preserve"> </v>
      </c>
      <c r="AL20" s="29" t="str">
        <f t="shared" ca="1" si="25"/>
        <v xml:space="preserve"> </v>
      </c>
      <c r="AM20" s="29" t="str">
        <f t="shared" ca="1" si="25"/>
        <v xml:space="preserve"> </v>
      </c>
      <c r="AN20" s="29" t="str">
        <f t="shared" ca="1" si="25"/>
        <v xml:space="preserve"> </v>
      </c>
      <c r="AO20" s="29" t="str">
        <f t="shared" ca="1" si="25"/>
        <v xml:space="preserve"> </v>
      </c>
      <c r="AP20" s="29" t="str">
        <f t="shared" ca="1" si="25"/>
        <v xml:space="preserve"> </v>
      </c>
      <c r="AQ20" s="29" t="str">
        <f t="shared" ca="1" si="25"/>
        <v xml:space="preserve"> </v>
      </c>
      <c r="AR20" s="29" t="str">
        <f t="shared" ca="1" si="25"/>
        <v xml:space="preserve"> </v>
      </c>
      <c r="AS20" s="29" t="str">
        <f t="shared" ca="1" si="25"/>
        <v xml:space="preserve"> </v>
      </c>
      <c r="AT20" s="29" t="str">
        <f t="shared" ca="1" si="25"/>
        <v xml:space="preserve"> </v>
      </c>
      <c r="AU20" s="29" t="str">
        <f t="shared" ca="1" si="25"/>
        <v xml:space="preserve"> </v>
      </c>
      <c r="AV20" s="29">
        <f t="shared" ca="1" si="8"/>
        <v>0</v>
      </c>
      <c r="AW20" s="29" t="s">
        <v>25</v>
      </c>
      <c r="AX20" s="29" t="str">
        <f ca="1">IF(S11="acolyte",P8," ")</f>
        <v xml:space="preserve"> </v>
      </c>
      <c r="BC20" s="29" t="str">
        <f ca="1">IF(S11="Guild Artisan",P8," ")</f>
        <v xml:space="preserve"> </v>
      </c>
      <c r="BD20" s="29" t="str">
        <f ca="1">IF(S11="Hermit",P8," ")</f>
        <v xml:space="preserve"> </v>
      </c>
      <c r="BM20" s="29">
        <f t="shared" ca="1" si="2"/>
        <v>0</v>
      </c>
      <c r="BN20" s="29">
        <f t="shared" ca="1" si="9"/>
        <v>0</v>
      </c>
      <c r="BO20" s="29" t="str">
        <f t="shared" ca="1" si="3"/>
        <v xml:space="preserve"> </v>
      </c>
      <c r="BP20" s="29" t="str">
        <f t="shared" ca="1" si="4"/>
        <v xml:space="preserve"> </v>
      </c>
      <c r="BQ20" s="29" t="str">
        <f t="shared" ca="1" si="5"/>
        <v xml:space="preserve"> </v>
      </c>
      <c r="BR20" s="29">
        <f t="shared" ca="1" si="6"/>
        <v>0</v>
      </c>
      <c r="BS20" s="29">
        <f ca="1">IF(AND($BY$29=1,OR($P$15="knowledge",$R$15="knowledge")),$P$8*2,IF(AND($BY$29=2,OR($P$15="knowledge",$R$15="knowledge")),$P$8*2,0))</f>
        <v>0</v>
      </c>
      <c r="BU20" s="29">
        <f t="shared" ca="1" si="10"/>
        <v>0</v>
      </c>
      <c r="BV20" s="29" t="s">
        <v>25</v>
      </c>
      <c r="CB20" s="35">
        <f t="shared" ca="1" si="14"/>
        <v>14</v>
      </c>
      <c r="CC20" s="36">
        <f t="shared" ca="1" si="15"/>
        <v>0.37245958656193934</v>
      </c>
      <c r="CD20" s="29" t="s">
        <v>21</v>
      </c>
    </row>
    <row r="21" spans="2:83" x14ac:dyDescent="0.3">
      <c r="O21" s="33" t="str">
        <f ca="1">IF(AND(O11="warlock",O12&gt;=15),"Invocation - "&amp;INDEX('Class Tables'!F164:F187,MATCH(4,('Class Tables'!D164:D187),0)),IF(AND(O11="warlock",O12&gt;=9),"Invocation - "&amp;INDEX('Class Tables'!F141:F161,MATCH(4,('Class Tables'!D141:D161),0)),IF(AND(O11="warlock",O12&gt;=7),"Invocation - "&amp;INDEX('Class Tables'!F122:F138,MATCH(4,('Class Tables'!D122:D138),0)),IF(AND(O11="rogue",O12&gt;=15),"Slippery Mind",IF(AND(O11="ranger",O12&gt;=8),"Land's Stride",IF(AND(O11="paladin",O12&gt;=5),"Extra Attack",IF(AND(O11="monk",O12&gt;=2),"Step of the Wind",IF(AND($O$11="barbarian",$O$12&gt;=7),"Feral Instinct"," "))))))))</f>
        <v xml:space="preserve"> </v>
      </c>
      <c r="P21" s="33" t="str">
        <f ca="1">IF(AND(P15="way of the four elements",O12&gt;=11),INDEX('Class Tables'!K131:K134,MATCH(1,('Class Tables'!I131:I134),0)),IF(P15="battle master",INDEX('Class Tables'!K40:K55,MATCH(2,('Class Tables'!I40:I55),0))," "))</f>
        <v xml:space="preserve"> </v>
      </c>
      <c r="Q21" s="33" t="str">
        <f ca="1">IF(AND(Q11="warlock",Q12&gt;=9),"Invocation - "&amp;INDEX('Class Tables'!F141:F161,MATCH(4,('Class Tables'!D141:D161),0)),IF(AND(Q11="warlock",Q12&gt;=7),"Invocation - "&amp;INDEX('Class Tables'!F122:F138,MATCH(4,('Class Tables'!D122:D138),0)),IF(AND(Q11="ranger",Q12&gt;=8),"Land's Stride",IF(AND(Q11="paladin",Q12&gt;=5),"Extra Attack",IF(AND(Q11="monk",Q12&gt;=2),"Step of the Wind",IF(AND($Q$11="barbarian",$Q$12&gt;=7),"Feral Instinct"," "))))))</f>
        <v>Land's Stride</v>
      </c>
      <c r="R21" s="33" t="str">
        <f ca="1">IF(R15="battle master",INDEX('Class Tables'!K40:K55,MATCH(2,('Class Tables'!I40:I55),0))," ")</f>
        <v xml:space="preserve"> </v>
      </c>
      <c r="S21" s="33" t="str">
        <f ca="1">IF(OR(P15="knowledge",R15="knowledge"),INDEX('Class Tables'!S177:S220,MATCH(2,('Class Tables'!Q177:Q220),0))," ")</f>
        <v xml:space="preserve"> </v>
      </c>
      <c r="AE21" s="29" t="s">
        <v>1989</v>
      </c>
      <c r="AF21" s="29">
        <f ca="1">RANDBETWEEN(1,2)</f>
        <v>2</v>
      </c>
      <c r="AH21" s="29" t="s">
        <v>26</v>
      </c>
      <c r="AI21" s="29">
        <f ca="1">$P$39</f>
        <v>4</v>
      </c>
      <c r="AJ21" s="29" t="str">
        <f t="shared" ref="AJ21:AU21" ca="1" si="26">IF(COUNTIF(AJ$27:AJ$33,$AH$21),$P$8," ")</f>
        <v xml:space="preserve"> </v>
      </c>
      <c r="AK21" s="29" t="str">
        <f t="shared" ca="1" si="26"/>
        <v xml:space="preserve"> </v>
      </c>
      <c r="AL21" s="29" t="str">
        <f t="shared" ca="1" si="26"/>
        <v xml:space="preserve"> </v>
      </c>
      <c r="AM21" s="29" t="str">
        <f t="shared" ca="1" si="26"/>
        <v xml:space="preserve"> </v>
      </c>
      <c r="AN21" s="29" t="str">
        <f t="shared" ca="1" si="26"/>
        <v xml:space="preserve"> </v>
      </c>
      <c r="AO21" s="29" t="str">
        <f t="shared" ca="1" si="26"/>
        <v xml:space="preserve"> </v>
      </c>
      <c r="AP21" s="29" t="str">
        <f t="shared" ca="1" si="26"/>
        <v xml:space="preserve"> </v>
      </c>
      <c r="AQ21" s="29" t="str">
        <f t="shared" ca="1" si="26"/>
        <v xml:space="preserve"> </v>
      </c>
      <c r="AR21" s="29" t="str">
        <f t="shared" ca="1" si="26"/>
        <v xml:space="preserve"> </v>
      </c>
      <c r="AS21" s="29" t="str">
        <f t="shared" ca="1" si="26"/>
        <v xml:space="preserve"> </v>
      </c>
      <c r="AT21" s="29" t="str">
        <f t="shared" ca="1" si="26"/>
        <v xml:space="preserve"> </v>
      </c>
      <c r="AU21" s="29" t="str">
        <f t="shared" ca="1" si="26"/>
        <v xml:space="preserve"> </v>
      </c>
      <c r="AV21" s="29">
        <f t="shared" ca="1" si="8"/>
        <v>0</v>
      </c>
      <c r="AW21" s="29" t="s">
        <v>26</v>
      </c>
      <c r="AY21" s="29" t="str">
        <f ca="1">IF(S11="Charlatan",P8," ")</f>
        <v xml:space="preserve"> </v>
      </c>
      <c r="BL21" s="29" t="str">
        <f ca="1">IF(S11="urchin",P8," ")</f>
        <v xml:space="preserve"> </v>
      </c>
      <c r="BM21" s="29">
        <f t="shared" ca="1" si="2"/>
        <v>0</v>
      </c>
      <c r="BN21" s="29">
        <f t="shared" ca="1" si="9"/>
        <v>0</v>
      </c>
      <c r="BO21" s="29" t="str">
        <f t="shared" ca="1" si="3"/>
        <v xml:space="preserve"> </v>
      </c>
      <c r="BP21" s="29" t="str">
        <f t="shared" ca="1" si="4"/>
        <v xml:space="preserve"> </v>
      </c>
      <c r="BQ21" s="29" t="str">
        <f t="shared" ca="1" si="5"/>
        <v xml:space="preserve"> </v>
      </c>
      <c r="BR21" s="29">
        <f t="shared" ca="1" si="6"/>
        <v>0</v>
      </c>
      <c r="BU21" s="29">
        <f t="shared" ca="1" si="10"/>
        <v>0</v>
      </c>
      <c r="BV21" s="29" t="s">
        <v>26</v>
      </c>
      <c r="CB21" s="35">
        <f t="shared" ca="1" si="14"/>
        <v>12</v>
      </c>
      <c r="CC21" s="36">
        <f t="shared" ca="1" si="15"/>
        <v>0.40773128111414847</v>
      </c>
      <c r="CD21" s="29" t="s">
        <v>22</v>
      </c>
    </row>
    <row r="22" spans="2:83" x14ac:dyDescent="0.3">
      <c r="O22" s="33" t="str">
        <f ca="1">(IF(AND(O16="pact of the blade",O12&gt;=12,AF26=1),"Invocation - Lifedrinker",IF(AND(O11="warlock",O12&gt;=15),"Invocation - "&amp;INDEX('Class Tables'!F164:F187,MATCH(5,('Class Tables'!D164:D187),0)),IF(AND(O11="warlock",O12&gt;=9),"Invocation - "&amp;INDEX('Class Tables'!F141:F161,MATCH(5,('Class Tables'!D141:D161),0)),IF(AND(O11="rogue",O12&gt;=18),"Elusive Foe",IF(AND(O11="ranger",O12&gt;=10),"Hide in Plain Sight",IF(AND(O11="paladin",O12&gt;=6),"Aura of Protection +"&amp;MAX(P43,1),IF(AND(O11="monk",O12&gt;=2),"Unarmored Movement - "&amp;INDEX('Class Tables'!L98:L117,MATCH(O12,('Class Tables'!I98:I117),0))&amp;" ft.",IF(AND($O$11="barbarian",$O$12&gt;=9),"Brutal Critical"," ")))))))))</f>
        <v xml:space="preserve"> </v>
      </c>
      <c r="P22" s="33" t="str">
        <f ca="1">IF(AND(P15="way of the four elements",O12&gt;=17),INDEX('Class Tables'!K136:K138,MATCH(1,('Class Tables'!I136:I138),0)),IF(P15="battle master",INDEX('Class Tables'!K40:K55,MATCH(3,('Class Tables'!I40:I55),0))," "))</f>
        <v xml:space="preserve"> </v>
      </c>
      <c r="Q22" s="33" t="str">
        <f ca="1">IF(AND(Q11="warlock",Q12&gt;=9),"Invocation - "&amp;INDEX('Class Tables'!F141:F161,MATCH(5,('Class Tables'!D141:D161),0)),IF(AND(Q11="ranger",Q12&gt;=10),"Hide in Plain Sight",IF(AND(Q11="paladin",Q12&gt;=6),"Aura of Protection +"&amp;MAX(P43,1),IF(AND(Q11="monk",Q12&gt;=2),"Unarmored Movement - "&amp;INDEX('Class Tables'!L98:L117,MATCH(Q12,('Class Tables'!I98:I117),0))&amp;" ft.",IF(AND($Q$11="barbarian",$Q$12&gt;=9),"Brutal Critical"," ")))))</f>
        <v xml:space="preserve"> </v>
      </c>
      <c r="R22" s="33" t="str">
        <f ca="1">IF(R15="battle master",INDEX('Class Tables'!K40:K55,MATCH(3,('Class Tables'!I40:I55),0))," ")</f>
        <v xml:space="preserve"> </v>
      </c>
      <c r="S22" s="33" t="str">
        <f ca="1">IF(OR(P15="knowledge",R15="knowledge"),INDEX('Class Tables'!S177:S220,MATCH(3,('Class Tables'!Q177:Q220),0))," ")</f>
        <v xml:space="preserve"> </v>
      </c>
      <c r="AE22" s="29" t="s">
        <v>1387</v>
      </c>
      <c r="AF22" s="29">
        <f ca="1">SUM(P38:P39)-SMALL(P38:P39,1)</f>
        <v>4</v>
      </c>
      <c r="AH22" s="29" t="s">
        <v>27</v>
      </c>
      <c r="AI22" s="29">
        <f ca="1">$P$39</f>
        <v>4</v>
      </c>
      <c r="AJ22" s="29" t="str">
        <f t="shared" ref="AJ22:AU22" ca="1" si="27">IF(COUNTIF(AJ$27:AJ$33,$AH$22),$P$8," ")</f>
        <v xml:space="preserve"> </v>
      </c>
      <c r="AK22" s="29" t="str">
        <f t="shared" ca="1" si="27"/>
        <v xml:space="preserve"> </v>
      </c>
      <c r="AL22" s="29" t="str">
        <f t="shared" ca="1" si="27"/>
        <v xml:space="preserve"> </v>
      </c>
      <c r="AM22" s="29" t="str">
        <f t="shared" ca="1" si="27"/>
        <v xml:space="preserve"> </v>
      </c>
      <c r="AN22" s="29" t="str">
        <f t="shared" ca="1" si="27"/>
        <v xml:space="preserve"> </v>
      </c>
      <c r="AO22" s="29" t="str">
        <f t="shared" ca="1" si="27"/>
        <v xml:space="preserve"> </v>
      </c>
      <c r="AP22" s="29" t="str">
        <f t="shared" ca="1" si="27"/>
        <v xml:space="preserve"> </v>
      </c>
      <c r="AQ22" s="29" t="str">
        <f t="shared" ca="1" si="27"/>
        <v xml:space="preserve"> </v>
      </c>
      <c r="AR22" s="29" t="str">
        <f t="shared" ca="1" si="27"/>
        <v xml:space="preserve"> </v>
      </c>
      <c r="AS22" s="29" t="str">
        <f t="shared" ca="1" si="27"/>
        <v xml:space="preserve"> </v>
      </c>
      <c r="AT22" s="29" t="str">
        <f t="shared" ca="1" si="27"/>
        <v xml:space="preserve"> </v>
      </c>
      <c r="AU22" s="29" t="str">
        <f t="shared" ca="1" si="27"/>
        <v xml:space="preserve"> </v>
      </c>
      <c r="AV22" s="29">
        <f t="shared" ca="1" si="8"/>
        <v>0</v>
      </c>
      <c r="AW22" s="29" t="s">
        <v>27</v>
      </c>
      <c r="AZ22" s="29" t="str">
        <f ca="1">IF(S11="Criminal",P8," ")</f>
        <v xml:space="preserve"> </v>
      </c>
      <c r="BL22" s="29" t="str">
        <f ca="1">IF(S11="urchin",P8," ")</f>
        <v xml:space="preserve"> </v>
      </c>
      <c r="BM22" s="29">
        <f t="shared" ca="1" si="2"/>
        <v>0</v>
      </c>
      <c r="BN22" s="29">
        <f t="shared" ca="1" si="9"/>
        <v>0</v>
      </c>
      <c r="BO22" s="29" t="str">
        <f t="shared" ca="1" si="3"/>
        <v xml:space="preserve"> </v>
      </c>
      <c r="BP22" s="29" t="str">
        <f t="shared" ca="1" si="4"/>
        <v xml:space="preserve"> </v>
      </c>
      <c r="BQ22" s="29" t="str">
        <f t="shared" ca="1" si="5"/>
        <v xml:space="preserve"> </v>
      </c>
      <c r="BR22" s="29">
        <f t="shared" ca="1" si="6"/>
        <v>0</v>
      </c>
      <c r="BU22" s="29">
        <f t="shared" ca="1" si="10"/>
        <v>0</v>
      </c>
      <c r="BV22" s="29" t="s">
        <v>27</v>
      </c>
      <c r="CB22" s="35">
        <f t="shared" ca="1" si="14"/>
        <v>17</v>
      </c>
      <c r="CC22" s="36">
        <f t="shared" ca="1" si="15"/>
        <v>0</v>
      </c>
      <c r="CD22" s="29" t="s">
        <v>23</v>
      </c>
    </row>
    <row r="23" spans="2:83" x14ac:dyDescent="0.3">
      <c r="O23" s="33" t="str">
        <f ca="1">IF(AND(O11="warlock",O12&gt;=15),"Invocation - "&amp;INDEX('Class Tables'!F164:F187,MATCH(6,('Class Tables'!D164:D187),0)),IF(AND(O11="warlock",O12&gt;=12),"Invocation - "&amp;INDEX('Class Tables'!F141:F161,MATCH(6,('Class Tables'!D141:D161),0)),IF(AND(O11="rogue",O12&gt;=20),"Stroke of Luck",IF(AND(O11="ranger",O12&gt;=14),"Vanish",IF(AND(O11="paladin",O12&gt;=10),"Aura of Courage",IF(AND(O11="monk",O12&gt;=3),"Deflect Missiles - 1d10+"&amp;SUM(P39,O12)&amp;" dmg.",IF(AND($O$11="barbarian",$O$12&gt;=11),"Relentless Rage"," ")))))))</f>
        <v xml:space="preserve"> </v>
      </c>
      <c r="P23" s="33" t="str">
        <f ca="1">IF(AND(P15="battle master",O12&gt;=7),INDEX('Class Tables'!K40:K55,MATCH(4,('Class Tables'!I40:I55),0))," ")</f>
        <v xml:space="preserve"> </v>
      </c>
      <c r="Q23" s="33" t="str">
        <f ca="1">IF(AND(Q11="paladin",Q12&gt;=10),"Aura of Courage",IF(AND(Q11="monk",Q12&gt;=3),"Deflect Missiles 1d10+"&amp;SUM(Q12,P39)&amp;" dmg."," "))</f>
        <v xml:space="preserve"> </v>
      </c>
      <c r="R23" s="33" t="str">
        <f ca="1">IF(AND(R15="battle master",Q12&gt;=7),INDEX('Class Tables'!K40:K55,MATCH(4,('Class Tables'!I40:I55),0))," ")</f>
        <v xml:space="preserve"> </v>
      </c>
      <c r="S23" s="33" t="str">
        <f ca="1">IF(O11="druid","Druidic",IF(O11="rogue","Thieves' Cant"," "))</f>
        <v xml:space="preserve"> </v>
      </c>
      <c r="AE23" s="29" t="s">
        <v>1402</v>
      </c>
      <c r="AF23" s="29">
        <f ca="1">RANDBETWEEN(1,2)</f>
        <v>1</v>
      </c>
      <c r="AH23" s="29" t="s">
        <v>28</v>
      </c>
      <c r="AI23" s="29">
        <f ca="1">$P$42</f>
        <v>2</v>
      </c>
      <c r="AJ23" s="29" t="str">
        <f t="shared" ref="AJ23:AU23" ca="1" si="28">IF(COUNTIF(AJ$27:AJ$33,$AH$23),$P$8," ")</f>
        <v xml:space="preserve"> </v>
      </c>
      <c r="AK23" s="29" t="str">
        <f t="shared" ca="1" si="28"/>
        <v xml:space="preserve"> </v>
      </c>
      <c r="AL23" s="29" t="str">
        <f t="shared" ca="1" si="28"/>
        <v xml:space="preserve"> </v>
      </c>
      <c r="AM23" s="29" t="str">
        <f t="shared" ca="1" si="28"/>
        <v xml:space="preserve"> </v>
      </c>
      <c r="AN23" s="29" t="str">
        <f t="shared" ca="1" si="28"/>
        <v xml:space="preserve"> </v>
      </c>
      <c r="AO23" s="29" t="str">
        <f t="shared" ca="1" si="28"/>
        <v xml:space="preserve"> </v>
      </c>
      <c r="AP23" s="29" t="str">
        <f t="shared" ca="1" si="28"/>
        <v xml:space="preserve"> </v>
      </c>
      <c r="AQ23" s="29" t="str">
        <f t="shared" ca="1" si="28"/>
        <v xml:space="preserve"> </v>
      </c>
      <c r="AR23" s="29" t="str">
        <f t="shared" ca="1" si="28"/>
        <v xml:space="preserve"> </v>
      </c>
      <c r="AS23" s="29" t="str">
        <f t="shared" ca="1" si="28"/>
        <v xml:space="preserve"> </v>
      </c>
      <c r="AT23" s="29" t="str">
        <f t="shared" ca="1" si="28"/>
        <v xml:space="preserve"> </v>
      </c>
      <c r="AU23" s="29" t="str">
        <f t="shared" ca="1" si="28"/>
        <v xml:space="preserve"> </v>
      </c>
      <c r="AV23" s="29">
        <f t="shared" ca="1" si="8"/>
        <v>0</v>
      </c>
      <c r="AW23" s="29" t="s">
        <v>28</v>
      </c>
      <c r="BB23" s="29" t="str">
        <f ca="1">IF(S11="Folk Hero",P8," ")</f>
        <v xml:space="preserve"> </v>
      </c>
      <c r="BG23" s="29" t="str">
        <f ca="1">IF(S11="Outlander",P8," ")</f>
        <v xml:space="preserve"> </v>
      </c>
      <c r="BM23" s="29">
        <f t="shared" ca="1" si="2"/>
        <v>0</v>
      </c>
      <c r="BN23" s="29">
        <f t="shared" ca="1" si="9"/>
        <v>0</v>
      </c>
      <c r="BO23" s="29" t="str">
        <f t="shared" ca="1" si="3"/>
        <v xml:space="preserve"> </v>
      </c>
      <c r="BP23" s="29" t="str">
        <f t="shared" ca="1" si="4"/>
        <v xml:space="preserve"> </v>
      </c>
      <c r="BQ23" s="29" t="str">
        <f t="shared" ca="1" si="5"/>
        <v xml:space="preserve"> </v>
      </c>
      <c r="BR23" s="29">
        <f t="shared" ca="1" si="6"/>
        <v>0</v>
      </c>
      <c r="BT23" s="29">
        <f ca="1">IF(AND(BY32=1,OR($P$15="nature",$R$15="nature")),$P$8,0)</f>
        <v>0</v>
      </c>
      <c r="BU23" s="29">
        <f t="shared" ca="1" si="10"/>
        <v>0</v>
      </c>
      <c r="BV23" s="29" t="s">
        <v>28</v>
      </c>
      <c r="CB23" s="35">
        <f t="shared" ca="1" si="14"/>
        <v>2</v>
      </c>
      <c r="CC23" s="36">
        <f t="shared" ca="1" si="15"/>
        <v>0.88929146621264199</v>
      </c>
      <c r="CD23" s="29" t="s">
        <v>24</v>
      </c>
    </row>
    <row r="24" spans="2:83" x14ac:dyDescent="0.3">
      <c r="O24" s="33" t="str">
        <f ca="1">IF(AND(O11="warlock",O12&gt;=15,AF26=2,O16="pact of the chain"),"Chains of Carceri",IF(AND(O11="warlock",O12&gt;=15),"Invocation - "&amp;INDEX('Class Tables'!F164:F187,MATCH(7,('Class Tables'!D164:D187),0)),IF(AND(O11="ranger",O12&gt;=18),"Feral Senses",IF(AND(O11="paladin",O12&gt;=11),"Improved Divine Smite",IF(AND(O11="monk",O12&gt;=4),"Slow Fall - "&amp;O12*5&amp;" dmg.",IF(AND($O$11="barbarian",$O$12&gt;=15),"Persistent Rage"," "))))))</f>
        <v xml:space="preserve"> </v>
      </c>
      <c r="P24" s="33" t="str">
        <f ca="1">IF(AND(P15="battle master",O12&gt;=7),INDEX('Class Tables'!K40:K55,MATCH(5,('Class Tables'!I40:I55),0))," ")</f>
        <v xml:space="preserve"> </v>
      </c>
      <c r="Q24" s="33" t="str">
        <f ca="1">IF(AND(Q11="paladin",Q12&gt;=11),"Improved Divine Smite",IF(AND(Q11="monk",Q12&gt;=4),"Slow Fall -"&amp;Q12*5&amp;" dmg."," "))</f>
        <v xml:space="preserve"> </v>
      </c>
      <c r="R24" s="33" t="str">
        <f ca="1">IF(AND(R15="battle master",Q12&gt;=7),INDEX('Class Tables'!K40:K55,MATCH(5,('Class Tables'!I40:I55),0))," ")</f>
        <v xml:space="preserve"> </v>
      </c>
      <c r="S24" s="33" t="str">
        <f ca="1">IF(P15="draconic bloodline","Draconic"," ")</f>
        <v xml:space="preserve"> </v>
      </c>
      <c r="AE24" s="29" t="s">
        <v>1509</v>
      </c>
      <c r="AF24" s="29">
        <f ca="1">RANDBETWEEN(1,2)</f>
        <v>2</v>
      </c>
      <c r="CB24" s="35">
        <f t="shared" ca="1" si="14"/>
        <v>7</v>
      </c>
      <c r="CC24" s="36">
        <f t="shared" ca="1" si="15"/>
        <v>0.64014887095690032</v>
      </c>
      <c r="CD24" s="29" t="s">
        <v>25</v>
      </c>
    </row>
    <row r="25" spans="2:83" x14ac:dyDescent="0.3">
      <c r="O25" s="33" t="str">
        <f ca="1">IF(AND(O11="warlock",O12&gt;=18),"Invocation - "&amp;INDEX('Class Tables'!F164:F187,MATCH(8,('Class Tables'!D164:D187),0)),IF(AND(O11="ranger",O12&gt;=20),"Foe Slayer",IF(AND(O11="paladin",O12&gt;=14),"Cleansing Touch - "&amp;MAX(1,(P43))&amp;" uses",IF(AND(O11="monk",O12&gt;=5),"Extra Attack",IF(AND($O$11="barbarian",$O$12&gt;=18),"Indomitable Might"," ")))))</f>
        <v xml:space="preserve"> </v>
      </c>
      <c r="P25" s="33" t="str">
        <f ca="1">IF(AND(P15="battle master",O12&gt;=10),INDEX('Class Tables'!K40:K55,MATCH(6,('Class Tables'!I40:I55),0))," ")</f>
        <v xml:space="preserve"> </v>
      </c>
      <c r="Q25" s="33" t="str">
        <f ca="1">IF(AND(Q11="paladin",Q12&gt;=14),"Cleansing Touch - "&amp;MAX(1,(P43))&amp;" uses",IF(AND(Q11="monk",Q12&gt;=5),"Extra Attack"," "))</f>
        <v xml:space="preserve"> </v>
      </c>
      <c r="R25" s="33" t="str">
        <f ca="1">IF(AND(R15="battle master",Q12&gt;=10),INDEX('Class Tables'!K40:K55,MATCH(6,('Class Tables'!I40:I55),0))," ")</f>
        <v xml:space="preserve"> </v>
      </c>
      <c r="S25" s="33" t="str">
        <f ca="1">IF(OR(S11="acolyte",S11="Guild artisan",S11="hermit",S11="noble",S11="knight",S11="outlander",S11="sage"),INDEX('Class Tables'!S177:S220,MATCH(4,('Class Tables'!Q177:Q220),0))," ")</f>
        <v xml:space="preserve"> </v>
      </c>
      <c r="AE25" s="29" t="s">
        <v>1568</v>
      </c>
      <c r="AF25" s="29">
        <f ca="1">RANDBETWEEN(1,2)</f>
        <v>2</v>
      </c>
      <c r="CB25" s="35">
        <f t="shared" ca="1" si="14"/>
        <v>9</v>
      </c>
      <c r="CC25" s="36">
        <f t="shared" ca="1" si="15"/>
        <v>0.56869042765750255</v>
      </c>
      <c r="CD25" s="29" t="s">
        <v>26</v>
      </c>
      <c r="CE25" s="31"/>
    </row>
    <row r="26" spans="2:83" x14ac:dyDescent="0.3">
      <c r="O26" s="33" t="str">
        <f ca="1">IF(AND(O11="ranger",O12&gt;=6),"Natural Explorer: "&amp;INDEX('Class Tables'!F212:F219,MATCH(2,('Class Tables'!D212:D219),0)),IF(AND(O11="monk",O12&gt;=5),"Stunning Strike",IF(AND($O$11="barbarian",$O$12&gt;=20),"Primal Champion"," ")))</f>
        <v xml:space="preserve"> </v>
      </c>
      <c r="P26" s="33" t="str">
        <f ca="1">IF(AND(P15="battle master",O12&gt;=10),INDEX('Class Tables'!K40:K55,MATCH(7,('Class Tables'!I40:I55),0))," ")</f>
        <v xml:space="preserve"> </v>
      </c>
      <c r="Q26" s="33" t="str">
        <f ca="1">IF(AND(Q11="ranger",Q12&gt;=10),"Natural Explorer: "&amp;INDEX('Class Tables'!F212:F219,MATCH(2,('Class Tables'!D212:D219),0)),IF(AND(Q11="monk",Q12&gt;=5),"Stunning Strike"," "))</f>
        <v xml:space="preserve"> </v>
      </c>
      <c r="R26" s="33" t="str">
        <f ca="1">IF(AND(R15="battle master",Q12&gt;=10),INDEX('Class Tables'!K40:K55,MATCH(7,('Class Tables'!I40:I55),0))," ")</f>
        <v xml:space="preserve"> </v>
      </c>
      <c r="S26" s="33" t="str">
        <f ca="1">IF(OR(S11="acolyte",S11="sage"),INDEX('Class Tables'!S177:S220,MATCH(5,('Class Tables'!Q177:Q220),0))," ")</f>
        <v xml:space="preserve"> </v>
      </c>
      <c r="AE26" s="29" t="s">
        <v>693</v>
      </c>
      <c r="AF26" s="29">
        <f ca="1">RANDBETWEEN(1,2)</f>
        <v>1</v>
      </c>
      <c r="AJ26" s="29" t="s">
        <v>685</v>
      </c>
      <c r="AK26" s="29" t="s">
        <v>686</v>
      </c>
      <c r="AL26" s="29" t="s">
        <v>687</v>
      </c>
      <c r="AM26" s="29" t="s">
        <v>688</v>
      </c>
      <c r="AN26" s="29" t="s">
        <v>689</v>
      </c>
      <c r="AO26" s="29" t="s">
        <v>694</v>
      </c>
      <c r="AP26" s="29" t="s">
        <v>695</v>
      </c>
      <c r="AQ26" s="29" t="s">
        <v>690</v>
      </c>
      <c r="AR26" s="29" t="s">
        <v>691</v>
      </c>
      <c r="AS26" s="29" t="s">
        <v>692</v>
      </c>
      <c r="AT26" s="29" t="s">
        <v>693</v>
      </c>
      <c r="AU26" s="29" t="s">
        <v>696</v>
      </c>
      <c r="AX26" s="29" t="s">
        <v>1810</v>
      </c>
      <c r="AY26" s="29" t="s">
        <v>1811</v>
      </c>
      <c r="AZ26" s="29" t="s">
        <v>1812</v>
      </c>
      <c r="BA26" s="29" t="s">
        <v>1813</v>
      </c>
      <c r="BB26" s="29" t="s">
        <v>1814</v>
      </c>
      <c r="BC26" s="29" t="s">
        <v>1815</v>
      </c>
      <c r="BD26" s="29" t="s">
        <v>1816</v>
      </c>
      <c r="BE26" s="29" t="s">
        <v>1823</v>
      </c>
      <c r="BF26" s="29" t="s">
        <v>1821</v>
      </c>
      <c r="BG26" s="29" t="s">
        <v>1817</v>
      </c>
      <c r="BH26" s="29" t="s">
        <v>1822</v>
      </c>
      <c r="BI26" s="29" t="s">
        <v>1818</v>
      </c>
      <c r="BJ26" s="29" t="s">
        <v>1720</v>
      </c>
      <c r="BK26" s="29" t="s">
        <v>1819</v>
      </c>
      <c r="BL26" s="29" t="s">
        <v>1820</v>
      </c>
      <c r="BN26" s="29">
        <f t="shared" ref="BN26:BN43" ca="1" si="29">_xlfn.RANK.EQ(BO26,$BO$26:$BO$43)</f>
        <v>1</v>
      </c>
      <c r="BO26" s="29">
        <f ca="1">IF(BP26="Acrobatics",RAND(),0)</f>
        <v>0.73713455054710664</v>
      </c>
      <c r="BP26" s="29" t="str">
        <f ca="1">IF(OR(BM6&gt;=1,AV6&gt;=1),AH6," ")</f>
        <v>Acrobatics</v>
      </c>
      <c r="BR26" s="29">
        <f t="shared" ref="BR26:BR43" ca="1" si="30">_xlfn.RANK.EQ(BS26,$BS$26:$BS$43)</f>
        <v>17</v>
      </c>
      <c r="BS26" s="29">
        <f t="shared" ref="BS26:BS43" ca="1" si="31">IF(BO26=0,RAND(),0)</f>
        <v>0</v>
      </c>
      <c r="BU26" s="29">
        <f ca="1">_xlfn.RANK.EQ(BV26,$BV$26:$BV$29)</f>
        <v>1</v>
      </c>
      <c r="BV26" s="29">
        <f ca="1">IF(BW26="Arcana",RAND(),0)</f>
        <v>0</v>
      </c>
      <c r="BW26" s="29" t="str">
        <f ca="1">IF(OR($AV$8&gt;=1,$BR$8&gt;=1,BM8&gt;=1),"Arcana"," ")</f>
        <v xml:space="preserve"> </v>
      </c>
      <c r="BY26" s="29">
        <f ca="1">_xlfn.RANK.EQ(BZ26,$BZ$26:$BZ$29)</f>
        <v>2</v>
      </c>
      <c r="BZ26" s="29">
        <f t="shared" ref="BZ26:BZ32" ca="1" si="32">IF(BV26=0,RAND(),0)</f>
        <v>0.60117272158426527</v>
      </c>
      <c r="CB26" s="35">
        <f t="shared" ca="1" si="14"/>
        <v>5</v>
      </c>
      <c r="CC26" s="36">
        <f t="shared" ca="1" si="15"/>
        <v>0.77375767833730413</v>
      </c>
      <c r="CD26" s="29" t="s">
        <v>27</v>
      </c>
    </row>
    <row r="27" spans="2:83" x14ac:dyDescent="0.3">
      <c r="O27" s="33" t="str">
        <f ca="1">IF(AND(O11="ranger",O12&gt;=10),"Natural Explorer: "&amp;INDEX('Class Tables'!F212:F219,MATCH(3,('Class Tables'!D212:D219),0)),IF(AND(O11="monk",O12&gt;=6),"Ki-Empowered Strikes"," "))</f>
        <v xml:space="preserve"> </v>
      </c>
      <c r="P27" s="33" t="str">
        <f ca="1">IF(AND(P15="battle master",O12&gt;=15),INDEX('Class Tables'!K40:K55,MATCH(8,('Class Tables'!I40:I55),0))," ")</f>
        <v xml:space="preserve"> </v>
      </c>
      <c r="Q27" s="33" t="str">
        <f ca="1">IF(AND(Q11="ranger",Q12&gt;=10),"Natural Explorer: "&amp;INDEX('Class Tables'!F212:F219,MATCH(3,('Class Tables'!D212:D219),0)),IF(AND(Q11="monk",Q12&gt;=6),"Ki-Empowered Strikes"," "))</f>
        <v xml:space="preserve"> </v>
      </c>
      <c r="AI27" s="29">
        <v>1</v>
      </c>
      <c r="AJ27" s="29" t="str">
        <f ca="1">IF(O11="barbarian",INDEX(#REF!,MATCH($AI$27,(#REF!),0))," ")</f>
        <v xml:space="preserve"> </v>
      </c>
      <c r="AK27" s="29" t="str">
        <f ca="1">IF(OR(O11="bard",Q11="bard"),INDEX(#REF!,MATCH($AI$27,(#REF!),0))," ")</f>
        <v xml:space="preserve"> </v>
      </c>
      <c r="AL27" s="29" t="str">
        <f ca="1">IF(O11="cleric",INDEX(#REF!,MATCH(AI27,(#REF!),0))," ")</f>
        <v xml:space="preserve"> </v>
      </c>
      <c r="AM27" s="29" t="str">
        <f ca="1">IF(O11="Druid",INDEX(#REF!,MATCH(AI27,(#REF!),0))," ")</f>
        <v xml:space="preserve"> </v>
      </c>
      <c r="AN27" s="29" t="e">
        <f ca="1">IF(O11="fighter",INDEX(#REF!,MATCH(AI27,(#REF!),0))," ")</f>
        <v>#REF!</v>
      </c>
      <c r="AO27" s="29" t="str">
        <f ca="1">IF(O11="monk",INDEX(#REF!,MATCH(AI27,(#REF!),0))," ")</f>
        <v xml:space="preserve"> </v>
      </c>
      <c r="AP27" s="29" t="str">
        <f ca="1">IF(O11="Paladin",INDEX(#REF!,MATCH(AI27,(#REF!),0))," ")</f>
        <v xml:space="preserve"> </v>
      </c>
      <c r="AQ27" s="29" t="e">
        <f ca="1">IF(OR(O11="ranger",Q11="ranger"),INDEX(#REF!,MATCH(AI27,(#REF!),0))," ")</f>
        <v>#REF!</v>
      </c>
      <c r="AR27" s="29" t="str">
        <f ca="1">IF(OR(O11="rogue",Q11="rogue"),INDEX(#REF!,MATCH(AI27,(#REF!),0))," ")</f>
        <v xml:space="preserve"> </v>
      </c>
      <c r="AS27" s="29" t="str">
        <f ca="1">IF(O11="sorcerer",INDEX(#REF!,MATCH(AI27,(#REF!),0))," ")</f>
        <v xml:space="preserve"> </v>
      </c>
      <c r="AT27" s="29" t="str">
        <f ca="1">IF(O11="Warlock",INDEX(#REF!,MATCH(AI27,(#REF!),0))," ")</f>
        <v xml:space="preserve"> </v>
      </c>
      <c r="AU27" s="29" t="str">
        <f ca="1">IF(O11="wizard",INDEX(#REF!,MATCH(AI27,(#REF!),0))," ")</f>
        <v xml:space="preserve"> </v>
      </c>
      <c r="AX27" s="29" t="s">
        <v>17</v>
      </c>
      <c r="AY27" s="29" t="s">
        <v>15</v>
      </c>
      <c r="AZ27" s="29" t="s">
        <v>15</v>
      </c>
      <c r="BA27" s="29" t="s">
        <v>12</v>
      </c>
      <c r="BB27" s="29" t="s">
        <v>29</v>
      </c>
      <c r="BC27" s="29" t="s">
        <v>17</v>
      </c>
      <c r="BD27" s="29" t="s">
        <v>20</v>
      </c>
      <c r="BE27" s="29" t="s">
        <v>1824</v>
      </c>
      <c r="BF27" s="29" t="s">
        <v>16</v>
      </c>
      <c r="BG27" s="29" t="s">
        <v>14</v>
      </c>
      <c r="BH27" s="29" t="s">
        <v>14</v>
      </c>
      <c r="BI27" s="29" t="s">
        <v>13</v>
      </c>
      <c r="BJ27" s="29" t="s">
        <v>14</v>
      </c>
      <c r="BK27" s="29" t="s">
        <v>14</v>
      </c>
      <c r="BL27" s="29" t="s">
        <v>26</v>
      </c>
      <c r="BN27" s="29">
        <f t="shared" ca="1" si="29"/>
        <v>3</v>
      </c>
      <c r="BO27" s="29">
        <f ca="1">IF(BP27="Animal Handling",RAND(),0)</f>
        <v>0</v>
      </c>
      <c r="BP27" s="29" t="str">
        <f t="shared" ref="BP27:BP43" ca="1" si="33">IF(OR(BM7&gt;=1,AV7&gt;=1),AH7," ")</f>
        <v xml:space="preserve"> </v>
      </c>
      <c r="BR27" s="29">
        <f t="shared" ca="1" si="30"/>
        <v>2</v>
      </c>
      <c r="BS27" s="29">
        <f t="shared" ca="1" si="31"/>
        <v>0.81770392189680985</v>
      </c>
      <c r="BU27" s="29">
        <f ca="1">_xlfn.RANK.EQ(BV27,$BV$26:$BV$29)</f>
        <v>1</v>
      </c>
      <c r="BV27" s="29">
        <f ca="1">IF(BW27="History",RAND(),0)</f>
        <v>0</v>
      </c>
      <c r="BW27" s="29" t="str">
        <f ca="1">IF(OR($AV$11&gt;=1,$BR$11&gt;=1,BM11&gt;=1),"History"," ")</f>
        <v xml:space="preserve"> </v>
      </c>
      <c r="BY27" s="29">
        <f ca="1">_xlfn.RANK.EQ(BZ27,$BZ$26:$BZ$29)</f>
        <v>4</v>
      </c>
      <c r="BZ27" s="29">
        <f t="shared" ca="1" si="32"/>
        <v>0.20870485869698319</v>
      </c>
      <c r="CB27" s="35">
        <f t="shared" ca="1" si="14"/>
        <v>3</v>
      </c>
      <c r="CC27" s="36">
        <f t="shared" ca="1" si="15"/>
        <v>0.81544992937654115</v>
      </c>
      <c r="CD27" s="29" t="s">
        <v>28</v>
      </c>
    </row>
    <row r="28" spans="2:83" x14ac:dyDescent="0.3">
      <c r="O28" s="33" t="str">
        <f ca="1">IF(AND(O11="monk",O12&gt;=7),"Evasion"," ")</f>
        <v xml:space="preserve"> </v>
      </c>
      <c r="P28" s="33" t="str">
        <f ca="1">IF(AND(P15="battle master",O12&gt;=15),INDEX('Class Tables'!K40:K55,MATCH(9,('Class Tables'!I40:I55),0))," ")</f>
        <v xml:space="preserve"> </v>
      </c>
      <c r="Q28" s="33" t="str">
        <f ca="1">IF(AND(Q11="monk",Q12&gt;=7),"Evasion"," ")</f>
        <v xml:space="preserve"> </v>
      </c>
      <c r="AE28" s="29" t="s">
        <v>1804</v>
      </c>
      <c r="AI28" s="29">
        <v>2</v>
      </c>
      <c r="AJ28" s="29" t="str">
        <f ca="1">IF(O11="barbarian",INDEX(#REF!,MATCH($AI$28,(#REF!),0))," ")</f>
        <v xml:space="preserve"> </v>
      </c>
      <c r="AK28" s="29" t="str">
        <f ca="1">IF(O11="bard",INDEX(#REF!,MATCH(AI28,(#REF!),0))," ")</f>
        <v xml:space="preserve"> </v>
      </c>
      <c r="AL28" s="29" t="str">
        <f ca="1">IF(O11="cleric",INDEX(#REF!,MATCH(AI28,(#REF!),0))," ")</f>
        <v xml:space="preserve"> </v>
      </c>
      <c r="AM28" s="29" t="str">
        <f ca="1">IF(O11="druid",INDEX(#REF!,MATCH(AI28,(#REF!),0))," ")</f>
        <v xml:space="preserve"> </v>
      </c>
      <c r="AN28" s="29" t="e">
        <f ca="1">IF(O11="fighter",INDEX(#REF!,MATCH(AI28,(#REF!),0))," ")</f>
        <v>#REF!</v>
      </c>
      <c r="AO28" s="29" t="str">
        <f ca="1">IF(O11="monk",INDEX(#REF!,MATCH(AI28,(#REF!),0))," ")</f>
        <v xml:space="preserve"> </v>
      </c>
      <c r="AP28" s="29" t="str">
        <f ca="1">IF(O11="paladin",INDEX(#REF!,MATCH(AI28,(#REF!),0))," ")</f>
        <v xml:space="preserve"> </v>
      </c>
      <c r="AQ28" s="29" t="str">
        <f ca="1">IF(O11="ranger",INDEX(#REF!,MATCH(AI28,(#REF!),0))," ")</f>
        <v xml:space="preserve"> </v>
      </c>
      <c r="AR28" s="29" t="str">
        <f ca="1">IF(O11="rogue",INDEX(#REF!,MATCH(AI28,(#REF!),0))," ")</f>
        <v xml:space="preserve"> </v>
      </c>
      <c r="AS28" s="29" t="str">
        <f ca="1">IF(O11="sorcerer",INDEX(#REF!,MATCH(AI28,(#REF!),0))," ")</f>
        <v xml:space="preserve"> </v>
      </c>
      <c r="AT28" s="29" t="str">
        <f ca="1">IF(O11="warlock",INDEX(#REF!,MATCH(AI28,(#REF!),0))," ")</f>
        <v xml:space="preserve"> </v>
      </c>
      <c r="AU28" s="29" t="str">
        <f ca="1">IF(O11="wizard",INDEX(#REF!,MATCH(AI28,(#REF!),0))," ")</f>
        <v xml:space="preserve"> </v>
      </c>
      <c r="AX28" s="29" t="s">
        <v>25</v>
      </c>
      <c r="AY28" s="29" t="s">
        <v>26</v>
      </c>
      <c r="AZ28" s="29" t="s">
        <v>27</v>
      </c>
      <c r="BA28" s="29" t="s">
        <v>23</v>
      </c>
      <c r="BB28" s="29" t="s">
        <v>28</v>
      </c>
      <c r="BC28" s="29" t="s">
        <v>24</v>
      </c>
      <c r="BD28" s="29" t="s">
        <v>25</v>
      </c>
      <c r="BE28" s="29" t="s">
        <v>24</v>
      </c>
      <c r="BF28" s="29" t="s">
        <v>24</v>
      </c>
      <c r="BG28" s="29" t="s">
        <v>28</v>
      </c>
      <c r="BH28" s="29" t="s">
        <v>22</v>
      </c>
      <c r="BI28" s="29" t="s">
        <v>16</v>
      </c>
      <c r="BJ28" s="29" t="s">
        <v>22</v>
      </c>
      <c r="BK28" s="29" t="s">
        <v>18</v>
      </c>
      <c r="BL28" s="29" t="s">
        <v>27</v>
      </c>
      <c r="BN28" s="29">
        <f t="shared" ca="1" si="29"/>
        <v>3</v>
      </c>
      <c r="BO28" s="29">
        <f ca="1">IF(BP28="Arcana",RAND(),0)</f>
        <v>0</v>
      </c>
      <c r="BP28" s="29" t="str">
        <f t="shared" ca="1" si="33"/>
        <v xml:space="preserve"> </v>
      </c>
      <c r="BR28" s="29">
        <f t="shared" ca="1" si="30"/>
        <v>10</v>
      </c>
      <c r="BS28" s="29">
        <f t="shared" ca="1" si="31"/>
        <v>0.39089063805318081</v>
      </c>
      <c r="BU28" s="29">
        <f ca="1">_xlfn.RANK.EQ(BV28,$BV$26:$BV$29)</f>
        <v>1</v>
      </c>
      <c r="BV28" s="29">
        <f ca="1">IF(BW28="Nature",RAND(),0)</f>
        <v>0</v>
      </c>
      <c r="BW28" s="29" t="str">
        <f ca="1">IF(OR($AV$16&gt;=1,$BR$16&gt;=1,BM16&gt;=1),"Nature"," ")</f>
        <v xml:space="preserve"> </v>
      </c>
      <c r="BY28" s="29">
        <f ca="1">_xlfn.RANK.EQ(BZ28,$BZ$26:$BZ$29)</f>
        <v>3</v>
      </c>
      <c r="BZ28" s="29">
        <f t="shared" ca="1" si="32"/>
        <v>0.44805035098851631</v>
      </c>
    </row>
    <row r="29" spans="2:83" x14ac:dyDescent="0.3">
      <c r="O29" s="33" t="str">
        <f ca="1">IF(AND(O11="monk",O12&gt;=7),"Stillness of Mind"," ")</f>
        <v xml:space="preserve"> </v>
      </c>
      <c r="Q29" s="33" t="str">
        <f ca="1">IF(AND(Q11="monk",Q12&gt;=7),"Stillness of Mind"," ")</f>
        <v xml:space="preserve"> </v>
      </c>
      <c r="AE29" s="29">
        <f ca="1">RANDBETWEEN(2,8)</f>
        <v>6</v>
      </c>
      <c r="BN29" s="29">
        <f t="shared" ca="1" si="29"/>
        <v>3</v>
      </c>
      <c r="BO29" s="29">
        <f ca="1">IF(BP29="Athletics",RAND(),0)</f>
        <v>0</v>
      </c>
      <c r="BP29" s="29" t="str">
        <f t="shared" ca="1" si="33"/>
        <v xml:space="preserve"> </v>
      </c>
      <c r="BR29" s="29">
        <f t="shared" ca="1" si="30"/>
        <v>14</v>
      </c>
      <c r="BS29" s="29">
        <f t="shared" ca="1" si="31"/>
        <v>0.12628702604211273</v>
      </c>
      <c r="BU29" s="29">
        <f ca="1">_xlfn.RANK.EQ(BV29,$BV$26:$BV$29)</f>
        <v>1</v>
      </c>
      <c r="BV29" s="29">
        <f ca="1">IF(BW29="Religion",RAND(),0)</f>
        <v>0</v>
      </c>
      <c r="BW29" s="29" t="str">
        <f ca="1">IF(AND($AV$20&gt;=1,$BR$20&gt;=1,BM20&gt;=1),"Religion"," ")</f>
        <v xml:space="preserve"> </v>
      </c>
      <c r="BY29" s="29">
        <f ca="1">_xlfn.RANK.EQ(BZ29,$BZ$26:$BZ$29)</f>
        <v>1</v>
      </c>
      <c r="BZ29" s="29">
        <f t="shared" ca="1" si="32"/>
        <v>0.98098874170492656</v>
      </c>
      <c r="CB29" s="31" t="s">
        <v>729</v>
      </c>
      <c r="CC29" s="36"/>
    </row>
    <row r="30" spans="2:83" x14ac:dyDescent="0.3">
      <c r="O30" s="33" t="str">
        <f ca="1">IF(AND(O11="monk",O12&gt;=10),"Purity of Body"," ")</f>
        <v xml:space="preserve"> </v>
      </c>
      <c r="Q30" s="33" t="str">
        <f ca="1">IF(AND(Q11="monk",Q12&gt;=10),"Purity of Body"," ")</f>
        <v xml:space="preserve"> </v>
      </c>
      <c r="AE30" s="29">
        <f ca="1">RANDBETWEEN(2,12)</f>
        <v>5</v>
      </c>
      <c r="AI30" s="29">
        <v>3</v>
      </c>
      <c r="AK30" s="29" t="str">
        <f ca="1">IF(O11="bard",INDEX(#REF!,MATCH(AI30,(#REF!),0))," ")</f>
        <v xml:space="preserve"> </v>
      </c>
      <c r="AP30" s="29" t="str">
        <f ca="1">IF($AG$30="druid",VLOOKUP(RANDBETWEEN(1,8),Table51350464806863920336393503[],2)," ")</f>
        <v xml:space="preserve"> </v>
      </c>
      <c r="AQ30" s="29" t="str">
        <f ca="1">IF(O11="ranger",INDEX(#REF!,MATCH(AI30,(#REF!),0))," ")</f>
        <v xml:space="preserve"> </v>
      </c>
      <c r="AR30" s="29" t="str">
        <f ca="1">IF(O11="rogue",INDEX(#REF!,MATCH(AI30,(#REF!),0))," ")</f>
        <v xml:space="preserve"> </v>
      </c>
      <c r="AT30" s="29" t="str">
        <f ca="1">IF(OR(COUNTIF(O18:O25,"*"&amp;"beguiling influence"&amp;"*"),COUNTIF(O13:O13,"*"&amp;"beguiling influence"&amp;"*")),"Deception"," ")</f>
        <v xml:space="preserve"> </v>
      </c>
      <c r="BN30" s="29">
        <f t="shared" ca="1" si="29"/>
        <v>3</v>
      </c>
      <c r="BO30" s="29">
        <f ca="1">IF(BP30="Deception",RAND(),0)</f>
        <v>0</v>
      </c>
      <c r="BP30" s="29" t="str">
        <f t="shared" ca="1" si="33"/>
        <v xml:space="preserve"> </v>
      </c>
      <c r="BR30" s="29">
        <f t="shared" ca="1" si="30"/>
        <v>7</v>
      </c>
      <c r="BS30" s="29">
        <f t="shared" ca="1" si="31"/>
        <v>0.45624837714294264</v>
      </c>
      <c r="BU30" s="29">
        <f ca="1">_xlfn.RANK.EQ(BV30,$BV$30:$BV$32)</f>
        <v>1</v>
      </c>
      <c r="BV30" s="29">
        <f ca="1">IF(BW30="Animal Handling",RAND(),0)</f>
        <v>0</v>
      </c>
      <c r="BW30" s="29" t="str">
        <f ca="1">IF(OR($AV$7&gt;=1,$BR$7&gt;=1,BM7&gt;=1),"Animal Handling"," ")</f>
        <v xml:space="preserve"> </v>
      </c>
      <c r="BY30" s="29">
        <f ca="1">_xlfn.RANK.EQ(BZ30,$BZ$30:$BZ$32)</f>
        <v>2</v>
      </c>
      <c r="BZ30" s="29">
        <f t="shared" ca="1" si="32"/>
        <v>0.63395636200667882</v>
      </c>
      <c r="CB30" s="35">
        <f ca="1">_xlfn.RANK.EQ(CC30,$CC$30:$CC$34)</f>
        <v>3</v>
      </c>
      <c r="CC30" s="36">
        <f ca="1">IF(BM11&gt;0,0,RAND())</f>
        <v>0.13344886230249753</v>
      </c>
      <c r="CD30" s="29" t="s">
        <v>16</v>
      </c>
    </row>
    <row r="31" spans="2:83" x14ac:dyDescent="0.3">
      <c r="O31" s="33" t="str">
        <f ca="1">IF(AND(O11="monk",O12&gt;=13),"Tongue of the Sun and Moon"," ")</f>
        <v xml:space="preserve"> </v>
      </c>
      <c r="AE31" s="29">
        <f ca="1">RANDBETWEEN(2,16)</f>
        <v>10</v>
      </c>
      <c r="AI31" s="29">
        <v>4</v>
      </c>
      <c r="AK31" s="29" t="str">
        <f ca="1">IF(P15="college of lore",INDEX(#REF!,MATCH(AI31,(#REF!),0))," ")</f>
        <v xml:space="preserve"> </v>
      </c>
      <c r="AR31" s="29" t="str">
        <f ca="1">IF(O11="rogue",INDEX(#REF!,MATCH(AI31,(#REF!),0))," ")</f>
        <v xml:space="preserve"> </v>
      </c>
      <c r="AT31" s="29" t="str">
        <f ca="1">IF(OR(COUNTIF(O18:O25,"*"&amp;"beguiling influence"&amp;"*"),COUNTIF(O13:O13,"*"&amp;"beguiling influence"&amp;"*")),"Persuasion"," ")</f>
        <v xml:space="preserve"> </v>
      </c>
      <c r="BN31" s="29">
        <f t="shared" ca="1" si="29"/>
        <v>3</v>
      </c>
      <c r="BO31" s="29">
        <f ca="1">IF(BP31="History",RAND(),0)</f>
        <v>0</v>
      </c>
      <c r="BP31" s="29" t="str">
        <f t="shared" ca="1" si="33"/>
        <v xml:space="preserve"> </v>
      </c>
      <c r="BR31" s="29">
        <f t="shared" ca="1" si="30"/>
        <v>6</v>
      </c>
      <c r="BS31" s="29">
        <f t="shared" ca="1" si="31"/>
        <v>0.69279007784179114</v>
      </c>
      <c r="BU31" s="29">
        <f ca="1">_xlfn.RANK.EQ(BV31,$BV$30:$BV$32)</f>
        <v>1</v>
      </c>
      <c r="BV31" s="29">
        <f ca="1">IF(BW31="Nature",RAND(),0)</f>
        <v>0</v>
      </c>
      <c r="BW31" s="29" t="str">
        <f ca="1">IF(OR($AV$16&gt;=1,$BR$16&gt;=1,BM16&gt;=1),"Nature"," ")</f>
        <v xml:space="preserve"> </v>
      </c>
      <c r="BY31" s="29">
        <f ca="1">_xlfn.RANK.EQ(BZ31,$BZ$30:$BZ$32)</f>
        <v>1</v>
      </c>
      <c r="BZ31" s="29">
        <f t="shared" ca="1" si="32"/>
        <v>0.66458694326779622</v>
      </c>
      <c r="CB31" s="35">
        <f ca="1">_xlfn.RANK.EQ(CC31,$CC$30:$CC$34)</f>
        <v>1</v>
      </c>
      <c r="CC31" s="36">
        <f ca="1">IF(BM12&gt;0,0,RAND())</f>
        <v>0.81424993057240769</v>
      </c>
      <c r="CD31" s="29" t="s">
        <v>17</v>
      </c>
      <c r="CE31" s="31"/>
    </row>
    <row r="32" spans="2:83" x14ac:dyDescent="0.3">
      <c r="O32" s="33" t="str">
        <f ca="1">IF(AND(O11="monk",O12&gt;=14),"Diamond Soul"," ")</f>
        <v xml:space="preserve"> </v>
      </c>
      <c r="AE32" s="29">
        <f ca="1">RANDBETWEEN(2,20)</f>
        <v>18</v>
      </c>
      <c r="AI32" s="29">
        <v>5</v>
      </c>
      <c r="AK32" s="29" t="str">
        <f ca="1">IF(P15="college of lore",INDEX(#REF!,MATCH(AI32,(#REF!),0))," ")</f>
        <v xml:space="preserve"> </v>
      </c>
      <c r="BN32" s="29">
        <f t="shared" ca="1" si="29"/>
        <v>3</v>
      </c>
      <c r="BO32" s="29">
        <f ca="1">IF(BP32="Insight",RAND(),0)</f>
        <v>0</v>
      </c>
      <c r="BP32" s="29" t="str">
        <f t="shared" ca="1" si="33"/>
        <v xml:space="preserve"> </v>
      </c>
      <c r="BR32" s="29">
        <f t="shared" ca="1" si="30"/>
        <v>15</v>
      </c>
      <c r="BS32" s="29">
        <f t="shared" ca="1" si="31"/>
        <v>5.3302579095665603E-2</v>
      </c>
      <c r="BU32" s="29">
        <f ca="1">_xlfn.RANK.EQ(BV32,$BV$30:$BV$32)</f>
        <v>1</v>
      </c>
      <c r="BV32" s="29">
        <f ca="1">IF(BW32="Survival",RAND(),0)</f>
        <v>0</v>
      </c>
      <c r="BW32" s="29" t="str">
        <f ca="1">IF(OR($AV$23&gt;=1,$BR$23&gt;=1,BM23&gt;=1),"Survival"," ")</f>
        <v xml:space="preserve"> </v>
      </c>
      <c r="BY32" s="29">
        <f ca="1">_xlfn.RANK.EQ(BZ32,$BZ$30:$BZ$32)</f>
        <v>3</v>
      </c>
      <c r="BZ32" s="29">
        <f t="shared" ca="1" si="32"/>
        <v>1.570050009177093E-2</v>
      </c>
      <c r="CB32" s="35">
        <f ca="1">_xlfn.RANK.EQ(CC32,$CC$30:$CC$34)</f>
        <v>4</v>
      </c>
      <c r="CC32" s="36">
        <f ca="1">IF(BM15&gt;0,0,RAND())</f>
        <v>8.3247080240681837E-2</v>
      </c>
      <c r="CD32" s="29" t="s">
        <v>20</v>
      </c>
    </row>
    <row r="33" spans="1:83" x14ac:dyDescent="0.3">
      <c r="O33" s="33" t="str">
        <f ca="1">IF(AND(O11="monk",O12&gt;=15),"Timeless Body"," ")</f>
        <v xml:space="preserve"> </v>
      </c>
      <c r="AI33" s="29">
        <v>6</v>
      </c>
      <c r="AK33" s="29" t="str">
        <f ca="1">IF(P15="college of lore",INDEX(#REF!,MATCH(AI33,(#REF!),0))," ")</f>
        <v xml:space="preserve"> </v>
      </c>
      <c r="BN33" s="29">
        <f t="shared" ca="1" si="29"/>
        <v>3</v>
      </c>
      <c r="BO33" s="29">
        <f ca="1">IF(BP33="Intimidation",RAND(),0)</f>
        <v>0</v>
      </c>
      <c r="BP33" s="29" t="str">
        <f t="shared" ca="1" si="33"/>
        <v xml:space="preserve"> </v>
      </c>
      <c r="BR33" s="29">
        <f t="shared" ca="1" si="30"/>
        <v>5</v>
      </c>
      <c r="BS33" s="29">
        <f t="shared" ca="1" si="31"/>
        <v>0.69418453280633419</v>
      </c>
      <c r="CB33" s="35">
        <f ca="1">_xlfn.RANK.EQ(CC33,$CC$30:$CC$34)</f>
        <v>5</v>
      </c>
      <c r="CC33" s="36">
        <f ca="1">IF(BM19&gt;0,0,RAND())</f>
        <v>1.04954252250683E-2</v>
      </c>
      <c r="CD33" s="29" t="s">
        <v>24</v>
      </c>
    </row>
    <row r="34" spans="1:83" x14ac:dyDescent="0.3">
      <c r="O34" s="33" t="str">
        <f ca="1">IF(AND(O11="Monk",O12&gt;=18),"Empty Body"," ")</f>
        <v xml:space="preserve"> </v>
      </c>
      <c r="BN34" s="29">
        <f t="shared" ca="1" si="29"/>
        <v>3</v>
      </c>
      <c r="BO34" s="29">
        <f ca="1">IF(BP34="Investigation",RAND(),0)</f>
        <v>0</v>
      </c>
      <c r="BP34" s="29" t="str">
        <f t="shared" ca="1" si="33"/>
        <v xml:space="preserve"> </v>
      </c>
      <c r="BR34" s="29">
        <f t="shared" ca="1" si="30"/>
        <v>13</v>
      </c>
      <c r="BS34" s="29">
        <f t="shared" ca="1" si="31"/>
        <v>0.19602997713220438</v>
      </c>
      <c r="CB34" s="35">
        <f ca="1">_xlfn.RANK.EQ(CC34,$CC$30:$CC$34)</f>
        <v>2</v>
      </c>
      <c r="CC34" s="36">
        <f ca="1">IF(BM20&gt;0,0,RAND())</f>
        <v>0.21343293269203201</v>
      </c>
      <c r="CD34" s="29" t="s">
        <v>25</v>
      </c>
    </row>
    <row r="35" spans="1:83" x14ac:dyDescent="0.3">
      <c r="O35" s="33" t="str">
        <f ca="1">IF(AND(O11="monk",O12&gt;=20),"Perfect Body"," ")</f>
        <v xml:space="preserve"> </v>
      </c>
      <c r="AE35" s="29" t="s">
        <v>2255</v>
      </c>
      <c r="AF35" s="29">
        <f ca="1">RANDBETWEEN(1,3)</f>
        <v>3</v>
      </c>
      <c r="BN35" s="29">
        <f t="shared" ca="1" si="29"/>
        <v>3</v>
      </c>
      <c r="BO35" s="29">
        <f ca="1">IF(BP35="Medicine",RAND(),0)</f>
        <v>0</v>
      </c>
      <c r="BP35" s="29" t="str">
        <f t="shared" ca="1" si="33"/>
        <v xml:space="preserve"> </v>
      </c>
      <c r="BR35" s="29">
        <f t="shared" ca="1" si="30"/>
        <v>1</v>
      </c>
      <c r="BS35" s="29">
        <f t="shared" ca="1" si="31"/>
        <v>0.84041076031930784</v>
      </c>
    </row>
    <row r="36" spans="1:83" ht="19.5" thickBot="1" x14ac:dyDescent="0.35">
      <c r="A36" s="33"/>
      <c r="B36" s="38"/>
      <c r="C36" s="38"/>
      <c r="D36" s="38"/>
      <c r="E36" s="38"/>
      <c r="F36" s="38"/>
      <c r="G36" s="38"/>
      <c r="H36" s="38"/>
      <c r="I36" s="38"/>
      <c r="J36" s="38"/>
      <c r="K36" s="38"/>
      <c r="L36" s="38"/>
      <c r="M36" s="38"/>
      <c r="N36" s="38"/>
      <c r="O36" s="38"/>
      <c r="P36" s="38"/>
      <c r="AE36" s="29" t="s">
        <v>2256</v>
      </c>
      <c r="AF36" s="29">
        <f ca="1">RANDBETWEEN(1,2)</f>
        <v>1</v>
      </c>
      <c r="BN36" s="29">
        <f t="shared" ca="1" si="29"/>
        <v>3</v>
      </c>
      <c r="BO36" s="29">
        <f ca="1">IF(BP36="Nature",RAND(),0)</f>
        <v>0</v>
      </c>
      <c r="BP36" s="29" t="str">
        <f t="shared" ca="1" si="33"/>
        <v xml:space="preserve"> </v>
      </c>
      <c r="BR36" s="29">
        <f t="shared" ca="1" si="30"/>
        <v>11</v>
      </c>
      <c r="BS36" s="29">
        <f t="shared" ca="1" si="31"/>
        <v>0.32071034510550389</v>
      </c>
      <c r="CB36" s="31" t="s">
        <v>730</v>
      </c>
      <c r="CE36" s="31"/>
    </row>
    <row r="37" spans="1:83" ht="30.75" thickBot="1" x14ac:dyDescent="0.45">
      <c r="A37" s="137"/>
      <c r="B37" s="122" t="s">
        <v>10</v>
      </c>
      <c r="C37" s="53" t="s">
        <v>710</v>
      </c>
      <c r="D37" s="53" t="s">
        <v>676</v>
      </c>
      <c r="E37" s="53" t="s">
        <v>677</v>
      </c>
      <c r="F37" s="53" t="s">
        <v>678</v>
      </c>
      <c r="G37" s="53" t="s">
        <v>679</v>
      </c>
      <c r="H37" s="53" t="s">
        <v>680</v>
      </c>
      <c r="I37" s="53" t="s">
        <v>675</v>
      </c>
      <c r="J37" s="53"/>
      <c r="K37" s="53"/>
      <c r="L37" s="53"/>
      <c r="M37" s="53"/>
      <c r="N37" s="53"/>
      <c r="O37" s="53" t="s">
        <v>8</v>
      </c>
      <c r="P37" s="116" t="s">
        <v>9</v>
      </c>
      <c r="BN37" s="29">
        <f t="shared" ca="1" si="29"/>
        <v>3</v>
      </c>
      <c r="BO37" s="29">
        <f ca="1">IF(BP37="Perception",RAND(),0)</f>
        <v>0</v>
      </c>
      <c r="BP37" s="29" t="str">
        <f t="shared" ca="1" si="33"/>
        <v xml:space="preserve"> </v>
      </c>
      <c r="BR37" s="29">
        <f t="shared" ca="1" si="30"/>
        <v>9</v>
      </c>
      <c r="BS37" s="29">
        <f t="shared" ca="1" si="31"/>
        <v>0.40832083726433954</v>
      </c>
      <c r="CB37" s="35">
        <f t="shared" ref="CB37:CB44" ca="1" si="34">_xlfn.RANK.EQ(CC37,$CC$37:$CC$44)</f>
        <v>3</v>
      </c>
      <c r="CC37" s="36">
        <f ca="1">IF(BM8&gt;0,0,RAND())</f>
        <v>0.67786075832645942</v>
      </c>
      <c r="CD37" s="29" t="s">
        <v>13</v>
      </c>
    </row>
    <row r="38" spans="1:83" ht="19.5" thickTop="1" x14ac:dyDescent="0.3">
      <c r="A38" s="137"/>
      <c r="B38" s="33" t="s">
        <v>1</v>
      </c>
      <c r="C38" s="33" t="str">
        <f ca="1">IF(O26="Primal Champion",4," ")</f>
        <v xml:space="preserve"> </v>
      </c>
      <c r="D38" s="33" t="str">
        <f ca="1">IF(AND($AF$2="strength",$AF$3="strength"),2,IF(OR($AF$2="strength",$AF$3="strength"),1," "))</f>
        <v xml:space="preserve"> </v>
      </c>
      <c r="E38" s="33" t="str">
        <f ca="1">IF(AND($AF$4="strength",$AF$5="strength"),2,IF(OR($AF$4="strength",$AF$5="strength"),1," "))</f>
        <v xml:space="preserve"> </v>
      </c>
      <c r="F38" s="33" t="str">
        <f ca="1">IF(AND($AF$6="strength",$AF$7="strength"),2,IF(OR($AF$6="strength",$AF$7="strength"),1," "))</f>
        <v xml:space="preserve"> </v>
      </c>
      <c r="G38" s="33">
        <f ca="1">IF(AND($AF$8="strength",$AF$9="strength"),2,IF(OR($AF$8="strength",$AF$9="strength"),1," "))</f>
        <v>1</v>
      </c>
      <c r="H38" s="33" t="str">
        <f ca="1">IF(AND($AF$10="strength",$AF$11="strength"),2,IF(OR($AF$10="strength",$AF$11="strength"),1," "))</f>
        <v xml:space="preserve"> </v>
      </c>
      <c r="I38" s="33">
        <f ca="1">IF(OR(Q2="dragonborn",P2="mountain",Q2="Half-orc"),SUM(J38:M38)-SMALL(J38:M38,1)+2,IF(Q2="human",(SUM(J38:M38)-SMALL(J38:M38,1)+1),(SUM(J38:M38)-SMALL(J38:M38,1))))</f>
        <v>11</v>
      </c>
      <c r="J38" s="33">
        <f t="shared" ref="J38:M43" ca="1" si="35">RANDBETWEEN(1,6)</f>
        <v>3</v>
      </c>
      <c r="K38" s="33">
        <f t="shared" ca="1" si="35"/>
        <v>5</v>
      </c>
      <c r="L38" s="33">
        <f t="shared" ca="1" si="35"/>
        <v>3</v>
      </c>
      <c r="M38" s="33">
        <f t="shared" ca="1" si="35"/>
        <v>3</v>
      </c>
      <c r="N38" s="33"/>
      <c r="O38" s="33">
        <f ca="1">IF(OR(O11="barbarian",O11="fighter",O11="paladin"),MAX(13,(SUM(C38:I38))),IF(OR(Q11="barbarian",Q11="fighter",Q11="paladin"),MAX(13,(SUM(C38:I38))),SUM(C38:I38)))</f>
        <v>13</v>
      </c>
      <c r="P38" s="117">
        <f ca="1">VLOOKUP(O38,Table1[],2)</f>
        <v>1</v>
      </c>
      <c r="BN38" s="29">
        <f t="shared" ca="1" si="29"/>
        <v>2</v>
      </c>
      <c r="BO38" s="29">
        <f ca="1">IF(BP38="Performance",RAND(),0)</f>
        <v>0.31159309026615489</v>
      </c>
      <c r="BP38" s="29" t="str">
        <f t="shared" ca="1" si="33"/>
        <v>Performance</v>
      </c>
      <c r="BR38" s="29">
        <f t="shared" ca="1" si="30"/>
        <v>17</v>
      </c>
      <c r="BS38" s="29">
        <f t="shared" ca="1" si="31"/>
        <v>0</v>
      </c>
      <c r="CB38" s="35">
        <f t="shared" ca="1" si="34"/>
        <v>5</v>
      </c>
      <c r="CC38" s="36">
        <f ca="1">IF(BM7&gt;0,0,RAND())</f>
        <v>0.4237586865366848</v>
      </c>
      <c r="CD38" s="29" t="s">
        <v>29</v>
      </c>
    </row>
    <row r="39" spans="1:83" x14ac:dyDescent="0.3">
      <c r="A39" s="137"/>
      <c r="B39" s="33" t="s">
        <v>2</v>
      </c>
      <c r="C39" s="33"/>
      <c r="D39" s="33" t="str">
        <f ca="1">IF(AND($AF$2="dexterity",$AF$3="dexterity"),2,IF(OR($AF$2="dexterity",$AF$3="dexterity"),1," "))</f>
        <v xml:space="preserve"> </v>
      </c>
      <c r="E39" s="33" t="str">
        <f ca="1">IF(AND($AF$4="dexterity",$AF$5="dexterity"),2,IF(OR($AF$4="dexterity",$AF$5="dexterity"),1," "))</f>
        <v xml:space="preserve"> </v>
      </c>
      <c r="F39" s="33" t="str">
        <f ca="1">IF(AND($AF$6="dexterity",$AF$7="dexterity"),2,IF(OR($AF$6="dexterity",$AF$7="dexterity"),1," "))</f>
        <v xml:space="preserve"> </v>
      </c>
      <c r="G39" s="33">
        <f ca="1">IF(AND($AF$8="dexterity",$AF$9="dexterity"),2,IF(OR($AF$8="dexterity",$AF$9="dexterity"),1," "))</f>
        <v>1</v>
      </c>
      <c r="H39" s="33" t="str">
        <f ca="1">IF(AND($AF$10="dexterity",$AF$11="dexterity"),2,IF(OR($AF$10="dexterity",$AF$11="dexterity"),1," "))</f>
        <v xml:space="preserve"> </v>
      </c>
      <c r="I39" s="33">
        <f ca="1">IF(OR(Q2="elf",Q2="halfling"),SUM(J39:M39)-SMALL(J39:M39,1)+2,IF(OR(Q2="human",P2="forest",Q2="half-elf"),SUM(J39:M39)-SMALL(J39:M39,1)+1,SUM(J39:M39)-SMALL(J39:M39,1)))</f>
        <v>17</v>
      </c>
      <c r="J39" s="33">
        <f t="shared" ca="1" si="35"/>
        <v>5</v>
      </c>
      <c r="K39" s="33">
        <f t="shared" ca="1" si="35"/>
        <v>5</v>
      </c>
      <c r="L39" s="33">
        <f t="shared" ca="1" si="35"/>
        <v>6</v>
      </c>
      <c r="M39" s="33">
        <f t="shared" ca="1" si="35"/>
        <v>5</v>
      </c>
      <c r="N39" s="33"/>
      <c r="O39" s="33">
        <f ca="1">IF(OR(O11="fighter",O11="ranger",O11="rogue"),MAX(13,(SUM(C39:I39))),IF(OR(Q11="fighter",Q11="ranger",Q11="rogue"),MAX(13,(SUM(C39:I39))),SUM(C39:I39)))</f>
        <v>18</v>
      </c>
      <c r="P39" s="117">
        <f ca="1">VLOOKUP(O39,Table1[],2)</f>
        <v>4</v>
      </c>
      <c r="BN39" s="29">
        <f t="shared" ca="1" si="29"/>
        <v>3</v>
      </c>
      <c r="BO39" s="29">
        <f ca="1">IF(BP39="Persuasion",RAND(),0)</f>
        <v>0</v>
      </c>
      <c r="BP39" s="29" t="str">
        <f t="shared" ca="1" si="33"/>
        <v xml:space="preserve"> </v>
      </c>
      <c r="BR39" s="29">
        <f t="shared" ca="1" si="30"/>
        <v>4</v>
      </c>
      <c r="BS39" s="29">
        <f t="shared" ca="1" si="31"/>
        <v>0.71820118130681299</v>
      </c>
      <c r="CB39" s="35">
        <f t="shared" ca="1" si="34"/>
        <v>8</v>
      </c>
      <c r="CC39" s="36">
        <f ca="1">IF(BM12&gt;0,0,RAND())</f>
        <v>1.0218835868730514E-2</v>
      </c>
      <c r="CD39" s="29" t="s">
        <v>17</v>
      </c>
    </row>
    <row r="40" spans="1:83" x14ac:dyDescent="0.3">
      <c r="A40" s="137"/>
      <c r="B40" s="33" t="s">
        <v>3</v>
      </c>
      <c r="C40" s="33" t="str">
        <f ca="1">IF(O26="primal Champion",4," ")</f>
        <v xml:space="preserve"> </v>
      </c>
      <c r="D40" s="33">
        <f ca="1">IF(AND($AF$2="constitution",$AF$3="constitution"),2,IF(OR($AF$2="constitution",$AF$3="constitution"),1," "))</f>
        <v>1</v>
      </c>
      <c r="E40" s="33">
        <f ca="1">IF(AND($AF$4="constitution",$AF$5="constitution"),2,IF(OR($AF$4="constitution",$AF$5="constitution"),1," "))</f>
        <v>1</v>
      </c>
      <c r="F40" s="33" t="str">
        <f ca="1">IF(AND($AF$6="constitution",$AF$7="constitution"),2,IF(OR($AF$6="constitution",$AF$7="constitution"),1," "))</f>
        <v xml:space="preserve"> </v>
      </c>
      <c r="G40" s="33" t="str">
        <f ca="1">IF(AND($AF$8="constitution",$AF$9="constitution"),2,IF(OR($AF$8="constitution",$AF$9="constitution"),1," "))</f>
        <v xml:space="preserve"> </v>
      </c>
      <c r="H40" s="33" t="str">
        <f ca="1">IF(AND($AF$10="constitution",$AF$11="constitution"),2,IF(OR($AF$10="constitution",$AF$11="constitution"),1," "))</f>
        <v xml:space="preserve"> </v>
      </c>
      <c r="I40" s="33">
        <f ca="1">IF(Q2="dwarf",SUM(J40:M40)-SMALL(J40:M40,1)+2,IF(OR(P2="stout",Q2="human",P2="rock",Q2="half-elf",Q2="half-orc"),SUM(J40:M40)-SMALL(J40:M40,1)+1,SUM(J40:M40)-SMALL(J40:M40,1)))</f>
        <v>17</v>
      </c>
      <c r="J40" s="33">
        <f t="shared" ca="1" si="35"/>
        <v>6</v>
      </c>
      <c r="K40" s="33">
        <f t="shared" ca="1" si="35"/>
        <v>6</v>
      </c>
      <c r="L40" s="33">
        <f t="shared" ca="1" si="35"/>
        <v>2</v>
      </c>
      <c r="M40" s="33">
        <f t="shared" ca="1" si="35"/>
        <v>5</v>
      </c>
      <c r="N40" s="33"/>
      <c r="O40" s="33">
        <f ca="1">SUM(C40:I40)</f>
        <v>19</v>
      </c>
      <c r="P40" s="117">
        <f ca="1">IF(P2="hill",VLOOKUP(O40,Table1[],2)+1,VLOOKUP(O40,Table1[],2))</f>
        <v>4</v>
      </c>
      <c r="AJ40" s="29" t="s">
        <v>1650</v>
      </c>
      <c r="AK40" s="29" t="s">
        <v>530</v>
      </c>
      <c r="BN40" s="29">
        <f t="shared" ca="1" si="29"/>
        <v>3</v>
      </c>
      <c r="BO40" s="29">
        <f ca="1">IF(BP40="Religion",RAND(),0)</f>
        <v>0</v>
      </c>
      <c r="BP40" s="29" t="str">
        <f t="shared" ca="1" si="33"/>
        <v xml:space="preserve"> </v>
      </c>
      <c r="BR40" s="29">
        <f t="shared" ca="1" si="30"/>
        <v>8</v>
      </c>
      <c r="BS40" s="29">
        <f t="shared" ca="1" si="31"/>
        <v>0.42475387367087525</v>
      </c>
      <c r="CB40" s="35">
        <f t="shared" ca="1" si="34"/>
        <v>4</v>
      </c>
      <c r="CC40" s="36">
        <f ca="1">IF(BM15&gt;0,0,RAND())</f>
        <v>0.56402000256690943</v>
      </c>
      <c r="CD40" s="29" t="s">
        <v>20</v>
      </c>
    </row>
    <row r="41" spans="1:83" x14ac:dyDescent="0.3">
      <c r="A41" s="137"/>
      <c r="B41" s="33" t="s">
        <v>4</v>
      </c>
      <c r="C41" s="33"/>
      <c r="D41" s="33" t="str">
        <f ca="1">IF(AND($AF$2="intelligence",$AF$3="intelligence"),2,IF(OR($AF$2="Intelligence",$AF$3="intelligence"),1," "))</f>
        <v xml:space="preserve"> </v>
      </c>
      <c r="E41" s="33">
        <f ca="1">IF(AND($AF$4="intelligence",$AF$5="intelligence"),2,IF(OR($AF$4="Intelligence",$AF$5="intelligence"),1," "))</f>
        <v>1</v>
      </c>
      <c r="F41" s="33">
        <f ca="1">IF(AND($AF$6="intelligence",$AF$7="intelligence"),2,IF(OR($AF$6="Intelligence",$AF$7="intelligence"),1," "))</f>
        <v>1</v>
      </c>
      <c r="G41" s="33" t="str">
        <f ca="1">IF(AND($AF$8="intelligence",$AF$9="intelligence"),2,IF(OR($AF$8="Intelligence",$AF$9="intelligence"),1," "))</f>
        <v xml:space="preserve"> </v>
      </c>
      <c r="H41" s="33">
        <f ca="1">IF(AND($AF$10="intelligence",$AF$11="intelligence"),2,IF(OR($AF$10="Intelligence",$AF$11="intelligence"),1," "))</f>
        <v>2</v>
      </c>
      <c r="I41" s="33">
        <f ca="1">IF(OR(P2="high",Q2="human",Q2="tiefling"),SUM(J41:M41)-SMALL(J41:M41,1)+1,IF(Q2="gnome",SUM(J41:M41)-SMALL(J41:M41,1)+2,SUM(J41:M41)-SMALL(J41:M41,1)))</f>
        <v>15</v>
      </c>
      <c r="J41" s="33">
        <f t="shared" ca="1" si="35"/>
        <v>2</v>
      </c>
      <c r="K41" s="33">
        <f t="shared" ca="1" si="35"/>
        <v>6</v>
      </c>
      <c r="L41" s="33">
        <f t="shared" ca="1" si="35"/>
        <v>4</v>
      </c>
      <c r="M41" s="33">
        <f t="shared" ca="1" si="35"/>
        <v>3</v>
      </c>
      <c r="N41" s="33"/>
      <c r="O41" s="33">
        <f ca="1">IF(O11="wizard",MAX(13,(SUM(C41:I41))),IF(Q11="wizard",MAX(13,(SUM(C41:I41))),SUM(C41:I41)))</f>
        <v>19</v>
      </c>
      <c r="P41" s="117">
        <f ca="1">VLOOKUP(O41,Table1[],2)</f>
        <v>4</v>
      </c>
      <c r="AJ41" s="29" t="s">
        <v>1649</v>
      </c>
      <c r="AK41" s="29" t="str">
        <f ca="1">IF(Q11="wizard",((Q12-1)*2)+6," ")</f>
        <v xml:space="preserve"> </v>
      </c>
      <c r="BN41" s="29">
        <f t="shared" ca="1" si="29"/>
        <v>3</v>
      </c>
      <c r="BO41" s="29">
        <f ca="1">IF(BP41="Sleight of Hand",RAND(),0)</f>
        <v>0</v>
      </c>
      <c r="BP41" s="29" t="str">
        <f t="shared" ca="1" si="33"/>
        <v xml:space="preserve"> </v>
      </c>
      <c r="BR41" s="29">
        <f t="shared" ca="1" si="30"/>
        <v>16</v>
      </c>
      <c r="BS41" s="29">
        <f t="shared" ca="1" si="31"/>
        <v>3.8198959547203315E-2</v>
      </c>
      <c r="CB41" s="35">
        <f t="shared" ca="1" si="34"/>
        <v>1</v>
      </c>
      <c r="CC41" s="36">
        <f ca="1">IF(BM16&gt;0,0,RAND())</f>
        <v>0.97371931360704589</v>
      </c>
      <c r="CD41" s="29" t="s">
        <v>21</v>
      </c>
      <c r="CE41" s="31"/>
    </row>
    <row r="42" spans="1:83" x14ac:dyDescent="0.3">
      <c r="A42" s="137"/>
      <c r="B42" s="33" t="s">
        <v>5</v>
      </c>
      <c r="C42" s="33"/>
      <c r="D42" s="33" t="str">
        <f ca="1">IF(AND($AF$2="wisdom",$AF$3="wisdom"),2,IF(OR($AF$2="wisdom",$AF$3="wisdom"),1," "))</f>
        <v xml:space="preserve"> </v>
      </c>
      <c r="E42" s="33" t="str">
        <f ca="1">IF(AND($AF$4="wisdom",$AF$5="wisdom"),2,IF(OR($AF$4="wisdom",$AF$5="wisdom"),1," "))</f>
        <v xml:space="preserve"> </v>
      </c>
      <c r="F42" s="33" t="str">
        <f ca="1">IF(AND($AF$6="wisdom",$AF$7="wisdom"),2,IF(OR($AF$6="wisdom",$AF$7="wisdom"),1," "))</f>
        <v xml:space="preserve"> </v>
      </c>
      <c r="G42" s="33" t="str">
        <f ca="1">IF(AND($AF$8="wisdom",$AF$9="wisdom"),2,IF(OR($AF$8="wisdom",$AF$9="wisdom"),1," "))</f>
        <v xml:space="preserve"> </v>
      </c>
      <c r="H42" s="33" t="str">
        <f ca="1">IF(AND($AF$10="wisdom",$AF$11="wisdom"),2,IF(OR($AF$10="wisdom",$AF$11="wisdom"),1," "))</f>
        <v xml:space="preserve"> </v>
      </c>
      <c r="I42" s="33">
        <f ca="1">IF(OR(P2="hill",P2="wood",Q2="human"),SUM(J42:M42)-SMALL(J42:M42,1)+1,SUM(J42:M42)-SMALL(J42:M42,1))</f>
        <v>14</v>
      </c>
      <c r="J42" s="33">
        <f t="shared" ca="1" si="35"/>
        <v>5</v>
      </c>
      <c r="K42" s="33">
        <f t="shared" ca="1" si="35"/>
        <v>3</v>
      </c>
      <c r="L42" s="33">
        <f t="shared" ca="1" si="35"/>
        <v>6</v>
      </c>
      <c r="M42" s="33">
        <f t="shared" ca="1" si="35"/>
        <v>1</v>
      </c>
      <c r="N42" s="33"/>
      <c r="O42" s="33">
        <f ca="1">IF(OR(O11="cleric",O11="druid",O11="monk",O11="ranger"),MAX(13,(SUM(C42:I42))),IF(OR(Q11="cleric",Q11="druid",Q11="monk",Q11="ranger"),MAX(13,(SUM(C42:I42))),SUM(C42:I42)))</f>
        <v>14</v>
      </c>
      <c r="P42" s="117">
        <f ca="1">VLOOKUP(O42,Table1[],2)</f>
        <v>2</v>
      </c>
      <c r="BN42" s="29">
        <f t="shared" ca="1" si="29"/>
        <v>3</v>
      </c>
      <c r="BO42" s="29">
        <f ca="1">IF(BP42="Stealth",RAND(),0)</f>
        <v>0</v>
      </c>
      <c r="BP42" s="29" t="str">
        <f t="shared" ca="1" si="33"/>
        <v xml:space="preserve"> </v>
      </c>
      <c r="BR42" s="29">
        <f t="shared" ca="1" si="30"/>
        <v>3</v>
      </c>
      <c r="BS42" s="29">
        <f t="shared" ca="1" si="31"/>
        <v>0.7613374343635706</v>
      </c>
      <c r="CB42" s="35">
        <f t="shared" ca="1" si="34"/>
        <v>2</v>
      </c>
      <c r="CC42" s="36">
        <f ca="1">IF(BM17&gt;0,0,RAND())</f>
        <v>0.68911463436244436</v>
      </c>
      <c r="CD42" s="29" t="s">
        <v>22</v>
      </c>
    </row>
    <row r="43" spans="1:83" ht="19.5" thickBot="1" x14ac:dyDescent="0.35">
      <c r="A43" s="137"/>
      <c r="B43" s="38" t="s">
        <v>6</v>
      </c>
      <c r="C43" s="38"/>
      <c r="D43" s="38">
        <f ca="1">IF(AND($AF$2="charisma",$AF$3="charisma"),2,IF(OR($AF$2="charisma",$AF$3="charisma"),1," "))</f>
        <v>1</v>
      </c>
      <c r="E43" s="38" t="str">
        <f ca="1">IF(AND($AF$4="charisma",$AF$5="charisma"),2,IF(OR($AF$4="charisma",$AF$5="charisma"),1," "))</f>
        <v xml:space="preserve"> </v>
      </c>
      <c r="F43" s="38">
        <f ca="1">IF(AND($AF$6="charisma",$AF$7="charisma"),2,IF(OR($AF$6="charisma",$AF$7="charisma"),1," "))</f>
        <v>1</v>
      </c>
      <c r="G43" s="38" t="str">
        <f ca="1">IF(AND($AF$8="charisma",$AF$9="charisma"),2,IF(OR($AF$8="charisma",$AF$9="charisma"),1," "))</f>
        <v xml:space="preserve"> </v>
      </c>
      <c r="H43" s="38" t="str">
        <f ca="1">IF(AND($AF$10="charisma",$AF$11="charisma"),2,IF(OR($AF$10="charisma",$AF$11="charisma"),1," "))</f>
        <v xml:space="preserve"> </v>
      </c>
      <c r="I43" s="38">
        <f ca="1">IF(OR(P2="dark",P2="lightfoot",Q2="human",Q2="dragonborn"),SUM(J43:M43)-SMALL(J43:M43,1)+1,IF(OR(Q2="half-elf",Q2="tiefling"),SUM(J43:M43)-SMALL(J43:M43,1)+2,SUM(J43:M43)-SMALL(J43:M43,1)))</f>
        <v>9</v>
      </c>
      <c r="J43" s="38">
        <f t="shared" ca="1" si="35"/>
        <v>1</v>
      </c>
      <c r="K43" s="38">
        <f t="shared" ca="1" si="35"/>
        <v>4</v>
      </c>
      <c r="L43" s="38">
        <f t="shared" ca="1" si="35"/>
        <v>2</v>
      </c>
      <c r="M43" s="38">
        <f t="shared" ca="1" si="35"/>
        <v>3</v>
      </c>
      <c r="N43" s="38"/>
      <c r="O43" s="38">
        <f ca="1">IF(OR(O11="bard",O11="paladin",O11="sorcerer",O11="warlock"),MAX(13,(SUM(C43:I43))),IF(OR(Q11="bard",Q11="paladin",Q11="sorcerer",Q11="warlock"),MAX(13,(SUM(C43:I43))),SUM(C43:I43)))</f>
        <v>11</v>
      </c>
      <c r="P43" s="118">
        <f ca="1">VLOOKUP(O43,Table1[],2)</f>
        <v>0</v>
      </c>
      <c r="AJ43" s="31" t="s">
        <v>1166</v>
      </c>
      <c r="AO43" s="57"/>
      <c r="AP43" s="57"/>
      <c r="AQ43" s="57"/>
      <c r="BN43" s="29">
        <f t="shared" ca="1" si="29"/>
        <v>3</v>
      </c>
      <c r="BO43" s="29">
        <f ca="1">IF(BP43="Survival",RAND(),0)</f>
        <v>0</v>
      </c>
      <c r="BP43" s="29" t="str">
        <f t="shared" ca="1" si="33"/>
        <v xml:space="preserve"> </v>
      </c>
      <c r="BR43" s="29">
        <f t="shared" ca="1" si="30"/>
        <v>12</v>
      </c>
      <c r="BS43" s="29">
        <f t="shared" ca="1" si="31"/>
        <v>0.26572174670133397</v>
      </c>
      <c r="CB43" s="35">
        <f t="shared" ca="1" si="34"/>
        <v>7</v>
      </c>
      <c r="CC43" s="36">
        <f ca="1">IF(BM20&gt;0,0,RAND())</f>
        <v>7.445119167824088E-2</v>
      </c>
      <c r="CD43" s="29" t="s">
        <v>25</v>
      </c>
    </row>
    <row r="44" spans="1:83" ht="19.5" thickBot="1" x14ac:dyDescent="0.35">
      <c r="A44" s="33"/>
      <c r="B44" s="38"/>
      <c r="C44" s="38"/>
      <c r="D44" s="38"/>
      <c r="E44" s="38"/>
      <c r="F44" s="38"/>
      <c r="G44" s="38"/>
      <c r="H44" s="38"/>
      <c r="I44" s="38"/>
      <c r="J44" s="38"/>
      <c r="K44" s="38"/>
      <c r="L44" s="38"/>
      <c r="M44" s="38"/>
      <c r="N44" s="38"/>
      <c r="O44" s="38"/>
      <c r="P44" s="38"/>
      <c r="AJ44" s="58" t="str">
        <f ca="1">IF(Table200335449791848905314378488[[#This Row],[Column2]]=0," ",_xlfn.RANK.EQ(AK44,$AK$44:$AK$53))</f>
        <v xml:space="preserve"> </v>
      </c>
      <c r="AK44" s="29">
        <f ca="1">IF(Table200335449791848905314378488[[#This Row],[Column3]]=" ", 0,RAND())</f>
        <v>0</v>
      </c>
      <c r="AL44" s="29" t="str">
        <f t="shared" ref="AL44:AL53" ca="1" si="36">Q315</f>
        <v xml:space="preserve"> </v>
      </c>
      <c r="AO44" s="29" t="s">
        <v>1962</v>
      </c>
      <c r="CB44" s="35">
        <f t="shared" ca="1" si="34"/>
        <v>6</v>
      </c>
      <c r="CC44" s="36">
        <f ca="1">IF(BM23&gt;0,0,RAND())</f>
        <v>0.28245962449602757</v>
      </c>
      <c r="CD44" s="29" t="s">
        <v>28</v>
      </c>
    </row>
    <row r="45" spans="1:83" ht="30.75" thickBot="1" x14ac:dyDescent="0.45">
      <c r="A45" s="115"/>
      <c r="B45" s="122" t="s">
        <v>37</v>
      </c>
      <c r="C45" s="53"/>
      <c r="D45" s="53"/>
      <c r="E45" s="53"/>
      <c r="F45" s="53"/>
      <c r="G45" s="53"/>
      <c r="H45" s="53"/>
      <c r="I45" s="53"/>
      <c r="J45" s="53"/>
      <c r="K45" s="53"/>
      <c r="L45" s="53"/>
      <c r="M45" s="53"/>
      <c r="N45" s="53"/>
      <c r="O45" s="53" t="s">
        <v>30</v>
      </c>
      <c r="P45" s="116" t="s">
        <v>38</v>
      </c>
      <c r="AJ45" s="58" t="str">
        <f ca="1">IF(Table200335449791848905314378488[[#This Row],[Column2]]=0," ",_xlfn.RANK.EQ(AK45,$AK$44:$AK$53))</f>
        <v xml:space="preserve"> </v>
      </c>
      <c r="AK45" s="29">
        <f ca="1">IF(Table200335449791848905314378488[[#This Row],[Column3]]=" ", 0,RAND())</f>
        <v>0</v>
      </c>
      <c r="AL45" s="29" t="str">
        <f t="shared" ca="1" si="36"/>
        <v xml:space="preserve"> </v>
      </c>
      <c r="AO45" s="29" t="str">
        <f ca="1">IF(Table293375489831888945361417527[[#This Row],[Column2]]=0," ",_xlfn.RANK.EQ(Table293375489831888945361417527[[#This Row],[Column2]],$AP$45:$AP$59))</f>
        <v xml:space="preserve"> </v>
      </c>
      <c r="AP45" s="29">
        <f ca="1">IF(OR(Table293375489831888945361417527[[#This Row],[Column3]]=" ",Table293375489831888945361417527[[#This Row],[Column3]]="simple weapons"), 0,RAND())</f>
        <v>0</v>
      </c>
      <c r="AQ45" s="29" t="str">
        <f ca="1">P76</f>
        <v>Simple Weapons</v>
      </c>
    </row>
    <row r="46" spans="1:83" ht="19.5" thickTop="1" x14ac:dyDescent="0.3">
      <c r="A46" s="137"/>
      <c r="B46" s="33" t="s">
        <v>1</v>
      </c>
      <c r="C46" s="33"/>
      <c r="D46" s="33"/>
      <c r="E46" s="33"/>
      <c r="F46" s="33"/>
      <c r="G46" s="33"/>
      <c r="H46" s="33"/>
      <c r="I46" s="33"/>
      <c r="J46" s="33"/>
      <c r="K46" s="33"/>
      <c r="L46" s="33"/>
      <c r="M46" s="33"/>
      <c r="N46" s="33"/>
      <c r="O46" s="33" t="str">
        <f ca="1">IF(OR($O$11="barbarian",O11="fighter",O11="monk",O11="ranger"),"x"," ")</f>
        <v>x</v>
      </c>
      <c r="P46" s="72">
        <f t="shared" ref="P46:P51" ca="1" si="37">IF(O46="x",SUM(P38,$P$8),P38)</f>
        <v>7</v>
      </c>
      <c r="T46" s="49"/>
      <c r="U46" s="49"/>
      <c r="AJ46" s="58" t="str">
        <f ca="1">IF(Table200335449791848905314378488[[#This Row],[Column2]]=0," ",_xlfn.RANK.EQ(AK46,$AK$44:$AK$53))</f>
        <v xml:space="preserve"> </v>
      </c>
      <c r="AK46" s="29">
        <f ca="1">IF(Table200335449791848905314378488[[#This Row],[Column3]]=" ", 0,RAND())</f>
        <v>0</v>
      </c>
      <c r="AL46" s="29" t="str">
        <f t="shared" ca="1" si="36"/>
        <v xml:space="preserve"> </v>
      </c>
      <c r="AO46" s="29" t="str">
        <f ca="1">IF(Table293375489831888945361417527[[#This Row],[Column2]]=0," ",_xlfn.RANK.EQ(Table293375489831888945361417527[[#This Row],[Column2]],$AP$45:$AP$59))</f>
        <v xml:space="preserve"> </v>
      </c>
      <c r="AP46" s="29">
        <f ca="1">IF(OR(Table293375489831888945361417527[[#This Row],[Column3]]=" ",Table293375489831888945361417527[[#This Row],[Column3]]="martial weapons"), 0,RAND())</f>
        <v>0</v>
      </c>
      <c r="AQ46" s="29" t="str">
        <f ca="1">P77</f>
        <v>Martial Weapons</v>
      </c>
      <c r="CB46" s="31" t="s">
        <v>731</v>
      </c>
      <c r="CE46" s="31"/>
    </row>
    <row r="47" spans="1:83" x14ac:dyDescent="0.3">
      <c r="A47" s="137"/>
      <c r="B47" s="33" t="s">
        <v>2</v>
      </c>
      <c r="C47" s="33"/>
      <c r="D47" s="33"/>
      <c r="E47" s="33"/>
      <c r="F47" s="33"/>
      <c r="G47" s="33"/>
      <c r="H47" s="33"/>
      <c r="I47" s="33"/>
      <c r="J47" s="33"/>
      <c r="K47" s="33"/>
      <c r="L47" s="33"/>
      <c r="M47" s="33"/>
      <c r="N47" s="33"/>
      <c r="O47" s="33" t="str">
        <f ca="1">IF(OR($O$11="bard",O11="monk",O11="ranger",O11="rogue"),"x"," ")</f>
        <v xml:space="preserve"> </v>
      </c>
      <c r="P47" s="72">
        <f t="shared" ca="1" si="37"/>
        <v>4</v>
      </c>
      <c r="T47" s="49"/>
      <c r="U47" s="49"/>
      <c r="AJ47" s="58" t="str">
        <f ca="1">IF(Table200335449791848905314378488[[#This Row],[Column2]]=0," ",_xlfn.RANK.EQ(AK47,$AK$44:$AK$53))</f>
        <v xml:space="preserve"> </v>
      </c>
      <c r="AK47" s="29">
        <f ca="1">IF(Table200335449791848905314378488[[#This Row],[Column3]]=" ", 0,RAND())</f>
        <v>0</v>
      </c>
      <c r="AL47" s="29" t="str">
        <f t="shared" ca="1" si="36"/>
        <v xml:space="preserve"> </v>
      </c>
      <c r="AO47" s="29" t="str">
        <f ca="1">IF(Table293375489831888945361417527[[#This Row],[Column2]]=0," ",_xlfn.RANK.EQ(Table293375489831888945361417527[[#This Row],[Column2]],$AP$45:$AP$59))</f>
        <v xml:space="preserve"> </v>
      </c>
      <c r="AP47" s="29">
        <f ca="1">IF(Table293375489831888945361417527[[#This Row],[Column3]]=" ", 0,RAND())</f>
        <v>0</v>
      </c>
      <c r="AQ47" s="29" t="str">
        <f ca="1">P78</f>
        <v xml:space="preserve"> </v>
      </c>
      <c r="CB47" s="35">
        <f t="shared" ref="CB47:CB54" ca="1" si="38">_xlfn.RANK.EQ(CC47,$CC$47:$CC$54)</f>
        <v>8</v>
      </c>
      <c r="CC47" s="36">
        <f ca="1">IF(BM6&gt;0,0,RAND())</f>
        <v>0</v>
      </c>
      <c r="CD47" s="29" t="s">
        <v>12</v>
      </c>
    </row>
    <row r="48" spans="1:83" x14ac:dyDescent="0.3">
      <c r="A48" s="137"/>
      <c r="B48" s="33" t="s">
        <v>3</v>
      </c>
      <c r="C48" s="33"/>
      <c r="D48" s="33"/>
      <c r="E48" s="33"/>
      <c r="F48" s="33"/>
      <c r="G48" s="33"/>
      <c r="H48" s="33"/>
      <c r="I48" s="33"/>
      <c r="J48" s="33"/>
      <c r="K48" s="33"/>
      <c r="L48" s="33"/>
      <c r="M48" s="33"/>
      <c r="N48" s="33"/>
      <c r="O48" s="33" t="str">
        <f ca="1">IF(OR(O11="barbarian",O11="fighter",O11="sorcerer"),"x"," ")</f>
        <v>x</v>
      </c>
      <c r="P48" s="72">
        <f t="shared" ca="1" si="37"/>
        <v>10</v>
      </c>
      <c r="T48" s="49"/>
      <c r="U48" s="49"/>
      <c r="AJ48" s="58" t="str">
        <f ca="1">IF(Table200335449791848905314378488[[#This Row],[Column2]]=0," ",_xlfn.RANK.EQ(AK48,$AK$44:$AK$53))</f>
        <v xml:space="preserve"> </v>
      </c>
      <c r="AK48" s="29">
        <f ca="1">IF(Table200335449791848905314378488[[#This Row],[Column3]]=" ", 0,RAND())</f>
        <v>0</v>
      </c>
      <c r="AL48" s="29" t="str">
        <f t="shared" ca="1" si="36"/>
        <v xml:space="preserve"> </v>
      </c>
      <c r="AO48" s="29" t="str">
        <f ca="1">IF(Table293375489831888945361417527[[#This Row],[Column2]]=0," ",_xlfn.RANK.EQ(Table293375489831888945361417527[[#This Row],[Column2]],$AP$45:$AP$59))</f>
        <v xml:space="preserve"> </v>
      </c>
      <c r="AP48" s="29">
        <f ca="1">IF(Table293375489831888945361417527[[#This Row],[Column3]]=" ", 0,RAND())</f>
        <v>0</v>
      </c>
      <c r="AQ48" s="29" t="str">
        <f ca="1">P79</f>
        <v xml:space="preserve"> </v>
      </c>
      <c r="CB48" s="35">
        <f t="shared" ca="1" si="38"/>
        <v>1</v>
      </c>
      <c r="CC48" s="36">
        <f ca="1">IF(BM7&gt;0,0,RAND())</f>
        <v>0.89372189560807225</v>
      </c>
      <c r="CD48" s="29" t="s">
        <v>29</v>
      </c>
    </row>
    <row r="49" spans="1:83" x14ac:dyDescent="0.3">
      <c r="A49" s="137"/>
      <c r="B49" s="33" t="s">
        <v>4</v>
      </c>
      <c r="C49" s="33"/>
      <c r="D49" s="33"/>
      <c r="E49" s="33"/>
      <c r="F49" s="33"/>
      <c r="G49" s="33"/>
      <c r="H49" s="33"/>
      <c r="I49" s="33"/>
      <c r="J49" s="33"/>
      <c r="K49" s="33"/>
      <c r="L49" s="33"/>
      <c r="M49" s="33"/>
      <c r="N49" s="33"/>
      <c r="O49" s="33" t="str">
        <f ca="1">IF(OR(O11="rogue",O11="druid",O11="wizard"),"x"," ")</f>
        <v xml:space="preserve"> </v>
      </c>
      <c r="P49" s="72">
        <f t="shared" ca="1" si="37"/>
        <v>4</v>
      </c>
      <c r="T49" s="49"/>
      <c r="U49" s="49"/>
      <c r="AJ49" s="58" t="str">
        <f ca="1">IF(Table200335449791848905314378488[[#This Row],[Column2]]=0," ",_xlfn.RANK.EQ(AK49,$AK$44:$AK$53))</f>
        <v xml:space="preserve"> </v>
      </c>
      <c r="AK49" s="29">
        <f ca="1">IF(Table200335449791848905314378488[[#This Row],[Column3]]=" ", 0,RAND())</f>
        <v>0</v>
      </c>
      <c r="AL49" s="29" t="str">
        <f t="shared" ca="1" si="36"/>
        <v xml:space="preserve"> </v>
      </c>
      <c r="AO49" s="29" t="str">
        <f ca="1">IF(Table293375489831888945361417527[[#This Row],[Column2]]=0," ",_xlfn.RANK.EQ(Table293375489831888945361417527[[#This Row],[Column2]],$AP$45:$AP$59))</f>
        <v xml:space="preserve"> </v>
      </c>
      <c r="AP49" s="29">
        <f ca="1">IF(Table293375489831888945361417527[[#This Row],[Column3]]=" ", 0,RAND())</f>
        <v>0</v>
      </c>
      <c r="AQ49" s="29" t="str">
        <f ca="1">P80</f>
        <v xml:space="preserve"> </v>
      </c>
      <c r="CB49" s="35">
        <f t="shared" ca="1" si="38"/>
        <v>3</v>
      </c>
      <c r="CC49" s="36">
        <f ca="1">IF(BM9&gt;0,0,RAND())</f>
        <v>0.70813145131856259</v>
      </c>
      <c r="CD49" s="29" t="s">
        <v>14</v>
      </c>
    </row>
    <row r="50" spans="1:83" x14ac:dyDescent="0.3">
      <c r="A50" s="137"/>
      <c r="B50" s="33" t="s">
        <v>39</v>
      </c>
      <c r="C50" s="33"/>
      <c r="D50" s="33"/>
      <c r="E50" s="33"/>
      <c r="F50" s="33"/>
      <c r="G50" s="33"/>
      <c r="H50" s="33"/>
      <c r="I50" s="33"/>
      <c r="J50" s="33"/>
      <c r="K50" s="33"/>
      <c r="L50" s="33"/>
      <c r="M50" s="33"/>
      <c r="N50" s="33"/>
      <c r="O50" s="33" t="str">
        <f ca="1">IF(OR(O11="cleric",O11="druid",O11="paladin",O11="warlock",O11="wizard"),"x",IF(AND(O11="rogue",O12&gt;=15),"x"," "))</f>
        <v xml:space="preserve"> </v>
      </c>
      <c r="P50" s="72">
        <f t="shared" ca="1" si="37"/>
        <v>2</v>
      </c>
      <c r="T50" s="49"/>
      <c r="U50" s="49"/>
      <c r="AJ50" s="58" t="str">
        <f ca="1">IF(Table200335449791848905314378488[[#This Row],[Column2]]=0," ",_xlfn.RANK.EQ(AK50,$AK$44:$AK$53))</f>
        <v xml:space="preserve"> </v>
      </c>
      <c r="AK50" s="29">
        <f ca="1">IF(Table200335449791848905314378488[[#This Row],[Column3]]=" ", 0,RAND())</f>
        <v>0</v>
      </c>
      <c r="AL50" s="29" t="str">
        <f t="shared" ca="1" si="36"/>
        <v xml:space="preserve"> </v>
      </c>
      <c r="AO50" s="29" t="str">
        <f ca="1">IF(Table293375489831888945361417527[[#This Row],[Column2]]=0," ",_xlfn.RANK.EQ(Table293375489831888945361417527[[#This Row],[Column2]],$AP$45:$AP$59))</f>
        <v xml:space="preserve"> </v>
      </c>
      <c r="AP50" s="29">
        <f ca="1">IF(Table293375489831888945361417527[[#This Row],[Column3]]=" ", 0,RAND())</f>
        <v>0</v>
      </c>
      <c r="AQ50" s="29" t="str">
        <f ca="1">Q76</f>
        <v xml:space="preserve"> </v>
      </c>
      <c r="CB50" s="35">
        <f t="shared" ca="1" si="38"/>
        <v>6</v>
      </c>
      <c r="CC50" s="36">
        <f ca="1">IF(BM11&gt;0,0,RAND())</f>
        <v>0.44853933345108066</v>
      </c>
      <c r="CD50" s="29" t="s">
        <v>16</v>
      </c>
    </row>
    <row r="51" spans="1:83" ht="19.5" thickBot="1" x14ac:dyDescent="0.35">
      <c r="A51" s="137"/>
      <c r="B51" s="38" t="s">
        <v>6</v>
      </c>
      <c r="C51" s="38"/>
      <c r="D51" s="38"/>
      <c r="E51" s="38"/>
      <c r="F51" s="38"/>
      <c r="G51" s="38"/>
      <c r="H51" s="38"/>
      <c r="I51" s="38"/>
      <c r="J51" s="38"/>
      <c r="K51" s="38"/>
      <c r="L51" s="38"/>
      <c r="M51" s="38"/>
      <c r="N51" s="38"/>
      <c r="O51" s="38" t="str">
        <f ca="1">IF(OR($O$11="bard",O11="cleric",O11="paladin",O11="sorcerer",O11="warlock"),"x"," ")</f>
        <v xml:space="preserve"> </v>
      </c>
      <c r="P51" s="73">
        <f t="shared" ca="1" si="37"/>
        <v>0</v>
      </c>
      <c r="AJ51" s="58" t="str">
        <f ca="1">IF(Table200335449791848905314378488[[#This Row],[Column2]]=0," ",_xlfn.RANK.EQ(AK51,$AK$44:$AK$53))</f>
        <v xml:space="preserve"> </v>
      </c>
      <c r="AK51" s="29">
        <f ca="1">IF(Table200335449791848905314378488[[#This Row],[Column3]]=" ", 0,RAND())</f>
        <v>0</v>
      </c>
      <c r="AL51" s="29" t="str">
        <f t="shared" ca="1" si="36"/>
        <v xml:space="preserve"> </v>
      </c>
      <c r="AO51" s="29" t="str">
        <f ca="1">IF(Table293375489831888945361417527[[#This Row],[Column2]]=0," ",_xlfn.RANK.EQ(Table293375489831888945361417527[[#This Row],[Column2]],$AP$45:$AP$59))</f>
        <v xml:space="preserve"> </v>
      </c>
      <c r="AP51" s="29">
        <f ca="1">IF(Table293375489831888945361417527[[#This Row],[Column3]]=" ", 0,RAND())</f>
        <v>0</v>
      </c>
      <c r="AQ51" s="29" t="str">
        <f ca="1">Q77</f>
        <v xml:space="preserve"> </v>
      </c>
      <c r="CB51" s="35">
        <f t="shared" ca="1" si="38"/>
        <v>5</v>
      </c>
      <c r="CC51" s="36">
        <f ca="1">IF(BM12&gt;0,0,RAND())</f>
        <v>0.488566071397188</v>
      </c>
      <c r="CD51" s="29" t="s">
        <v>17</v>
      </c>
      <c r="CE51" s="31"/>
    </row>
    <row r="52" spans="1:83" ht="19.5" thickBot="1" x14ac:dyDescent="0.35">
      <c r="A52" s="138"/>
      <c r="B52" s="99"/>
      <c r="C52" s="99"/>
      <c r="D52" s="99"/>
      <c r="E52" s="99"/>
      <c r="F52" s="99"/>
      <c r="G52" s="99"/>
      <c r="H52" s="99"/>
      <c r="I52" s="99"/>
      <c r="J52" s="99"/>
      <c r="K52" s="99"/>
      <c r="L52" s="99"/>
      <c r="M52" s="99"/>
      <c r="N52" s="99"/>
      <c r="O52" s="99"/>
      <c r="P52" s="99"/>
      <c r="AJ52" s="58" t="str">
        <f ca="1">IF(Table200335449791848905314378488[[#This Row],[Column2]]=0," ",_xlfn.RANK.EQ(AK52,$AK$44:$AK$53))</f>
        <v xml:space="preserve"> </v>
      </c>
      <c r="AK52" s="29">
        <f ca="1">IF(Table200335449791848905314378488[[#This Row],[Column3]]=" ", 0,RAND())</f>
        <v>0</v>
      </c>
      <c r="AL52" s="29" t="str">
        <f t="shared" ca="1" si="36"/>
        <v xml:space="preserve"> </v>
      </c>
      <c r="AO52" s="29" t="str">
        <f ca="1">IF(Table293375489831888945361417527[[#This Row],[Column2]]=0," ",_xlfn.RANK.EQ(Table293375489831888945361417527[[#This Row],[Column2]],$AP$45:$AP$59))</f>
        <v xml:space="preserve"> </v>
      </c>
      <c r="AP52" s="29">
        <f ca="1">IF(Table293375489831888945361417527[[#This Row],[Column3]]=" ", 0,RAND())</f>
        <v>0</v>
      </c>
      <c r="AQ52" s="29" t="str">
        <f ca="1">Q78</f>
        <v xml:space="preserve"> </v>
      </c>
      <c r="CB52" s="35">
        <f t="shared" ca="1" si="38"/>
        <v>4</v>
      </c>
      <c r="CC52" s="36">
        <f ca="1">IF(BM13&gt;0,0,RAND())</f>
        <v>0.58372065679552398</v>
      </c>
      <c r="CD52" s="29" t="s">
        <v>18</v>
      </c>
    </row>
    <row r="53" spans="1:83" ht="30.75" thickBot="1" x14ac:dyDescent="0.45">
      <c r="A53" s="137"/>
      <c r="B53" s="122" t="s">
        <v>11</v>
      </c>
      <c r="C53" s="33"/>
      <c r="D53" s="33"/>
      <c r="E53" s="33"/>
      <c r="F53" s="33"/>
      <c r="G53" s="33"/>
      <c r="H53" s="33"/>
      <c r="I53" s="33"/>
      <c r="J53" s="33"/>
      <c r="K53" s="33"/>
      <c r="L53" s="33"/>
      <c r="M53" s="33"/>
      <c r="N53" s="33"/>
      <c r="O53" s="53" t="s">
        <v>30</v>
      </c>
      <c r="P53" s="119" t="s">
        <v>529</v>
      </c>
      <c r="AJ53" s="58" t="str">
        <f ca="1">IF(Table200335449791848905314378488[[#This Row],[Column2]]=0," ",_xlfn.RANK.EQ(AK53,$AK$44:$AK$53))</f>
        <v xml:space="preserve"> </v>
      </c>
      <c r="AK53" s="29">
        <f ca="1">IF(Table200335449791848905314378488[[#This Row],[Column3]]=" ", 0,RAND())</f>
        <v>0</v>
      </c>
      <c r="AL53" s="29" t="str">
        <f t="shared" ca="1" si="36"/>
        <v xml:space="preserve"> </v>
      </c>
      <c r="AO53" s="29" t="str">
        <f ca="1">IF(Table293375489831888945361417527[[#This Row],[Column2]]=0," ",_xlfn.RANK.EQ(Table293375489831888945361417527[[#This Row],[Column2]],$AP$45:$AP$59))</f>
        <v xml:space="preserve"> </v>
      </c>
      <c r="AP53" s="29">
        <f ca="1">IF(Table293375489831888945361417527[[#This Row],[Column3]]=" ", 0,RAND())</f>
        <v>0</v>
      </c>
      <c r="AQ53" s="29" t="str">
        <f ca="1">Q79</f>
        <v xml:space="preserve"> </v>
      </c>
      <c r="CB53" s="35">
        <f t="shared" ca="1" si="38"/>
        <v>7</v>
      </c>
      <c r="CC53" s="36">
        <f ca="1">IF(BM17&gt;0,0,RAND())</f>
        <v>0.41367007992195248</v>
      </c>
      <c r="CD53" s="29" t="s">
        <v>22</v>
      </c>
    </row>
    <row r="54" spans="1:83" ht="19.5" thickTop="1" x14ac:dyDescent="0.3">
      <c r="A54" s="137"/>
      <c r="B54" s="33" t="s">
        <v>12</v>
      </c>
      <c r="C54" s="59"/>
      <c r="D54" s="33"/>
      <c r="E54" s="33"/>
      <c r="F54" s="33"/>
      <c r="G54" s="33"/>
      <c r="H54" s="33"/>
      <c r="I54" s="33"/>
      <c r="J54" s="33"/>
      <c r="K54" s="33"/>
      <c r="L54" s="33"/>
      <c r="M54" s="33"/>
      <c r="N54" s="33"/>
      <c r="O54" s="33" t="str">
        <f t="shared" ref="O54:O71" ca="1" si="39">IF(BU6&gt;0,"x"," ")</f>
        <v>x</v>
      </c>
      <c r="P54" s="120">
        <f ca="1">SUM(BU6,P39)</f>
        <v>14</v>
      </c>
      <c r="AO54" s="29" t="str">
        <f ca="1">IF(Table293375489831888945361417527[[#This Row],[Column2]]=0," ",_xlfn.RANK.EQ(Table293375489831888945361417527[[#This Row],[Column2]],$AP$45:$AP$59))</f>
        <v xml:space="preserve"> </v>
      </c>
      <c r="AP54" s="29">
        <f ca="1">IF(Table293375489831888945361417527[[#This Row],[Column3]]=" ", 0,RAND())</f>
        <v>0</v>
      </c>
      <c r="AQ54" s="29" t="str">
        <f ca="1">Q80</f>
        <v xml:space="preserve"> </v>
      </c>
      <c r="CB54" s="35">
        <f t="shared" ca="1" si="38"/>
        <v>2</v>
      </c>
      <c r="CC54" s="36">
        <f ca="1">IF(BM23&gt;0,0,RAND())</f>
        <v>0.7439087069165905</v>
      </c>
      <c r="CD54" s="29" t="s">
        <v>28</v>
      </c>
    </row>
    <row r="55" spans="1:83" x14ac:dyDescent="0.3">
      <c r="A55" s="137"/>
      <c r="B55" s="33" t="s">
        <v>29</v>
      </c>
      <c r="C55" s="59"/>
      <c r="D55" s="33"/>
      <c r="E55" s="33"/>
      <c r="F55" s="33"/>
      <c r="G55" s="33"/>
      <c r="H55" s="33"/>
      <c r="I55" s="33"/>
      <c r="J55" s="33"/>
      <c r="K55" s="33"/>
      <c r="L55" s="33"/>
      <c r="M55" s="33"/>
      <c r="N55" s="33"/>
      <c r="O55" s="33" t="str">
        <f t="shared" ca="1" si="39"/>
        <v xml:space="preserve"> </v>
      </c>
      <c r="P55" s="120">
        <f ca="1">SUM(BU7,P42)</f>
        <v>2</v>
      </c>
      <c r="AJ55" s="31" t="s">
        <v>1167</v>
      </c>
      <c r="AO55" s="29" t="str">
        <f ca="1">IF(Table293375489831888945361417527[[#This Row],[Column2]]=0," ",_xlfn.RANK.EQ(Table293375489831888945361417527[[#This Row],[Column2]],$AP$45:$AP$59))</f>
        <v xml:space="preserve"> </v>
      </c>
      <c r="AP55" s="29">
        <f ca="1">IF(Table293375489831888945361417527[[#This Row],[Column3]]=" ", 0,RAND())</f>
        <v>0</v>
      </c>
      <c r="AQ55" s="29" t="str">
        <f ca="1">R76</f>
        <v xml:space="preserve"> </v>
      </c>
    </row>
    <row r="56" spans="1:83" x14ac:dyDescent="0.3">
      <c r="A56" s="137"/>
      <c r="B56" s="33" t="s">
        <v>13</v>
      </c>
      <c r="C56" s="33"/>
      <c r="D56" s="33"/>
      <c r="E56" s="33"/>
      <c r="F56" s="33"/>
      <c r="G56" s="33"/>
      <c r="H56" s="33"/>
      <c r="I56" s="33"/>
      <c r="J56" s="33"/>
      <c r="K56" s="33"/>
      <c r="L56" s="33"/>
      <c r="M56" s="33"/>
      <c r="N56" s="33"/>
      <c r="O56" s="33" t="str">
        <f t="shared" ca="1" si="39"/>
        <v xml:space="preserve"> </v>
      </c>
      <c r="P56" s="120">
        <f ca="1">SUM(BU8,P41)</f>
        <v>4</v>
      </c>
      <c r="AJ56" s="58" t="str">
        <f ca="1">IF(Table201336450792849906315379489[[#This Row],[Column2]]=0," ",_xlfn.RANK.EQ(AK56,$AK$56:$AK$65))</f>
        <v xml:space="preserve"> </v>
      </c>
      <c r="AK56" s="29">
        <f ca="1">IF(AL56=" ", 0,RAND())</f>
        <v>0</v>
      </c>
      <c r="AL56" s="29" t="str">
        <f t="shared" ref="AL56:AL65" ca="1" si="40">R315</f>
        <v xml:space="preserve"> </v>
      </c>
      <c r="AO56" s="29" t="str">
        <f ca="1">IF(Table293375489831888945361417527[[#This Row],[Column2]]=0," ",_xlfn.RANK.EQ(Table293375489831888945361417527[[#This Row],[Column2]],$AP$45:$AP$59))</f>
        <v xml:space="preserve"> </v>
      </c>
      <c r="AP56" s="29">
        <f ca="1">IF(Table293375489831888945361417527[[#This Row],[Column3]]=" ", 0,RAND())</f>
        <v>0</v>
      </c>
      <c r="AQ56" s="29" t="str">
        <f ca="1">R77</f>
        <v xml:space="preserve"> </v>
      </c>
      <c r="CB56" s="31" t="s">
        <v>732</v>
      </c>
      <c r="CE56" s="31"/>
    </row>
    <row r="57" spans="1:83" x14ac:dyDescent="0.3">
      <c r="A57" s="137"/>
      <c r="B57" s="33" t="s">
        <v>14</v>
      </c>
      <c r="C57" s="33"/>
      <c r="D57" s="33"/>
      <c r="E57" s="33"/>
      <c r="F57" s="33"/>
      <c r="G57" s="33"/>
      <c r="H57" s="33"/>
      <c r="I57" s="33"/>
      <c r="J57" s="33"/>
      <c r="K57" s="33"/>
      <c r="L57" s="33"/>
      <c r="M57" s="33"/>
      <c r="N57" s="33"/>
      <c r="O57" s="33" t="str">
        <f t="shared" ca="1" si="39"/>
        <v xml:space="preserve"> </v>
      </c>
      <c r="P57" s="120">
        <f ca="1">SUM(BU9,P38)</f>
        <v>1</v>
      </c>
      <c r="AJ57" s="58" t="str">
        <f ca="1">IF(Table201336450792849906315379489[[#This Row],[Column2]]=0," ",_xlfn.RANK.EQ(AK57,$AK$56:$AK$65))</f>
        <v xml:space="preserve"> </v>
      </c>
      <c r="AK57" s="29">
        <f t="shared" ref="AK57:AK65" ca="1" si="41">IF(AL57=" ", 0,RAND())</f>
        <v>0</v>
      </c>
      <c r="AL57" s="29" t="str">
        <f t="shared" ca="1" si="40"/>
        <v xml:space="preserve"> </v>
      </c>
      <c r="AO57" s="29" t="str">
        <f ca="1">IF(Table293375489831888945361417527[[#This Row],[Column2]]=0," ",_xlfn.RANK.EQ(Table293375489831888945361417527[[#This Row],[Column2]],$AP$45:$AP$59))</f>
        <v xml:space="preserve"> </v>
      </c>
      <c r="AP57" s="29">
        <f ca="1">IF(Table293375489831888945361417527[[#This Row],[Column3]]=" ", 0,RAND())</f>
        <v>0</v>
      </c>
      <c r="AQ57" s="29" t="str">
        <f ca="1">R78</f>
        <v xml:space="preserve"> </v>
      </c>
      <c r="CB57" s="35">
        <f t="shared" ref="CB57:CB62" ca="1" si="42">_xlfn.RANK.EQ(CC57,$CC$57:$CC$62)</f>
        <v>6</v>
      </c>
      <c r="CC57" s="36">
        <f ca="1">IF(BM6&gt;0,0,RAND())</f>
        <v>0</v>
      </c>
      <c r="CD57" s="29" t="s">
        <v>12</v>
      </c>
    </row>
    <row r="58" spans="1:83" x14ac:dyDescent="0.3">
      <c r="A58" s="137"/>
      <c r="B58" s="33" t="s">
        <v>15</v>
      </c>
      <c r="C58" s="33"/>
      <c r="D58" s="33"/>
      <c r="E58" s="33"/>
      <c r="F58" s="33"/>
      <c r="G58" s="33"/>
      <c r="H58" s="33"/>
      <c r="I58" s="33"/>
      <c r="J58" s="33"/>
      <c r="K58" s="33"/>
      <c r="L58" s="33"/>
      <c r="M58" s="33"/>
      <c r="N58" s="33"/>
      <c r="O58" s="33" t="str">
        <f t="shared" ca="1" si="39"/>
        <v xml:space="preserve"> </v>
      </c>
      <c r="P58" s="120">
        <f ca="1">SUM(BU10,P43)</f>
        <v>0</v>
      </c>
      <c r="AJ58" s="58" t="str">
        <f ca="1">IF(Table201336450792849906315379489[[#This Row],[Column2]]=0," ",_xlfn.RANK.EQ(AK58,$AK$56:$AK$65))</f>
        <v xml:space="preserve"> </v>
      </c>
      <c r="AK58" s="29">
        <f t="shared" ca="1" si="41"/>
        <v>0</v>
      </c>
      <c r="AL58" s="29" t="str">
        <f t="shared" ca="1" si="40"/>
        <v xml:space="preserve"> </v>
      </c>
      <c r="AO58" s="29" t="str">
        <f ca="1">IF(Table293375489831888945361417527[[#This Row],[Column2]]=0," ",_xlfn.RANK.EQ(Table293375489831888945361417527[[#This Row],[Column2]],$AP$45:$AP$59))</f>
        <v xml:space="preserve"> </v>
      </c>
      <c r="AP58" s="29">
        <f ca="1">IF(Table293375489831888945361417527[[#This Row],[Column3]]=" ", 0,RAND())</f>
        <v>0</v>
      </c>
      <c r="AQ58" s="29" t="str">
        <f ca="1">R79</f>
        <v xml:space="preserve"> </v>
      </c>
      <c r="CB58" s="35">
        <f t="shared" ca="1" si="42"/>
        <v>3</v>
      </c>
      <c r="CC58" s="36">
        <f ca="1">IF(BM9&gt;0,0,RAND())</f>
        <v>0.48649916010019867</v>
      </c>
      <c r="CD58" s="29" t="s">
        <v>14</v>
      </c>
    </row>
    <row r="59" spans="1:83" x14ac:dyDescent="0.3">
      <c r="A59" s="137"/>
      <c r="B59" s="33" t="s">
        <v>16</v>
      </c>
      <c r="C59" s="33"/>
      <c r="D59" s="33"/>
      <c r="E59" s="33"/>
      <c r="F59" s="33"/>
      <c r="G59" s="33"/>
      <c r="H59" s="33"/>
      <c r="I59" s="33"/>
      <c r="J59" s="33"/>
      <c r="K59" s="33"/>
      <c r="L59" s="33"/>
      <c r="M59" s="33"/>
      <c r="N59" s="33"/>
      <c r="O59" s="33" t="str">
        <f t="shared" ca="1" si="39"/>
        <v xml:space="preserve"> </v>
      </c>
      <c r="P59" s="120">
        <f ca="1">SUM(P41,BU11)</f>
        <v>4</v>
      </c>
      <c r="AJ59" s="58" t="str">
        <f ca="1">IF(Table201336450792849906315379489[[#This Row],[Column2]]=0," ",_xlfn.RANK.EQ(AK59,$AK$56:$AK$65))</f>
        <v xml:space="preserve"> </v>
      </c>
      <c r="AK59" s="29">
        <f t="shared" ca="1" si="41"/>
        <v>0</v>
      </c>
      <c r="AL59" s="29" t="str">
        <f t="shared" ca="1" si="40"/>
        <v xml:space="preserve"> </v>
      </c>
      <c r="AO59" s="29" t="str">
        <f ca="1">IF(Table293375489831888945361417527[[#This Row],[Column2]]=0," ",_xlfn.RANK.EQ(Table293375489831888945361417527[[#This Row],[Column2]],$AP$45:$AP$59))</f>
        <v xml:space="preserve"> </v>
      </c>
      <c r="AP59" s="29">
        <f ca="1">IF(Table293375489831888945361417527[[#This Row],[Column3]]=" ", 0,RAND())</f>
        <v>0</v>
      </c>
      <c r="AQ59" s="29" t="str">
        <f ca="1">R80</f>
        <v xml:space="preserve"> </v>
      </c>
      <c r="CB59" s="35">
        <f t="shared" ca="1" si="42"/>
        <v>4</v>
      </c>
      <c r="CC59" s="36">
        <f ca="1">IF(BM11&gt;0,0,RAND())</f>
        <v>0.43370838115001609</v>
      </c>
      <c r="CD59" s="29" t="s">
        <v>16</v>
      </c>
    </row>
    <row r="60" spans="1:83" x14ac:dyDescent="0.3">
      <c r="A60" s="137"/>
      <c r="B60" s="33" t="s">
        <v>17</v>
      </c>
      <c r="C60" s="33"/>
      <c r="D60" s="33"/>
      <c r="E60" s="33"/>
      <c r="F60" s="33"/>
      <c r="G60" s="33"/>
      <c r="H60" s="33"/>
      <c r="I60" s="33"/>
      <c r="J60" s="33"/>
      <c r="K60" s="33"/>
      <c r="L60" s="33"/>
      <c r="M60" s="33"/>
      <c r="N60" s="33"/>
      <c r="O60" s="33" t="str">
        <f t="shared" ca="1" si="39"/>
        <v xml:space="preserve"> </v>
      </c>
      <c r="P60" s="120">
        <f ca="1">SUM(BU12,P42)</f>
        <v>2</v>
      </c>
      <c r="AJ60" s="58" t="str">
        <f ca="1">IF(Table201336450792849906315379489[[#This Row],[Column2]]=0," ",_xlfn.RANK.EQ(AK60,$AK$56:$AK$65))</f>
        <v xml:space="preserve"> </v>
      </c>
      <c r="AK60" s="29">
        <f t="shared" ca="1" si="41"/>
        <v>0</v>
      </c>
      <c r="AL60" s="29" t="str">
        <f t="shared" ca="1" si="40"/>
        <v xml:space="preserve"> </v>
      </c>
      <c r="CB60" s="35">
        <f t="shared" ca="1" si="42"/>
        <v>2</v>
      </c>
      <c r="CC60" s="36">
        <f ca="1">IF(BM12&gt;0,0,RAND())</f>
        <v>0.50875461090072605</v>
      </c>
      <c r="CD60" s="29" t="s">
        <v>17</v>
      </c>
    </row>
    <row r="61" spans="1:83" x14ac:dyDescent="0.3">
      <c r="A61" s="137"/>
      <c r="B61" s="33" t="s">
        <v>18</v>
      </c>
      <c r="C61" s="33"/>
      <c r="D61" s="33"/>
      <c r="E61" s="33"/>
      <c r="F61" s="33"/>
      <c r="G61" s="33"/>
      <c r="H61" s="33"/>
      <c r="I61" s="33"/>
      <c r="J61" s="33"/>
      <c r="K61" s="33"/>
      <c r="L61" s="33"/>
      <c r="M61" s="33"/>
      <c r="N61" s="33"/>
      <c r="O61" s="33" t="str">
        <f t="shared" ca="1" si="39"/>
        <v xml:space="preserve"> </v>
      </c>
      <c r="P61" s="120">
        <f ca="1">SUM(BU13,P43)</f>
        <v>0</v>
      </c>
      <c r="AJ61" s="58" t="str">
        <f ca="1">IF(Table201336450792849906315379489[[#This Row],[Column2]]=0," ",_xlfn.RANK.EQ(AK61,$AK$56:$AK$65))</f>
        <v xml:space="preserve"> </v>
      </c>
      <c r="AK61" s="29">
        <f t="shared" ca="1" si="41"/>
        <v>0</v>
      </c>
      <c r="AL61" s="29" t="str">
        <f t="shared" ca="1" si="40"/>
        <v xml:space="preserve"> </v>
      </c>
      <c r="CB61" s="35">
        <f t="shared" ca="1" si="42"/>
        <v>1</v>
      </c>
      <c r="CC61" s="36">
        <f ca="1">IF(BM20&gt;0,0,RAND())</f>
        <v>0.62694634400432714</v>
      </c>
      <c r="CD61" s="29" t="s">
        <v>25</v>
      </c>
    </row>
    <row r="62" spans="1:83" x14ac:dyDescent="0.3">
      <c r="A62" s="137"/>
      <c r="B62" s="33" t="s">
        <v>19</v>
      </c>
      <c r="C62" s="33"/>
      <c r="D62" s="33"/>
      <c r="E62" s="33"/>
      <c r="F62" s="33"/>
      <c r="G62" s="33"/>
      <c r="H62" s="33"/>
      <c r="I62" s="33"/>
      <c r="J62" s="33"/>
      <c r="K62" s="33"/>
      <c r="L62" s="33"/>
      <c r="M62" s="33"/>
      <c r="N62" s="33"/>
      <c r="O62" s="33" t="str">
        <f t="shared" ca="1" si="39"/>
        <v xml:space="preserve"> </v>
      </c>
      <c r="P62" s="120">
        <f ca="1">SUM(BU14,P41)</f>
        <v>4</v>
      </c>
      <c r="AJ62" s="58" t="str">
        <f ca="1">IF(Table201336450792849906315379489[[#This Row],[Column2]]=0," ",_xlfn.RANK.EQ(AK62,$AK$56:$AK$65))</f>
        <v xml:space="preserve"> </v>
      </c>
      <c r="AK62" s="29">
        <f t="shared" ca="1" si="41"/>
        <v>0</v>
      </c>
      <c r="AL62" s="29" t="str">
        <f t="shared" ca="1" si="40"/>
        <v xml:space="preserve"> </v>
      </c>
      <c r="CB62" s="35">
        <f t="shared" ca="1" si="42"/>
        <v>5</v>
      </c>
      <c r="CC62" s="36">
        <f ca="1">IF(BM22&gt;0,0,RAND())</f>
        <v>0.41337351912457654</v>
      </c>
      <c r="CD62" s="29" t="s">
        <v>27</v>
      </c>
      <c r="CE62" s="31"/>
    </row>
    <row r="63" spans="1:83" x14ac:dyDescent="0.3">
      <c r="A63" s="137"/>
      <c r="B63" s="33" t="s">
        <v>20</v>
      </c>
      <c r="C63" s="33"/>
      <c r="D63" s="33"/>
      <c r="E63" s="33"/>
      <c r="F63" s="33"/>
      <c r="G63" s="33"/>
      <c r="H63" s="33"/>
      <c r="I63" s="33"/>
      <c r="J63" s="33"/>
      <c r="K63" s="33"/>
      <c r="L63" s="33"/>
      <c r="M63" s="33"/>
      <c r="N63" s="33"/>
      <c r="O63" s="33" t="str">
        <f t="shared" ca="1" si="39"/>
        <v xml:space="preserve"> </v>
      </c>
      <c r="P63" s="120">
        <f ca="1">SUM(BU15,P42)</f>
        <v>2</v>
      </c>
      <c r="AJ63" s="58" t="str">
        <f ca="1">IF(Table201336450792849906315379489[[#This Row],[Column2]]=0," ",_xlfn.RANK.EQ(AK63,$AK$56:$AK$65))</f>
        <v xml:space="preserve"> </v>
      </c>
      <c r="AK63" s="29">
        <f t="shared" ca="1" si="41"/>
        <v>0</v>
      </c>
      <c r="AL63" s="29" t="str">
        <f t="shared" ca="1" si="40"/>
        <v xml:space="preserve"> </v>
      </c>
    </row>
    <row r="64" spans="1:83" x14ac:dyDescent="0.3">
      <c r="A64" s="137"/>
      <c r="B64" s="33" t="s">
        <v>21</v>
      </c>
      <c r="C64" s="33"/>
      <c r="D64" s="33"/>
      <c r="E64" s="33"/>
      <c r="F64" s="33"/>
      <c r="G64" s="33"/>
      <c r="H64" s="33"/>
      <c r="I64" s="33"/>
      <c r="J64" s="33"/>
      <c r="K64" s="33"/>
      <c r="L64" s="33"/>
      <c r="M64" s="33"/>
      <c r="N64" s="33"/>
      <c r="O64" s="33" t="str">
        <f t="shared" ca="1" si="39"/>
        <v xml:space="preserve"> </v>
      </c>
      <c r="P64" s="120">
        <f ca="1">SUM(BU16,P41)</f>
        <v>4</v>
      </c>
      <c r="AJ64" s="58" t="str">
        <f ca="1">IF(Table201336450792849906315379489[[#This Row],[Column2]]=0," ",_xlfn.RANK.EQ(AK64,$AK$56:$AK$65))</f>
        <v xml:space="preserve"> </v>
      </c>
      <c r="AK64" s="29">
        <f t="shared" ca="1" si="41"/>
        <v>0</v>
      </c>
      <c r="AL64" s="29" t="str">
        <f t="shared" ca="1" si="40"/>
        <v xml:space="preserve"> </v>
      </c>
      <c r="CB64" s="31" t="s">
        <v>733</v>
      </c>
    </row>
    <row r="65" spans="1:82" x14ac:dyDescent="0.3">
      <c r="A65" s="137"/>
      <c r="B65" s="33" t="s">
        <v>22</v>
      </c>
      <c r="C65" s="33"/>
      <c r="D65" s="33"/>
      <c r="E65" s="33"/>
      <c r="F65" s="33"/>
      <c r="G65" s="33"/>
      <c r="H65" s="33"/>
      <c r="I65" s="33"/>
      <c r="J65" s="33"/>
      <c r="K65" s="33"/>
      <c r="L65" s="33"/>
      <c r="M65" s="33"/>
      <c r="N65" s="33"/>
      <c r="O65" s="33" t="str">
        <f t="shared" ca="1" si="39"/>
        <v xml:space="preserve"> </v>
      </c>
      <c r="P65" s="120">
        <f ca="1">SUM(BU17,P42)</f>
        <v>2</v>
      </c>
      <c r="AJ65" s="58" t="str">
        <f ca="1">IF(Table201336450792849906315379489[[#This Row],[Column2]]=0," ",_xlfn.RANK.EQ(AK65,$AK$56:$AK$65))</f>
        <v xml:space="preserve"> </v>
      </c>
      <c r="AK65" s="29">
        <f t="shared" ca="1" si="41"/>
        <v>0</v>
      </c>
      <c r="AL65" s="29" t="str">
        <f t="shared" ca="1" si="40"/>
        <v xml:space="preserve"> </v>
      </c>
      <c r="CB65" s="35">
        <f t="shared" ref="CB65:CB70" ca="1" si="43">_xlfn.RANK.EQ(CC65,$CC$65:$CC$70)</f>
        <v>2</v>
      </c>
      <c r="CC65" s="36">
        <f ca="1">IF(BM9&gt;0,0,RAND())</f>
        <v>0.46489789325410036</v>
      </c>
      <c r="CD65" s="29" t="s">
        <v>14</v>
      </c>
    </row>
    <row r="66" spans="1:82" x14ac:dyDescent="0.3">
      <c r="A66" s="137"/>
      <c r="B66" s="33" t="s">
        <v>23</v>
      </c>
      <c r="C66" s="33"/>
      <c r="D66" s="33"/>
      <c r="E66" s="33"/>
      <c r="F66" s="33"/>
      <c r="G66" s="33"/>
      <c r="H66" s="33"/>
      <c r="I66" s="33"/>
      <c r="J66" s="33"/>
      <c r="K66" s="33"/>
      <c r="L66" s="33"/>
      <c r="M66" s="33"/>
      <c r="N66" s="33"/>
      <c r="O66" s="33" t="str">
        <f t="shared" ca="1" si="39"/>
        <v>x</v>
      </c>
      <c r="P66" s="120">
        <f ca="1">SUM(BU18,P43)</f>
        <v>6</v>
      </c>
      <c r="CB66" s="35">
        <f t="shared" ca="1" si="43"/>
        <v>1</v>
      </c>
      <c r="CC66" s="36">
        <f ca="1">IF(BM12&gt;0,0,RAND())</f>
        <v>0.98817925837642606</v>
      </c>
      <c r="CD66" s="29" t="s">
        <v>17</v>
      </c>
    </row>
    <row r="67" spans="1:82" x14ac:dyDescent="0.3">
      <c r="A67" s="137"/>
      <c r="B67" s="33" t="s">
        <v>24</v>
      </c>
      <c r="C67" s="33"/>
      <c r="D67" s="33"/>
      <c r="E67" s="33"/>
      <c r="F67" s="33"/>
      <c r="G67" s="33"/>
      <c r="H67" s="33"/>
      <c r="I67" s="33"/>
      <c r="J67" s="33"/>
      <c r="K67" s="33"/>
      <c r="L67" s="33"/>
      <c r="M67" s="33"/>
      <c r="N67" s="33"/>
      <c r="O67" s="33" t="str">
        <f t="shared" ca="1" si="39"/>
        <v xml:space="preserve"> </v>
      </c>
      <c r="P67" s="120">
        <f ca="1">SUM(BU19,P43)</f>
        <v>0</v>
      </c>
      <c r="AJ67" s="31" t="s">
        <v>1168</v>
      </c>
      <c r="CB67" s="35">
        <f t="shared" ca="1" si="43"/>
        <v>3</v>
      </c>
      <c r="CC67" s="36">
        <f ca="1">IF(BM13&gt;0,0,RAND())</f>
        <v>0.38697775746133578</v>
      </c>
      <c r="CD67" s="29" t="s">
        <v>18</v>
      </c>
    </row>
    <row r="68" spans="1:82" x14ac:dyDescent="0.3">
      <c r="A68" s="137"/>
      <c r="B68" s="33" t="s">
        <v>25</v>
      </c>
      <c r="C68" s="33"/>
      <c r="D68" s="33"/>
      <c r="E68" s="33"/>
      <c r="F68" s="33"/>
      <c r="G68" s="33"/>
      <c r="H68" s="33"/>
      <c r="I68" s="33"/>
      <c r="J68" s="33"/>
      <c r="K68" s="33"/>
      <c r="L68" s="33"/>
      <c r="M68" s="33"/>
      <c r="N68" s="33"/>
      <c r="O68" s="33" t="str">
        <f t="shared" ca="1" si="39"/>
        <v xml:space="preserve"> </v>
      </c>
      <c r="P68" s="120">
        <f ca="1">SUM(BU20,P41)</f>
        <v>4</v>
      </c>
      <c r="AJ68" s="58" t="str">
        <f ca="1">IF(Table202337451793850907320380490[[#This Row],[Column2]]=0," ",_xlfn.RANK.EQ(AK68,$AK$68:$AK$77))</f>
        <v xml:space="preserve"> </v>
      </c>
      <c r="AK68" s="60">
        <f t="shared" ref="AK68:AK77" ca="1" si="44">IF(AL68=" ", 0,RAND())</f>
        <v>0</v>
      </c>
      <c r="AL68" s="29" t="str">
        <f t="shared" ref="AL68:AL77" ca="1" si="45">S315</f>
        <v xml:space="preserve"> </v>
      </c>
      <c r="CB68" s="35">
        <f t="shared" ca="1" si="43"/>
        <v>4</v>
      </c>
      <c r="CC68" s="36">
        <f ca="1">IF(BM15&gt;0,0,RAND())</f>
        <v>0.14264832502150471</v>
      </c>
      <c r="CD68" s="29" t="s">
        <v>20</v>
      </c>
    </row>
    <row r="69" spans="1:82" x14ac:dyDescent="0.3">
      <c r="A69" s="137"/>
      <c r="B69" s="33" t="s">
        <v>26</v>
      </c>
      <c r="C69" s="33"/>
      <c r="D69" s="33"/>
      <c r="E69" s="33"/>
      <c r="F69" s="33"/>
      <c r="G69" s="33"/>
      <c r="H69" s="33"/>
      <c r="I69" s="33"/>
      <c r="J69" s="33"/>
      <c r="K69" s="33"/>
      <c r="L69" s="33"/>
      <c r="M69" s="33"/>
      <c r="N69" s="33"/>
      <c r="O69" s="33" t="str">
        <f t="shared" ca="1" si="39"/>
        <v xml:space="preserve"> </v>
      </c>
      <c r="P69" s="120">
        <f ca="1">SUM(BU21,P39)</f>
        <v>4</v>
      </c>
      <c r="AJ69" s="58" t="str">
        <f ca="1">IF(Table202337451793850907320380490[[#This Row],[Column2]]=0," ",_xlfn.RANK.EQ(AK69,$AK$68:$AK$77))</f>
        <v xml:space="preserve"> </v>
      </c>
      <c r="AK69" s="60">
        <f t="shared" ca="1" si="44"/>
        <v>0</v>
      </c>
      <c r="AL69" s="29" t="str">
        <f t="shared" ca="1" si="45"/>
        <v xml:space="preserve"> </v>
      </c>
      <c r="CB69" s="35">
        <f t="shared" ca="1" si="43"/>
        <v>6</v>
      </c>
      <c r="CC69" s="36">
        <f ca="1">IF(BM19&gt;0,0,RAND())</f>
        <v>6.3164480460382699E-2</v>
      </c>
      <c r="CD69" s="29" t="s">
        <v>24</v>
      </c>
    </row>
    <row r="70" spans="1:82" x14ac:dyDescent="0.3">
      <c r="A70" s="137"/>
      <c r="B70" s="33" t="s">
        <v>27</v>
      </c>
      <c r="C70" s="33"/>
      <c r="D70" s="33"/>
      <c r="E70" s="33"/>
      <c r="F70" s="33"/>
      <c r="G70" s="33"/>
      <c r="H70" s="33"/>
      <c r="I70" s="33"/>
      <c r="J70" s="33"/>
      <c r="K70" s="33"/>
      <c r="L70" s="33"/>
      <c r="M70" s="33"/>
      <c r="N70" s="33"/>
      <c r="O70" s="33" t="str">
        <f t="shared" ca="1" si="39"/>
        <v xml:space="preserve"> </v>
      </c>
      <c r="P70" s="120">
        <f ca="1">SUM(BU22,P39)</f>
        <v>4</v>
      </c>
      <c r="AJ70" s="58" t="str">
        <f ca="1">IF(Table202337451793850907320380490[[#This Row],[Column2]]=0," ",_xlfn.RANK.EQ(AK70,$AK$68:$AK$77))</f>
        <v xml:space="preserve"> </v>
      </c>
      <c r="AK70" s="60">
        <f t="shared" ca="1" si="44"/>
        <v>0</v>
      </c>
      <c r="AL70" s="29" t="str">
        <f t="shared" ca="1" si="45"/>
        <v xml:space="preserve"> </v>
      </c>
      <c r="CB70" s="35">
        <f t="shared" ca="1" si="43"/>
        <v>5</v>
      </c>
      <c r="CC70" s="36">
        <f ca="1">IF(BM20&gt;0,0,RAND())</f>
        <v>0.12746631926639429</v>
      </c>
      <c r="CD70" s="29" t="s">
        <v>25</v>
      </c>
    </row>
    <row r="71" spans="1:82" x14ac:dyDescent="0.3">
      <c r="A71" s="137"/>
      <c r="B71" s="33" t="s">
        <v>28</v>
      </c>
      <c r="C71" s="33"/>
      <c r="D71" s="33"/>
      <c r="E71" s="33"/>
      <c r="F71" s="33"/>
      <c r="G71" s="33"/>
      <c r="H71" s="33"/>
      <c r="I71" s="33"/>
      <c r="J71" s="33"/>
      <c r="K71" s="33"/>
      <c r="L71" s="33"/>
      <c r="M71" s="33"/>
      <c r="N71" s="33"/>
      <c r="O71" s="33" t="str">
        <f t="shared" ca="1" si="39"/>
        <v xml:space="preserve"> </v>
      </c>
      <c r="P71" s="120">
        <f ca="1">SUM(BU23,P42)</f>
        <v>2</v>
      </c>
      <c r="AJ71" s="58" t="str">
        <f ca="1">IF(Table202337451793850907320380490[[#This Row],[Column2]]=0," ",_xlfn.RANK.EQ(AK71,$AK$68:$AK$77))</f>
        <v xml:space="preserve"> </v>
      </c>
      <c r="AK71" s="60">
        <f t="shared" ca="1" si="44"/>
        <v>0</v>
      </c>
      <c r="AL71" s="29" t="str">
        <f t="shared" ca="1" si="45"/>
        <v xml:space="preserve"> </v>
      </c>
    </row>
    <row r="72" spans="1:82" ht="19.5" thickBot="1" x14ac:dyDescent="0.35">
      <c r="A72" s="137"/>
      <c r="B72" s="38" t="str">
        <f ca="1">IF(O11="non-classed","Profession"," ")</f>
        <v xml:space="preserve"> </v>
      </c>
      <c r="C72" s="38"/>
      <c r="D72" s="38"/>
      <c r="E72" s="38"/>
      <c r="F72" s="38"/>
      <c r="G72" s="38"/>
      <c r="H72" s="38"/>
      <c r="I72" s="38"/>
      <c r="J72" s="38"/>
      <c r="K72" s="38"/>
      <c r="L72" s="38"/>
      <c r="M72" s="38"/>
      <c r="N72" s="38"/>
      <c r="O72" s="38" t="str">
        <f ca="1">IF(O11="non-classed","x"," ")</f>
        <v xml:space="preserve"> </v>
      </c>
      <c r="P72" s="121" t="str">
        <f ca="1">IF(O11="non-classed",P8*2," ")</f>
        <v xml:space="preserve"> </v>
      </c>
      <c r="AJ72" s="58" t="str">
        <f ca="1">IF(Table202337451793850907320380490[[#This Row],[Column2]]=0," ",_xlfn.RANK.EQ(AK72,$AK$68:$AK$77))</f>
        <v xml:space="preserve"> </v>
      </c>
      <c r="AK72" s="60">
        <f t="shared" ca="1" si="44"/>
        <v>0</v>
      </c>
      <c r="AL72" s="29" t="str">
        <f t="shared" ca="1" si="45"/>
        <v xml:space="preserve"> </v>
      </c>
      <c r="CB72" s="31" t="s">
        <v>734</v>
      </c>
    </row>
    <row r="73" spans="1:82" ht="19.5" thickBot="1" x14ac:dyDescent="0.35">
      <c r="AJ73" s="58" t="str">
        <f ca="1">IF(Table202337451793850907320380490[[#This Row],[Column2]]=0," ",_xlfn.RANK.EQ(AK73,$AK$68:$AK$77))</f>
        <v xml:space="preserve"> </v>
      </c>
      <c r="AK73" s="60">
        <f t="shared" ca="1" si="44"/>
        <v>0</v>
      </c>
      <c r="AL73" s="29" t="str">
        <f t="shared" ca="1" si="45"/>
        <v xml:space="preserve"> </v>
      </c>
      <c r="CB73" s="35">
        <f t="shared" ref="CB73:CB81" ca="1" si="46">_xlfn.RANK.EQ(CC73,$CC$73:$CC$81)</f>
        <v>2</v>
      </c>
      <c r="CC73" s="36">
        <f ca="1">IF(BM7&gt;0,0,RAND())</f>
        <v>0.6668098180289932</v>
      </c>
      <c r="CD73" s="29" t="s">
        <v>29</v>
      </c>
    </row>
    <row r="74" spans="1:82" ht="30.75" thickBot="1" x14ac:dyDescent="0.45">
      <c r="B74" s="106" t="s">
        <v>2716</v>
      </c>
      <c r="AJ74" s="58" t="str">
        <f ca="1">IF(Table202337451793850907320380490[[#This Row],[Column2]]=0," ",_xlfn.RANK.EQ(AK74,$AK$68:$AK$77))</f>
        <v xml:space="preserve"> </v>
      </c>
      <c r="AK74" s="60">
        <f t="shared" ca="1" si="44"/>
        <v>0</v>
      </c>
      <c r="AL74" s="29" t="str">
        <f t="shared" ca="1" si="45"/>
        <v xml:space="preserve"> </v>
      </c>
      <c r="CB74" s="35">
        <f t="shared" ca="1" si="46"/>
        <v>6</v>
      </c>
      <c r="CC74" s="36">
        <f ca="1">IF(BM9&gt;0,0,RAND())</f>
        <v>0.25305748069534684</v>
      </c>
      <c r="CD74" s="29" t="s">
        <v>14</v>
      </c>
    </row>
    <row r="75" spans="1:82" ht="19.5" thickBot="1" x14ac:dyDescent="0.35">
      <c r="B75" s="55" t="s">
        <v>52</v>
      </c>
      <c r="O75" s="53" t="s">
        <v>121</v>
      </c>
      <c r="P75" s="26" t="s">
        <v>46</v>
      </c>
      <c r="Q75" s="61"/>
      <c r="R75" s="28"/>
      <c r="AJ75" s="58" t="str">
        <f ca="1">IF(Table202337451793850907320380490[[#This Row],[Column2]]=0," ",_xlfn.RANK.EQ(AK75,$AK$68:$AK$77))</f>
        <v xml:space="preserve"> </v>
      </c>
      <c r="AK75" s="60">
        <f t="shared" ca="1" si="44"/>
        <v>0</v>
      </c>
      <c r="AL75" s="29" t="str">
        <f t="shared" ca="1" si="45"/>
        <v xml:space="preserve"> </v>
      </c>
      <c r="CB75" s="35">
        <f t="shared" ca="1" si="46"/>
        <v>9</v>
      </c>
      <c r="CC75" s="36">
        <f ca="1">IF(BM12&gt;0,0,RAND())</f>
        <v>4.8662734328820956E-2</v>
      </c>
      <c r="CD75" s="29" t="s">
        <v>17</v>
      </c>
    </row>
    <row r="76" spans="1:82" ht="19.5" thickTop="1" x14ac:dyDescent="0.3">
      <c r="B76" s="56" t="str">
        <f ca="1">IF(OR(O11="warlock",Q11="warlock",P2="mountain",O11="barbarian",O11="bard",Q11="barbarian",O11="cleric",Q11="bard",Q11="cleric",O11="druid",Q11="druid",O11="fighter",Q11="fighter",O11="paladin",Q11="paladin",O11="ranger",Q11="ranger",O11="rogue",Q11="rogue"),"Light Armor"," ")</f>
        <v>Light Armor</v>
      </c>
      <c r="O76" s="33" t="str">
        <f ca="1">IF(Q2="dwarf",VLOOKUP(RANDBETWEEN(1,3),Table3[],2),IF(P2="rock","Artisan's Tools"," "))</f>
        <v xml:space="preserve"> </v>
      </c>
      <c r="P76" s="62" t="str">
        <f ca="1">IF(OR(O11="warlock",Q11="warlock",O11="barbarian",O11="bard",Q11="barbarian",Q11="bard",O11="cleric",O11="fighter",Q11="fighter",O11="monk",Q11="monk",O11="paladin",Q11="paladin",O11="ranger",Q11="ranger",O11="rogue"),"Simple Weapons",IF(Q2="dwarf","Handaxe"," "))</f>
        <v>Simple Weapons</v>
      </c>
      <c r="Q76" s="60" t="str">
        <f ca="1">IF(AND(P76&lt;&gt;"simple weapons",OR($O$11="druid",O11="non-classed")),"Club",IF(P80="shortsword"," ",IF(AND(P77&lt;&gt;"martial weapons",OR(O11="monk",O11="bard",Q11="monk",O11="rogue")),"Shortsword"," ")))</f>
        <v xml:space="preserve"> </v>
      </c>
      <c r="R76" s="63" t="str">
        <f ca="1">IF(AND(P76&lt;&gt;"simple weapons",OR($O$11="druid",O11="sorcerer",O11="wizard",O11="non-classed")),"Quarterstaff"," ")</f>
        <v xml:space="preserve"> </v>
      </c>
      <c r="AJ76" s="58" t="str">
        <f ca="1">IF(Table202337451793850907320380490[[#This Row],[Column2]]=0," ",_xlfn.RANK.EQ(AK76,$AK$68:$AK$77))</f>
        <v xml:space="preserve"> </v>
      </c>
      <c r="AK76" s="60">
        <f t="shared" ca="1" si="44"/>
        <v>0</v>
      </c>
      <c r="AL76" s="29" t="str">
        <f t="shared" ca="1" si="45"/>
        <v xml:space="preserve"> </v>
      </c>
      <c r="CB76" s="35">
        <f t="shared" ca="1" si="46"/>
        <v>7</v>
      </c>
      <c r="CC76" s="36">
        <f ca="1">IF(BM13&gt;0,0,RAND())</f>
        <v>0.24860342766649879</v>
      </c>
      <c r="CD76" s="29" t="s">
        <v>18</v>
      </c>
    </row>
    <row r="77" spans="1:82" x14ac:dyDescent="0.3">
      <c r="B77" s="56" t="str">
        <f ca="1">IF(OR(P2="mountain",O11="barbarian",Q11="barbarian",P15="college of valor",R15="college of valor",O11="cleric",Q11="cleric",O11="druid",Q11="druid",O11="fighter",Q11="fighter",O11="paladin",Q11="paladin",O11="ranger",Q11="ranger"),"Medium Armor"," ")</f>
        <v>Medium Armor</v>
      </c>
      <c r="O77" s="33" t="str">
        <f ca="1">IF(AND(O11="monk",AF23=2),INDEX('Class Tables'!F25:F34,MATCH(1,('Class Tables'!D25:D34),0)),IF(AND(O11="monk",AF23=1),INDEX('Class Tables'!J80:J95,MATCH(1,('Class Tables'!I80:I95),0)),IF(P15="battle master",VLOOKUP(RANDBETWEEN(1,16),Table79[],2),IF(OR($O$11="bard"),INDEX('Class Tables'!$F$25:$F$34,MATCH(1,('Class Tables'!$D$25:$D$34),0))," "))))</f>
        <v xml:space="preserve"> </v>
      </c>
      <c r="P77" s="64" t="str">
        <f ca="1">IF(OR($O$11="barbarian",Q11="barbarian",P15="college of valor",R15="college of valor",R15="tempest",P15="tempest",P15="war",R15="war",O11="fighter",Q11="fighter",O11="paladin",Q11="paladin",O11="ranger",Q11="ranger"),"Martial Weapons",IF($Q$2="dwarf","Battleaxe",IF(OR($P$2="high",$P$2="wood"),"Longsword",IF($P$2="dark","Rapier"," "))))</f>
        <v>Martial Weapons</v>
      </c>
      <c r="Q77" s="65" t="str">
        <f ca="1">IF(AND(OR($O$11="druid",O11="sorcerer",O11="wizard",O11="non-classed"),P76&lt;&gt;"Simple weapons"),"Dagger",IF(AND(O11="bard",P77&lt;&gt;"Martial Weapons"),"Hand Crossbow",IF(AND(O11="rogue",P77&lt;&gt;"martial weapons"),"Hand Crossbow"," ")))</f>
        <v xml:space="preserve"> </v>
      </c>
      <c r="R77" s="66" t="str">
        <f ca="1">IF(AND(P77&lt;&gt;"martial weapons",$O$11="druid"),"Scimitar"," ")</f>
        <v xml:space="preserve"> </v>
      </c>
      <c r="AJ77" s="58" t="str">
        <f ca="1">IF(Table202337451793850907320380490[[#This Row],[Column2]]=0," ",_xlfn.RANK.EQ(AK77,$AK$68:$AK$77))</f>
        <v xml:space="preserve"> </v>
      </c>
      <c r="AK77" s="60">
        <f t="shared" ca="1" si="44"/>
        <v>0</v>
      </c>
      <c r="AL77" s="29" t="str">
        <f t="shared" ca="1" si="45"/>
        <v xml:space="preserve"> </v>
      </c>
      <c r="CB77" s="35">
        <f t="shared" ca="1" si="46"/>
        <v>8</v>
      </c>
      <c r="CC77" s="36">
        <f ca="1">IF(BM14&gt;0,0,RAND())</f>
        <v>6.9293786204072338E-2</v>
      </c>
      <c r="CD77" s="29" t="s">
        <v>19</v>
      </c>
    </row>
    <row r="78" spans="1:82" x14ac:dyDescent="0.3">
      <c r="B78" s="56" t="str">
        <f ca="1">IF(OR(O11="barbarian",Q11="barbarian",R15="college of valor",P15="college of valor",O11="cleric",Q11="cleric",O11="druid",Q11="Druid",O11="fighter",Q11="fighter",O11="paladin",Q11="paladin",O11="ranger",Q11="ranger"),"Shields"," ")</f>
        <v>Shields</v>
      </c>
      <c r="O78" s="33" t="str">
        <f ca="1">IF(OR($O$11="bard"),INDEX('Class Tables'!$F$25:$F$34,MATCH(2,('Class Tables'!$D$25:$D$34),0))," ")</f>
        <v xml:space="preserve"> </v>
      </c>
      <c r="P78" s="62" t="str">
        <f ca="1">IF(AND(P76&lt;&gt;"Simple Weapons",Q2="dwarf"),"Light Hammer",IF(AND(P2="high",P76&lt;&gt;"Simple Weapons"),"Shortbow",IF(AND(P76&lt;&gt;"Simple Weapons",P2="wood"),"Shortbow",IF(AND(P2="dark",P77&lt;&gt;"Martial Weapons"),"Hand Crossbow"," "))))</f>
        <v xml:space="preserve"> </v>
      </c>
      <c r="Q78" s="60" t="str">
        <f ca="1">IF(AND(OR($O$11="druid",O11="sorcerer",O11="wizard"),P76&lt;&gt;"Simple weapons"),"Dart",IF(AND(P77&lt;&gt;"martial weapons",OR(O11="bard",O11="rogue")),"Longsword"," "))</f>
        <v xml:space="preserve"> </v>
      </c>
      <c r="R78" s="63" t="str">
        <f ca="1">IF(AND(P76&lt;&gt;"simple weapons",$O$11="druid"),"Sickle"," ")</f>
        <v xml:space="preserve"> </v>
      </c>
      <c r="CB78" s="35">
        <f t="shared" ca="1" si="46"/>
        <v>5</v>
      </c>
      <c r="CC78" s="36">
        <f ca="1">IF(BM16&gt;0,0,RAND())</f>
        <v>0.43133566564296788</v>
      </c>
      <c r="CD78" s="29" t="s">
        <v>21</v>
      </c>
    </row>
    <row r="79" spans="1:82" x14ac:dyDescent="0.3">
      <c r="B79" s="33" t="str">
        <f ca="1">IF(OR(P15="life",R15="life",P15="nature",R15="nature",P15="tempest",R15="tempest",P15="war",R15="war",O11="fighter",Q11="fighter",O11="paladin"),"Heavy Armor"," ")</f>
        <v>Heavy Armor</v>
      </c>
      <c r="O79" s="33" t="str">
        <f ca="1">IF(OR($O$11="bard",$Q$11="bard"),INDEX('Class Tables'!$F$25:$F$34,MATCH(3,('Class Tables'!$D$25:$D$34),0))," ")</f>
        <v xml:space="preserve"> </v>
      </c>
      <c r="P79" s="64" t="str">
        <f ca="1">IF(P77="martial weapons"," ",IF(Q2="dwarf","Warhammer",IF(OR(P2="high",P2="wood"),"Longbow"," ")))</f>
        <v xml:space="preserve"> </v>
      </c>
      <c r="Q79" s="65" t="str">
        <f ca="1">IF(AND($O$11="druid",P76&lt;&gt;"simple weapons"),"Javelin",IF(AND(O11="sorcerer",P76&lt;&gt;"simple weapons"),"Light Crossbow",IF(AND(O11="wizard",P76&lt;&gt;"simple weapons"),"Light Crossbow",IF(AND(OR(O11="bard",O11="rogue"),P77&lt;&gt;"martial weapons"),"Rapier"," "))))</f>
        <v xml:space="preserve"> </v>
      </c>
      <c r="R79" s="66" t="str">
        <f ca="1">IF(AND(P76&lt;&gt;"simple weapons",OR($O$11="druid",O11="sorcerer",O11="wizard")),"Sling"," ")</f>
        <v xml:space="preserve"> </v>
      </c>
      <c r="AJ79" s="31" t="s">
        <v>676</v>
      </c>
      <c r="CB79" s="35">
        <f t="shared" ca="1" si="46"/>
        <v>1</v>
      </c>
      <c r="CC79" s="36">
        <f ca="1">IF(BM17&gt;0,0,RAND())</f>
        <v>0.96407262163694274</v>
      </c>
      <c r="CD79" s="29" t="s">
        <v>22</v>
      </c>
    </row>
    <row r="80" spans="1:82" ht="19.5" thickBot="1" x14ac:dyDescent="0.35">
      <c r="O80" s="33" t="str">
        <f ca="1">IF(OR(O11="druid",S11="hermit"),"Herbalism Kit"," ")</f>
        <v xml:space="preserve"> </v>
      </c>
      <c r="P80" s="51" t="str">
        <f ca="1">IF(AND(P77&lt;&gt;"martial weapons",OR(P2="high",P2="wood",P2="dark")),"Shortsword"," ")</f>
        <v xml:space="preserve"> </v>
      </c>
      <c r="Q80" s="67" t="str">
        <f ca="1">IF(AND(P76&lt;&gt;"simple weapons",$O$11="druid"),"Mace"," ")</f>
        <v xml:space="preserve"> </v>
      </c>
      <c r="R80" s="68" t="str">
        <f ca="1">IF(AND(P76&lt;&gt;"simple weapons",$O$11="druid"),"Spear"," ")</f>
        <v xml:space="preserve"> </v>
      </c>
      <c r="AJ80" s="58" t="str">
        <f ca="1">IF(Table203338452794851908321381491[[#This Row],[Column2]]=0," ",_xlfn.RANK.EQ(AK80,$AK$80:$AK$89))</f>
        <v xml:space="preserve"> </v>
      </c>
      <c r="AK80" s="60">
        <f t="shared" ref="AK80:AK89" ca="1" si="47">IF(AL80=" ", 0,RAND())</f>
        <v>0</v>
      </c>
      <c r="AL80" s="29" t="str">
        <f t="shared" ref="AL80:AL89" ca="1" si="48">T315</f>
        <v xml:space="preserve"> </v>
      </c>
      <c r="CB80" s="35">
        <f t="shared" ca="1" si="46"/>
        <v>3</v>
      </c>
      <c r="CC80" s="36">
        <f ca="1">IF(BM22&gt;0,0,RAND())</f>
        <v>0.62471261703063552</v>
      </c>
      <c r="CD80" s="29" t="s">
        <v>27</v>
      </c>
    </row>
    <row r="81" spans="1:82" x14ac:dyDescent="0.3">
      <c r="O81" s="33" t="str">
        <f ca="1">IF(AND(AF25=2,OR(O11="rogue",Q11="rogue")),"Thieves' Tools - Expert",IF(OR(O11="rogue",Q11="rogue"),"Thieves' Tools"," "))</f>
        <v xml:space="preserve"> </v>
      </c>
      <c r="AJ81" s="58" t="str">
        <f ca="1">IF(Table203338452794851908321381491[[#This Row],[Column2]]=0," ",_xlfn.RANK.EQ(AK81,$AK$80:$AK$89))</f>
        <v xml:space="preserve"> </v>
      </c>
      <c r="AK81" s="60">
        <f t="shared" ca="1" si="47"/>
        <v>0</v>
      </c>
      <c r="AL81" s="29" t="str">
        <f t="shared" ca="1" si="48"/>
        <v xml:space="preserve"> </v>
      </c>
      <c r="CB81" s="35">
        <f t="shared" ca="1" si="46"/>
        <v>4</v>
      </c>
      <c r="CC81" s="36">
        <f ca="1">IF(BM23&gt;0,0,RAND())</f>
        <v>0.45407487876957853</v>
      </c>
      <c r="CD81" s="29" t="s">
        <v>28</v>
      </c>
    </row>
    <row r="82" spans="1:82" x14ac:dyDescent="0.3">
      <c r="O82" s="33" t="str">
        <f ca="1">IF(P15="assassin","Disguise Kit"," ")</f>
        <v xml:space="preserve"> </v>
      </c>
      <c r="AJ82" s="58" t="str">
        <f ca="1">IF(Table203338452794851908321381491[[#This Row],[Column2]]=0," ",_xlfn.RANK.EQ(AK82,$AK$80:$AK$89))</f>
        <v xml:space="preserve"> </v>
      </c>
      <c r="AK82" s="60">
        <f t="shared" ca="1" si="47"/>
        <v>0</v>
      </c>
      <c r="AL82" s="29" t="str">
        <f t="shared" ca="1" si="48"/>
        <v xml:space="preserve"> </v>
      </c>
    </row>
    <row r="83" spans="1:82" x14ac:dyDescent="0.3">
      <c r="O83" s="33" t="str">
        <f ca="1">IF(P15="assassin","Poisoner's Kit"," ")</f>
        <v xml:space="preserve"> </v>
      </c>
      <c r="AJ83" s="58" t="str">
        <f ca="1">IF(Table203338452794851908321381491[[#This Row],[Column2]]=0," ",_xlfn.RANK.EQ(AK83,$AK$80:$AK$89))</f>
        <v xml:space="preserve"> </v>
      </c>
      <c r="AK83" s="60">
        <f t="shared" ca="1" si="47"/>
        <v>0</v>
      </c>
      <c r="AL83" s="29" t="str">
        <f t="shared" ca="1" si="48"/>
        <v xml:space="preserve"> </v>
      </c>
      <c r="CB83" s="31" t="s">
        <v>735</v>
      </c>
    </row>
    <row r="84" spans="1:82" x14ac:dyDescent="0.3">
      <c r="O84" s="33" t="str">
        <f ca="1">IF(S11="soldier",VLOOKUP(RANDBETWEEN(1,4),Table258[],2),IF(OR(S11="sailor",S11="pirate"),"Navigator's Tools",IF(OR(S11="folk hero",S11="Guild Artisan"),VLOOKUP(RANDBETWEEN(1,16),Table79[],2),IF(AND(OR(S11="criminal",S11="urchin"),OR(O81&lt;&gt;"Thieves' Tools",O81&lt;&gt;"Thieves' Tools - Expert")),"Thieves' Tools",IF(AND(OR(S11="charlatan",S11="entertainer"),O82&lt;&gt;"Disguise Kit"),"Disguise Kit"," ")))))</f>
        <v>Disguise Kit</v>
      </c>
      <c r="AJ84" s="58" t="str">
        <f ca="1">IF(Table203338452794851908321381491[[#This Row],[Column2]]=0," ",_xlfn.RANK.EQ(AK84,$AK$80:$AK$89))</f>
        <v xml:space="preserve"> </v>
      </c>
      <c r="AK84" s="60">
        <f t="shared" ca="1" si="47"/>
        <v>0</v>
      </c>
      <c r="AL84" s="29" t="str">
        <f t="shared" ca="1" si="48"/>
        <v xml:space="preserve"> </v>
      </c>
      <c r="CB84" s="35">
        <f t="shared" ref="CB84:CB94" ca="1" si="49">_xlfn.RANK.EQ(CC84,$CC$84:$CC$94)</f>
        <v>10</v>
      </c>
      <c r="CC84" s="36">
        <f ca="1">IF(BM6&gt;0,0,RAND())</f>
        <v>0</v>
      </c>
      <c r="CD84" s="29" t="s">
        <v>12</v>
      </c>
    </row>
    <row r="85" spans="1:82" x14ac:dyDescent="0.3">
      <c r="O85" s="33" t="str">
        <f ca="1">IF(AND(S11="urchin",O82&lt;&gt;"Disguise Kit"),"Disguise Kit",IF(OR(S11="Sailor",S11="pirate"),"Vehicles (Water)",IF(OR(S11="folk hero",S11="Soldier"),"Vehicles (Land)",IF(OR(S11="entertainer",S11="outlander"),INDEX('Class Tables'!$F$25:$F$34,MATCH(4,('Class Tables'!$D$25:$D$34),0)),IF(OR(S11="criminal",S11="noble",S11="knight"),VLOOKUP(RANDBETWEEN(1,4),Table258[],2),IF(S11="charlatan","Forgery Kit"," "))))))</f>
        <v>Viol</v>
      </c>
      <c r="AJ85" s="58" t="str">
        <f ca="1">IF(Table203338452794851908321381491[[#This Row],[Column2]]=0," ",_xlfn.RANK.EQ(AK85,$AK$80:$AK$89))</f>
        <v xml:space="preserve"> </v>
      </c>
      <c r="AK85" s="60">
        <f t="shared" ca="1" si="47"/>
        <v>0</v>
      </c>
      <c r="AL85" s="29" t="str">
        <f t="shared" ca="1" si="48"/>
        <v xml:space="preserve"> </v>
      </c>
      <c r="CB85" s="35">
        <f t="shared" ca="1" si="49"/>
        <v>1</v>
      </c>
      <c r="CC85" s="36">
        <f ca="1">IF(BM9&gt;0,0,RAND())</f>
        <v>0.95398571774965102</v>
      </c>
      <c r="CD85" s="29" t="s">
        <v>14</v>
      </c>
    </row>
    <row r="86" spans="1:82" ht="19.5" thickBot="1" x14ac:dyDescent="0.35">
      <c r="AJ86" s="58" t="str">
        <f ca="1">IF(Table203338452794851908321381491[[#This Row],[Column2]]=0," ",_xlfn.RANK.EQ(AK86,$AK$80:$AK$89))</f>
        <v xml:space="preserve"> </v>
      </c>
      <c r="AK86" s="60">
        <f t="shared" ca="1" si="47"/>
        <v>0</v>
      </c>
      <c r="AL86" s="29" t="str">
        <f t="shared" ca="1" si="48"/>
        <v xml:space="preserve"> </v>
      </c>
      <c r="CB86" s="35">
        <f t="shared" ca="1" si="49"/>
        <v>4</v>
      </c>
      <c r="CC86" s="36">
        <f ca="1">IF(BM10&gt;0,0,RAND())</f>
        <v>0.74511074701510083</v>
      </c>
      <c r="CD86" s="29" t="s">
        <v>15</v>
      </c>
    </row>
    <row r="87" spans="1:82" ht="30.75" thickBot="1" x14ac:dyDescent="0.45">
      <c r="A87" s="72"/>
      <c r="B87" s="128" t="s">
        <v>1953</v>
      </c>
      <c r="AJ87" s="58" t="str">
        <f ca="1">IF(Table203338452794851908321381491[[#This Row],[Column2]]=0," ",_xlfn.RANK.EQ(AK87,$AK$80:$AK$89))</f>
        <v xml:space="preserve"> </v>
      </c>
      <c r="AK87" s="60">
        <f t="shared" ca="1" si="47"/>
        <v>0</v>
      </c>
      <c r="AL87" s="29" t="str">
        <f t="shared" ca="1" si="48"/>
        <v xml:space="preserve"> </v>
      </c>
      <c r="CB87" s="35">
        <f t="shared" ca="1" si="49"/>
        <v>3</v>
      </c>
      <c r="CC87" s="36">
        <f ca="1">IF(BM12&gt;0,0,RAND())</f>
        <v>0.86552565198499209</v>
      </c>
      <c r="CD87" s="29" t="s">
        <v>17</v>
      </c>
    </row>
    <row r="88" spans="1:82" x14ac:dyDescent="0.3">
      <c r="A88" s="115"/>
      <c r="B88" s="130" t="s">
        <v>1952</v>
      </c>
      <c r="C88" s="130"/>
      <c r="D88" s="130"/>
      <c r="E88" s="130"/>
      <c r="F88" s="130"/>
      <c r="G88" s="130"/>
      <c r="H88" s="130"/>
      <c r="I88" s="130"/>
      <c r="J88" s="130"/>
      <c r="K88" s="130"/>
      <c r="L88" s="130"/>
      <c r="M88" s="130"/>
      <c r="N88" s="130"/>
      <c r="O88" s="130" t="s">
        <v>1954</v>
      </c>
      <c r="P88" s="130" t="s">
        <v>1955</v>
      </c>
      <c r="Q88" s="130" t="s">
        <v>1956</v>
      </c>
      <c r="R88" s="130" t="s">
        <v>1088</v>
      </c>
      <c r="S88" s="130" t="s">
        <v>2480</v>
      </c>
      <c r="T88" s="130" t="s">
        <v>1957</v>
      </c>
      <c r="AJ88" s="58" t="str">
        <f ca="1">IF(Table203338452794851908321381491[[#This Row],[Column2]]=0," ",_xlfn.RANK.EQ(AK88,$AK$80:$AK$89))</f>
        <v xml:space="preserve"> </v>
      </c>
      <c r="AK88" s="60">
        <f t="shared" ca="1" si="47"/>
        <v>0</v>
      </c>
      <c r="AL88" s="29" t="str">
        <f t="shared" ca="1" si="48"/>
        <v xml:space="preserve"> </v>
      </c>
      <c r="CB88" s="35">
        <f t="shared" ca="1" si="49"/>
        <v>5</v>
      </c>
      <c r="CC88" s="36">
        <f ca="1">IF(BM13&gt;0,0,RAND())</f>
        <v>0.68740256155949164</v>
      </c>
      <c r="CD88" s="29" t="s">
        <v>18</v>
      </c>
    </row>
    <row r="89" spans="1:82" x14ac:dyDescent="0.3">
      <c r="A89" s="137"/>
      <c r="B89" s="33" t="str">
        <f ca="1">IF(OR(O15="unarmored defense",O16="unarmored defense",Q15="unarmored defense",Q16="unarmored defense"),"Unarmored Defense",IF(B79="heavy armor",VLOOKUP(RANDBETWEEN(1,4),Table286[],2),IF(B77="medium armor",VLOOKUP(RANDBETWEEN(1,5),Table285[],2),IF(B76="light armor",VLOOKUP(RANDBETWEEN(1,3),Table284[],2),VLOOKUP(RANDBETWEEN(1,3),Table291[],2)))))</f>
        <v>Ring Mail</v>
      </c>
      <c r="C89" s="33"/>
      <c r="D89" s="33"/>
      <c r="E89" s="33"/>
      <c r="F89" s="33"/>
      <c r="G89" s="33"/>
      <c r="H89" s="33"/>
      <c r="I89" s="33"/>
      <c r="J89" s="33"/>
      <c r="K89" s="33"/>
      <c r="L89" s="33"/>
      <c r="M89" s="33"/>
      <c r="N89" s="33"/>
      <c r="O89" s="33">
        <f ca="1">IF(B89="unarmored Defense",10,INDEX(Items!C2:C22,MATCH(B89,(Items!B2:B22),0)))</f>
        <v>14</v>
      </c>
      <c r="P89" s="33">
        <f ca="1">IF(OR(B89="ring mail",B89="chain mail",B89="splint",B89="plate"),0,IF(B89="fine clothes",P39,IF(B89="common clothes",P39,IF(B89="traveler's clothes",P39,IF(B89="unarmored defense",P39,IF(B89="padded",P39,IF(B89="leather",P39,IF(B89="Studded Leather",P39,IF(B89="Hide",MIN(2,(P39)),IF(B89="chain shirt",MIN(2,(P39)),IF(B89="scale mail",MIN(2,(P39)),IF(B89="breastplate",MIN(2,(P39)),IF(B89="half plate",MIN(2,(Q2)),0)))))))))))))</f>
        <v>0</v>
      </c>
      <c r="Q89" s="33">
        <f ca="1">IF(AND(B89="unarmored defense",OR(O11="barbarian",Q11="barbarian")),P40,IF(AND(B89="unarmored defense",OR(O11="monk",Q11="monk")),P42,IF(AND(OR(O17="defense style",Q17="defense style",P18="defense style",O15="defense style",S18="defense style",Q15="defense style"),B89&lt;&gt;"unarmored defense"),2,0)))</f>
        <v>0</v>
      </c>
      <c r="R89" s="33">
        <f ca="1">IF(AND(B90="shield",COUNTIF(B109:P109,"*"&amp;"Shield +3"&amp;"*")),5,IF(AND(B90="shield",COUNTIF(B109:P109,"*"&amp;"Shield +2"&amp;"*")),4,IF(AND(B90="shield",COUNTIF(B109:P109,"*"&amp;"Shield +1"&amp;"*")),3,IF(B90="shield",2,0))))</f>
        <v>2</v>
      </c>
      <c r="S89" s="29" t="str">
        <f ca="1">IF(COUNTIF(B109:P109,"*"&amp;"Armor +3"&amp;"*"),3,IF(COUNTIF(B109:P109,"*"&amp;"Armor +2"&amp;"*"),2,IF(COUNTIF(B109:P109,"*"&amp;"Armor +1"&amp;"*"),1," ")))</f>
        <v xml:space="preserve"> </v>
      </c>
      <c r="T89" s="33">
        <f ca="1">SUM(C89:S89)</f>
        <v>16</v>
      </c>
      <c r="AJ89" s="58" t="str">
        <f ca="1">IF(Table203338452794851908321381491[[#This Row],[Column2]]=0," ",_xlfn.RANK.EQ(AK89,$AK$80:$AK$89))</f>
        <v xml:space="preserve"> </v>
      </c>
      <c r="AK89" s="60">
        <f t="shared" ca="1" si="47"/>
        <v>0</v>
      </c>
      <c r="AL89" s="29" t="str">
        <f t="shared" ca="1" si="48"/>
        <v xml:space="preserve"> </v>
      </c>
      <c r="CB89" s="35">
        <f t="shared" ca="1" si="49"/>
        <v>2</v>
      </c>
      <c r="CC89" s="36">
        <f ca="1">IF(BM14&gt;0,0,RAND())</f>
        <v>0.89351638732659588</v>
      </c>
      <c r="CD89" s="29" t="s">
        <v>19</v>
      </c>
    </row>
    <row r="90" spans="1:82" x14ac:dyDescent="0.3">
      <c r="A90" s="137"/>
      <c r="B90" s="33" t="str">
        <f ca="1">IF(B78="shields","Shield"," ")</f>
        <v>Shield</v>
      </c>
      <c r="C90" s="33"/>
      <c r="D90" s="33"/>
      <c r="E90" s="33"/>
      <c r="F90" s="33"/>
      <c r="G90" s="33"/>
      <c r="H90" s="33"/>
      <c r="I90" s="33"/>
      <c r="J90" s="33"/>
      <c r="K90" s="33"/>
      <c r="L90" s="33"/>
      <c r="M90" s="33"/>
      <c r="N90" s="33"/>
      <c r="O90" s="33"/>
      <c r="P90" s="33"/>
      <c r="Q90" s="33"/>
      <c r="R90" s="33"/>
      <c r="S90" s="33"/>
      <c r="CB90" s="35">
        <f t="shared" ca="1" si="49"/>
        <v>8</v>
      </c>
      <c r="CC90" s="36">
        <f ca="1">IF(BM17&gt;0,0,RAND())</f>
        <v>0.11497427983214414</v>
      </c>
      <c r="CD90" s="29" t="s">
        <v>22</v>
      </c>
    </row>
    <row r="91" spans="1:82" x14ac:dyDescent="0.3">
      <c r="A91" s="137"/>
      <c r="B91" s="69" t="s">
        <v>1962</v>
      </c>
      <c r="C91" s="69"/>
      <c r="D91" s="69"/>
      <c r="E91" s="69"/>
      <c r="F91" s="69"/>
      <c r="G91" s="69"/>
      <c r="H91" s="69"/>
      <c r="I91" s="69"/>
      <c r="J91" s="69"/>
      <c r="K91" s="69"/>
      <c r="L91" s="69"/>
      <c r="M91" s="69"/>
      <c r="N91" s="69"/>
      <c r="O91" s="69" t="s">
        <v>1963</v>
      </c>
      <c r="P91" s="69" t="s">
        <v>1982</v>
      </c>
      <c r="Q91" s="70" t="s">
        <v>1983</v>
      </c>
      <c r="R91" s="71" t="s">
        <v>2715</v>
      </c>
      <c r="S91" s="30"/>
      <c r="AJ91" s="31" t="s">
        <v>1169</v>
      </c>
      <c r="CB91" s="35">
        <f t="shared" ca="1" si="49"/>
        <v>10</v>
      </c>
      <c r="CC91" s="36">
        <f ca="1">IF(BM18&gt;0,0,RAND())</f>
        <v>0</v>
      </c>
      <c r="CD91" s="29" t="s">
        <v>23</v>
      </c>
    </row>
    <row r="92" spans="1:82" x14ac:dyDescent="0.3">
      <c r="A92" s="137"/>
      <c r="B92" s="33" t="str">
        <f ca="1">IF(P77="martial weapons",VLOOKUP(RANDBETWEEN(1,18),Table289[],2),IF(P76="simple weapons",VLOOKUP(RANDBETWEEN(1,10),Table287[],2),INDEX(AQ45:AQ59,MATCH(1,(AO45:AO59),0))))</f>
        <v>Glaive</v>
      </c>
      <c r="C92" s="33"/>
      <c r="D92" s="33"/>
      <c r="E92" s="33"/>
      <c r="F92" s="33"/>
      <c r="G92" s="33"/>
      <c r="H92" s="33"/>
      <c r="I92" s="33"/>
      <c r="J92" s="33"/>
      <c r="K92" s="33"/>
      <c r="L92" s="33"/>
      <c r="M92" s="33"/>
      <c r="N92" s="33"/>
      <c r="O92" s="33" t="str">
        <f ca="1">INDEX(Items!$G$2:$G$44,MATCH(B92,(Items!$F$2:$F$44),0))</f>
        <v>1d10s</v>
      </c>
      <c r="P92" s="33" t="str">
        <f ca="1">INDEX(Items!$I$2:$I$44,MATCH(B92,(Items!$F$2:$F$44),0))</f>
        <v>n/a</v>
      </c>
      <c r="Q92" s="72" t="str">
        <f ca="1">INDEX(Items!$H$2:$H$44,MATCH(B92,(Items!$F$2:$F$44),0))</f>
        <v>2H, Heavy, Reach</v>
      </c>
      <c r="R92" s="30"/>
      <c r="S92" s="30"/>
      <c r="AJ92" s="58" t="str">
        <f ca="1">IF(Table204339453795852909322382492[[#This Row],[Column2]]=0," ",_xlfn.RANK.EQ(AK92,$AK$92:$AK$101))</f>
        <v xml:space="preserve"> </v>
      </c>
      <c r="AK92" s="60">
        <f t="shared" ref="AK92:AK101" ca="1" si="50">IF(AL92=" ", 0,RAND())</f>
        <v>0</v>
      </c>
      <c r="AL92" s="29" t="str">
        <f t="shared" ref="AL92:AL101" ca="1" si="51">P334</f>
        <v xml:space="preserve"> </v>
      </c>
      <c r="CB92" s="35">
        <f t="shared" ca="1" si="49"/>
        <v>9</v>
      </c>
      <c r="CC92" s="36">
        <f ca="1">IF(BM19&gt;0,0,RAND())</f>
        <v>5.6186690462230349E-2</v>
      </c>
      <c r="CD92" s="29" t="s">
        <v>24</v>
      </c>
    </row>
    <row r="93" spans="1:82" x14ac:dyDescent="0.3">
      <c r="A93" s="137"/>
      <c r="B93" s="33" t="str">
        <f ca="1">IF(P77="martial weapons",VLOOKUP(RANDBETWEEN(1,18),Table289[],2),IF(P76="simple weapons",VLOOKUP(RANDBETWEEN(1,10),Table287[],2),INDEX(AQ45:AQ59,MATCH(2,(AO45:AO59),0))))</f>
        <v>Battleaxe</v>
      </c>
      <c r="C93" s="33"/>
      <c r="D93" s="33"/>
      <c r="E93" s="33"/>
      <c r="F93" s="33"/>
      <c r="G93" s="33"/>
      <c r="H93" s="33"/>
      <c r="I93" s="33"/>
      <c r="J93" s="33"/>
      <c r="K93" s="33"/>
      <c r="L93" s="33"/>
      <c r="M93" s="33"/>
      <c r="N93" s="33"/>
      <c r="O93" s="33" t="str">
        <f ca="1">INDEX(Items!$G$2:$G$44,MATCH(B93,(Items!$F$2:$F$44),0))</f>
        <v>1d8s</v>
      </c>
      <c r="P93" s="33" t="str">
        <f ca="1">INDEX(Items!$I$2:$I$44,MATCH(B93,(Items!$F$2:$F$44),0))</f>
        <v>1d10s</v>
      </c>
      <c r="Q93" s="72" t="str">
        <f ca="1">INDEX(Items!$H$2:$H$44,MATCH(B93,(Items!$F$2:$F$44),0))</f>
        <v>n/a</v>
      </c>
      <c r="R93" s="30"/>
      <c r="S93" s="30"/>
      <c r="AJ93" s="58" t="str">
        <f ca="1">IF(Table204339453795852909322382492[[#This Row],[Column2]]=0," ",_xlfn.RANK.EQ(AK93,$AK$92:$AK$101))</f>
        <v xml:space="preserve"> </v>
      </c>
      <c r="AK93" s="60">
        <f t="shared" ca="1" si="50"/>
        <v>0</v>
      </c>
      <c r="AL93" s="29" t="str">
        <f t="shared" ca="1" si="51"/>
        <v xml:space="preserve"> </v>
      </c>
      <c r="CB93" s="35">
        <f t="shared" ca="1" si="49"/>
        <v>7</v>
      </c>
      <c r="CC93" s="36">
        <f ca="1">IF(BM21&gt;0,0,RAND())</f>
        <v>0.17802402536374862</v>
      </c>
      <c r="CD93" s="29" t="s">
        <v>26</v>
      </c>
    </row>
    <row r="94" spans="1:82" x14ac:dyDescent="0.3">
      <c r="A94" s="137"/>
      <c r="B94" s="33" t="str">
        <f ca="1">IF(P77="martial weapons",VLOOKUP(RANDBETWEEN(1,5),Table290[],2),IF(P76="simple weapons",VLOOKUP(RANDBETWEEN(1,4),Table288[],2,),INDEX(AQ45:AQ59,MATCH(3,(AO45:AO59),0))))</f>
        <v>Net</v>
      </c>
      <c r="C94" s="33"/>
      <c r="D94" s="33"/>
      <c r="E94" s="33"/>
      <c r="F94" s="33"/>
      <c r="G94" s="33"/>
      <c r="H94" s="33"/>
      <c r="I94" s="33"/>
      <c r="J94" s="33"/>
      <c r="K94" s="33"/>
      <c r="L94" s="33"/>
      <c r="M94" s="33"/>
      <c r="N94" s="33"/>
      <c r="O94" s="33" t="str">
        <f ca="1">IF(B94=" "," ",INDEX(Items!$G$2:$G$44,MATCH(B94,(Items!$F$2:$F$44),0)))</f>
        <v>n/a</v>
      </c>
      <c r="P94" s="33" t="str">
        <f ca="1">IF(B94=" "," ",INDEX(Items!$I$2:$I$44,MATCH(B94,(Items!$F$2:$F$44),0)))</f>
        <v>n/a</v>
      </c>
      <c r="Q94" s="72" t="str">
        <f ca="1">IF(B94=" "," ",INDEX(Items!$H$2:$H$44,MATCH(B94,(Items!$F$2:$F$44),0)))</f>
        <v>Special,Thrown (5/15)</v>
      </c>
      <c r="R94" s="30"/>
      <c r="S94" s="30"/>
      <c r="AJ94" s="58" t="str">
        <f ca="1">IF(Table204339453795852909322382492[[#This Row],[Column2]]=0," ",_xlfn.RANK.EQ(AK94,$AK$92:$AK$101))</f>
        <v xml:space="preserve"> </v>
      </c>
      <c r="AK94" s="60">
        <f t="shared" ca="1" si="50"/>
        <v>0</v>
      </c>
      <c r="AL94" s="29" t="str">
        <f t="shared" ca="1" si="51"/>
        <v xml:space="preserve"> </v>
      </c>
      <c r="CB94" s="35">
        <f t="shared" ca="1" si="49"/>
        <v>6</v>
      </c>
      <c r="CC94" s="36">
        <f ca="1">IF(BM22&gt;0,0,RAND())</f>
        <v>0.35755258608584906</v>
      </c>
      <c r="CD94" s="29" t="s">
        <v>27</v>
      </c>
    </row>
    <row r="95" spans="1:82" ht="19.5" thickBot="1" x14ac:dyDescent="0.35">
      <c r="A95" s="137"/>
      <c r="B95" s="38" t="str">
        <f ca="1">IF(O11="monk","Martial Arts"," ")</f>
        <v xml:space="preserve"> </v>
      </c>
      <c r="C95" s="33"/>
      <c r="D95" s="33"/>
      <c r="E95" s="33"/>
      <c r="F95" s="33"/>
      <c r="G95" s="33"/>
      <c r="H95" s="33"/>
      <c r="I95" s="33"/>
      <c r="J95" s="33"/>
      <c r="K95" s="33"/>
      <c r="L95" s="33"/>
      <c r="M95" s="33"/>
      <c r="N95" s="33"/>
      <c r="O95" s="38" t="str">
        <f ca="1">IF(B95="martial arts",INDEX('Class Tables'!J98:J117,MATCH(O12,('Class Tables'!I98:I117),0))," ")</f>
        <v xml:space="preserve"> </v>
      </c>
      <c r="P95" s="38" t="str">
        <f ca="1">IF(B95=" "," ",IF(B95="martial arts", " ",INDEX(Items!$I$2:$I$44,MATCH(B95,(Items!$F$2:$F$44),0))))</f>
        <v xml:space="preserve"> </v>
      </c>
      <c r="Q95" s="73" t="str">
        <f ca="1">IF(B95=" "," ",IF(B95="martial arts"," ",INDEX(Items!$H$2:$H$44,MATCH(B95,(Items!$F$2:$F$44),0))))</f>
        <v xml:space="preserve"> </v>
      </c>
      <c r="R95" s="41"/>
      <c r="S95" s="41"/>
      <c r="AJ95" s="58" t="str">
        <f ca="1">IF(Table204339453795852909322382492[[#This Row],[Column2]]=0," ",_xlfn.RANK.EQ(AK95,$AK$92:$AK$101))</f>
        <v xml:space="preserve"> </v>
      </c>
      <c r="AK95" s="60">
        <f t="shared" ca="1" si="50"/>
        <v>0</v>
      </c>
      <c r="AL95" s="29" t="str">
        <f t="shared" ca="1" si="51"/>
        <v xml:space="preserve"> </v>
      </c>
    </row>
    <row r="96" spans="1:82" x14ac:dyDescent="0.3">
      <c r="A96" s="137"/>
      <c r="O96" s="69" t="s">
        <v>1964</v>
      </c>
      <c r="P96" s="69" t="s">
        <v>34</v>
      </c>
      <c r="Q96" s="69" t="s">
        <v>1986</v>
      </c>
      <c r="R96" s="69" t="s">
        <v>2753</v>
      </c>
      <c r="S96" s="70" t="s">
        <v>2480</v>
      </c>
      <c r="AJ96" s="58" t="str">
        <f ca="1">IF(Table204339453795852909322382492[[#This Row],[Column2]]=0," ",_xlfn.RANK.EQ(AK96,$AK$92:$AK$101))</f>
        <v xml:space="preserve"> </v>
      </c>
      <c r="AK96" s="60">
        <f t="shared" ca="1" si="50"/>
        <v>0</v>
      </c>
      <c r="AL96" s="29" t="str">
        <f t="shared" ca="1" si="51"/>
        <v xml:space="preserve"> </v>
      </c>
      <c r="CB96" s="31" t="s">
        <v>736</v>
      </c>
    </row>
    <row r="97" spans="1:82" x14ac:dyDescent="0.3">
      <c r="A97" s="137"/>
      <c r="B97" s="29" t="str">
        <f ca="1">B92</f>
        <v>Glaive</v>
      </c>
      <c r="O97" s="33">
        <f ca="1">IF(VLOOKUP(B92,Items!$F$2:$J$44,5,FALSE)="fin",SUM($P$38:$P$39)-SMALL($P$38:$P$39,1),IF(VLOOKUP(B92,(Items!$F$2:$J$44),5,FALSE)="str",$P$38,IF(VLOOKUP(B92,(Items!$F$2:$J$44),5,FALSE)="dex",$P$39,0)))</f>
        <v>1</v>
      </c>
      <c r="P97" s="33">
        <f ca="1">P8</f>
        <v>6</v>
      </c>
      <c r="Q97" s="33">
        <f ca="1">IF(AND(OR(B92&lt;&gt;"light crossbow",B92&lt;&gt;"dart",B92="shortbow",B92&lt;&gt;"Sling",B92&lt;&gt;"blowgun",B92&lt;&gt;"hand crossbow",B92&lt;&gt;"heavy crossbow",B92&lt;&gt;"longbow",B92&lt;&gt;"net",B92&lt;&gt;"greatclub",B92&lt;&gt;"glaive",B92&lt;&gt;"Greataxe",B92&lt;&gt;"Greatsword",B92&lt;&gt;"halbard",B92&lt;&gt;"maul",B92&lt;&gt;"pike"),OR($O$18="dueling style",$Q$18="dueling style",$P$18="dueling style",$S$18="dueling style",$O$15="dueling style",$Q$15="dueling style")),2,0)</f>
        <v>2</v>
      </c>
      <c r="R97" s="33">
        <f ca="1">IF(AND(OR(B92="light crossbow",B92="dart",B92="shortbow",B92="Sling",B92="blowgun",B92="hand crossbow",B92="heavy crossbow",B92="longbow",B92="net"),OR($P$18="archery style",$S$18="archery style",$O$15="archery style",$Q$15="archery style")),2,0)</f>
        <v>0</v>
      </c>
      <c r="S97" s="72">
        <f ca="1">IF(COUNTIF(B109:P109,"*"&amp;"Weapon +3"&amp;"*"),3,IF(COUNTIF(B109:P109,"*"&amp;"Weapon +2"&amp;"*"),2,IF(COUNTIF(B109:P109,"*"&amp;"Weapon +1"&amp;"*"),1," ")))</f>
        <v>3</v>
      </c>
      <c r="AJ97" s="58" t="str">
        <f ca="1">IF(Table204339453795852909322382492[[#This Row],[Column2]]=0," ",_xlfn.RANK.EQ(AK97,$AK$92:$AK$101))</f>
        <v xml:space="preserve"> </v>
      </c>
      <c r="AK97" s="60">
        <f t="shared" ca="1" si="50"/>
        <v>0</v>
      </c>
      <c r="AL97" s="29" t="str">
        <f t="shared" ca="1" si="51"/>
        <v xml:space="preserve"> </v>
      </c>
      <c r="CB97" s="35">
        <f t="shared" ref="CB97:CB102" ca="1" si="52">_xlfn.RANK.EQ(CC97,$CC$97:$CC$102)</f>
        <v>2</v>
      </c>
      <c r="CC97" s="36">
        <f ca="1">IF(BM8&gt;0,0,RAND())</f>
        <v>0.96845802116988544</v>
      </c>
      <c r="CD97" s="29" t="s">
        <v>13</v>
      </c>
    </row>
    <row r="98" spans="1:82" x14ac:dyDescent="0.3">
      <c r="A98" s="137"/>
      <c r="B98" s="29" t="str">
        <f ca="1">B93</f>
        <v>Battleaxe</v>
      </c>
      <c r="O98" s="33">
        <f ca="1">IF(VLOOKUP(B93,Items!$F$2:$J$44,5,FALSE)="fin",SUM($P$38:$P$39)-SMALL($P$38:$P$39,1),IF(VLOOKUP(B93,(Items!$F$2:$J$44),5,FALSE)="str",$P$38,IF(VLOOKUP(B93,(Items!$F$2:$J$44),5,FALSE)="dex",$P$39,0)))</f>
        <v>1</v>
      </c>
      <c r="P98" s="33">
        <f ca="1">P8</f>
        <v>6</v>
      </c>
      <c r="Q98" s="33">
        <f ca="1">IF(AND(OR(B93&lt;&gt;"light crossbow",B93&lt;&gt;"dart",B93="shortbow",B93&lt;&gt;"Sling",B93&lt;&gt;"blowgun",B93&lt;&gt;"hand crossbow",B93&lt;&gt;"heavy crossbow",B93&lt;&gt;"longbow",B93&lt;&gt;"net",B93&lt;&gt;"greatclub",B93&lt;&gt;"glaive",B93&lt;&gt;"Greataxe",B93&lt;&gt;"Greatsword",B93&lt;&gt;"halbard",B93&lt;&gt;"maul",B93&lt;&gt;"pike"),OR($O$18="dueling style",$Q$18="dueling style",$P$18="dueling style",$S$18="dueling style",$O$15="dueling style",$Q$15="dueling style")),2,0)</f>
        <v>2</v>
      </c>
      <c r="R98" s="33">
        <f ca="1">IF(AND(OR(B93="light crossbow",B93="dart",B93="shortbow",B93="Sling",B93="blowgun",B93="hand crossbow",B93="heavy crossbow",B93="longbow",B93="net"),OR($P$18="archery style",$S$18="archery style",$O$15="archery style",$Q$15="archery style")),2,0)</f>
        <v>0</v>
      </c>
      <c r="S98" s="72" t="str">
        <f ca="1">IF(AND(S97&lt;&gt;2,COUNTIF(B109:P109,"*"&amp;"Weapon +2"&amp;"*")),2,IF(AND(S97&lt;&gt;1,COUNTIF(B109:P109,"*"&amp;"Weapon +1"&amp;"*")),1," "))</f>
        <v xml:space="preserve"> </v>
      </c>
      <c r="AJ98" s="58" t="str">
        <f ca="1">IF(Table204339453795852909322382492[[#This Row],[Column2]]=0," ",_xlfn.RANK.EQ(AK98,$AK$92:$AK$101))</f>
        <v xml:space="preserve"> </v>
      </c>
      <c r="AK98" s="60">
        <f t="shared" ca="1" si="50"/>
        <v>0</v>
      </c>
      <c r="AL98" s="29" t="str">
        <f t="shared" ca="1" si="51"/>
        <v xml:space="preserve"> </v>
      </c>
      <c r="CB98" s="35">
        <f t="shared" ca="1" si="52"/>
        <v>5</v>
      </c>
      <c r="CC98" s="36">
        <f ca="1">IF(BM10&gt;0,0,RAND())</f>
        <v>8.946092943537054E-2</v>
      </c>
      <c r="CD98" s="29" t="s">
        <v>15</v>
      </c>
    </row>
    <row r="99" spans="1:82" x14ac:dyDescent="0.3">
      <c r="A99" s="137"/>
      <c r="B99" s="29" t="str">
        <f ca="1">B94</f>
        <v>Net</v>
      </c>
      <c r="O99" s="33">
        <f ca="1">IF(VLOOKUP(B94,Items!$F$2:$J$44,5,FALSE)="fin",SUM($P$38:$P$39)-SMALL($P$38:$P$39,1),IF(VLOOKUP(B94,(Items!$F$2:$J$44),5,FALSE)="str",$P$38,IF(VLOOKUP(B94,(Items!$F$2:$J$44),5,FALSE)="dex",$P$39,0)))</f>
        <v>4</v>
      </c>
      <c r="P99" s="33">
        <f ca="1">IF(B94=" "," ",P8)</f>
        <v>6</v>
      </c>
      <c r="Q99" s="33">
        <f ca="1">IF(AND(OR(B94&lt;&gt;"light crossbow",B94&lt;&gt;"dart",B94="shortbow",B94&lt;&gt;"Sling",B94&lt;&gt;"blowgun",B94&lt;&gt;"hand crossbow",B94&lt;&gt;"heavy crossbow",B94&lt;&gt;"longbow",B94&lt;&gt;"net",B94&lt;&gt;"greatclub",B94&lt;&gt;"glaive",B94&lt;&gt;"Greataxe",B94&lt;&gt;"Greatsword",B94&lt;&gt;"halbard",B94&lt;&gt;"maul",B94&lt;&gt;"pike"),OR($O$18="dueling style",$Q$18="dueling style",$P$18="dueling style",$S$18="dueling style",$O$15="dueling style",$Q$15="dueling style")),2,0)</f>
        <v>2</v>
      </c>
      <c r="R99" s="33">
        <f ca="1">IF(AND(OR(B94="light crossbow",B94="dart",B94="shortbow",B94="Sling",B94="blowgun",B94="hand crossbow",B94="heavy crossbow",B94="longbow",B94="net"),OR($P$18="archery style",$S$18="archery style",$O$15="archery style",$Q$15="archery style")),2,0)</f>
        <v>2</v>
      </c>
      <c r="S99" s="72" t="str">
        <f ca="1">IF(AND(S97&lt;&gt;1,S98&lt;&gt;1,COUNTIF(B109:P109,"*"&amp;"Weapon +1"&amp;"*")),1," ")</f>
        <v xml:space="preserve"> </v>
      </c>
      <c r="AJ99" s="58" t="str">
        <f ca="1">IF(Table204339453795852909322382492[[#This Row],[Column2]]=0," ",_xlfn.RANK.EQ(AK99,$AK$92:$AK$101))</f>
        <v xml:space="preserve"> </v>
      </c>
      <c r="AK99" s="60">
        <f t="shared" ca="1" si="50"/>
        <v>0</v>
      </c>
      <c r="AL99" s="29" t="str">
        <f t="shared" ca="1" si="51"/>
        <v xml:space="preserve"> </v>
      </c>
      <c r="CB99" s="35">
        <f t="shared" ca="1" si="52"/>
        <v>4</v>
      </c>
      <c r="CC99" s="36">
        <f ca="1">IF(BM12&gt;0,0,RAND())</f>
        <v>0.50090236118736686</v>
      </c>
      <c r="CD99" s="29" t="s">
        <v>17</v>
      </c>
    </row>
    <row r="100" spans="1:82" x14ac:dyDescent="0.3">
      <c r="A100" s="138"/>
      <c r="B100" s="29" t="str">
        <f ca="1">B95</f>
        <v xml:space="preserve"> </v>
      </c>
      <c r="O100" s="33" t="str">
        <f ca="1">IF(B95="martial arts",SUM($P$38:$P$39)-SMALL($P$38:$P$39,1)," ")</f>
        <v xml:space="preserve"> </v>
      </c>
      <c r="P100" s="33" t="str">
        <f ca="1">IF(B95=" "," ",P8)</f>
        <v xml:space="preserve"> </v>
      </c>
      <c r="Q100" s="33">
        <f ca="1">IF(AND(OR(B95&lt;&gt;"light crossbow",B95&lt;&gt;"dart",B95="shortbow",B95&lt;&gt;"Sling",B95&lt;&gt;"blowgun",B95&lt;&gt;"hand crossbow",B95&lt;&gt;"heavy crossbow",B95&lt;&gt;"longbow",B95&lt;&gt;"net",B95&lt;&gt;"greatclub",B95&lt;&gt;"glaive",B95&lt;&gt;"Greataxe",B95&lt;&gt;"Greatsword",B95&lt;&gt;"halbard",B95&lt;&gt;"maul",B95&lt;&gt;"pike"),OR($O$18="dueling style",$Q$18="dueling style",$P$18="dueling style",$S$18="dueling style",$O$15="dueling style",$Q$15="dueling style")),2,0)</f>
        <v>2</v>
      </c>
      <c r="R100" s="33">
        <f ca="1">IF(AND(OR(B95="light crossbow",B95="dart",B95="shortbow",B95="Sling",B95="blowgun",B95="hand crossbow",B95="heavy crossbow",B95="longbow",B95="net"),OR($P$18="archery style",$S$18="archery style",$O$15="archery style",$Q$15="archery style")),2,0)</f>
        <v>0</v>
      </c>
      <c r="S100" s="72" t="str">
        <f ca="1">IF(AND(S98&lt;&gt;1,S99&lt;&gt;1,COUNTIF(B110:P110,"*"&amp;"Weapon +1"&amp;"*")),1," ")</f>
        <v xml:space="preserve"> </v>
      </c>
      <c r="AJ100" s="58" t="str">
        <f ca="1">IF(Table204339453795852909322382492[[#This Row],[Column2]]=0," ",_xlfn.RANK.EQ(AK100,$AK$92:$AK$101))</f>
        <v xml:space="preserve"> </v>
      </c>
      <c r="AK100" s="60">
        <f t="shared" ca="1" si="50"/>
        <v>0</v>
      </c>
      <c r="AL100" s="29" t="str">
        <f t="shared" ca="1" si="51"/>
        <v xml:space="preserve"> </v>
      </c>
      <c r="CB100" s="35">
        <f t="shared" ca="1" si="52"/>
        <v>1</v>
      </c>
      <c r="CC100" s="36">
        <f ca="1">IF(BM13&gt;0,0,RAND())</f>
        <v>0.99435559010629948</v>
      </c>
      <c r="CD100" s="29" t="s">
        <v>18</v>
      </c>
    </row>
    <row r="101" spans="1:82" x14ac:dyDescent="0.3">
      <c r="A101" s="138"/>
      <c r="AJ101" s="58" t="str">
        <f ca="1">IF(Table204339453795852909322382492[[#This Row],[Column2]]=0," ",_xlfn.RANK.EQ(AK101,$AK$92:$AK$101))</f>
        <v xml:space="preserve"> </v>
      </c>
      <c r="AK101" s="60">
        <f t="shared" ca="1" si="50"/>
        <v>0</v>
      </c>
      <c r="AL101" s="29" t="str">
        <f t="shared" ca="1" si="51"/>
        <v xml:space="preserve"> </v>
      </c>
      <c r="CB101" s="35">
        <f t="shared" ca="1" si="52"/>
        <v>6</v>
      </c>
      <c r="CC101" s="36">
        <f ca="1">IF(BM19&gt;0,0,RAND())</f>
        <v>2.0856101736430044E-2</v>
      </c>
      <c r="CD101" s="29" t="s">
        <v>24</v>
      </c>
    </row>
    <row r="102" spans="1:82" x14ac:dyDescent="0.3">
      <c r="A102" s="137"/>
      <c r="B102" s="69" t="str">
        <f ca="1">IF(B40="non-classed","Shoulder Bag",IF(B103="diplomat's pack","Small Chest","Backpack"))</f>
        <v>Backpack</v>
      </c>
      <c r="C102" s="33"/>
      <c r="D102" s="33"/>
      <c r="E102" s="33"/>
      <c r="F102" s="33"/>
      <c r="G102" s="33"/>
      <c r="H102" s="33"/>
      <c r="I102" s="33"/>
      <c r="J102" s="33"/>
      <c r="K102" s="33"/>
      <c r="L102" s="33"/>
      <c r="M102" s="33"/>
      <c r="N102" s="33"/>
      <c r="O102" s="33"/>
      <c r="P102" s="33"/>
      <c r="Q102" s="69" t="s">
        <v>1988</v>
      </c>
      <c r="R102" s="69" t="str">
        <f ca="1">IF(OR(P15="eldritch knight",R15="eldritch knight",P15="arcane trickster",R15="arcane trickster",O11="ranger",Q11="ranger",O11="bard",Q11="bard",O11="cleric",Q11="cleric",O11="druid",Q11="druid",O11="paladin",Q11="paladin",O11="sorcerer",Q11="sorcerer",O11="warlock",Q11="warlock",O11="wizard",Q11="wizard"),"Component Pouch"," ")</f>
        <v>Component Pouch</v>
      </c>
      <c r="CB102" s="35">
        <f t="shared" ca="1" si="52"/>
        <v>3</v>
      </c>
      <c r="CC102" s="36">
        <f ca="1">IF(BM20&gt;0,0,RAND())</f>
        <v>0.57289528804992462</v>
      </c>
      <c r="CD102" s="29" t="s">
        <v>25</v>
      </c>
    </row>
    <row r="103" spans="1:82" x14ac:dyDescent="0.3">
      <c r="A103" s="137"/>
      <c r="B103" s="33" t="str">
        <f ca="1">IF(AND(AF21=2,O11="wizard"),"Explorer's Pack",IF(AND(AF21=1,OR(O11="sorcerer",O11="wizard",O11="warlock")),"Scholar's Pack",IF(AND(AF20=1,O11="rogue"),"Dungeoneer's Pack",IF(AND(AF20=2,O11="rogue"),"Explorer's Pack",IF(AND(AF20=3,O11="rogue"),"Burglar's Pack",IF(AND(AF21=1,OR(O11="monk",O11="Fighter",O11="ranger",O11="Sorcerer")),"Explorer's Pack",IF(AND(AF21=2,OR(O11="fighter",O11="monk",O11="ranger",O11="sorcerer",O11="warlock")),"Dungeoneer's Pack",IF(O11="druid","Explorer's Pack",IF(AND(AF21=2,OR(O11="cleric",O11="paladin")),"Explorer's Pack",IF(AND(AF21=1,OR(O11="cleric",O11="paladin")),"Priest's Pack",IF(AND(AF21=1,O11="bard"),"Diplomat's Pack",IF(AND(AF21=2,O11="bard"),"Entertainer's Pack",IF(O11="barbarian","Explorer's Pack"," ")))))))))))))</f>
        <v>Dungeoneer's Pack</v>
      </c>
      <c r="C103" s="33"/>
      <c r="D103" s="33"/>
      <c r="E103" s="33"/>
      <c r="F103" s="33"/>
      <c r="G103" s="33"/>
      <c r="H103" s="33"/>
      <c r="I103" s="33"/>
      <c r="J103" s="33"/>
      <c r="K103" s="33"/>
      <c r="L103" s="33"/>
      <c r="M103" s="33"/>
      <c r="N103" s="33"/>
      <c r="O103" s="33" t="str">
        <f ca="1">IF(B103="Scholar's Pack","SP - Little Bag of Sand",IF(B103="Priest's Pack","PP - 2 Blocks of Incense",IF(B103="Entertainer's Pack","EP - Waterskin",IF(B103="Dungeoneer's Pack","DP - Tinderbox",IF(B103="Diplomat's Pack","DP - Lamp",IF(B103="Burglar's Pack","BP - Hammer",IF(B103="explorer's pack","EP - 10 Days Rations"," ")))))))</f>
        <v>DP - Tinderbox</v>
      </c>
      <c r="P103" s="33" t="str">
        <f ca="1">IF(B103="Diplomat's Pack","DP - Soap",IF(B103="Burglar's Pack","BP - Tinderbox"," "))</f>
        <v xml:space="preserve"> </v>
      </c>
      <c r="Q103" s="33" t="str">
        <f ca="1">INDEX(Items!C47:C66,MATCH(P6,(Items!A47:A66),0))&amp;" CP"</f>
        <v>0 CP</v>
      </c>
      <c r="R103" s="33" t="str">
        <f ca="1">IF(OR(,O11="bard",Q11="bard",O11="cleric",Q11="cleric",O11="druid",Q11="druid",O11="paladin",Q11="paladin",O11="sorcerer",Q11="sorcerer",O11="warlock",Q11="warlock",O11="wizard",Q11="wizard"),"Arcane Focus"," ")</f>
        <v xml:space="preserve"> </v>
      </c>
      <c r="AJ103" s="31" t="s">
        <v>1170</v>
      </c>
    </row>
    <row r="104" spans="1:82" x14ac:dyDescent="0.3">
      <c r="A104" s="137"/>
      <c r="B104" s="33" t="str">
        <f ca="1">IF(B103="Scholar's Pack","SP - Book of Lore",IF(B103="Priest's Pack","PP - Blanket",IF(B103="Entertainer's Pack","EP - Bedroll",IF(B103="Dungeoneer's Pack","DP - Crowbar",IF(B103="Diplomat's Pack","DP - 2 Map/Scroll Cases",IF(B103="Burglar's Pack","BP - 10' of String",IF(B103="explorer's pack"," EP - Bedroll"," ")))))))</f>
        <v>DP - Crowbar</v>
      </c>
      <c r="C104" s="33"/>
      <c r="D104" s="33"/>
      <c r="E104" s="33"/>
      <c r="F104" s="33"/>
      <c r="G104" s="33"/>
      <c r="H104" s="33"/>
      <c r="I104" s="33"/>
      <c r="J104" s="33"/>
      <c r="K104" s="33"/>
      <c r="L104" s="33"/>
      <c r="M104" s="33"/>
      <c r="N104" s="33"/>
      <c r="O104" s="33" t="str">
        <f ca="1">IF(B103="Scholar's Pack","SP - Small Knife",IF(B103="Priest's Pack","PP - Censer",IF(B103="Entertainer's Pack","EP - Disguise Kit",IF(B103="Dungeoneer's Pack","DP - 10 Days Rations",IF(B103="Diplomat's Pack","DP - 2 Flasks of Oil",IF(B103="Burglar's Pack","BP - 10 Pitons",IF(B103="explorer's pack","EP - Waterskin"," ")))))))</f>
        <v>DP - 10 Days Rations</v>
      </c>
      <c r="P104" s="33" t="str">
        <f ca="1">IF(B103="Burglar's Pack","BP - Waterskin"," ")</f>
        <v xml:space="preserve"> </v>
      </c>
      <c r="Q104" s="33" t="str">
        <f ca="1">INDEX(Items!D47:D66,MATCH(P6,(Items!A47:A66),0))&amp;" SP"</f>
        <v>0 SP</v>
      </c>
      <c r="R104" s="69" t="str">
        <f ca="1">IF(COUNTIF(B92:B94,"*"&amp;"sling"&amp;"*"),"Sling Bullet Pouch"," ")</f>
        <v xml:space="preserve"> </v>
      </c>
      <c r="AJ104" s="58" t="str">
        <f ca="1">IF(AK104=0," ",_xlfn.RANK.EQ(AK104,$AK$104:$AK$113))</f>
        <v xml:space="preserve"> </v>
      </c>
      <c r="AK104" s="60">
        <f t="shared" ref="AK104:AK113" ca="1" si="53">IF(AL104=" ", 0,RAND())</f>
        <v>0</v>
      </c>
      <c r="AL104" s="29" t="str">
        <f t="shared" ref="AL104:AL113" ca="1" si="54">Q334</f>
        <v xml:space="preserve"> </v>
      </c>
      <c r="CB104" s="31" t="s">
        <v>737</v>
      </c>
    </row>
    <row r="105" spans="1:82" x14ac:dyDescent="0.3">
      <c r="A105" s="137"/>
      <c r="B105" s="33" t="str">
        <f ca="1">IF(B103="Scholar's Pack","SP - Bottle of Ink",IF(B103="Priest's Pack","PP - 10 Candles",IF(B103="Entertainer's Pack","EP - 2 Costumes",IF(B103="Dungeoneer's Pack","DP -Hammer ",IF(B103="Diplomat's Pack","DP - Set of Fine Clothes",IF(B103="Burglar's Pack","BP - Bell",IF(B103="explorer's pack","EP - Mess Kit"," ")))))))</f>
        <v xml:space="preserve">DP -Hammer </v>
      </c>
      <c r="C105" s="33"/>
      <c r="D105" s="33"/>
      <c r="E105" s="33"/>
      <c r="F105" s="33"/>
      <c r="G105" s="33"/>
      <c r="H105" s="33"/>
      <c r="I105" s="33"/>
      <c r="J105" s="33"/>
      <c r="K105" s="33"/>
      <c r="L105" s="33"/>
      <c r="M105" s="33"/>
      <c r="N105" s="33"/>
      <c r="O105" s="33" t="str">
        <f ca="1">IF(B103="Priest's Pack","PP - Vestments",IF(B103="Dungeoneer's Pack","DP - Waterskin",IF(B103="Diplomat's Pack","DP - 5 Sheets of Paper",IF(B103="Burglar's Pack","BP - Hooded Lantern",IF(B103="explorer's pack","EP - 50' Hempen Rope"," ")))))</f>
        <v>DP - Waterskin</v>
      </c>
      <c r="P105" s="33" t="str">
        <f ca="1">IF(B103="Burglar's Pack","BP - 50' Hempen Rope"," ")</f>
        <v xml:space="preserve"> </v>
      </c>
      <c r="Q105" s="33" t="str">
        <f ca="1">INDEX(Items!E47:E66,MATCH(P6,(Items!A47:A66),0))&amp;" EP"</f>
        <v>0 EP</v>
      </c>
      <c r="R105" s="33" t="str">
        <f ca="1">IF(COUNTIF(B92:B94,"*"&amp;"sling"&amp;"*"),RANDBETWEEN(6,13)&amp;" Sling Bullets"," ")</f>
        <v xml:space="preserve"> </v>
      </c>
      <c r="AJ105" s="58" t="str">
        <f t="shared" ref="AJ105:AJ113" ca="1" si="55">IF(AK105=0," ",_xlfn.RANK.EQ(AK105,$AK$104:$AK$113))</f>
        <v xml:space="preserve"> </v>
      </c>
      <c r="AK105" s="60">
        <f t="shared" ca="1" si="53"/>
        <v>0</v>
      </c>
      <c r="AL105" s="29" t="str">
        <f t="shared" ca="1" si="54"/>
        <v xml:space="preserve"> </v>
      </c>
      <c r="CB105" s="35">
        <f t="shared" ref="CB105:CB111" ca="1" si="56">_xlfn.RANK.EQ(CC105,$CC$105:$CC$111)</f>
        <v>4</v>
      </c>
      <c r="CC105" s="36">
        <f ca="1">IF(BM8&gt;0,0,RAND())</f>
        <v>0.42648363590816307</v>
      </c>
      <c r="CD105" s="29" t="s">
        <v>13</v>
      </c>
    </row>
    <row r="106" spans="1:82" x14ac:dyDescent="0.3">
      <c r="A106" s="137"/>
      <c r="B106" s="33" t="str">
        <f ca="1">IF(B103="Scholar's Pack","SP - Ink Pen",IF(B103="Priest's Pack","PP - Tinderbox",IF(B103="Entertainer's Pack","EP - 5 Candles",IF(B103="Dungeoneer's Pack","DP - 10 Pitons",IF(B103="Diplomat's Pack","DP - Bottle of Ink",IF(B103="Burglar's Pack","BP - 5 Candles",IF(B103="explorer's pack","EP - Tinderbox"," ")))))))</f>
        <v>DP - 10 Pitons</v>
      </c>
      <c r="C106" s="33"/>
      <c r="D106" s="33"/>
      <c r="E106" s="33"/>
      <c r="F106" s="33"/>
      <c r="G106" s="33"/>
      <c r="H106" s="33"/>
      <c r="I106" s="33"/>
      <c r="J106" s="33"/>
      <c r="K106" s="33"/>
      <c r="L106" s="33"/>
      <c r="M106" s="33"/>
      <c r="N106" s="33"/>
      <c r="O106" s="33" t="str">
        <f ca="1">IF(B103="Priest's Pack","PP - 2 Days Rations",IF(B103="Dungeoneer's Pack","DP - 50' Hempen Rope",IF(B103="Diplomat's Pack","DP - Vial of Perfume",IF(B103="Burglar's Pack","BP - 2 Flasks of Oil"," "))))</f>
        <v>DP - 50' Hempen Rope</v>
      </c>
      <c r="P106" s="33" t="str">
        <f ca="1">VLOOKUP(RANDBETWEEN(1,58),Table296[],2)</f>
        <v>Steel Mirror</v>
      </c>
      <c r="Q106" s="33" t="str">
        <f ca="1">INDEX(Items!F47:F66,MATCH(P6,(Items!A47:A66),0))&amp;" GP"</f>
        <v>4264 GP</v>
      </c>
      <c r="R106" s="69" t="str">
        <f ca="1">IF(COUNTIF(B92:B94,"*"&amp;"light crossbow"&amp;"*"),"Quiver",IF(COUNTIF(B92:B94,"*"&amp;"hand crossbow"&amp;"*"),"Quiver",IF(COUNTIF(B92:B94,"*"&amp;"heavy crossbow"&amp;"*"),"Quiver",IF(COUNTIF(B92:B94,"*"&amp;"longbow"&amp;"*"),"Quiver",IF(COUNTIF(B92:B94,"*"&amp;"shortbow"&amp;"*"),"Quiver"," ")))))</f>
        <v xml:space="preserve"> </v>
      </c>
      <c r="AJ106" s="58" t="str">
        <f t="shared" ca="1" si="55"/>
        <v xml:space="preserve"> </v>
      </c>
      <c r="AK106" s="60">
        <f t="shared" ca="1" si="53"/>
        <v>0</v>
      </c>
      <c r="AL106" s="29" t="str">
        <f t="shared" ca="1" si="54"/>
        <v xml:space="preserve"> </v>
      </c>
      <c r="CB106" s="35">
        <f t="shared" ca="1" si="56"/>
        <v>3</v>
      </c>
      <c r="CC106" s="36">
        <f ca="1">IF(BM10&gt;0,0,RAND())</f>
        <v>0.5822199157114113</v>
      </c>
      <c r="CD106" s="29" t="s">
        <v>15</v>
      </c>
    </row>
    <row r="107" spans="1:82" x14ac:dyDescent="0.3">
      <c r="A107" s="137"/>
      <c r="B107" s="33" t="str">
        <f ca="1">IF(B103="Scholar's Pack","SP - 10 Sheets of Parchment",IF(B103="Priest's Pack","PP - Alms Box",IF(B103="Entertainer's Pack","EP - 5 Days Rations",IF(B103="Dungeoneer's Pack","DP - 10 Torches",IF(B103="Diplomat's Pack","DP - Ink Pen",IF(B103="Burglar's Pack","BP - Crowbar",IF(B103="explorer's pack","EP - 10 Torches"," ")))))))</f>
        <v>DP - 10 Torches</v>
      </c>
      <c r="C107" s="33"/>
      <c r="D107" s="33"/>
      <c r="E107" s="33"/>
      <c r="F107" s="33"/>
      <c r="G107" s="33"/>
      <c r="H107" s="33"/>
      <c r="I107" s="33"/>
      <c r="J107" s="33"/>
      <c r="K107" s="33"/>
      <c r="L107" s="33"/>
      <c r="M107" s="33"/>
      <c r="N107" s="33"/>
      <c r="O107" s="33" t="str">
        <f ca="1">IF(B103="Priest's Pack","PP - Waterskin",IF(B103="Diplomat's Pack","DP - Sealing Wax",IF(B103="Burglar's Pack","BP - 5 Days Rations"," ")))</f>
        <v xml:space="preserve"> </v>
      </c>
      <c r="P107" s="33" t="str">
        <f ca="1">VLOOKUP(RANDBETWEEN(1,58),Table296[],2)</f>
        <v>Magnifying Glass</v>
      </c>
      <c r="Q107" s="33" t="str">
        <f ca="1">INDEX(Items!G47:G66,MATCH(P6,(Items!A47:A66),0))&amp;" PP"</f>
        <v>594 PP</v>
      </c>
      <c r="R107" s="33" t="str">
        <f ca="1">IF(COUNTIF(B92:B94,"*"&amp;"longbow"&amp;"*"),RANDBETWEEN(10,24)&amp;" Arrows",IF(COUNTIF(B92:B94,"*"&amp;"shortbow"&amp;"*"),RANDBETWEEN(10,24)&amp;" Arrows",IF(COUNTIF(B92:B94,"*"&amp;"light crossbow"&amp;"*"),RANDBETWEEN(10,24)&amp;" Bolts",IF(COUNTIF(B92:B94,"*"&amp;"hand crossbow"&amp;"*"),RANDBETWEEN(10,24)&amp;" Bolts",IF(COUNTIF(B92:B94,"*"&amp;"heavy crossbow"&amp;"*"),RANDBETWEEN(10,24)&amp;" Bolts"," ")))))</f>
        <v xml:space="preserve"> </v>
      </c>
      <c r="AJ107" s="58" t="str">
        <f t="shared" ca="1" si="55"/>
        <v xml:space="preserve"> </v>
      </c>
      <c r="AK107" s="60">
        <f t="shared" ca="1" si="53"/>
        <v>0</v>
      </c>
      <c r="AL107" s="29" t="str">
        <f t="shared" ca="1" si="54"/>
        <v xml:space="preserve"> </v>
      </c>
      <c r="CB107" s="35">
        <f t="shared" ca="1" si="56"/>
        <v>5</v>
      </c>
      <c r="CC107" s="36">
        <f ca="1">IF(BM11&gt;0,0,RAND())</f>
        <v>0.34718898861401404</v>
      </c>
      <c r="CD107" s="29" t="s">
        <v>16</v>
      </c>
    </row>
    <row r="108" spans="1:82" x14ac:dyDescent="0.3">
      <c r="A108" s="137"/>
      <c r="B108" s="33" t="str">
        <f ca="1">IF(AF35&gt;=1,VLOOKUP(RANDBETWEEN(1,200),Table298[],2)," ")</f>
        <v>a comb</v>
      </c>
      <c r="C108" s="33"/>
      <c r="D108" s="33"/>
      <c r="E108" s="33"/>
      <c r="F108" s="33"/>
      <c r="G108" s="33"/>
      <c r="H108" s="33"/>
      <c r="I108" s="33"/>
      <c r="J108" s="33"/>
      <c r="K108" s="33"/>
      <c r="L108" s="33"/>
      <c r="M108" s="33"/>
      <c r="N108" s="33"/>
      <c r="O108" s="33" t="str">
        <f ca="1">IF(AF35&gt;=2,VLOOKUP(RANDBETWEEN(1,200),Table298[],2)," ")</f>
        <v>a dead stink bug</v>
      </c>
      <c r="P108" s="33" t="str">
        <f ca="1">IF(AF35&gt;=3,VLOOKUP(RANDBETWEEN(1,200),Table298[],2)," ")</f>
        <v>a broken piece of mirror</v>
      </c>
      <c r="AJ108" s="58" t="str">
        <f t="shared" ca="1" si="55"/>
        <v xml:space="preserve"> </v>
      </c>
      <c r="AK108" s="60">
        <f t="shared" ca="1" si="53"/>
        <v>0</v>
      </c>
      <c r="AL108" s="29" t="str">
        <f t="shared" ca="1" si="54"/>
        <v xml:space="preserve"> </v>
      </c>
      <c r="CB108" s="35">
        <f t="shared" ca="1" si="56"/>
        <v>6</v>
      </c>
      <c r="CC108" s="36">
        <f ca="1">IF(BM13&gt;0,0,RAND())</f>
        <v>0.17232812908933048</v>
      </c>
      <c r="CD108" s="29" t="s">
        <v>18</v>
      </c>
    </row>
    <row r="109" spans="1:82" ht="19.5" thickBot="1" x14ac:dyDescent="0.35">
      <c r="B109" s="38" t="str">
        <f ca="1">IF(AND(P6&gt;=5,O11&lt;&gt;"non-classed"),VLOOKUP(RANDBETWEEN(1,100),Table5764[],2)," ")</f>
        <v>Gauntlets of Ogre Power</v>
      </c>
      <c r="O109" s="29" t="str">
        <f ca="1">IF(AND(P6&gt;=11,O11&lt;&gt;"non-classed"),VLOOKUP(RANDBETWEEN(1,100),Table576465[],2)," ")</f>
        <v>Ring of Feather Falling</v>
      </c>
      <c r="P109" s="29" t="str">
        <f ca="1">IF(AND(P6&gt;=17,O11&lt;&gt;"non-classed"),VLOOKUP(RANDBETWEEN(1,100),Table576466[],2)," ")</f>
        <v>Weapon +3 (Bonus Above)</v>
      </c>
      <c r="AJ109" s="58" t="str">
        <f t="shared" ca="1" si="55"/>
        <v xml:space="preserve"> </v>
      </c>
      <c r="AK109" s="60">
        <f t="shared" ca="1" si="53"/>
        <v>0</v>
      </c>
      <c r="AL109" s="29" t="str">
        <f t="shared" ca="1" si="54"/>
        <v xml:space="preserve"> </v>
      </c>
      <c r="CB109" s="35">
        <f t="shared" ca="1" si="56"/>
        <v>7</v>
      </c>
      <c r="CC109" s="36">
        <f ca="1">IF(BM14&gt;0,0,RAND())</f>
        <v>9.9889674667457906E-2</v>
      </c>
      <c r="CD109" s="29" t="s">
        <v>19</v>
      </c>
    </row>
    <row r="110" spans="1:82" ht="19.5" thickBot="1" x14ac:dyDescent="0.35">
      <c r="A110" s="33"/>
      <c r="AJ110" s="58" t="str">
        <f t="shared" ca="1" si="55"/>
        <v xml:space="preserve"> </v>
      </c>
      <c r="AK110" s="60">
        <f t="shared" ca="1" si="53"/>
        <v>0</v>
      </c>
      <c r="AL110" s="29" t="str">
        <f t="shared" ca="1" si="54"/>
        <v xml:space="preserve"> </v>
      </c>
      <c r="CB110" s="35">
        <f t="shared" ca="1" si="56"/>
        <v>1</v>
      </c>
      <c r="CC110" s="36">
        <f ca="1">IF(BM16&gt;0,0,RAND())</f>
        <v>0.92211104841276581</v>
      </c>
      <c r="CD110" s="29" t="s">
        <v>21</v>
      </c>
    </row>
    <row r="111" spans="1:82" ht="30.75" thickBot="1" x14ac:dyDescent="0.45">
      <c r="B111" s="105" t="s">
        <v>1327</v>
      </c>
      <c r="AJ111" s="58" t="str">
        <f t="shared" ca="1" si="55"/>
        <v xml:space="preserve"> </v>
      </c>
      <c r="AK111" s="60">
        <f t="shared" ca="1" si="53"/>
        <v>0</v>
      </c>
      <c r="AL111" s="29" t="str">
        <f t="shared" ca="1" si="54"/>
        <v xml:space="preserve"> </v>
      </c>
      <c r="CB111" s="35">
        <f t="shared" ca="1" si="56"/>
        <v>2</v>
      </c>
      <c r="CC111" s="36">
        <f ca="1">IF(BM20&gt;0,0,RAND())</f>
        <v>0.85260777770028673</v>
      </c>
      <c r="CD111" s="29" t="s">
        <v>25</v>
      </c>
    </row>
    <row r="112" spans="1:82" x14ac:dyDescent="0.3">
      <c r="B112" s="74"/>
      <c r="C112" s="75"/>
      <c r="D112" s="75"/>
      <c r="E112" s="75"/>
      <c r="F112" s="75"/>
      <c r="G112" s="75"/>
      <c r="H112" s="75"/>
      <c r="I112" s="75"/>
      <c r="J112" s="75"/>
      <c r="K112" s="75"/>
      <c r="L112" s="75"/>
      <c r="M112" s="75"/>
      <c r="N112" s="75"/>
      <c r="O112" s="75"/>
      <c r="P112" s="76" t="s">
        <v>1124</v>
      </c>
      <c r="Q112" s="76" t="s">
        <v>1166</v>
      </c>
      <c r="R112" s="77" t="s">
        <v>1167</v>
      </c>
      <c r="AJ112" s="58" t="str">
        <f t="shared" ca="1" si="55"/>
        <v xml:space="preserve"> </v>
      </c>
      <c r="AK112" s="60">
        <f t="shared" ca="1" si="53"/>
        <v>0</v>
      </c>
      <c r="AL112" s="29" t="str">
        <f t="shared" ca="1" si="54"/>
        <v xml:space="preserve"> </v>
      </c>
    </row>
    <row r="113" spans="2:82" x14ac:dyDescent="0.3">
      <c r="B113" s="78" t="s">
        <v>1122</v>
      </c>
      <c r="C113" s="33"/>
      <c r="D113" s="33"/>
      <c r="E113" s="33"/>
      <c r="F113" s="33"/>
      <c r="G113" s="33"/>
      <c r="H113" s="33"/>
      <c r="I113" s="33"/>
      <c r="J113" s="33"/>
      <c r="K113" s="33"/>
      <c r="L113" s="33"/>
      <c r="M113" s="33"/>
      <c r="N113" s="33"/>
      <c r="O113" s="34">
        <v>1</v>
      </c>
      <c r="P113" s="33" t="str">
        <f ca="1">IF(P2="forest","Minor Illusion",IF(Q2="tiefling","Thaumaturgy",IF(P2="dark","Dancing Lights",IF(P2="high",INDEX('Spell Tables'!P242:P257,MATCH(1,('Spell Tables'!N242:N257),0))," "))))</f>
        <v>Minor Illusion</v>
      </c>
      <c r="Q113" s="33" t="str">
        <f ca="1">IF(AND($P$2="Dark",$P$6&gt;=3),"Faerie Fire (1/day)",IF(AND(Q2="tiefling",P6&gt;=3),"Hellish Rebuke (as 2nd Level - 1/day)"," "))</f>
        <v xml:space="preserve"> </v>
      </c>
      <c r="R113" s="72" t="str">
        <f ca="1">IF(AND($P$2="Dark",$P$6&gt;=5),"Darkness (1/day)",IF(AND(Q2="tiefling",P6&gt;=5),"Darkness (1/day)"," "))</f>
        <v xml:space="preserve"> </v>
      </c>
      <c r="AJ113" s="58" t="str">
        <f t="shared" ca="1" si="55"/>
        <v xml:space="preserve"> </v>
      </c>
      <c r="AK113" s="60">
        <f t="shared" ca="1" si="53"/>
        <v>0</v>
      </c>
      <c r="AL113" s="29" t="str">
        <f t="shared" ca="1" si="54"/>
        <v xml:space="preserve"> </v>
      </c>
      <c r="CB113" s="31" t="s">
        <v>738</v>
      </c>
    </row>
    <row r="114" spans="2:82" x14ac:dyDescent="0.3">
      <c r="B114" s="79">
        <f ca="1">IF(OR(P2="dark",Q2="tiefling"),8+$P$8+$N$43,IF(P2="Forest",8+$P$8+$N$41," "))</f>
        <v>14</v>
      </c>
      <c r="C114" s="33"/>
      <c r="D114" s="33"/>
      <c r="E114" s="33"/>
      <c r="F114" s="33"/>
      <c r="G114" s="33"/>
      <c r="H114" s="33"/>
      <c r="I114" s="33"/>
      <c r="J114" s="33"/>
      <c r="K114" s="33"/>
      <c r="L114" s="33"/>
      <c r="M114" s="33"/>
      <c r="N114" s="33"/>
      <c r="O114" s="34">
        <v>2</v>
      </c>
      <c r="P114" s="33"/>
      <c r="Q114" s="33"/>
      <c r="R114" s="72"/>
      <c r="CB114" s="35">
        <f t="shared" ref="CB114:CB119" ca="1" si="57">_xlfn.RANK.EQ(CC114,$CC$114:$CC$119)</f>
        <v>6</v>
      </c>
      <c r="CC114" s="36">
        <f ca="1">IF(BM8&gt;0,0,RAND())</f>
        <v>0.27005765870142373</v>
      </c>
      <c r="CD114" s="29" t="s">
        <v>13</v>
      </c>
    </row>
    <row r="115" spans="2:82" x14ac:dyDescent="0.3">
      <c r="B115" s="78" t="s">
        <v>1123</v>
      </c>
      <c r="C115" s="33"/>
      <c r="D115" s="33"/>
      <c r="E115" s="33"/>
      <c r="F115" s="33"/>
      <c r="G115" s="33"/>
      <c r="H115" s="33"/>
      <c r="I115" s="33"/>
      <c r="J115" s="33"/>
      <c r="K115" s="33"/>
      <c r="L115" s="33"/>
      <c r="M115" s="33"/>
      <c r="N115" s="33"/>
      <c r="O115" s="34">
        <v>3</v>
      </c>
      <c r="P115" s="33"/>
      <c r="Q115" s="33"/>
      <c r="R115" s="72"/>
      <c r="AJ115" s="31" t="s">
        <v>1171</v>
      </c>
      <c r="CB115" s="35">
        <f t="shared" ca="1" si="57"/>
        <v>1</v>
      </c>
      <c r="CC115" s="36">
        <f ca="1">IF(BM11&gt;0,0,RAND())</f>
        <v>0.97869748368346354</v>
      </c>
      <c r="CD115" s="29" t="s">
        <v>16</v>
      </c>
    </row>
    <row r="116" spans="2:82" ht="19.5" thickBot="1" x14ac:dyDescent="0.35">
      <c r="B116" s="80">
        <f ca="1">IF(OR(P2="dark",Q2="tiefling"),P8+$N$43,IF(P2="forest",P8+$N$41," "))</f>
        <v>6</v>
      </c>
      <c r="C116" s="38"/>
      <c r="D116" s="38"/>
      <c r="E116" s="38"/>
      <c r="F116" s="38"/>
      <c r="G116" s="38"/>
      <c r="H116" s="38"/>
      <c r="I116" s="38"/>
      <c r="J116" s="38"/>
      <c r="K116" s="38"/>
      <c r="L116" s="38"/>
      <c r="M116" s="38"/>
      <c r="N116" s="38"/>
      <c r="O116" s="38"/>
      <c r="P116" s="38"/>
      <c r="Q116" s="38"/>
      <c r="R116" s="73"/>
      <c r="AJ116" s="58" t="str">
        <f ca="1">IF(AK116=0," ",_xlfn.RANK.EQ(AK116,$AK$116:$AK$125))</f>
        <v xml:space="preserve"> </v>
      </c>
      <c r="AK116" s="60">
        <f t="shared" ref="AK116:AK125" ca="1" si="58">IF(AL116=" ", 0,RAND())</f>
        <v>0</v>
      </c>
      <c r="AL116" s="29" t="str">
        <f t="shared" ref="AL116:AL125" ca="1" si="59">R334</f>
        <v xml:space="preserve"> </v>
      </c>
      <c r="CB116" s="35">
        <f t="shared" ca="1" si="57"/>
        <v>3</v>
      </c>
      <c r="CC116" s="36">
        <f ca="1">IF(BM12&gt;0,0,RAND())</f>
        <v>0.88183555441980366</v>
      </c>
      <c r="CD116" s="29" t="s">
        <v>17</v>
      </c>
    </row>
    <row r="117" spans="2:82" ht="19.5" thickBot="1" x14ac:dyDescent="0.35">
      <c r="AJ117" s="58" t="str">
        <f t="shared" ref="AJ117:AJ125" ca="1" si="60">IF(AK117=0," ",_xlfn.RANK.EQ(AK117,$AK$116:$AK$125))</f>
        <v xml:space="preserve"> </v>
      </c>
      <c r="AK117" s="60">
        <f t="shared" ca="1" si="58"/>
        <v>0</v>
      </c>
      <c r="AL117" s="29" t="str">
        <f t="shared" ca="1" si="59"/>
        <v xml:space="preserve"> </v>
      </c>
      <c r="CB117" s="35">
        <f t="shared" ca="1" si="57"/>
        <v>5</v>
      </c>
      <c r="CC117" s="36">
        <f ca="1">IF(BM14&gt;0,0,RAND())</f>
        <v>0.33622446393385352</v>
      </c>
      <c r="CD117" s="29" t="s">
        <v>19</v>
      </c>
    </row>
    <row r="118" spans="2:82" ht="30.75" thickBot="1" x14ac:dyDescent="0.45">
      <c r="B118" s="105" t="s">
        <v>1334</v>
      </c>
      <c r="AJ118" s="58" t="str">
        <f t="shared" ca="1" si="60"/>
        <v xml:space="preserve"> </v>
      </c>
      <c r="AK118" s="60">
        <f t="shared" ca="1" si="58"/>
        <v>0</v>
      </c>
      <c r="AL118" s="29" t="str">
        <f t="shared" ca="1" si="59"/>
        <v xml:space="preserve"> </v>
      </c>
      <c r="CB118" s="35">
        <f t="shared" ca="1" si="57"/>
        <v>2</v>
      </c>
      <c r="CC118" s="36">
        <f ca="1">IF(BM15&gt;0,0,RAND())</f>
        <v>0.94251782853354449</v>
      </c>
      <c r="CD118" s="29" t="s">
        <v>20</v>
      </c>
    </row>
    <row r="119" spans="2:82" x14ac:dyDescent="0.3">
      <c r="B119" s="79"/>
      <c r="C119" s="27"/>
      <c r="D119" s="27"/>
      <c r="E119" s="27"/>
      <c r="F119" s="27"/>
      <c r="G119" s="27"/>
      <c r="H119" s="27"/>
      <c r="I119" s="27"/>
      <c r="J119" s="27"/>
      <c r="K119" s="27"/>
      <c r="L119" s="27"/>
      <c r="M119" s="27"/>
      <c r="N119" s="27"/>
      <c r="O119" s="27"/>
      <c r="P119" s="76" t="s">
        <v>1124</v>
      </c>
      <c r="Q119" s="76" t="s">
        <v>1166</v>
      </c>
      <c r="R119" s="76" t="s">
        <v>1167</v>
      </c>
      <c r="S119" s="76" t="s">
        <v>1168</v>
      </c>
      <c r="T119" s="77" t="s">
        <v>676</v>
      </c>
      <c r="AJ119" s="58" t="str">
        <f t="shared" ca="1" si="60"/>
        <v xml:space="preserve"> </v>
      </c>
      <c r="AK119" s="60">
        <f t="shared" ca="1" si="58"/>
        <v>0</v>
      </c>
      <c r="AL119" s="29" t="str">
        <f t="shared" ca="1" si="59"/>
        <v xml:space="preserve"> </v>
      </c>
      <c r="CB119" s="35">
        <f t="shared" ca="1" si="57"/>
        <v>4</v>
      </c>
      <c r="CC119" s="36">
        <f ca="1">IF(BM20&gt;0,0,RAND())</f>
        <v>0.72033639060883503</v>
      </c>
      <c r="CD119" s="29" t="s">
        <v>25</v>
      </c>
    </row>
    <row r="120" spans="2:82" x14ac:dyDescent="0.3">
      <c r="B120" s="78" t="str">
        <f ca="1">IF(P15="way of the four elements","Way of the Four Elements",IF(AND(O11="wizard",O12&gt;=20),"Signature Spell",IF(AND($O$11="paladin",$O$12&gt;=3),"Oath Spells",IF(AND($P$15="moon",$O$12&gt;=14),"Thousand Forms",IF($P$15="way of the shadow","Shadow Arts",IF(AND($O$11="druid",$P$15="land"),"Land Circle Spells",IF($O$11="cleric","Domain Spells",IF($O$11="bard","Magical Secrets",IF($P$15="path of the totem warrior","Totem Warrior Spells",IF(AND($O$11="warlock",$O$12&gt;=2),"Mystic Arcanum and Invocation",IF($P$15="arcane trickster","4th,8th,14th,20th non E&amp;I spells",IF($P$15="eldritch knight","4th,8th,14th,20th non A&amp;E spells"," "))))))))))))</f>
        <v xml:space="preserve"> </v>
      </c>
      <c r="C120" s="33"/>
      <c r="D120" s="33"/>
      <c r="E120" s="33"/>
      <c r="F120" s="33"/>
      <c r="G120" s="33"/>
      <c r="H120" s="33"/>
      <c r="I120" s="33"/>
      <c r="J120" s="33"/>
      <c r="K120" s="33"/>
      <c r="L120" s="33"/>
      <c r="M120" s="33"/>
      <c r="N120" s="33"/>
      <c r="O120" s="34">
        <v>1</v>
      </c>
      <c r="P120" s="33" t="str">
        <f ca="1">IF($O$16="pact of the tome",INDEX('Spell Tables'!$BD$19:$BD$37,MATCH(1,('Spell Tables'!$BB$19:$BB$37),0)),IF($P$15="way of the shadow","Minor Illusion (free)",IF($P$15="land",INDEX('Spell Tables'!P48:P55,MATCH(8,('Spell Tables'!N48:N55),0)),IF($P$15="nature",INDEX('Spell Tables'!P48:P55,MATCH(6,('Spell Tables'!N48:N55),0)),IF($P$15="light","Light",IF(AND($O$11="bard",AL191="c"),INDEX('Spell Tables'!$BD$2:$BD$16,MATCH(10,('Spell Tables'!$BB$2:$BB$16),0))," "))))))</f>
        <v xml:space="preserve"> </v>
      </c>
      <c r="Q120" s="33" t="str">
        <f ca="1">IF(COUNTIF(P18:P21,"*"&amp;"Fist of Four Thunders"&amp;"*"),"Thunderwave (2 ki)",IF(COUNTIF($O$18:$O$25,"*"&amp;"armor of shadows"&amp;"*"),"Mage Armor*",IF($P$15="oath of vengeance","Bane",IF($P$15="Oath of the Ancients","Ensnaring Strike",IF($P$15="Oath of Devotion","Protection from Good and Evil",IF(AND($P$15="war",$O$12&gt;=1),"Divine Favor",IF(AND($P$15="Trickery",$O$12&gt;=1),"Charm Person",IF(AND($P$15="tempest",$O$12&gt;=1),"Fog Cloud",IF(AND($P$15="nature",$O$12&gt;=1),"Animal Friendship",IF(AND($P$15="light",$O$12&gt;=1),"Burning Hands",IF($P$15="life","Bless",IF($P$15="knowledge","Command",IF(AND($O$11="bard",AL155=1),INDEX('Spell Tables'!$BH$2:$BH$41,MATCH($O$120,('Spell Tables'!$BF$2:$BF$41),0)),IF($P$15="arcane trickster",INDEX('Spell Tables'!$X$141:$X$163,MATCH(O120,('Spell Tables'!$V$141:$V$163),0)),IF($P$15="path of the totem warrior","Speak with Animals (as ritual)",IF($P$15="eldritch knight",INDEX('Spell Tables'!$X$70:$X$90,MATCH($O$120,('Spell Tables'!$V$70:$V$90),0))," "))))))))))))))))</f>
        <v xml:space="preserve"> </v>
      </c>
      <c r="R120" s="33" t="str">
        <f ca="1">IF(COUNTIF(P18:P21,"*"&amp;"Clench of the North Wind"&amp;"*"),"Hold Person (3 ki)",IF(COUNTIF(P18:P21,"*"&amp;"Clench of the North Wind"&amp;"*"),"Hold Person (3 ki)",IF(COUNTIF(O18:O25,"*"&amp;"ascendant step"&amp;"*"),"Levitate*",IF(AND(P15="oath of vengeance",O12&gt;=5),"Hold Person",IF(AND(P15="Oath of the Ancients",O12&gt;=5),"Moonbeam",IF(AND(P15="Oath of Devotion",O12&gt;=5),"Lesser Restoration",IF(AND(P15="moon",O12&gt;=14),"Alter Self",IF(P15="Way of the Shadow","Darkness",IF(AND($P$20="Underdark",$O$12&gt;=3),"Spider Climb",IF(AND($P$20="Swamp",$O$12&gt;=3),"Darkness",IF(AND($P$20="Mountain",$O$12&gt;=3),"Spider Climb",IF(AND($P$20="Grassland",$O$12&gt;=3),"Invisibility",IF(AND($P$20="Forest",$O$12&gt;=3),"Barkskin",IF(AND($P$20="Desert",$O$12&gt;=3),"Blur",IF(AND($P$20="Coast",$O$12&gt;=3),"Mirror Image",IF(AND($P$20="arctic",$O$12&gt;=3),"Hold Person",IF(AND(P15="war",O12&gt;=3),"Magic Weapon",IF(AND(P15="Trickery",O12&gt;=3),"Mirror Image",IF(AND(P15="tempest",O12&gt;=3),"Gust of Wind",IF(AND(P15="nature",O12&gt;=3),"Barkskin",IF(AND(P15="light",O12&gt;=3),"Flaming Sphere",IF(AND(P15="Life",O12&gt;=3),"Lesser Restoration",IF(AND(P15="knowledge",O12&gt;=3),"Augury",IF(AND(O11="bard",AL155=2),INDEX('Spell Tables'!BL2:BL37,MATCH(O120,('Spell Tables'!BJ2:BJ37),0)),IF(P15="path of the totem warrior","Beast Sense (as ritual)",IF(AND(P15="eldritch knight",O12&gt;=8),INDEX('Spell Tables'!AF70:AF94,MATCH(#REF!,('Spell Tables'!AD70:AD94),0)),IF(AND(P15="arcane trickster",O12&gt;=8),INDEX('Spell Tables'!AF141:AF165,MATCH(#REF!,('Spell Tables'!AD141:AD165),0))," ")))))))))))))))))))))))))))</f>
        <v xml:space="preserve"> </v>
      </c>
      <c r="S120" s="33" t="str">
        <f ca="1">IF(COUNTIF(P18:P21,"*"&amp;"Mist Stance"&amp;"*"),"Gaseous Form (4 ki)",IF(AND($O$11="wizard",O12&gt;=20),INDEX('Spell Tables'!$AB$242:$AB$270,MATCH(29,('Spell Tables'!$Z$242:$Z$270),0)),IF(COUNTIF(O18:O25,"*"&amp;"mire the mind"&amp;"*"),"Slow**",IF(AND(P15="oath of vengeance",O12&gt;=9),"Haste",IF(AND(P15="Oath of the Ancients",O12&gt;=9),"Plant Growth",IF(AND(P15="Oath of Devotion",O12&gt;=9),"Beacon of Hope",IF(AND($P$20="Underdark",$O$12&gt;=5),"Gaseous Form",IF(AND($P$20="Swamp",$O$12&gt;=5),"Water Walk",IF(AND($P$20="Mountain",$O$12&gt;=5),"Lightning Bolt",IF(AND($P$20="Grassland",$O$12&gt;=5),"Daylight",IF(AND($P$20="Forest",$O$12&gt;=5),"Call Lightning",IF(AND($P$20="Desert",$O$12&gt;=5),"Create Food and Water",IF(AND($P$20="Coast",$O$12&gt;=5),"Water Breathing",IF(AND($P$20="arctic",$O$12&gt;=5),"Sleet Storm",IF(AND(P15="war",O12&gt;=5),"Crusader's Mantle",IF(AND(P15="trickery",O12&gt;=5),"Blink",IF(AND(P15="tempest",O12&gt;=5),"Call Lightning",IF(AND(P15="nature",O12&gt;=5),"Plant Growth",IF(AND(P15="light",O12&gt;=5),"Daylight",IF(AND(P15="life",O12&gt;=5),"Beacon of Hope",IF(AND(P15="knowledge",O12&gt;=5),"Nondetection",IF(AND(O11="bard",AL155=3),INDEX('Spell Tables'!BP2:BP35,MATCH(O120,('Spell Tables'!BN2:BN35),0)),IF(AND(P15="arcane trickster",O12&gt;=14),INDEX('Spell Tables'!AN141:AN165,MATCH(O120,('Spell Tables'!AL141:AL165),0)),IF(AND(P15="eldritch knight",O12&gt;=14),INDEX('Spell Tables'!AN70:AN88,MATCH(O120,('Spell Tables'!AL70:AL88),0))," "))))))))))))))))))))))))</f>
        <v xml:space="preserve"> </v>
      </c>
      <c r="T120" s="72" t="str">
        <f ca="1">IF(COUNTIF(P18:P21,"*"&amp;"Eternal Mountain Defense"&amp;"*"),"Stoneskin (5 ki)",IF(COUNTIF(O18:O25,"*"&amp;"bewitching whispers"&amp;"*"),"Compulsion**",IF(AND(P15="oath of vengeance",O12&gt;=13),"Banishment",IF(AND(P15="Oath of the Ancients",O12&gt;=13),"Ice Storm",IF(AND(P15="Oath of Devotion",O12&gt;=13),"Freedom of Movement",IF(AND($P$20="Underdark",$O$12&gt;=7),"Greater Invisibility",IF(AND($P$20="Swamp",$O$12&gt;=7),"Freedom of Movement",IF(AND($P$20="Mountain",$O$12&gt;=7),"Stone Shape",IF(AND($P$20="Grassland",$O$12&gt;=7),"Divination",IF(AND($P$20="Forest",$O$12&gt;=7),"Divination",IF(AND($P$20="Desert",$O$12&gt;=7),"Blight",IF(AND($P$20="Coast",$O$12&gt;=7),"Control Water",IF(AND($P$20="arctic",$O$12&gt;=7),"Freedom of Movement",IF(AND(P15="war",O12&gt;=7),"Freedom of Movement",IF(AND(P15="trickery",O12&gt;=7),"Dimension Door",IF(AND(P15="tempest",O12&gt;=7),"Control Water",IF(AND(P15="nature",O12&gt;=7),"Dominate Beast",IF(AND(P15="light",O12&gt;=7),"Guardian of Faith",IF(AND(P15="life",O12&gt;=7),"Death Ward",IF(AND(P15="knowledge",O12&gt;=7),"Arcane Eye",IF(AND(O11="bard",AL155=4),INDEX('Spell Tables'!BT2:BT29,MATCH(O120,('Spell Tables'!BR2:BR29),0)),IF(AND(P15="arcane trickster",O12&gt;=20),INDEX('Spell Tables'!AV141:AV159,MATCH(O120,('Spell Tables'!AT141:AT159),0)),IF(AND(P15="eldritch knight",O12&gt;=20),INDEX('Spell Tables'!AV70:AV86,MATCH(O120,('Spell Tables'!AT70:AT86),0))," ")))))))))))))))))))))))</f>
        <v xml:space="preserve"> </v>
      </c>
      <c r="AJ120" s="58" t="str">
        <f t="shared" ca="1" si="60"/>
        <v xml:space="preserve"> </v>
      </c>
      <c r="AK120" s="60">
        <f t="shared" ca="1" si="58"/>
        <v>0</v>
      </c>
      <c r="AL120" s="29" t="str">
        <f t="shared" ca="1" si="59"/>
        <v xml:space="preserve"> </v>
      </c>
    </row>
    <row r="121" spans="2:82" x14ac:dyDescent="0.3">
      <c r="B121" s="79" t="str">
        <f ca="1">IF(P15="way of the four elements","Elemental Disciplines - cost Ki",IF(AND(O11="wizard",O12&gt;=20),"Always Prepared",IF(AND($O$11="warlock",$O$12&gt;=2),"* = at will - no slot use",IF($P$15="land",$P$20," "))))</f>
        <v xml:space="preserve"> </v>
      </c>
      <c r="C121" s="33"/>
      <c r="D121" s="33"/>
      <c r="E121" s="33"/>
      <c r="F121" s="33"/>
      <c r="G121" s="33"/>
      <c r="H121" s="33"/>
      <c r="I121" s="33"/>
      <c r="J121" s="33"/>
      <c r="K121" s="33"/>
      <c r="L121" s="33"/>
      <c r="M121" s="33"/>
      <c r="N121" s="33"/>
      <c r="O121" s="34">
        <v>2</v>
      </c>
      <c r="P121" s="33" t="str">
        <f ca="1">IF($O$16="pact of the tome",INDEX('Spell Tables'!$BD$19:$BD$37,MATCH(2,('Spell Tables'!$BB$19:$BB$37),0)),IF(AND($O$11="bard",AL192="c"),INDEX('Spell Tables'!$BD$2:$BD$16,MATCH(11,('Spell Tables'!$BB$2:$BB$16),0))," "))</f>
        <v xml:space="preserve"> </v>
      </c>
      <c r="Q121" s="33" t="str">
        <f ca="1">IF(COUNTIF(P18:P21,"*"&amp;"Sweeping Cinder Strike"&amp;"*"),"Burning Hands (2 ki)",IF(COUNTIF(O18:O25,"*"&amp;"beast speech"&amp;"*"),"Speak with Animals*",IF(P15="Oath of the Ancients","Speak with Animals",IF(P15="Oath of vengeance","Hunter's Mark",IF(P15="Oath of Devotion","Sanctuary",IF(AND(P15="war",O12&gt;=1),"Shield of Faith",IF(AND(P15="trickery",O12&gt;=1),"Disguise Self",IF(AND(P15="tempest",O12&gt;=1),"Thunderwave",IF(AND(P15="Nature",O12&gt;=1),"Speak with Animals",IF(AND(P15="light",O12&gt;=1),"Faerie Fire",IF(P15="life","Cure Wounds",IF(P15="knowledge","Identify",IF(AND($O$11="bard",AL156=1),INDEX('Spell Tables'!$BH$2:$BH$41,MATCH(O121,('Spell Tables'!$BF$2:$BF$41),0))," ")))))))))))))</f>
        <v xml:space="preserve"> </v>
      </c>
      <c r="R121" s="33" t="str">
        <f ca="1">IF(COUNTIF(P18:P21,"*"&amp;"Gong of the Summit"&amp;"*"),"Shatter (3 ki)",IF(COUNTIF(O18:O25,"*"&amp;"master of myriad forms"&amp;"*"),"Alter Self*",IF(AND(P15="oath of vengeance",O12&gt;=5),"Misty Step",IF(AND(P15="Oath of the Ancients",O12&gt;=5),"Misty Step",IF(AND(P15="Oath of Devotion",O12&gt;=5),"Zone of Truth",IF(P15="way of the shadow","Darkvision",IF(AND($P$20="Underdark",$O$12&gt;=3),"Web",IF(AND($P$20="Swamp",$O$12&gt;=3),"Melf's Acid Arrow",IF(AND($P$20="Mountain",$O$12&gt;=3),"Spike Growth",IF(AND($P$20="Grassland",$O$12&gt;=3),"Pass Without Trace",IF(AND($P$20="Forest",$O$12&gt;=3),"Spider Climb",IF(AND($P$20="Desert",$O$12&gt;=3),"Silence",IF(AND($P$20="Coast",$O$12&gt;=3),"Misty Step",IF(AND($P$20="arctic",$O$12&gt;=3),"Spike Growth",IF(AND(P15="war",O12&gt;=3),"Spiritual Weapon",IF(AND(P15="trickery",O12&gt;=3),"Pass Without Trace",IF(AND(P15="tempest",O12&gt;=3),"Shatter",IF(AND(P15="nature",O12&gt;=3),"Spike Growth",IF(AND(P15="light",O12&gt;=3),"Scorching Ray",IF(AND(P15="life",O12&gt;=3),"Spiritual Weapon",IF(AND(P15="knowledge",O12&gt;=3),"Suggestion",IF(AND($O$11="bard",AL156=2),INDEX('Spell Tables'!$BL$2:$BL$37,MATCH(O121,('Spell Tables'!$BJ$2:$BJ$37),0))," "))))))))))))))))))))))</f>
        <v xml:space="preserve"> </v>
      </c>
      <c r="S121" s="33" t="str">
        <f ca="1">IF(COUNTIF(P18:P21,"*"&amp;"Ride the Wind"&amp;"*"),"Fly (4 ki)",IF(AND($O$11="wizard",O12&gt;=20),INDEX('Spell Tables'!$AB$242:$AB$270,MATCH(28,('Spell Tables'!$Z$242:$Z$270),0)),IF(COUNTIF(O18:O25,"*"&amp;"sign of ill omen"&amp;"*"),"Bestow Curse**",IF(AND(P15="oath of vengeance",O12&gt;=9),"Protection from Energy",IF(AND(P15="Oath of the Ancients",O12&gt;=9),"Protection from Energy",IF(AND(P15="Oath of Devotion",O12&gt;=9),"Dispel Magic",IF(AND($P$20="Underdark",$O$12&gt;=5),"Stinking Cloud",IF(AND($P$20="Swamp",$O$12&gt;=5),"Stinking Cloud",IF(AND($P$20="Mountain",$O$12&gt;=5),"Meld Into Stone",IF(AND($P$20="Grassland",$O$12&gt;=5),"Haste",IF(AND($P$20="Forest",$O$12&gt;=5),"Plant Growth",IF(AND($P$20="Desert",$O$12&gt;=5),"Protection from Energy",IF(AND($P$20="Coast",$O$12&gt;=5),"Water Walk",IF(AND($P$20="arctic",$O$12&gt;=5),"Slow",IF(AND(P15="war",O12&gt;=5),"Spirit Guardians",IF(AND(P15="trickery",O12&gt;=5),"Dispel Magic",IF(AND(P15="Tempest",O12&gt;=5),"Sleet Storm",IF(AND(P15="nature",O12&gt;=5),"Wind Wall",IF(AND(P15="light",O12&gt;=5),"Fireball",IF(AND(P15="life",O12&gt;=5),"Revivify",IF(AND(P15="knowledge",O12&gt;=5),"Speak with Dead",IF(AND($O$11="bard",AL156=3),INDEX('Spell Tables'!$BP$2:$BP$35,MATCH(O121,('Spell Tables'!$BN$2:$BN$35),0))," "))))))))))))))))))))))</f>
        <v xml:space="preserve"> </v>
      </c>
      <c r="T121" s="72" t="str">
        <f ca="1">IF(COUNTIF(P18:P21,"*"&amp;"River of Hungry Flame"&amp;"*"),"Wall of Fire (5 ki)",IF(COUNTIF(O18:O25,"*"&amp;"Dreadful word"&amp;"*"),"Confusion**",IF(AND(P15="oath of vengeance",O12&gt;=13),"Dimension Door",IF(AND(P15="Oath of the Ancients",O12&gt;=13),"Stoneskin",IF(AND(P15="Oath of Devotion",O12&gt;=13),"Guardian of Faith",IF(AND($P$20="Underdark",$O$12&gt;=7),"Stone Shape",IF(AND($P$20="Swamp",$O$12&gt;=7),"Locate Creature",IF(AND($P$20="Mountain",$O$12&gt;=7),"Stonekin",IF(AND($P$20="Grassland",$O$12&gt;=7),"Freedom of Movement",IF(AND($P$20="Forest",$O$12&gt;=7),"Freedom of Movement",IF(AND($P$20="Desert",$O$12&gt;=7),"Hallucinatory Terrain",IF(AND($P$20="Coast",$O$12&gt;=7),"Freedom of Movement",IF(AND($P$20="arctic",$O$12&gt;=7),"Ice Storm",IF(AND(P15="war",O12&gt;=7),"Stoneskin",IF(AND(P15="trickery",O12&gt;=7),"Polymorph",IF(AND(P15="tempest",O12&gt;=7),"Ice Storm",IF(AND(P15="nature",O12&gt;=7),"Grasping Vine",IF(AND(P15="light",O12&gt;=7),"Wall of Fire",IF(AND(P15="life",O12&gt;=7),"Guardian of Faith",IF(AND(P15="knowledge",O12&gt;=7),"Confusion",IF(AND($O$11="bard",AL156=4),INDEX('Spell Tables'!$BT$2:$BT$29,MATCH(O121,('Spell Tables'!$BR$2:$BR$29),0))," ")))))))))))))))))))))</f>
        <v xml:space="preserve"> </v>
      </c>
      <c r="AJ121" s="58" t="str">
        <f t="shared" ca="1" si="60"/>
        <v xml:space="preserve"> </v>
      </c>
      <c r="AK121" s="60">
        <f t="shared" ca="1" si="58"/>
        <v>0</v>
      </c>
      <c r="AL121" s="29" t="str">
        <f t="shared" ca="1" si="59"/>
        <v xml:space="preserve"> </v>
      </c>
    </row>
    <row r="122" spans="2:82" x14ac:dyDescent="0.3">
      <c r="B122" s="79" t="str">
        <f ca="1">IF(AND(O11="wizard",O12&gt;=20),"Cast once at 3rd level - no slot use",IF(AND($O$11="warlock",$O$12&gt;=2),"** = once per long rest - uses slot",IF(AND($O$11="paladin",$O$12&gt;=3),"Free Preparation",IF(AND($P$15="moon",$O$12&gt;=14),"At Will",IF($P$15="way of the shadow","Cost 2 Ki Points",IF(OR($P$15="land",$O$11="cleric"),"Free Preparation",IF(AND($O$11="bard",$O$12&gt;=10),"Count Toward Known"," ")))))))</f>
        <v xml:space="preserve"> </v>
      </c>
      <c r="C122" s="33"/>
      <c r="D122" s="33"/>
      <c r="E122" s="33"/>
      <c r="F122" s="33"/>
      <c r="G122" s="33"/>
      <c r="H122" s="33"/>
      <c r="I122" s="33"/>
      <c r="J122" s="33"/>
      <c r="K122" s="33"/>
      <c r="L122" s="33"/>
      <c r="M122" s="33"/>
      <c r="N122" s="33"/>
      <c r="O122" s="34">
        <v>3</v>
      </c>
      <c r="P122" s="33" t="str">
        <f ca="1">IF($O$16="pact of the tome",INDEX('Spell Tables'!$BD$19:$BD$37,MATCH(3,('Spell Tables'!$BB$19:$BB$37),0))," ")</f>
        <v xml:space="preserve"> </v>
      </c>
      <c r="Q122" s="29" t="str">
        <f ca="1">IF(COUNTIF(O18:O25,"*"&amp;"eldritch sight"&amp;"*"),"Detect Magic*",IF(AND($O$11="bard",AL191=1),INDEX('Spell Tables'!$BH$2:$BH$41,MATCH(O122,('Spell Tables'!$BF$2:$BF$41),0))," "))</f>
        <v xml:space="preserve"> </v>
      </c>
      <c r="R122" s="33" t="str">
        <f ca="1">IF(COUNTIF(P18:P21,"*"&amp;"Rush of the Gale Spirits"&amp;"*"),"Gust of Wind (2 ki)",IF(P15="way of the shadow","Pass Without Trace",IF(AND($O$11="bard",AL191=2),INDEX('Spell Tables'!$BL$2:$BL$37,MATCH(O122,('Spell Tables'!$BJ$2:$BJ$37),0))," ")))</f>
        <v xml:space="preserve"> </v>
      </c>
      <c r="S122" s="33" t="str">
        <f ca="1">IF(COUNTIF(O18:O25,"*"&amp;"whispers of the grave"&amp;"*"),"Speak with Dead*",IF(AND($O$11="bard",AL191=3),INDEX('Spell Tables'!$BP$2:$BP$35,MATCH(O122,('Spell Tables'!$BN$2:$BN$35),0))," "))</f>
        <v xml:space="preserve"> </v>
      </c>
      <c r="T122" s="72" t="str">
        <f ca="1">IF(COUNTIF(O18:O25,"*"&amp;"Sculptor of Flesh"&amp;"*"),"Polymorph**"," ")</f>
        <v xml:space="preserve"> </v>
      </c>
      <c r="AJ122" s="58" t="str">
        <f t="shared" ca="1" si="60"/>
        <v xml:space="preserve"> </v>
      </c>
      <c r="AK122" s="60">
        <f t="shared" ca="1" si="58"/>
        <v>0</v>
      </c>
      <c r="AL122" s="29" t="str">
        <f t="shared" ca="1" si="59"/>
        <v xml:space="preserve"> </v>
      </c>
    </row>
    <row r="123" spans="2:82" x14ac:dyDescent="0.3">
      <c r="B123" s="79" t="str">
        <f ca="1">IF(AND($O$11="warlock",$O$12&gt;=2),"6th level and up = *"," ")</f>
        <v xml:space="preserve"> </v>
      </c>
      <c r="O123" s="81">
        <v>4</v>
      </c>
      <c r="Q123" s="29" t="str">
        <f ca="1">IF(COUNTIF(O18:O25,"*"&amp;"fiendish vigor"&amp;"*"),"False Life*",IF(AND($O$11="bard",AL192=1),INDEX('Spell Tables'!$BH$2:$BH$41,MATCH(O123,('Spell Tables'!$BF$2:$BF$41),0))," "))</f>
        <v xml:space="preserve"> </v>
      </c>
      <c r="R123" s="29" t="str">
        <f ca="1">IF(P15="way of the shadow","Silence",IF(AND($O$11="bard",AL192=2),INDEX('Spell Tables'!$BL$2:$BL$37,MATCH(O123,('Spell Tables'!$BJ$2:$BJ$37),0))," "))</f>
        <v xml:space="preserve"> </v>
      </c>
      <c r="S123" s="29" t="str">
        <f ca="1">IF(AND($O$11="bard",AL192=3),INDEX('Spell Tables'!$BP$2:$BP$35,MATCH(O123,('Spell Tables'!$BN$2:$BN$35),0))," ")</f>
        <v xml:space="preserve"> </v>
      </c>
      <c r="T123" s="72" t="str">
        <f ca="1">IF(COUNTIF(O18:O25,"*"&amp;"visions of distant realms"&amp;"*"),"Arcane Eye*"," ")</f>
        <v xml:space="preserve"> </v>
      </c>
      <c r="AJ123" s="58" t="str">
        <f t="shared" ca="1" si="60"/>
        <v xml:space="preserve"> </v>
      </c>
      <c r="AK123" s="60">
        <f t="shared" ca="1" si="58"/>
        <v>0</v>
      </c>
      <c r="AL123" s="29" t="str">
        <f t="shared" ca="1" si="59"/>
        <v xml:space="preserve"> </v>
      </c>
    </row>
    <row r="124" spans="2:82" x14ac:dyDescent="0.3">
      <c r="B124" s="79"/>
      <c r="O124" s="81">
        <v>5</v>
      </c>
      <c r="Q124" s="29" t="str">
        <f ca="1">IF(COUNTIF(O18:O25,"*"&amp;"Mask of many faces"&amp;"*"),"Disguise Self*","")</f>
        <v/>
      </c>
      <c r="T124" s="72"/>
      <c r="AJ124" s="58" t="str">
        <f t="shared" ca="1" si="60"/>
        <v xml:space="preserve"> </v>
      </c>
      <c r="AK124" s="60">
        <f t="shared" ca="1" si="58"/>
        <v>0</v>
      </c>
      <c r="AL124" s="29" t="str">
        <f t="shared" ca="1" si="59"/>
        <v xml:space="preserve"> </v>
      </c>
    </row>
    <row r="125" spans="2:82" x14ac:dyDescent="0.3">
      <c r="B125" s="79"/>
      <c r="O125" s="81">
        <v>6</v>
      </c>
      <c r="Q125" s="29" t="str">
        <f ca="1">IF(COUNTIF(O18:O25,"*"&amp;"misty vision"&amp;"*"),"Silent Image*"," " )</f>
        <v xml:space="preserve"> </v>
      </c>
      <c r="T125" s="72"/>
      <c r="AJ125" s="58" t="str">
        <f t="shared" ca="1" si="60"/>
        <v xml:space="preserve"> </v>
      </c>
      <c r="AK125" s="60">
        <f t="shared" ca="1" si="58"/>
        <v>0</v>
      </c>
      <c r="AL125" s="29" t="str">
        <f t="shared" ca="1" si="59"/>
        <v xml:space="preserve"> </v>
      </c>
    </row>
    <row r="126" spans="2:82" x14ac:dyDescent="0.3">
      <c r="B126" s="79"/>
      <c r="O126" s="81">
        <v>7</v>
      </c>
      <c r="Q126" s="29" t="str">
        <f ca="1">IF(COUNTIF(O18:O25,"*"&amp;"otherworldly leap"&amp;"*"),"Jump*"," ")</f>
        <v xml:space="preserve"> </v>
      </c>
      <c r="T126" s="72"/>
    </row>
    <row r="127" spans="2:82" x14ac:dyDescent="0.3">
      <c r="B127" s="79"/>
      <c r="O127" s="81">
        <v>8</v>
      </c>
      <c r="Q127" s="29" t="str">
        <f ca="1">IF(COUNTIF(O18:O25,"*"&amp;"Thief of five fates"&amp;"*"),"Bane**"," ")</f>
        <v xml:space="preserve"> </v>
      </c>
      <c r="T127" s="72"/>
      <c r="AJ127" s="31" t="s">
        <v>677</v>
      </c>
    </row>
    <row r="128" spans="2:82" x14ac:dyDescent="0.3">
      <c r="B128" s="79" t="str">
        <f ca="1">IF(AND($O$16="pact of the tome",COUNTIF($O$13:$O$13,"*"&amp;"book of ancient secrets"&amp;"*")),"Book of Ancient Secrets"," ")</f>
        <v xml:space="preserve"> </v>
      </c>
      <c r="O128" s="81">
        <v>9</v>
      </c>
      <c r="Q128" s="29" t="str">
        <f ca="1">IF(AND(O16="pact of the tome",COUNTIF(O18:O25,"*"&amp;"book of ancient secrets"&amp;"*")),INDEX('Spell Tables'!BD40:BD46,MATCH(1,('Spell Tables'!BB40:BB46),0))," ")</f>
        <v xml:space="preserve"> </v>
      </c>
      <c r="T128" s="72"/>
      <c r="AJ128" s="58" t="str">
        <f ca="1">IF(AK128=0," ",_xlfn.RANK.EQ(AK128,$AK$128:$AK$137))</f>
        <v xml:space="preserve"> </v>
      </c>
      <c r="AK128" s="60">
        <f t="shared" ref="AK128:AK137" ca="1" si="61">IF(AL128=" ", 0,RAND())</f>
        <v>0</v>
      </c>
      <c r="AL128" s="29" t="str">
        <f t="shared" ref="AL128:AL137" ca="1" si="62">S334</f>
        <v xml:space="preserve"> </v>
      </c>
    </row>
    <row r="129" spans="1:38" ht="19.5" thickBot="1" x14ac:dyDescent="0.35">
      <c r="B129" s="80" t="str">
        <f ca="1">IF($O$16="pact of the chain",$O$16,IF(OR(P129="minor illusion",S129="animate dead",T129="polymorph"),"School Spells - in Spellbook"," "))</f>
        <v xml:space="preserve"> </v>
      </c>
      <c r="C129" s="38"/>
      <c r="D129" s="38"/>
      <c r="E129" s="38"/>
      <c r="F129" s="38"/>
      <c r="G129" s="38"/>
      <c r="H129" s="38"/>
      <c r="I129" s="38"/>
      <c r="J129" s="38"/>
      <c r="K129" s="38"/>
      <c r="L129" s="38"/>
      <c r="M129" s="38"/>
      <c r="N129" s="38"/>
      <c r="O129" s="82">
        <v>10</v>
      </c>
      <c r="P129" s="38" t="str">
        <f ca="1">IF(AND(P15="school of Illusion",COUNTIF(P315:P324,"*"&amp;"Minor Illusion"&amp;"*"))," ",IF(P15="school of illusion","Minor Illusion"," "))</f>
        <v xml:space="preserve"> </v>
      </c>
      <c r="Q129" s="38" t="str">
        <f ca="1">IF(AND(O16="pact of the tome",COUNTIF(O18:O25,"*"&amp;"book of ancient secrets"&amp;"*")),INDEX('Spell Tables'!BD40:BD46,MATCH(2,('Spell Tables'!BB40:BB46),0)),IF(O16="pact of the chain","Find Familiar (as ritual)"," "))</f>
        <v xml:space="preserve"> </v>
      </c>
      <c r="R129" s="38"/>
      <c r="S129" s="38" t="str">
        <f ca="1">IF(AND(P15="school of necromancy",O12&gt;=6,COUNTIF(S315:S324,"*"&amp;"Animate Dead"&amp;"*"))," ",IF(AND(P15="school of necromancy",O12&gt;=6),"Animate Dead"," "))</f>
        <v xml:space="preserve"> </v>
      </c>
      <c r="T129" s="73" t="str">
        <f ca="1">IF(AND(P15="school of transmutation",O12&gt;=10,COUNTIF(T315:T324,"*"&amp;"Polymorph"&amp;"*"))," ",IF(AND(P15="school of transmutation",O12&gt;=6),"Polymorph"," "))</f>
        <v xml:space="preserve"> </v>
      </c>
      <c r="AJ129" s="58" t="str">
        <f t="shared" ref="AJ129:AJ137" ca="1" si="63">IF(AK129=0," ",_xlfn.RANK.EQ(AK129,$AK$128:$AK$137))</f>
        <v xml:space="preserve"> </v>
      </c>
      <c r="AK129" s="60">
        <f t="shared" ca="1" si="61"/>
        <v>0</v>
      </c>
      <c r="AL129" s="29" t="str">
        <f t="shared" ca="1" si="62"/>
        <v xml:space="preserve"> </v>
      </c>
    </row>
    <row r="130" spans="1:38" x14ac:dyDescent="0.3">
      <c r="A130" s="33"/>
      <c r="B130" s="27"/>
      <c r="AJ130" s="58" t="str">
        <f t="shared" ca="1" si="63"/>
        <v xml:space="preserve"> </v>
      </c>
      <c r="AK130" s="60">
        <f t="shared" ca="1" si="61"/>
        <v>0</v>
      </c>
      <c r="AL130" s="29" t="str">
        <f t="shared" ca="1" si="62"/>
        <v xml:space="preserve"> </v>
      </c>
    </row>
    <row r="131" spans="1:38" ht="19.5" thickBot="1" x14ac:dyDescent="0.35">
      <c r="A131" s="131"/>
      <c r="B131" s="33"/>
      <c r="O131" s="38"/>
      <c r="AJ131" s="58" t="str">
        <f t="shared" ca="1" si="63"/>
        <v xml:space="preserve"> </v>
      </c>
      <c r="AK131" s="60">
        <f t="shared" ca="1" si="61"/>
        <v>0</v>
      </c>
      <c r="AL131" s="29" t="str">
        <f t="shared" ca="1" si="62"/>
        <v xml:space="preserve"> </v>
      </c>
    </row>
    <row r="132" spans="1:38" x14ac:dyDescent="0.3">
      <c r="A132" s="131"/>
      <c r="B132" s="129"/>
      <c r="O132" s="132"/>
      <c r="P132" s="76" t="s">
        <v>1169</v>
      </c>
      <c r="Q132" s="76" t="s">
        <v>1170</v>
      </c>
      <c r="R132" s="76" t="s">
        <v>1171</v>
      </c>
      <c r="S132" s="76" t="s">
        <v>677</v>
      </c>
      <c r="T132" s="77" t="s">
        <v>1172</v>
      </c>
      <c r="AJ132" s="58" t="str">
        <f t="shared" ca="1" si="63"/>
        <v xml:space="preserve"> </v>
      </c>
      <c r="AK132" s="60">
        <f t="shared" ca="1" si="61"/>
        <v>0</v>
      </c>
      <c r="AL132" s="29" t="str">
        <f t="shared" ca="1" si="62"/>
        <v xml:space="preserve"> </v>
      </c>
    </row>
    <row r="133" spans="1:38" x14ac:dyDescent="0.3">
      <c r="A133" s="131"/>
      <c r="B133" s="129"/>
      <c r="O133" s="86">
        <v>1</v>
      </c>
      <c r="P133" s="65" t="str">
        <f ca="1">IF(COUNTIF(P18:P21,"*"&amp;"Breath of Winter"&amp;"*"),"Cone of Cold (6 ki)",IF(COUNTIF(O18:O25,"*"&amp;"chains of carceri"&amp;"*"),"Hold Monster**(c,f,e only)",IF(AND(P15="oath of vengeance",O12&gt;=17),"Hold Monster",IF(AND(P15="Oath of the Ancients",O12&gt;=17),"Commune with Nature",IF(AND(P15="Oath of Devotion",O12&gt;=17),"Commune",IF(AND($P$20="Underdark",$O$12&gt;=9),"Cloudkill",IF(AND($P$20="Swamp",$O$12&gt;=9),"Insect Plague",IF(AND($P$20="Mountain",$O$12&gt;=9),"Passwall",IF(AND($P$20="Grassland",$O$12&gt;=9),"Dream",IF(AND($P$20="Forest",$O$12&gt;=9),"Commune with Nature",IF(AND($P$20="Desert",$O$12&gt;=9),"Insect Plague",IF(AND($P$20="Coast",$O$12&gt;=9),"Conjure Elemental",IF(AND($P$20="arctic",$O$12&gt;=9),"Commune with Nature",IF(AND($P$15="war",$O$12&gt;=9),"Flame Strike",IF(AND($P$15="trickery",$O$12&gt;=9),"Dominate Person",IF(AND($P$15="tempest",$O$12&gt;=9),"Destructive Wave",IF(AND($P$15="nature",$O$12&gt;=9),"Insect Plague",IF(AND(P15="light",O12&gt;=9),"Flame Strike",IF(AND(P15="life",O12&gt;=9),"Mass Cure Wounds",IF(AND(P15="knowledge",O12&gt;=9),"Legend Lore",IF(AND(O11="bard",AL156=5),INDEX('Spell Tables'!BX2:BX24,MATCH(O120,('Spell Tables'!BV2:BV24),0)),IF(AND(P15="path of the totem warrior",O12&gt;=10),"Commune with Nature (as ritual)"," "))))))))))))))))))))))</f>
        <v xml:space="preserve"> </v>
      </c>
      <c r="Q133" s="65" t="str">
        <f ca="1">IF(AND(O11="bard",AL167=6),INDEX('Spell Tables'!CB2:CB27,MATCH(O120,('Spell Tables'!BZ2:BZ27),0)),IF(AND($O$11="warlock",$O$12&gt;=11),INDEX('Spell Tables'!AN194:AN201,MATCH(1,('Spell Tables'!AL194:AL201),0))," "))</f>
        <v xml:space="preserve"> </v>
      </c>
      <c r="R133" s="65" t="str">
        <f ca="1">IF(AND(O11="bard",AL167=7),INDEX('Spell Tables'!CF2:CF11,MATCH(O120,('Spell Tables'!CD2:CD11),0)),IF(AND($O$11="warlock",$O$12&gt;=13),INDEX('Spell Tables'!AR194:AR197,MATCH(1,('Spell Tables'!AP194:AP197),0))," "))</f>
        <v xml:space="preserve"> </v>
      </c>
      <c r="S133" s="65" t="str">
        <f ca="1">IF(AND(O11="bard",AL179=8),INDEX('Spell Tables'!CJ2:CJ14,MATCH(O120,('Spell Tables'!CH2:CH14),0)),IF(AND($O$11="warlock",$O$12&gt;=15),INDEX('Spell Tables'!AV194:AV198,MATCH(1,('Spell Tables'!AT194:AT198),0))," "))</f>
        <v xml:space="preserve"> </v>
      </c>
      <c r="T133" s="66" t="str">
        <f ca="1">IF(AND(O11="bard",AL180=9),INDEX('Spell Tables'!CN2:CN11,MATCH(O120,('Spell Tables'!CL2:CL11),0)),IF(AND($O$11="warlock",$O$12&gt;=17),INDEX('Spell Tables'!AZ194:AZ198,MATCH(1,('Spell Tables'!AX194:AX198),0))," "))</f>
        <v xml:space="preserve"> </v>
      </c>
      <c r="AJ133" s="58" t="str">
        <f t="shared" ca="1" si="63"/>
        <v xml:space="preserve"> </v>
      </c>
      <c r="AK133" s="60">
        <f t="shared" ca="1" si="61"/>
        <v>0</v>
      </c>
      <c r="AL133" s="29" t="str">
        <f t="shared" ca="1" si="62"/>
        <v xml:space="preserve"> </v>
      </c>
    </row>
    <row r="134" spans="1:38" x14ac:dyDescent="0.3">
      <c r="A134" s="131"/>
      <c r="B134" s="129"/>
      <c r="O134" s="133">
        <v>2</v>
      </c>
      <c r="P134" s="60" t="str">
        <f ca="1">IF(COUNTIF(P18:P21,"*"&amp;"Wave of Rolling Earth"&amp;"*"),"Wall of Stone (6 ki)",IF(COUNTIF(O18:O25,"*"&amp;"minions of chaos"&amp;"*"),"Conjure Elemental**",IF(AND(P15="oath of vengeance",O12&gt;=17),"Scrying",IF(AND(P15="Oath of the Ancients",O12&gt;=17),"Tree Stride",IF(AND(P15="Oath of Devotion",O12&gt;=17),"Flame Strike",IF(AND($P$20="Underdark",$O$12&gt;=9),"Insect Plague",IF(AND($P$20="Swamp",$O$12&gt;=9),"Scrying",IF(AND($P$20="Mountain",$O$12&gt;=9),"Wall of Stone",IF(AND($P$20="Grassland",$O$12&gt;=9),"Insect Plague",IF(AND($P$20="Forest",$O$12&gt;=9),"Tree Stride",IF(AND($P$20="Desert",$O$12&gt;=9),"Wall of Stone",IF(AND($P$20="Coast",$O$12&gt;=9),"Scrying",IF(AND($P$20="arctic",$O$12&gt;=9),"Cone of Cold",IF(AND($P$15="war",$O$12&gt;=9),"Hold Monster",IF(AND($P$15="trickery",$O$12&gt;=9),"Modify Memory",IF(AND($P$15="tempest",$O$12&gt;=9),"Insect Plague",IF(AND($P$15="nature",$O$12&gt;=9),"Tree Stride",IF(AND(P15="light",O12&gt;=9),"Scrying",IF(AND(P15="life",O12&gt;=9),"Raise Dead",IF(AND(P15="knowledge",O12&gt;=9),"Scrying",IF(AND($O$11="bard",AL157=5),INDEX('Spell Tables'!$BX$2:$BX$24,MATCH(O121,('Spell Tables'!$BV$2:$BV$24),0))," ")))))))))))))))))))))</f>
        <v xml:space="preserve"> </v>
      </c>
      <c r="Q134" s="60" t="str">
        <f ca="1">IF(AND(O11="bard",AL168=6),INDEX('Spell Tables'!CB2:CB27,MATCH(O121,('Spell Tables'!BZ2:BZ27),0))," ")</f>
        <v xml:space="preserve"> </v>
      </c>
      <c r="R134" s="60" t="str">
        <f ca="1">IF(AND(O11="bard",AL168=7),INDEX('Spell Tables'!CF2:CF11,MATCH(O121,('Spell Tables'!CD2:CD11),0))," ")</f>
        <v xml:space="preserve"> </v>
      </c>
      <c r="S134" s="60" t="str">
        <f ca="1">IF(AND(O11="bard",AL179=8),INDEX('Spell Tables'!CJ2:CJ14,MATCH(O121,('Spell Tables'!CH2:CH14),0))," ")</f>
        <v xml:space="preserve"> </v>
      </c>
      <c r="T134" s="63" t="str">
        <f ca="1">IF(AND(O11="bard",AL180=9),INDEX('Spell Tables'!CN2:CN11,MATCH(O121,('Spell Tables'!CL2:CL11),0))," ")</f>
        <v xml:space="preserve"> </v>
      </c>
      <c r="AJ134" s="58" t="str">
        <f t="shared" ca="1" si="63"/>
        <v xml:space="preserve"> </v>
      </c>
      <c r="AK134" s="60">
        <f t="shared" ca="1" si="61"/>
        <v>0</v>
      </c>
      <c r="AL134" s="29" t="str">
        <f t="shared" ca="1" si="62"/>
        <v xml:space="preserve"> </v>
      </c>
    </row>
    <row r="135" spans="1:38" x14ac:dyDescent="0.3">
      <c r="A135" s="33"/>
      <c r="O135" s="86">
        <v>3</v>
      </c>
      <c r="P135" s="65"/>
      <c r="Q135" s="65"/>
      <c r="R135" s="65"/>
      <c r="S135" s="65"/>
      <c r="T135" s="66"/>
      <c r="AJ135" s="58" t="str">
        <f t="shared" ca="1" si="63"/>
        <v xml:space="preserve"> </v>
      </c>
      <c r="AK135" s="60">
        <f t="shared" ca="1" si="61"/>
        <v>0</v>
      </c>
      <c r="AL135" s="29" t="str">
        <f t="shared" ca="1" si="62"/>
        <v xml:space="preserve"> </v>
      </c>
    </row>
    <row r="136" spans="1:38" x14ac:dyDescent="0.3">
      <c r="A136" s="33"/>
      <c r="O136" s="133">
        <v>4</v>
      </c>
      <c r="P136" s="60"/>
      <c r="Q136" s="60"/>
      <c r="R136" s="60"/>
      <c r="S136" s="60"/>
      <c r="T136" s="63"/>
      <c r="AJ136" s="58" t="str">
        <f t="shared" ca="1" si="63"/>
        <v xml:space="preserve"> </v>
      </c>
      <c r="AK136" s="60">
        <f t="shared" ca="1" si="61"/>
        <v>0</v>
      </c>
      <c r="AL136" s="29" t="str">
        <f t="shared" ca="1" si="62"/>
        <v xml:space="preserve"> </v>
      </c>
    </row>
    <row r="137" spans="1:38" x14ac:dyDescent="0.3">
      <c r="A137" s="33"/>
      <c r="O137" s="86">
        <v>5</v>
      </c>
      <c r="P137" s="65"/>
      <c r="Q137" s="65"/>
      <c r="R137" s="65"/>
      <c r="S137" s="65"/>
      <c r="T137" s="66"/>
      <c r="AJ137" s="58" t="str">
        <f t="shared" ca="1" si="63"/>
        <v xml:space="preserve"> </v>
      </c>
      <c r="AK137" s="60">
        <f t="shared" ca="1" si="61"/>
        <v>0</v>
      </c>
      <c r="AL137" s="29" t="str">
        <f t="shared" ca="1" si="62"/>
        <v xml:space="preserve"> </v>
      </c>
    </row>
    <row r="138" spans="1:38" x14ac:dyDescent="0.3">
      <c r="A138" s="33"/>
      <c r="O138" s="133">
        <v>6</v>
      </c>
      <c r="P138" s="60"/>
      <c r="Q138" s="60"/>
      <c r="R138" s="60"/>
      <c r="S138" s="60"/>
      <c r="T138" s="63"/>
    </row>
    <row r="139" spans="1:38" x14ac:dyDescent="0.3">
      <c r="A139" s="33"/>
      <c r="O139" s="86">
        <v>7</v>
      </c>
      <c r="P139" s="65"/>
      <c r="Q139" s="65"/>
      <c r="R139" s="65"/>
      <c r="S139" s="65"/>
      <c r="T139" s="66"/>
      <c r="AJ139" s="31" t="s">
        <v>1172</v>
      </c>
    </row>
    <row r="140" spans="1:38" x14ac:dyDescent="0.3">
      <c r="A140" s="33"/>
      <c r="O140" s="133">
        <v>8</v>
      </c>
      <c r="P140" s="60"/>
      <c r="Q140" s="60"/>
      <c r="R140" s="60"/>
      <c r="S140" s="60"/>
      <c r="T140" s="63"/>
      <c r="AJ140" s="58" t="str">
        <f ca="1">IF(AK140=0," ",_xlfn.RANK.EQ(AK140,$AK$140:$AK$149))</f>
        <v xml:space="preserve"> </v>
      </c>
      <c r="AK140" s="60">
        <f t="shared" ref="AK140:AK149" ca="1" si="64">IF(AL140=" ", 0,RAND())</f>
        <v>0</v>
      </c>
      <c r="AL140" s="29" t="str">
        <f t="shared" ref="AL140:AL149" ca="1" si="65">T334</f>
        <v xml:space="preserve"> </v>
      </c>
    </row>
    <row r="141" spans="1:38" x14ac:dyDescent="0.3">
      <c r="A141" s="33"/>
      <c r="O141" s="86">
        <v>9</v>
      </c>
      <c r="P141" s="65"/>
      <c r="Q141" s="65"/>
      <c r="R141" s="65"/>
      <c r="S141" s="65"/>
      <c r="T141" s="66"/>
      <c r="AJ141" s="58" t="str">
        <f t="shared" ref="AJ141:AJ149" ca="1" si="66">IF(AK141=0," ",_xlfn.RANK.EQ(AK141,$AK$140:$AK$149))</f>
        <v xml:space="preserve"> </v>
      </c>
      <c r="AK141" s="60">
        <f t="shared" ca="1" si="64"/>
        <v>0</v>
      </c>
      <c r="AL141" s="29" t="str">
        <f t="shared" ca="1" si="65"/>
        <v xml:space="preserve"> </v>
      </c>
    </row>
    <row r="142" spans="1:38" ht="19.5" thickBot="1" x14ac:dyDescent="0.35">
      <c r="A142" s="33"/>
      <c r="O142" s="134">
        <v>10</v>
      </c>
      <c r="P142" s="67"/>
      <c r="Q142" s="67"/>
      <c r="R142" s="67"/>
      <c r="S142" s="67"/>
      <c r="T142" s="68"/>
      <c r="AJ142" s="58" t="str">
        <f t="shared" ca="1" si="66"/>
        <v xml:space="preserve"> </v>
      </c>
      <c r="AK142" s="60">
        <f t="shared" ca="1" si="64"/>
        <v>0</v>
      </c>
      <c r="AL142" s="29" t="str">
        <f t="shared" ca="1" si="65"/>
        <v xml:space="preserve"> </v>
      </c>
    </row>
    <row r="143" spans="1:38" ht="19.5" thickBot="1" x14ac:dyDescent="0.35">
      <c r="AJ143" s="58" t="str">
        <f t="shared" ca="1" si="66"/>
        <v xml:space="preserve"> </v>
      </c>
      <c r="AK143" s="60">
        <f t="shared" ca="1" si="64"/>
        <v>0</v>
      </c>
      <c r="AL143" s="29" t="str">
        <f t="shared" ca="1" si="65"/>
        <v xml:space="preserve"> </v>
      </c>
    </row>
    <row r="144" spans="1:38" ht="30.75" thickBot="1" x14ac:dyDescent="0.45">
      <c r="B144" s="105" t="s">
        <v>1335</v>
      </c>
      <c r="AJ144" s="58" t="str">
        <f t="shared" ca="1" si="66"/>
        <v xml:space="preserve"> </v>
      </c>
      <c r="AK144" s="60">
        <f t="shared" ca="1" si="64"/>
        <v>0</v>
      </c>
      <c r="AL144" s="29" t="str">
        <f t="shared" ca="1" si="65"/>
        <v xml:space="preserve"> </v>
      </c>
    </row>
    <row r="145" spans="1:38" x14ac:dyDescent="0.3">
      <c r="B145" s="79"/>
      <c r="C145" s="27"/>
      <c r="D145" s="27"/>
      <c r="E145" s="27"/>
      <c r="F145" s="27"/>
      <c r="G145" s="27"/>
      <c r="H145" s="27"/>
      <c r="I145" s="27"/>
      <c r="J145" s="27"/>
      <c r="K145" s="27"/>
      <c r="L145" s="27"/>
      <c r="M145" s="27"/>
      <c r="N145" s="27"/>
      <c r="O145" s="27"/>
      <c r="P145" s="76" t="s">
        <v>1124</v>
      </c>
      <c r="Q145" s="76" t="s">
        <v>1166</v>
      </c>
      <c r="R145" s="76" t="s">
        <v>1167</v>
      </c>
      <c r="S145" s="76" t="s">
        <v>1168</v>
      </c>
      <c r="T145" s="77" t="s">
        <v>676</v>
      </c>
      <c r="AJ145" s="58" t="str">
        <f t="shared" ca="1" si="66"/>
        <v xml:space="preserve"> </v>
      </c>
      <c r="AK145" s="60">
        <f t="shared" ca="1" si="64"/>
        <v>0</v>
      </c>
      <c r="AL145" s="29" t="str">
        <f t="shared" ca="1" si="65"/>
        <v xml:space="preserve"> </v>
      </c>
    </row>
    <row r="146" spans="1:38" x14ac:dyDescent="0.3">
      <c r="B146" s="86" t="str">
        <f ca="1">IF(R15="way of the four elements","Way of the Four Elements",IF(AND(Q11="paladin",Q12&gt;=3),"Oath Spells",IF(AND(R15="moon",Q12&gt;=14),"Thousand Forms",IF(R15="way of the shadow","Shadow Arts",IF(AND(Q11="druid",R15="land"),"Land Circle Spells",IF(Q11="cleric","Domain Spells",IF(Q11="bard","Magical Secrets",IF(R15="path of the totem warrior","Totem Warrior Spells",IF(AND(Q11="warlock",Q12&gt;=2),"Mystic Arcanum and Invocation",IF(R15="arcane trickster","4th,8th,14th,20th non E&amp;I spells",IF(R15="eldritch knight","4th,8th,14th,20th non A&amp;E spells"," ")))))))))))</f>
        <v xml:space="preserve"> </v>
      </c>
      <c r="C146" s="33"/>
      <c r="D146" s="33"/>
      <c r="E146" s="33"/>
      <c r="F146" s="33"/>
      <c r="G146" s="33"/>
      <c r="H146" s="33"/>
      <c r="I146" s="33"/>
      <c r="J146" s="33"/>
      <c r="K146" s="33"/>
      <c r="L146" s="33"/>
      <c r="M146" s="33"/>
      <c r="N146" s="33"/>
      <c r="O146" s="34">
        <v>1</v>
      </c>
      <c r="P146" s="33" t="str">
        <f ca="1">IF(R15="school of illusion","Minor Illusion",IF(Q16="pact of the tome",INDEX('Spell Tables'!$BD$19:$BD$37,MATCH(1,('Spell Tables'!$BB$19:$BB$37),0)),IF(R15="way of the shadow","Minor Illusion (free)",IF(R15="land",INDEX('Spell Tables'!P48:P55,MATCH(8,('Spell Tables'!N48:N55),0)),IF(R15="nature",INDEX('Spell Tables'!P48:P55,MATCH(6,('Spell Tables'!N48:N55),0)),IF(R15="light","Light",IF(AND(Q11="bard",AL191="c"),INDEX('Spell Tables'!$BD$2:$BD$16,MATCH(10,('Spell Tables'!$BB$2:$BB$16),0))," ")))))))</f>
        <v xml:space="preserve"> </v>
      </c>
      <c r="Q146" s="33" t="str">
        <f ca="1">IF(COUNTIF(R18:R21,"*"&amp;"Fist of Four Thunders"&amp;"*"),"Thunderwave (2 ki)",IF(COUNTIF($Q$18:$Q$22,"*"&amp;"armor of shadows"&amp;"*"),"Mage Armor*",IF(R15="oath of vengeance","Bane",IF(R15="Oath of the Ancients","Ensnaring Strike",IF(R15="Oath of Devotion","Protection from Good and Evil",IF(AND(R15="war",Q12&gt;=1),"Divine Favor",IF(AND(R15="Trickery",Q12&gt;=1),"Charm Person",IF(AND(R15="tempest",Q12&gt;=1),"Fog Cloud",IF(AND(R15="nature",Q12&gt;=1),"Animal Friendship",IF(AND(R15="light",Q12&gt;=1),"Burning Hands",IF(R15="life","Bless",IF(R15="knowledge","Command",IF(AND(Q11="bard",AL155=1),INDEX('Spell Tables'!$BH$2:$BH$41,MATCH($O$120,('Spell Tables'!$BF$2:$BF$41),0)),IF(R15="arcane trickster",INDEX('Spell Tables'!$X$141:$X$163,MATCH(O120,('Spell Tables'!$V$141:$V$163),0)),IF(R15="path of the totem warrior","Speak with Animals (as ritual)",IF(R15="eldritch knight",INDEX('Spell Tables'!$X$70:$X$90,MATCH($O$120,('Spell Tables'!$V$70:W90),0))," "))))))))))))))))</f>
        <v xml:space="preserve"> </v>
      </c>
      <c r="R146" s="33" t="str">
        <f ca="1">IF(COUNTIF(R18:R21,"*"&amp;"Clench of the North Wind"&amp;"*"),"Hold Person (3 ki)",IF(COUNTIF(Q18:Q22,"*"&amp;"ascendant step"&amp;"*"),"Levitate*",IF(AND(R15="oath of vengeance",Q12&gt;=5),"Hold Person",IF(AND(R15="Oath of the Ancients",Q12&gt;=5),"Moonbeam",IF(AND(R15="Oath of Devotion",Q12&gt;=5),"Lesser Restoration",IF(AND(R15="moon",Q12&gt;=14),"Alter Self",IF(R15="Way of the Shadow","Darkness",IF(AND($P$20="Underdark",Q12&gt;=3),"Spider Climb",IF(AND($P$20="Swamp",Q12&gt;=3),"Darkness",IF(AND($P$20="Mountain",Q12&gt;=3),"Spider Climb",IF(AND($P$20="Grassland",Q12&gt;=3),"Invisibility",IF(AND($P$20="Forest",Q12&gt;=3),"Barkskin",IF(AND($P$20="Desert",Q12&gt;=3),"Blur",IF(AND($P$20="Coast",Q12&gt;=3),"Mirror Image",IF(AND($P$20="arctic",Q12&gt;=3),"Hold Person",IF(AND(R15="war",Q12&gt;=3),"Magic Weapon",IF(AND(R15="Trickery",Q12&gt;=3),"Mirror Image",IF(AND(R15="tempest",Q12&gt;=3),"Gust of Wind",IF(AND(R15="nature",Q12&gt;=3),"Barkskin",IF(AND(R15="light",Q12&gt;=3),"Flaming Sphere",IF(AND(R15="Life",Q12&gt;=3),"Lesser Restoration",IF(AND(R15="knowledge",Q12&gt;=3),"Augury",IF(AND(Q11="bard",AL155=2),INDEX('Spell Tables'!BL2:BL37,MATCH(O120,('Spell Tables'!BJ2:BJ37),0)),IF(R15="path of the totem warrior","Beast Sense (as ritual)",IF(AND(R15="eldritch knight",Q12&gt;=8),INDEX('Spell Tables'!AF70:AF94,MATCH(#REF!,('Spell Tables'!AD70:AD94),0)),IF(AND(R15="arcane trickster",Q12&gt;=8),INDEX('Spell Tables'!AF141:AF165,MATCH(#REF!,('Spell Tables'!AD141:AD165),0))," "))))))))))))))))))))))))))</f>
        <v xml:space="preserve"> </v>
      </c>
      <c r="S146" s="33" t="str">
        <f ca="1">IF(COUNTIF(Q18:Q22,"*"&amp;"mire the mind"&amp;"*"),"Slow**",IF(AND(R15="oath of vengeance",Q12&gt;=9),"Haste",IF(AND(R15="Oath of the Ancients",Q12&gt;=9),"Plant Growth",IF(AND(R15="Oath of Devotion",Q12&gt;=9),"Beacon of Hope",IF(AND($P$20="Underdark",Q12&gt;=5),"Gaseous Form",IF(AND($P$20="Swamp",Q12&gt;=5),"Water Walk",IF(AND($P$20="Mountain",Q12&gt;=5),"Lightning Bolt",IF(AND($P$20="Grassland",Q12&gt;=5),"Daylight",IF(AND($P$20="Forest",Q12&gt;=5),"Call Lightning",IF(AND($P$20="Desert",Q12&gt;=5),"Create Food and Water",IF(AND($P$20="Coast",Q12&gt;=5),"Water Breathing",IF(AND($P$20="arctic",Q12&gt;=5),"Sleet Storm",IF(AND(R15="war",Q12&gt;=5),"Crusader's Mantle",IF(AND(R15="trickery",Q12&gt;=5),"Blink",IF(AND(R15="tempest",Q12&gt;=5),"Call Lightning",IF(AND(R15="nature",Q12&gt;=5),"Plant Growth",IF(AND(R15="light",Q12&gt;=5),"Daylight",IF(AND(R15="life",Q12&gt;=5),"Beacon of Hope",IF(AND(R15="knowledge",Q12&gt;=5),"Nondetection",IF(AND(Q11="bard",AL155=3),INDEX('Spell Tables'!BP2:BP35,MATCH(O120,('Spell Tables'!BN2:BN35),0)),IF(AND(R15="arcane trickster",Q12&gt;=14),INDEX('Spell Tables'!AN141:AN165,MATCH(O120,('Spell Tables'!AL141:AL165),0)),IF(AND(R15="eldritch knight",Q12&gt;=14),INDEX('Spell Tables'!AN70:AN88,MATCH(O120,('Spell Tables'!AL70:AL88),0))," "))))))))))))))))))))))</f>
        <v xml:space="preserve"> </v>
      </c>
      <c r="T146" s="72" t="str">
        <f ca="1">IF(COUNTIF(Q18:Q22,"*"&amp;"bewitching whispers"&amp;"*"),"Compulsion**",IF(AND(R15="oath of vengeance",Q12&gt;=13),"Banishment",IF(AND(R15="Oath of the Ancients",Q12&gt;=13),"Ice Storm",IF(AND(R15="Oath of Devotion",Q12&gt;=13),"Freedom of Movement",IF(AND($P$20="Underdark",Q12&gt;=7),"Greater Invisibility",IF(AND($P$20="Swamp",Q12&gt;=7),"Freedom of Movement",IF(AND($P$20="Mountain",Q12&gt;=7),"Stone Shape",IF(AND($P$20="Grassland",Q12&gt;=7),"Divination",IF(AND($P$20="Forest",Q12&gt;=7),"Divination",IF(AND($P$20="Desert",Q12&gt;=7),"Blight",IF(AND($P$20="Coast",Q12&gt;=7),"Control Water",IF(AND($P$20="arctic",Q12&gt;=7),"Freedom of Movement",IF(AND(R15="war",Q12&gt;=7),"Freedom of Movement",IF(AND(R15="trickery",Q12&gt;=7),"Dimension Door",IF(AND(R15="tempest",Q12&gt;=7),"Control Water",IF(AND(R15="nature",Q12&gt;=7),"Dominate Beast",IF(AND(R15="light",Q12&gt;=7),"Guardian of Faith",IF(AND(R15="life",Q12&gt;=7),"Death Ward",IF(AND(R15="knowledge",Q12&gt;=7),"Arcane Eye",IF(AND(Q11="bard",AL155=4),INDEX('Spell Tables'!BT2:BT29,MATCH(O120,('Spell Tables'!BR2:BR29),0)),IF(AND(R15="arcane trickster",Q12&gt;=20),INDEX('Spell Tables'!AV141:AV159,MATCH(O120,('Spell Tables'!AT267:AT285),0)),IF(AND(R15="eldritch knight",Q12&gt;=20),INDEX('Spell Tables'!AV70:AV86,MATCH(O120,('Spell Tables'!AT70:AT86),0))," "))))))))))))))))))))))</f>
        <v xml:space="preserve"> </v>
      </c>
      <c r="AJ146" s="58" t="str">
        <f t="shared" ca="1" si="66"/>
        <v xml:space="preserve"> </v>
      </c>
      <c r="AK146" s="60">
        <f t="shared" ca="1" si="64"/>
        <v>0</v>
      </c>
      <c r="AL146" s="29" t="str">
        <f t="shared" ca="1" si="65"/>
        <v xml:space="preserve"> </v>
      </c>
    </row>
    <row r="147" spans="1:38" x14ac:dyDescent="0.3">
      <c r="B147" s="79" t="str">
        <f ca="1">IF(R15="way of the four elements","Elemental Disciplines - cost ki",IF(AND(Q11="warlock",Q12&gt;=2),"* = at will - no slot use",IF(R15="land",$P$20," ")))</f>
        <v xml:space="preserve"> </v>
      </c>
      <c r="C147" s="33"/>
      <c r="D147" s="33"/>
      <c r="E147" s="33"/>
      <c r="F147" s="33"/>
      <c r="G147" s="33"/>
      <c r="H147" s="33"/>
      <c r="I147" s="33"/>
      <c r="J147" s="33"/>
      <c r="K147" s="33"/>
      <c r="L147" s="33"/>
      <c r="M147" s="33"/>
      <c r="N147" s="33"/>
      <c r="O147" s="34">
        <v>2</v>
      </c>
      <c r="P147" s="33" t="str">
        <f ca="1">IF(Q16="pact of the tome",INDEX('Spell Tables'!$BD$19:$BD$37,MATCH(2,('Spell Tables'!$BB$19:$BB$37),0)),IF(AND(Q11="bard",AL192="c"),INDEX('Spell Tables'!$BD$2:$BD$16,MATCH(11,('Spell Tables'!$BB$2:$BB$16),0))," "))</f>
        <v xml:space="preserve"> </v>
      </c>
      <c r="Q147" s="33" t="str">
        <f ca="1">IF(COUNTIF(R18:R21,"*"&amp;"Sweeping Cinder Strike"&amp;"*"),"Burning Hands (2 ki)",IF(COUNTIF(Q18:Q22,"*"&amp;"beast speech"&amp;"*"),"Speak with Animals*",IF(R15="Oath of the Ancients","Speak with Animals",IF(R15="Oath of vengeance","Hunter's Mark",IF(R15="Oath of Devotion","Sanctuary",IF(AND(R15="war",Q12&gt;=1),"Shield of Faith",IF(AND(R15="trickery",Q12&gt;=1),"Disguise Self",IF(AND(R15="tempest",Q12&gt;=1),"Thunderwave",IF(AND(R15="Nature",Q12&gt;=1),"Speak with Animals",IF(AND(R15="light",Q12&gt;=1),"Faerie Fire",IF(R15="life","Cure Wounds",IF(R15="knowledge","Identify",IF(AND(Q11="bard",AL156=1),INDEX('Spell Tables'!$BH$2:$BH$41,MATCH(O121,('Spell Tables'!$BF$2:$BF$41),0))," ")))))))))))))</f>
        <v xml:space="preserve"> </v>
      </c>
      <c r="R147" s="33" t="str">
        <f ca="1">IF(COUNTIF(R18:R21,"*"&amp;"Gong of the Summit"&amp;"*"),"Shatter (3 ki)",IF(COUNTIF(Q18:Q22,"*"&amp;"master of myriad forms"&amp;"*"),"Alter Self*",IF(AND(R15="oath of vengeance",Q12&gt;=5),"Misty Step",IF(AND(R15="Oath of the Ancients",Q12&gt;=5),"Misty Step",IF(AND(R15="Oath of Devotion",Q12&gt;=5),"Zone of Truth",IF(R15="way of the shadow","Darkvision",IF(AND($P$20="Underdark",Q12&gt;=3),"Web",IF(AND($P$20="Swamp",Q12&gt;=3),"Melf's Acid Arrow",IF(AND($P$20="Mountain",Q12&gt;=3),"Spike Growth",IF(AND($P$20="Grassland",Q12&gt;=3),"Pass Without Trace",IF(AND($P$20="Forest",Q12&gt;=3),"Spider Climb",IF(AND($P$20="Desert",Q12&gt;=3),"Silence",IF(AND($P$20="Coast",Q12&gt;=3),"Misty Step",IF(AND($P$20="arctic",Q12&gt;=3),"Spike Growth",IF(AND(R15="war",Q12&gt;=3),"Spiritual Weapon",IF(AND(R15="trickery",Q12&gt;=3),"Pass Without Trace",IF(AND(R15="tempest",Q12&gt;=3),"Shatter",IF(AND(R15="nature",Q12&gt;=3),"Spike Growth",IF(AND(R15="light",Q12&gt;=3),"Scorching Ray",IF(AND(R15="life",Q12&gt;=3),"Spiritual Weapon",IF(AND(R15="knowledge",Q12&gt;=3),"Suggestion",IF(AND(Q11="bard",AL156=2),INDEX('Spell Tables'!$BL$2:$BL$37,MATCH(O121,('Spell Tables'!$BJ$2:$BJ$37),0))," "))))))))))))))))))))))</f>
        <v xml:space="preserve"> </v>
      </c>
      <c r="S147" s="33" t="str">
        <f ca="1">IF(COUNTIF(Q18:Q22,"*"&amp;"sign of ill omen"&amp;"*"),"Bestow Curse**",IF(AND(R15="oath of vengeance",Q12&gt;=9),"Protection from Energy",IF(AND(R15="Oath of the Ancients",Q12&gt;=9),"Protection from Energy",IF(AND(R15="Oath of Devotion",Q12&gt;=9),"Dispel Magic",IF(AND($P$20="Underdark",Q12&gt;=5),"Stinking Cloud",IF(AND($P$20="Swamp",Q12&gt;=5),"Stinking Cloud",IF(AND($P$20="Mountain",Q12&gt;=5),"Meld Into Stone",IF(AND($P$20="Grassland",Q12&gt;=5),"Haste",IF(AND($P$20="Forest",Q12&gt;=5),"Plant Growth",IF(AND($P$20="Desert",Q12&gt;=5),"Protection from Energy",IF(AND($P$20="Coast",Q12&gt;=5),"Water Walk",IF(AND($P$20="arctic",Q12&gt;=5),"Slow",IF(AND(R15="war",Q12&gt;=5),"Spirit Guardians",IF(AND(R15="trickery",Q12&gt;=5),"Dispel Magic",IF(AND(R15="Tempest",Q12&gt;=5),"Sleet Storm",IF(AND(R15="nature",Q12&gt;=5),"Wind Wall",IF(AND(R15="light",Q12&gt;=5),"Fireball",IF(AND(R15="life",Q12&gt;=5),"Revivify",IF(AND(R15="knowledge",Q12&gt;=5),"Speak with Dead",IF(AND(Q11="bard",AL156=3),INDEX('Spell Tables'!$BP$2:$BP$35,MATCH(O121,('Spell Tables'!$BN$2:$BN$35),0))," "))))))))))))))))))))</f>
        <v xml:space="preserve"> </v>
      </c>
      <c r="T147" s="72" t="str">
        <f ca="1">IF(COUNTIF(Q18:Q22,"*"&amp;"dreadful word"&amp;"*"),"Confusion**",IF(AND(R15="oath of vengeance",Q12&gt;=13),"Dimension Door",IF(AND(R15="Oath of the Ancients",Q12&gt;=13),"Stoneskin",IF(AND(R15="Oath of Devotion",Q12&gt;=13),"Guardian of Faith",IF(AND($P$20="Underdark",Q12&gt;=7),"Stone Shape",IF(AND($P$20="Swamp",Q12&gt;=7),"Locate Creature",IF(AND($P$20="Mountain",Q12&gt;=7),"Stonekin",IF(AND($P$20="Grassland",Q12&gt;=7),"Freedom of Movement",IF(AND($P$20="Forest",Q12&gt;=7),"Freedom of Movement",IF(AND($P$20="Desert",Q12&gt;=7),"Hallucinatory Terrain",IF(AND($P$20="Coast",Q12&gt;=7),"Freedom of Movement",IF(AND($P$20="arctic",Q12&gt;=7),"Ice Storm",IF(AND(R15="war",Q12&gt;=7),"Stoneskin",IF(AND(R15="trickery",Q12&gt;=7),"Polymorph",IF(AND(R15="tempest",Q12&gt;=7),"Ice Storm",IF(AND(R15="nature",Q12&gt;=7),"Grasping Vine",IF(AND(R15="light",Q12&gt;=7),"Wall of Fire",IF(AND(R15="life",Q12&gt;=7),"Guardian of Faith",IF(AND(R15="knowledge",Q12&gt;=7),"Confusion",IF(AND(Q11="bard",AL156=4),INDEX('Spell Tables'!$BT$2:$BT$29,MATCH(O121,('Spell Tables'!$BR$2:$BR$29),0))," "))))))))))))))))))))</f>
        <v xml:space="preserve"> </v>
      </c>
      <c r="AJ147" s="58" t="str">
        <f t="shared" ca="1" si="66"/>
        <v xml:space="preserve"> </v>
      </c>
      <c r="AK147" s="60">
        <f t="shared" ca="1" si="64"/>
        <v>0</v>
      </c>
      <c r="AL147" s="29" t="str">
        <f t="shared" ca="1" si="65"/>
        <v xml:space="preserve"> </v>
      </c>
    </row>
    <row r="148" spans="1:38" x14ac:dyDescent="0.3">
      <c r="B148" s="79" t="str">
        <f ca="1">IF(AND(Q11="warlock",Q12&gt;=2),"** = once per long rest - uses slot",IF(AND(Q11="paladin",Q12&gt;=3),"Free Preparation",IF(AND(R15="moon",Q12&gt;=14),"At Will",IF(R15="way of the shadow","Cost 2 Ki Points",IF(OR(R15="land",Q11="cleric"),"Free Preparation",IF(AND(Q11="bard",Q12&gt;=10),"Count Toward Known"," "))))))</f>
        <v xml:space="preserve"> </v>
      </c>
      <c r="C148" s="33"/>
      <c r="D148" s="33"/>
      <c r="E148" s="33"/>
      <c r="F148" s="33"/>
      <c r="G148" s="33"/>
      <c r="H148" s="33"/>
      <c r="I148" s="33"/>
      <c r="J148" s="33"/>
      <c r="K148" s="33"/>
      <c r="L148" s="33"/>
      <c r="M148" s="33"/>
      <c r="N148" s="33"/>
      <c r="O148" s="34">
        <v>3</v>
      </c>
      <c r="P148" s="33" t="str">
        <f ca="1">IF(Q16="pact of the tome",INDEX('Spell Tables'!$BD$19:$BD$37,MATCH(3,('Spell Tables'!$BB$19:$BB$37),0))," ")</f>
        <v xml:space="preserve"> </v>
      </c>
      <c r="Q148" s="33" t="str">
        <f ca="1">IF(COUNTIF(Q18:Q22,"*"&amp;"eldritch sight"&amp;"*"),"Detect Magic*"," ")</f>
        <v xml:space="preserve"> </v>
      </c>
      <c r="R148" s="33" t="str">
        <f ca="1">IF(COUNTIF(R18:R21,"*"&amp;"Rush of the Gale Spirits"&amp;"*"),"Gust of Wind (2 ki)",IF(R15="way of the shadow","Pass Without Trace"," "))</f>
        <v xml:space="preserve"> </v>
      </c>
      <c r="S148" s="33" t="str">
        <f ca="1">IF(COUNTIF(Q18:Q22,"*"&amp;"whispers of the grave"&amp;"*"),"Speak with Dead*"," ")</f>
        <v xml:space="preserve"> </v>
      </c>
      <c r="T148" s="72" t="str">
        <f ca="1">IF(COUNTIF(Q18:Q22,"*"&amp;"Sculptor of Flesh"&amp;"*"),"Polymorph**"," ")</f>
        <v xml:space="preserve"> </v>
      </c>
      <c r="AJ148" s="58" t="str">
        <f t="shared" ca="1" si="66"/>
        <v xml:space="preserve"> </v>
      </c>
      <c r="AK148" s="60">
        <f t="shared" ca="1" si="64"/>
        <v>0</v>
      </c>
      <c r="AL148" s="29" t="str">
        <f t="shared" ca="1" si="65"/>
        <v xml:space="preserve"> </v>
      </c>
    </row>
    <row r="149" spans="1:38" x14ac:dyDescent="0.3">
      <c r="B149" s="79"/>
      <c r="O149" s="81">
        <v>4</v>
      </c>
      <c r="Q149" s="29" t="str">
        <f ca="1">IF(COUNTIF(Q18:Q22,"*"&amp;"fiendish vigor"&amp;"*"),"False Life*"," ")</f>
        <v xml:space="preserve"> </v>
      </c>
      <c r="R149" s="29" t="str">
        <f ca="1">IF(R15="way of the shadow","Silence"," ")</f>
        <v xml:space="preserve"> </v>
      </c>
      <c r="T149" s="72" t="str">
        <f ca="1">IF(COUNTIF(Q18:Q22,"*"&amp;"visions of distant realms"&amp;"*"),"Arcane Eye*"," ")</f>
        <v xml:space="preserve"> </v>
      </c>
      <c r="AJ149" s="58" t="str">
        <f t="shared" ca="1" si="66"/>
        <v xml:space="preserve"> </v>
      </c>
      <c r="AK149" s="60">
        <f t="shared" ca="1" si="64"/>
        <v>0</v>
      </c>
      <c r="AL149" s="29" t="str">
        <f t="shared" ca="1" si="65"/>
        <v xml:space="preserve"> </v>
      </c>
    </row>
    <row r="150" spans="1:38" x14ac:dyDescent="0.3">
      <c r="B150" s="79"/>
      <c r="O150" s="81">
        <v>5</v>
      </c>
      <c r="Q150" s="29" t="str">
        <f ca="1">IF(COUNTIF(Q18:Q22,"*"&amp;"mask of many faces"&amp;"*"),"Disguise Self*","")</f>
        <v/>
      </c>
      <c r="T150" s="72"/>
    </row>
    <row r="151" spans="1:38" x14ac:dyDescent="0.3">
      <c r="B151" s="79"/>
      <c r="O151" s="81">
        <v>6</v>
      </c>
      <c r="Q151" s="29" t="str">
        <f ca="1">IF(COUNTIF(Q18:Q22,"*"&amp;"misty vision"&amp;"*"),"Silent Image*"," " )</f>
        <v xml:space="preserve"> </v>
      </c>
      <c r="T151" s="72"/>
      <c r="AJ151" s="31" t="s">
        <v>1666</v>
      </c>
    </row>
    <row r="152" spans="1:38" x14ac:dyDescent="0.3">
      <c r="B152" s="79"/>
      <c r="O152" s="81">
        <v>7</v>
      </c>
      <c r="Q152" s="29" t="str">
        <f ca="1">IF(COUNTIF(Q18:Q22,"*"&amp;"otherworldly leap"&amp;"*"),"Jump*"," ")</f>
        <v xml:space="preserve"> </v>
      </c>
      <c r="T152" s="72"/>
      <c r="AJ152" s="29">
        <v>1</v>
      </c>
      <c r="AK152" s="29">
        <v>1</v>
      </c>
    </row>
    <row r="153" spans="1:38" x14ac:dyDescent="0.3">
      <c r="B153" s="79"/>
      <c r="O153" s="81">
        <v>8</v>
      </c>
      <c r="Q153" s="29" t="str">
        <f ca="1">IF(COUNTIF(Q18:Q22,"*"&amp;"thief of five fates"&amp;"*"),"Bane**"," ")</f>
        <v xml:space="preserve"> </v>
      </c>
      <c r="T153" s="72"/>
      <c r="AJ153" s="29">
        <v>2</v>
      </c>
      <c r="AK153" s="29">
        <v>2</v>
      </c>
    </row>
    <row r="154" spans="1:38" x14ac:dyDescent="0.3">
      <c r="B154" s="79" t="str">
        <f ca="1">IF(AND(Q16="pact of the tome",COUNTIF($O$13:$O$13,"*"&amp;"book of ancient secrets"&amp;"*")),"Book of Ancient Secrets"," ")</f>
        <v xml:space="preserve"> </v>
      </c>
      <c r="O154" s="81">
        <v>9</v>
      </c>
      <c r="Q154" s="29" t="str">
        <f ca="1">IF(AND(Q16="pact of the tome",COUNTIF(Q18:Q22,"*"&amp;"book of ancient secrets"&amp;"*")),INDEX('Spell Tables'!BD40:BD46,MATCH(1,('Spell Tables'!BB40:BB46),0))," ")</f>
        <v xml:space="preserve"> </v>
      </c>
      <c r="T154" s="72"/>
      <c r="AJ154" s="29">
        <v>3</v>
      </c>
      <c r="AK154" s="29">
        <v>3</v>
      </c>
    </row>
    <row r="155" spans="1:38" ht="19.5" thickBot="1" x14ac:dyDescent="0.35">
      <c r="B155" s="80" t="str">
        <f ca="1">IF(Q16="pact of the chain",Q16,IF(OR(P155="minor illusion",S155="animate dead",T155="polymorph"),"School Spells - in Spellbook"," "))</f>
        <v xml:space="preserve"> </v>
      </c>
      <c r="C155" s="38"/>
      <c r="D155" s="38"/>
      <c r="E155" s="38"/>
      <c r="F155" s="38"/>
      <c r="G155" s="38"/>
      <c r="H155" s="38"/>
      <c r="I155" s="38"/>
      <c r="J155" s="38"/>
      <c r="K155" s="38"/>
      <c r="L155" s="38"/>
      <c r="M155" s="38"/>
      <c r="N155" s="38"/>
      <c r="O155" s="82">
        <v>10</v>
      </c>
      <c r="P155" s="38" t="str">
        <f ca="1">IF(AND(R15="school of Illusion",COUNTIF(P315:P324,"*Minor Illusion*"))," ",IF(R15="school of illusion","Minor Illusion"," "))</f>
        <v xml:space="preserve"> </v>
      </c>
      <c r="Q155" s="38" t="str">
        <f ca="1">IF(AND(Q16="pact of the tome",COUNTIF(Q18:Q22,"*"&amp;"book of ancient secrets"&amp;"*")),INDEX('Spell Tables'!BD40:BD46,MATCH(2,('Spell Tables'!BB40:BB46),0)),IF(Q16="pact of the chain","Find Familiar (as ritual)"," "))</f>
        <v xml:space="preserve"> </v>
      </c>
      <c r="R155" s="38"/>
      <c r="S155" s="38" t="str">
        <f ca="1">IF(AND(R15="school of necromancy",Q12&gt;=6,COUNTIF(S315:S324,"*"&amp;"Animate Dead"&amp;"*"))," ",IF(AND(R15="school of necromancy",Q12&gt;=6),"Animate Dead"," "))</f>
        <v xml:space="preserve"> </v>
      </c>
      <c r="T155" s="73" t="str">
        <f ca="1">IF(AND(R15="school of transmutation",Q12&gt;=10,COUNTIF(T315:T324,"*"&amp;"Polymorph"&amp;"*"))," ",IF(AND(R15="school of transmutation",Q12&gt;=6),"Polymorph"," "))</f>
        <v xml:space="preserve"> </v>
      </c>
      <c r="AJ155" s="29">
        <v>4</v>
      </c>
      <c r="AK155" s="29">
        <v>3</v>
      </c>
      <c r="AL155" s="29" t="str">
        <f ca="1">IF(AND(O11="bard",O12&gt;=10),VLOOKUP(RANDBETWEEN(1,10),Table219344458800857914330387497[],2),IF(AND(Q11="bard",Q12&gt;=10),VLOOKUP(RANDBETWEEN(1,10),Table219344458800857914330387497[],2)," "))</f>
        <v xml:space="preserve"> </v>
      </c>
    </row>
    <row r="156" spans="1:38" ht="19.5" thickBot="1" x14ac:dyDescent="0.35">
      <c r="B156" s="27"/>
      <c r="O156" s="99"/>
      <c r="AJ156" s="29">
        <v>5</v>
      </c>
      <c r="AK156" s="29">
        <v>4</v>
      </c>
      <c r="AL156" s="29" t="str">
        <f ca="1">IF(AND(O11="bard",O12&gt;=10),VLOOKUP(RANDBETWEEN(1,10),Table219344458800857914330387497[],2),IF(AND(Q11="bard",Q12&gt;=10),VLOOKUP(RANDBETWEEN(1,10),Table219344458800857914330387497[],2)," "))</f>
        <v xml:space="preserve"> </v>
      </c>
    </row>
    <row r="157" spans="1:38" x14ac:dyDescent="0.3">
      <c r="A157" s="33"/>
      <c r="B157" s="72"/>
      <c r="P157" s="76" t="s">
        <v>1169</v>
      </c>
      <c r="Q157" s="76" t="s">
        <v>1170</v>
      </c>
      <c r="R157" s="76" t="s">
        <v>1171</v>
      </c>
      <c r="S157" s="76" t="s">
        <v>677</v>
      </c>
      <c r="T157" s="104" t="s">
        <v>1172</v>
      </c>
      <c r="AJ157" s="29">
        <v>6</v>
      </c>
      <c r="AK157" s="29">
        <v>4</v>
      </c>
    </row>
    <row r="158" spans="1:38" x14ac:dyDescent="0.3">
      <c r="A158" s="33"/>
      <c r="B158" s="72"/>
      <c r="O158" s="83">
        <v>1</v>
      </c>
      <c r="P158" s="65" t="str">
        <f ca="1">IF(COUNTIF(Q18:Q22,"*"&amp;"chains of carceri"&amp;"*"),"Hold Monster**(c,f,e only)",IF(AND(R15="oath of vengeance",Q12&gt;=17),"Hold Monster",IF(AND(R15="Oath of the Ancients",Q12&gt;=17),"Commune with Nature",IF(AND(R15="Oath of Devotion",Q12&gt;=17),"Commune",IF(AND($P$20="Underdark",Q12&gt;=9),"Cloudkill",IF(AND($P$20="Swamp",Q12&gt;=9),"Insect Plague",IF(AND($P$20="Mountain",Q12&gt;=9),"Passwall",IF(AND($P$20="Grassland",Q12&gt;=9),"Dream",IF(AND($P$20="Forest",Q12&gt;=9),"Commune with Nature",IF(AND($P$20="Desert",Q12&gt;=9),"Insect Plague",IF(AND($P$20="Coast",Q12&gt;=9),"Conjure Elemental",IF(AND($P$20="arctic",Q12&gt;=9),"Commune with Nature",IF(AND(R15="war",Q12&gt;=9),"Flame Strike",IF(AND(R15="trickery",Q12&gt;=9),"Dominate Person",IF(AND(R15="tempest",Q12&gt;=9),"Destructive Wave",IF(AND(R15="nature",Q12&gt;=9),"Insect Plague",IF(AND(R15="light",Q12&gt;=9),"Flame Strike",IF(AND(R15="life",Q12&gt;=9),"Mass Cure Wounds",IF(AND(R15="knowledge",Q12&gt;=9),"Legend Lore",IF(AND(Q11="bard",AL155=5),INDEX('Spell Tables'!BX2:BX24,MATCH(O120,('Spell Tables'!BV2:BV24),0)),IF(AND(R15="path of the totem warrior",Q12&gt;=10),"Commune with Nature (as ritual)"," ")))))))))))))))))))))</f>
        <v xml:space="preserve"> </v>
      </c>
      <c r="Q158" s="65" t="str">
        <f ca="1">IF(AND(Q11="bard",AL167=6),INDEX('Spell Tables'!CB2:CB27,MATCH(O120,('Spell Tables'!BZ2:BZ27),0)),IF(AND(Q11="warlock",Q12&gt;=11),INDEX('Spell Tables'!AN194:AN201,MATCH(1,('Spell Tables'!AL194:AL201),0))," "))</f>
        <v xml:space="preserve"> </v>
      </c>
      <c r="R158" s="65" t="str">
        <f ca="1">IF(AND(Q11="bard",AL167=7),INDEX('Spell Tables'!CF2:CF11,MATCH(O120,('Spell Tables'!CD2:CD11),0)),IF(AND(Q11="warlock",Q12&gt;=13),INDEX('Spell Tables'!AR194:AR197,MATCH(1,('Spell Tables'!AP194:AP197),0))," "))</f>
        <v xml:space="preserve"> </v>
      </c>
      <c r="S158" s="65" t="str">
        <f ca="1">IF(AND(Q11="bard",AL179=8),INDEX('Spell Tables'!CJ2:CJ14,MATCH(O120,('Spell Tables'!CH2:CH14),0)),IF(AND(Q11="warlock",Q12&gt;=15),INDEX('Spell Tables'!AV194:AV198,MATCH(1,('Spell Tables'!AT295:AT299),0))," "))</f>
        <v xml:space="preserve"> </v>
      </c>
      <c r="T158" s="66" t="str">
        <f ca="1">IF(AND(Q11="bard",AL179=9),INDEX('Spell Tables'!CN2:CN11,MATCH(O120,('Spell Tables'!CL2:CL11),0)),IF(AND(Q11="warlock",Q12&gt;=17),INDEX('Spell Tables'!AZ194:AZ198,MATCH(1,('Spell Tables'!AX194:AX198),0))," "))</f>
        <v xml:space="preserve"> </v>
      </c>
      <c r="AJ158" s="29">
        <v>7</v>
      </c>
      <c r="AK158" s="29">
        <v>4</v>
      </c>
    </row>
    <row r="159" spans="1:38" x14ac:dyDescent="0.3">
      <c r="A159" s="33"/>
      <c r="B159" s="72"/>
      <c r="O159" s="84">
        <v>2</v>
      </c>
      <c r="P159" s="60" t="str">
        <f ca="1">IF(COUNTIF(Q18:Q22,"*"&amp;"minions of chaos"&amp;"*"),"Conjure Elemental**",IF(AND(R15="oath of vengeance",Q12&gt;=17),"Scrying",IF(AND(R15="Oath of the Ancients",Q12&gt;=17),"Tree Stride",IF(AND(R15="Oath of Devotion",Q12&gt;=17),"Flame Strike",IF(AND($P$20="Underdark",Q12&gt;=9),"Insect Plague",IF(AND($P$20="Swamp",Q12&gt;=9),"Scrying",IF(AND($P$20="Mountain",Q12&gt;=9),"Wall of Stone",IF(AND($P$20="Grassland",Q12&gt;=9),"Insect Plague",IF(AND($P$20="Forest",Q12&gt;=9),"Tree Stride",IF(AND($P$20="Desert",Q12&gt;=9),"Wall of Stone",IF(AND($P$20="Coast",Q12&gt;=9),"Scrying",IF(AND($P$20="arctic",Q12&gt;=9),"Cone of Cold",IF(AND(R15="war",Q12&gt;=9),"Hold Monster",IF(AND(R15="trickery",Q12&gt;=9),"Modify Memory",IF(AND(R15="tempest",Q12&gt;=9),"Insect Plague",IF(AND(R15="nature",Q12&gt;=9),"Tree Stride",IF(AND(R15="light",Q12&gt;=9),"Scrying",IF(AND(R15="life",Q12&gt;=9),"Raise Dead",IF(AND(R15="knowledge",Q12&gt;=9),"Scrying",IF(AND(Q11="bard",AL156=5),INDEX('Spell Tables'!$BX$2:$BX$24,MATCH(O121,('Spell Tables'!$BV$2:$BV$24),0))," "))))))))))))))))))))</f>
        <v xml:space="preserve"> </v>
      </c>
      <c r="Q159" s="60" t="str">
        <f ca="1">IF(AND(Q11="bard",AL168=6),INDEX('Spell Tables'!CB2:CB27,MATCH(O121,('Spell Tables'!BZ2:BZ27),0))," ")</f>
        <v xml:space="preserve"> </v>
      </c>
      <c r="R159" s="60" t="str">
        <f ca="1">IF(AND(Q11="bard",AL168=7),INDEX('Spell Tables'!CF2:CF11,MATCH(O121,('Spell Tables'!CD2:CD11),0))," ")</f>
        <v xml:space="preserve"> </v>
      </c>
      <c r="S159" s="60" t="str">
        <f ca="1">IF(AND(Q11="bard",AL180=8),INDEX('Spell Tables'!CJ2:CJ14,MATCH(O121,('Spell Tables'!CH2:CH14),0))," ")</f>
        <v xml:space="preserve"> </v>
      </c>
      <c r="T159" s="63" t="str">
        <f ca="1">IF(AND(Q11="bard",AL180=9),INDEX('Spell Tables'!CN2:CN11,MATCH(O121,('Spell Tables'!CL2:CL11),0))," ")</f>
        <v xml:space="preserve"> </v>
      </c>
      <c r="AJ159" s="29">
        <v>8</v>
      </c>
      <c r="AK159" s="29">
        <v>5</v>
      </c>
    </row>
    <row r="160" spans="1:38" x14ac:dyDescent="0.3">
      <c r="A160" s="33"/>
      <c r="B160" s="72"/>
      <c r="O160" s="83">
        <v>3</v>
      </c>
      <c r="P160" s="65"/>
      <c r="Q160" s="65"/>
      <c r="R160" s="65"/>
      <c r="S160" s="65"/>
      <c r="T160" s="66"/>
      <c r="AJ160" s="29">
        <v>9</v>
      </c>
      <c r="AK160" s="29">
        <v>5</v>
      </c>
    </row>
    <row r="161" spans="1:38" x14ac:dyDescent="0.3">
      <c r="A161" s="33"/>
      <c r="B161" s="72"/>
      <c r="O161" s="84">
        <v>4</v>
      </c>
      <c r="P161" s="60"/>
      <c r="Q161" s="60"/>
      <c r="R161" s="60"/>
      <c r="S161" s="60"/>
      <c r="T161" s="63"/>
      <c r="AJ161" s="29">
        <v>10</v>
      </c>
      <c r="AK161" s="29">
        <v>5</v>
      </c>
    </row>
    <row r="162" spans="1:38" x14ac:dyDescent="0.3">
      <c r="A162" s="33"/>
      <c r="B162" s="72"/>
      <c r="O162" s="83">
        <v>5</v>
      </c>
      <c r="P162" s="65"/>
      <c r="Q162" s="65"/>
      <c r="R162" s="65"/>
      <c r="S162" s="65"/>
      <c r="T162" s="66"/>
    </row>
    <row r="163" spans="1:38" x14ac:dyDescent="0.3">
      <c r="A163" s="33"/>
      <c r="B163" s="72"/>
      <c r="O163" s="84">
        <v>6</v>
      </c>
      <c r="P163" s="60"/>
      <c r="Q163" s="60"/>
      <c r="R163" s="60"/>
      <c r="S163" s="60"/>
      <c r="T163" s="63"/>
      <c r="AJ163" s="31" t="s">
        <v>1667</v>
      </c>
    </row>
    <row r="164" spans="1:38" x14ac:dyDescent="0.3">
      <c r="A164" s="33"/>
      <c r="B164" s="72"/>
      <c r="O164" s="83">
        <v>7</v>
      </c>
      <c r="P164" s="65"/>
      <c r="Q164" s="65"/>
      <c r="R164" s="65"/>
      <c r="S164" s="65"/>
      <c r="T164" s="66"/>
      <c r="AJ164" s="29">
        <v>1</v>
      </c>
      <c r="AK164" s="29">
        <v>6</v>
      </c>
    </row>
    <row r="165" spans="1:38" x14ac:dyDescent="0.3">
      <c r="A165" s="33"/>
      <c r="B165" s="72"/>
      <c r="O165" s="84">
        <v>8</v>
      </c>
      <c r="P165" s="60"/>
      <c r="Q165" s="60"/>
      <c r="R165" s="60"/>
      <c r="S165" s="60"/>
      <c r="T165" s="63"/>
      <c r="AJ165" s="29">
        <v>2</v>
      </c>
      <c r="AK165" s="29">
        <v>6</v>
      </c>
    </row>
    <row r="166" spans="1:38" x14ac:dyDescent="0.3">
      <c r="A166" s="33"/>
      <c r="B166" s="72"/>
      <c r="O166" s="83">
        <v>9</v>
      </c>
      <c r="P166" s="65"/>
      <c r="Q166" s="65"/>
      <c r="R166" s="65"/>
      <c r="S166" s="65"/>
      <c r="T166" s="66"/>
      <c r="U166" s="57"/>
      <c r="V166" s="57"/>
      <c r="W166" s="57"/>
      <c r="X166" s="57"/>
      <c r="AJ166" s="29">
        <v>3</v>
      </c>
      <c r="AK166" s="29">
        <v>6</v>
      </c>
    </row>
    <row r="167" spans="1:38" ht="19.5" thickBot="1" x14ac:dyDescent="0.35">
      <c r="A167" s="33"/>
      <c r="B167" s="72"/>
      <c r="O167" s="85">
        <v>10</v>
      </c>
      <c r="P167" s="67"/>
      <c r="Q167" s="67"/>
      <c r="R167" s="67"/>
      <c r="S167" s="67"/>
      <c r="T167" s="68"/>
      <c r="AJ167" s="29">
        <v>4</v>
      </c>
      <c r="AK167" s="29">
        <v>6</v>
      </c>
      <c r="AL167" s="29" t="str">
        <f ca="1">IF(AND(O11="bard",O12&gt;=14),VLOOKUP(RANDBETWEEN(1,10),Table220345459801858915331388498[],2)," ")</f>
        <v xml:space="preserve"> </v>
      </c>
    </row>
    <row r="168" spans="1:38" ht="19.5" thickBot="1" x14ac:dyDescent="0.35">
      <c r="AJ168" s="29">
        <v>5</v>
      </c>
      <c r="AK168" s="29">
        <v>7</v>
      </c>
      <c r="AL168" s="29" t="str">
        <f ca="1">IF(AND(O11="bard",O12&gt;=14),VLOOKUP(RANDBETWEEN(1,10),Table220345459801858915331388498[],2)," ")</f>
        <v xml:space="preserve"> </v>
      </c>
    </row>
    <row r="169" spans="1:38" ht="30.75" thickBot="1" x14ac:dyDescent="0.45">
      <c r="B169" s="105" t="s">
        <v>1243</v>
      </c>
      <c r="AJ169" s="29">
        <v>6</v>
      </c>
      <c r="AK169" s="29">
        <v>7</v>
      </c>
    </row>
    <row r="170" spans="1:38" ht="19.5" thickBot="1" x14ac:dyDescent="0.35">
      <c r="B170" s="79"/>
      <c r="C170" s="27"/>
      <c r="D170" s="27"/>
      <c r="E170" s="27"/>
      <c r="F170" s="27"/>
      <c r="G170" s="27"/>
      <c r="H170" s="27"/>
      <c r="I170" s="27"/>
      <c r="J170" s="27"/>
      <c r="K170" s="27"/>
      <c r="L170" s="27"/>
      <c r="M170" s="27"/>
      <c r="N170" s="27"/>
      <c r="O170" s="27"/>
      <c r="P170" s="87" t="s">
        <v>1341</v>
      </c>
      <c r="Q170" s="88" t="str">
        <f ca="1">IF($O$11="warlock",INDEX('Spell Tables'!$D$194:$D$213,MATCH($O$12,('Spell Tables'!$A$194:$A$213),0))," ")</f>
        <v xml:space="preserve"> </v>
      </c>
      <c r="R170" s="89" t="s">
        <v>1340</v>
      </c>
      <c r="S170" s="90" t="str">
        <f ca="1">IF($O$11="warlock",INDEX('Spell Tables'!$E$194:$E$213,MATCH($O$12,('Spell Tables'!$A$194:$A$213),0))," ")</f>
        <v xml:space="preserve"> </v>
      </c>
      <c r="T170" s="91"/>
      <c r="AJ170" s="29">
        <v>7</v>
      </c>
      <c r="AK170" s="29">
        <v>7</v>
      </c>
    </row>
    <row r="171" spans="1:38" x14ac:dyDescent="0.3">
      <c r="B171" s="112"/>
      <c r="C171" s="33"/>
      <c r="D171" s="33"/>
      <c r="E171" s="33"/>
      <c r="F171" s="33"/>
      <c r="G171" s="33"/>
      <c r="H171" s="33"/>
      <c r="I171" s="33"/>
      <c r="J171" s="33"/>
      <c r="K171" s="33"/>
      <c r="L171" s="33"/>
      <c r="M171" s="33"/>
      <c r="N171" s="33"/>
      <c r="O171" s="33"/>
      <c r="P171" s="92" t="s">
        <v>1342</v>
      </c>
      <c r="Q171" s="33">
        <f ca="1">IF(AND(AF14=2,OR(O11="monk",O11="barbarian",O11="warlock"),OR(Q11="fighter",Q11="rogue"),OR(P15&lt;&gt;"arcane trickster",R15&lt;&gt;"arcane trickster",P15&lt;&gt;"eldritch knight",R15&lt;&gt;"eldritch knight")),0,IF(AND(AF14=2,OR(O11="monk",O11="barbarian",O11="warlock"),OR(Q11="monk",Q11="barbarian",Q11="warlock")),0,IF(AND(AF14=2,OR(O11="monk",O11="barbarian",O11="warlock",Q11="monk",Q11="barbarian",Q11="warlock"),OR(P15="arcane trickster",R15="arcane trickster",P15="eldritch knight",R15="eldritch knight")),INDEX('Spell Tables'!D141:D160,MATCH(AF18,('Spell Tables'!A141:A160),0)),IF(AND(AF14=2,OR(O11="monk",O11="barbarian",O11="warlock",Q11="monk",Q11="barbarian",Q11="warlock"),OR(O11="paladin",Q11="paladin",O11="ranger",Q11="ranger")),INDEX('Spell Tables'!D119:D138,MATCH(AF18,('Spell Tables'!B119:B138),0)),IF(AF14=2,INDEX('Spell Tables'!D242:D261,MATCH(AF18,('Spell Tables'!B242:B261),0)),IF(AND(AF14=1,$P$15="arcane trickster"),INDEX('Spell Tables'!$D$141:$D$161,MATCH($O$12,('Spell Tables'!$A$141:$A$160),0)),IF(AND(AF14=1,(OR($O$11="bard",$O$11="cleric",$O$11="druid",$O$11="sorcerer",$O$11="wizard"))),INDEX('Spell Tables'!$D$2:$D$21,MATCH($O$12,('Spell Tables'!$A$2:$A$21),0)),IF(AND(AF14=1,$P$15)="Eldritch Knight",INDEX('Spell Tables'!$D$70:$D$89,MATCH($O$12,('Spell Tables'!$A$70:$A$89),0))," "))))))))</f>
        <v>4</v>
      </c>
      <c r="R171" s="33">
        <f ca="1">IF(AND(AF14=2,OR(O11="monk",O11="barbarian",O11="warlock"),OR(Q11="fighter",Q11="rogue"),OR(P15&lt;&gt;"arcane trickster",R15&lt;&gt;"arcane trickster",P15&lt;&gt;"eldritch knight",R15&lt;&gt;"eldritch knight")),0,IF(AND(AF14=2,OR(O11="monk",O11="barbarian",O11="warlock"),OR(Q11="monk",Q11="barbarian",Q11="warlock")),0,IF(AND(AF14=2,OR(O11="monk",O11="barbarian",O11="warlock",Q11="monk",Q11="barbarian",Q11="warlock"),OR(P15="arcane trickster",R15="arcane trickster",P15="eldritch knight",R15="eldritch knight")),INDEX('Spell Tables'!E141:E160,MATCH(AF18,('Spell Tables'!A141:A160),0)),IF(AND(AF14=2,OR(O11="monk",O11="barbarian",O11="warlock",Q11="monk",Q11="barbarian",Q11="warlock"),OR(O11="paladin",Q11="paladin",O11="ranger",Q11="ranger")),INDEX('Spell Tables'!E119:E138,MATCH(AF18,('Spell Tables'!B119:B138),0)),IF(AF14=2,INDEX('Spell Tables'!E242:E261,MATCH(AF18,('Spell Tables'!B242:B261),0)),IF($P$15="arcane trickster",INDEX('Spell Tables'!$E$141:$E$161,MATCH($O$12,('Spell Tables'!$A$141:$A$160),0)),IF(OR($O$11="bard",$O$11="cleric",$O$11="druid",O11="sorcerer",O11="wizard"),INDEX('Spell Tables'!E$2:E$21,MATCH($O$12,('Spell Tables'!$A$2:$A$21),0)),IF($P$15="Eldritch Knight",INDEX('Spell Tables'!E70:E89,MATCH($O$12,('Spell Tables'!$A$70:$A$89),0))," "))))))))</f>
        <v>3</v>
      </c>
      <c r="S171" s="33">
        <f ca="1">IF(AND(AF14=2,OR(O11="monk",O11="barbarian",O11="warlock"),OR(Q11="fighter",Q11="rogue"),OR(P15&lt;&gt;"arcane trickster",R15&lt;&gt;"arcane trickster",P15&lt;&gt;"eldritch knight",R15&lt;&gt;"eldritch knight")),0,IF(AND(AF14=2,OR(O11="monk",O11="barbarian",O11="warlock"),OR(Q11="monk",Q11="barbarian",Q11="warlock")),0,IF(AND(AF14=2,OR(O11="monk",O11="barbarian",O11="warlock",Q11="monk",Q11="barbarian",Q11="warlock"),OR(P15="arcane trickster",R15="arcane trickster",P15="eldritch knight",R15="eldritch knight")),INDEX('Spell Tables'!F141:F160,MATCH(AF18,('Spell Tables'!A141:A160),0)),IF(AND(AF14=2,OR(O11="monk",O11="barbarian",O11="warlock",Q11="monk",Q11="barbarian",Q11="warlock"),OR(O11="paladin",Q11="paladin",O11="ranger",Q11="ranger")),INDEX('Spell Tables'!F119:F1383,MATCH(AF18,('Spell Tables'!B119:B138),0)),IF(AF14=2,INDEX('Spell Tables'!F242:F261,MATCH(AF18,('Spell Tables'!B242:B261),0)),IF($P$15="arcane trickster",INDEX('Spell Tables'!$F$141:$F$161,MATCH($O$12,('Spell Tables'!$A$141:$A$160),0)),IF(OR($O$11="bard",$O$11="cleric",$O$11="druid",O11="sorcerer",O11="wizard"),INDEX('Spell Tables'!F$2:F$21,MATCH($O$12,('Spell Tables'!$A$2:$A$21),0)),IF($P$15="Eldritch Knight",INDEX('Spell Tables'!F70:F89,MATCH($O$12,('Spell Tables'!$A$70:$A$89),0))," "))))))))</f>
        <v>0</v>
      </c>
      <c r="T171" s="72">
        <f ca="1">IF(AND(AF14=2,OR(O11="monk",O11="barbarian",O11="warlock"),OR(Q11="fighter",Q11="rogue"),OR(P15&lt;&gt;"arcane trickster",R15&lt;&gt;"arcane trickster",P15&lt;&gt;"eldritch knight",R15&lt;&gt;"eldritch knight")),0,IF(AND(AF14=2,OR(O11="monk",O11="barbarian",O11="warlock"),OR(Q11="monk",Q11="barbarian",Q11="warlock")),0,IF(AND(AF14=2,OR(O11="monk",O11="barbarian",O11="warlock",Q11="monk",Q11="barbarian",Q11="warlock"),OR(P15="arcane trickster",R15="arcane trickster",P15="eldritch knight",R15="eldritch knight")),INDEX('Spell Tables'!G141:G160,MATCH(AF18,('Spell Tables'!A141:A160),0)),IF(AND(AF14=2,OR(O11="monk",O11="barbarian",O11="warlock",Q11="monk",Q11="barbarian",Q11="warlock"),OR(O11="paladin",Q11="paladin",O11="ranger",Q11="ranger")),INDEX('Spell Tables'!G119:G138,MATCH(AF18,('Spell Tables'!B119:B138),0)),IF(AF14=2,INDEX('Spell Tables'!G242:G261,MATCH(AF18,('Spell Tables'!B242:B261),0)),IF($P$15="arcane trickster",INDEX('Spell Tables'!$G$141:$G$161,MATCH($O$12,('Spell Tables'!$A$141:$A$160),0)),IF(OR($O$11="bard",$O$11="cleric",$O$11="druid",O11="sorcerer",O11="wizard"),INDEX('Spell Tables'!G$2:G$21,MATCH($O$12,('Spell Tables'!$A$2:$A$21),0)),IF($P$15="Eldritch Knight",INDEX('Spell Tables'!G70:G89,MATCH($O$12,('Spell Tables'!$A$70:$A$89),0))," "))))))))</f>
        <v>0</v>
      </c>
      <c r="AJ171" s="29">
        <v>8</v>
      </c>
      <c r="AK171" s="29">
        <v>7</v>
      </c>
    </row>
    <row r="172" spans="1:38" hidden="1" x14ac:dyDescent="0.3">
      <c r="B172" s="112" t="s">
        <v>1270</v>
      </c>
      <c r="C172" s="33"/>
      <c r="D172" s="33"/>
      <c r="E172" s="33"/>
      <c r="F172" s="33"/>
      <c r="G172" s="33"/>
      <c r="H172" s="33"/>
      <c r="I172" s="33"/>
      <c r="J172" s="33"/>
      <c r="K172" s="33"/>
      <c r="L172" s="33"/>
      <c r="M172" s="33"/>
      <c r="N172" s="33"/>
      <c r="O172" s="33" t="s">
        <v>530</v>
      </c>
      <c r="P172" s="92" t="s">
        <v>530</v>
      </c>
      <c r="Q172" s="33" t="str">
        <f ca="1">IF(AND(O11="wizard",O12&gt;=3),"x",IF(O11="wizard","xx"," "))</f>
        <v xml:space="preserve"> </v>
      </c>
      <c r="R172" s="33" t="str">
        <f ca="1">IF(AND(O11="wizard",O12&gt;=5),"x",IF(AND($O$11="wizard",$O$12&gt;3),"xx",IF(AND(O11="wizard",O12=3),"xxx"," ")))</f>
        <v xml:space="preserve"> </v>
      </c>
      <c r="S172" s="33" t="str">
        <f ca="1">IF(AND(O11="Wizard",O12&gt;=7),"x",IF(AND($O$11="wizard",$O$12&gt;5),"xx",IF(AND(O11="wizard",O12=5),"xxx"," ")))</f>
        <v xml:space="preserve"> </v>
      </c>
      <c r="T172" s="33" t="str">
        <f ca="1">IF(AND(O11="wizard",O12&gt;=9),"x",IF(AND($O$11="wizard",$O$12&gt;7),"xx",IF(AND(O11="wizard",O12=7),"xxx"," ")))</f>
        <v xml:space="preserve"> </v>
      </c>
      <c r="AJ172" s="29">
        <v>9</v>
      </c>
      <c r="AK172" s="29">
        <v>7</v>
      </c>
    </row>
    <row r="173" spans="1:38" hidden="1" x14ac:dyDescent="0.3">
      <c r="B173" s="112" t="s">
        <v>1272</v>
      </c>
      <c r="C173" s="33"/>
      <c r="D173" s="33"/>
      <c r="E173" s="33"/>
      <c r="F173" s="33"/>
      <c r="G173" s="33"/>
      <c r="H173" s="33"/>
      <c r="I173" s="33"/>
      <c r="J173" s="33"/>
      <c r="K173" s="33"/>
      <c r="L173" s="33"/>
      <c r="M173" s="33"/>
      <c r="N173" s="33"/>
      <c r="O173" s="33" t="str">
        <f ca="1">IF(O11="wizard",P41+O12," ")</f>
        <v xml:space="preserve"> </v>
      </c>
      <c r="P173" s="92">
        <f ca="1">IF(O11="wizard",INDEX('Spell Tables'!C242:C261,MATCH(O12,('Spell Tables'!B242:B261),0)),0)</f>
        <v>0</v>
      </c>
      <c r="Q173" s="33">
        <f ca="1">IF($Q172="x",RANDBETWEEN(1,2),IF($Q172="xx",$O$173,0))</f>
        <v>0</v>
      </c>
      <c r="R173" s="33">
        <f ca="1">IF(R172="x",RANDBETWEEN(1,2),IF(R172="xx",$O$173-Q173,0))</f>
        <v>0</v>
      </c>
      <c r="S173" s="33">
        <f ca="1">IF(S172="x",O173-SUM(Q173:R173,U122:X122),IF(S172="xx",$O$173-SUM(Q173:R173),0))</f>
        <v>0</v>
      </c>
      <c r="T173" s="33">
        <f ca="1">IF(T172="x",RANDBETWEEN(1,2),IF(T172="xx",RANDBETWEEN(2,3),IF(T172="xxx",RANDBETWEEN(1,2),0)))</f>
        <v>0</v>
      </c>
      <c r="AJ173" s="29">
        <v>10</v>
      </c>
      <c r="AK173" s="29">
        <v>7</v>
      </c>
    </row>
    <row r="174" spans="1:38" hidden="1" x14ac:dyDescent="0.3">
      <c r="B174" s="112" t="s">
        <v>1269</v>
      </c>
      <c r="C174" s="33"/>
      <c r="D174" s="33"/>
      <c r="E174" s="33"/>
      <c r="F174" s="33"/>
      <c r="G174" s="33"/>
      <c r="H174" s="33"/>
      <c r="I174" s="33"/>
      <c r="J174" s="33"/>
      <c r="K174" s="33"/>
      <c r="L174" s="33"/>
      <c r="M174" s="33"/>
      <c r="N174" s="33"/>
      <c r="O174" s="33" t="s">
        <v>530</v>
      </c>
      <c r="P174" s="92" t="s">
        <v>530</v>
      </c>
      <c r="Q174" s="33" t="str">
        <f ca="1">IF(AND($O$11="warlock",$O$12&gt;=3),"x",IF(O11="warlock","xx"," "))</f>
        <v xml:space="preserve"> </v>
      </c>
      <c r="R174" s="33" t="str">
        <f ca="1">IF(AND($O$11="warlock",$O$12&gt;=5),"x",IF(AND($O$11="warlock",$O$12&gt;=3),"xx"," "))</f>
        <v xml:space="preserve"> </v>
      </c>
      <c r="S174" s="33" t="str">
        <f ca="1">IF(AND($O$11="warlock",$O$12&gt;=7),"x",IF(AND($O$11="warlock",$O$12&gt;=5),"xx"," "))</f>
        <v xml:space="preserve"> </v>
      </c>
      <c r="T174" s="33" t="str">
        <f ca="1">IF(AND($O$11="warlock",$O$12&gt;=9),"x",IF(AND($O$11="warlock",$O$12&gt;=7),"xx"," "))</f>
        <v xml:space="preserve"> </v>
      </c>
    </row>
    <row r="175" spans="1:38" hidden="1" x14ac:dyDescent="0.3">
      <c r="B175" s="112" t="s">
        <v>1268</v>
      </c>
      <c r="C175" s="33"/>
      <c r="D175" s="33"/>
      <c r="E175" s="33"/>
      <c r="F175" s="33"/>
      <c r="G175" s="33"/>
      <c r="H175" s="33"/>
      <c r="I175" s="33"/>
      <c r="J175" s="33"/>
      <c r="K175" s="33"/>
      <c r="L175" s="33"/>
      <c r="M175" s="33"/>
      <c r="N175" s="33"/>
      <c r="O175" s="33" t="str">
        <f ca="1">IF(O11="warlock",INDEX('Spell Tables'!C194:C213,MATCH($O$12,('Spell Tables'!A194:A213),0))," ")</f>
        <v xml:space="preserve"> </v>
      </c>
      <c r="P175" s="92">
        <f ca="1">IF($O$11="warlock",INDEX('Spell Tables'!B194:B213,MATCH($O$12,('Spell Tables'!A194:A213),0)),0)</f>
        <v>0</v>
      </c>
      <c r="Q175" s="33">
        <f ca="1">IF($Q174="x",RANDBETWEEN(1,2),IF($Q174="xx",$O$175,0))</f>
        <v>0</v>
      </c>
      <c r="R175" s="33">
        <f ca="1">IF(R174="x",RANDBETWEEN(1,2),IF(R174="xx",$O$175-Q175,0))</f>
        <v>0</v>
      </c>
      <c r="S175" s="33">
        <f ca="1">IF(S174="x",O175-SUM(Q175:R175,U124:X124),IF(S174="xx",$O$175-SUM(Q175:R175),0))</f>
        <v>0</v>
      </c>
      <c r="T175" s="33">
        <f ca="1">IF(T174="x",RANDBETWEEN(1,2),IF(T174="xx",RANDBETWEEN(2,3),0))</f>
        <v>0</v>
      </c>
      <c r="AJ175" s="31" t="s">
        <v>1668</v>
      </c>
    </row>
    <row r="176" spans="1:38" hidden="1" x14ac:dyDescent="0.3">
      <c r="B176" s="112" t="s">
        <v>1267</v>
      </c>
      <c r="C176" s="33"/>
      <c r="D176" s="33"/>
      <c r="E176" s="33"/>
      <c r="F176" s="33"/>
      <c r="G176" s="33"/>
      <c r="H176" s="33"/>
      <c r="I176" s="33"/>
      <c r="J176" s="33"/>
      <c r="K176" s="33"/>
      <c r="L176" s="33"/>
      <c r="M176" s="33"/>
      <c r="N176" s="33"/>
      <c r="O176" s="33" t="s">
        <v>530</v>
      </c>
      <c r="P176" s="92" t="s">
        <v>530</v>
      </c>
      <c r="Q176" s="33" t="str">
        <f ca="1">IF(AND($O$11="sorcerer",$O$12&gt;=3),"x",IF($O$11="sorcerer","xx"," "))</f>
        <v xml:space="preserve"> </v>
      </c>
      <c r="R176" s="33" t="str">
        <f ca="1">IF(AND($O$11="sorcerer",$O$12&gt;=5),"x",IF(AND($O$11="sorcerer",$O$12&gt;=3),"xx"," "))</f>
        <v xml:space="preserve"> </v>
      </c>
      <c r="S176" s="33" t="str">
        <f ca="1">IF(AND($O$11="sorcerer",$O$12&gt;=7),"x",IF(AND($O$11="sorcerer",$O$12&gt;=5),"xx"," "))</f>
        <v xml:space="preserve"> </v>
      </c>
      <c r="T176" s="33" t="str">
        <f ca="1">IF(AND($O$11="sorcerer",$O$12&gt;=9),"x",IF(AND($O$11="sorcerer",$O$12&gt;=7),"xx"," "))</f>
        <v xml:space="preserve"> </v>
      </c>
      <c r="AJ176" s="29">
        <v>1</v>
      </c>
      <c r="AK176" s="29">
        <v>8</v>
      </c>
    </row>
    <row r="177" spans="2:38" hidden="1" x14ac:dyDescent="0.3">
      <c r="B177" s="112" t="s">
        <v>1266</v>
      </c>
      <c r="C177" s="33"/>
      <c r="D177" s="33"/>
      <c r="E177" s="33"/>
      <c r="F177" s="33"/>
      <c r="G177" s="33"/>
      <c r="H177" s="33"/>
      <c r="I177" s="33"/>
      <c r="J177" s="33"/>
      <c r="K177" s="33"/>
      <c r="L177" s="33"/>
      <c r="M177" s="33"/>
      <c r="N177" s="33"/>
      <c r="O177" s="33" t="str">
        <f ca="1">IF(O11="sorcerer",INDEX('Spell Tables'!C168:C187,MATCH($O$12,('Spell Tables'!A168:A187),0))," ")</f>
        <v xml:space="preserve"> </v>
      </c>
      <c r="P177" s="92">
        <f ca="1">IF($O$11="sorcerer",INDEX('Spell Tables'!B168:B187,MATCH($O$12,('Spell Tables'!A168:A187),0)),0)</f>
        <v>0</v>
      </c>
      <c r="Q177" s="33">
        <f ca="1">IF($Q176="x",RANDBETWEEN(1,2),IF($Q176="xx",$O$177,0))</f>
        <v>0</v>
      </c>
      <c r="R177" s="33">
        <f ca="1">IF(R176="x",RANDBETWEEN(1,2),IF(R176="xx",$O$177-Q177,0))</f>
        <v>0</v>
      </c>
      <c r="S177" s="33">
        <f ca="1">IF(S176="x",O177-SUM(Q177:R177,U126:X126),IF(S176="xx",$O$177-SUM(Q177:R177),0))</f>
        <v>0</v>
      </c>
      <c r="T177" s="33">
        <f ca="1">IF(T176="x",RANDBETWEEN(1,2),IF(T176="xx",RANDBETWEEN(2,3),0))</f>
        <v>0</v>
      </c>
      <c r="AJ177" s="29">
        <v>2</v>
      </c>
      <c r="AK177" s="29">
        <v>8</v>
      </c>
    </row>
    <row r="178" spans="2:38" hidden="1" x14ac:dyDescent="0.3">
      <c r="B178" s="112" t="s">
        <v>1254</v>
      </c>
      <c r="C178" s="33"/>
      <c r="D178" s="33"/>
      <c r="E178" s="33"/>
      <c r="F178" s="33"/>
      <c r="G178" s="33"/>
      <c r="H178" s="33"/>
      <c r="I178" s="33"/>
      <c r="J178" s="33"/>
      <c r="K178" s="33"/>
      <c r="L178" s="33"/>
      <c r="M178" s="33"/>
      <c r="N178" s="33"/>
      <c r="O178" s="33" t="s">
        <v>530</v>
      </c>
      <c r="P178" s="92" t="s">
        <v>530</v>
      </c>
      <c r="Q178" s="33" t="str">
        <f ca="1">IF(AND(P15="arcane trickster",O12&gt;=7),"x",IF(P15="arcane trickster","xx"," "))</f>
        <v xml:space="preserve"> </v>
      </c>
      <c r="R178" s="33" t="str">
        <f ca="1">IF(AND(P15="arcane trickster",O12=13),"x",IF(AND(P15="arcane trickster",$O$12&gt;=7),"xx"," "))</f>
        <v xml:space="preserve"> </v>
      </c>
      <c r="S178" s="33" t="str">
        <f ca="1">IF(AND(P15="arcane trickster",O12&gt;=19),"x",IF(AND(P15="arcane trickster",$O$12&gt;=13),"xx"," "))</f>
        <v xml:space="preserve"> </v>
      </c>
      <c r="T178" s="33" t="str">
        <f ca="1">IF(AND(P15="arcane trickster",$O$12&gt;=19),"xx"," ")</f>
        <v xml:space="preserve"> </v>
      </c>
      <c r="AJ178" s="29">
        <v>3</v>
      </c>
      <c r="AK178" s="29">
        <v>8</v>
      </c>
    </row>
    <row r="179" spans="2:38" hidden="1" x14ac:dyDescent="0.3">
      <c r="B179" s="112" t="s">
        <v>1253</v>
      </c>
      <c r="C179" s="33"/>
      <c r="D179" s="33"/>
      <c r="E179" s="33"/>
      <c r="F179" s="33"/>
      <c r="G179" s="33"/>
      <c r="H179" s="33"/>
      <c r="I179" s="33"/>
      <c r="J179" s="33"/>
      <c r="K179" s="33"/>
      <c r="L179" s="33"/>
      <c r="M179" s="33"/>
      <c r="N179" s="33"/>
      <c r="O179" s="33" t="str">
        <f ca="1">IF(P15="arcane trickster",INDEX('Spell Tables'!C141:C160,MATCH($O$12,('Spell Tables'!A141:A160),0))," ")</f>
        <v xml:space="preserve"> </v>
      </c>
      <c r="P179" s="92">
        <f ca="1">IF($P$15="arcane trickster",INDEX('Spell Tables'!B141:B160,MATCH($O$12,('Spell Tables'!A141:A160),0)),0)</f>
        <v>0</v>
      </c>
      <c r="Q179" s="33">
        <f ca="1">IF($Q178="x",RANDBETWEEN(2,3),IF($Q178="xx",$O$179,0))</f>
        <v>0</v>
      </c>
      <c r="R179" s="33">
        <f ca="1">IF(R178="x",RANDBETWEEN(2,3),IF(R178="xx",$O$179-Q179,0))</f>
        <v>0</v>
      </c>
      <c r="S179" s="33">
        <f ca="1">IF(S178="x",O179-SUM(Q179:R179,U128:X128),IF(S178="xx",$O$179-SUM(Q179:R179),0))</f>
        <v>0</v>
      </c>
      <c r="T179" s="33">
        <f ca="1">IF(T178="x",RANDBETWEEN(1,2),IF(T178="xx",RANDBETWEEN(2,3),0))</f>
        <v>0</v>
      </c>
      <c r="AJ179" s="29">
        <v>4</v>
      </c>
      <c r="AK179" s="29">
        <v>8</v>
      </c>
      <c r="AL179" s="29" t="str">
        <f ca="1">IF(AND(O11="bard",O12&gt;=18),VLOOKUP(RANDBETWEEN(1,10),Table222346460802859916332389499[],2)," ")</f>
        <v xml:space="preserve"> </v>
      </c>
    </row>
    <row r="180" spans="2:38" hidden="1" x14ac:dyDescent="0.3">
      <c r="B180" s="112" t="s">
        <v>1247</v>
      </c>
      <c r="C180" s="33"/>
      <c r="D180" s="33"/>
      <c r="E180" s="33"/>
      <c r="F180" s="33"/>
      <c r="G180" s="33"/>
      <c r="H180" s="33"/>
      <c r="I180" s="33"/>
      <c r="J180" s="33"/>
      <c r="K180" s="33"/>
      <c r="L180" s="33"/>
      <c r="M180" s="33"/>
      <c r="N180" s="33"/>
      <c r="O180" s="33" t="s">
        <v>530</v>
      </c>
      <c r="P180" s="92" t="s">
        <v>1324</v>
      </c>
      <c r="Q180" s="33" t="str">
        <f ca="1">IF(AND($O$11="ranger",$O$12&gt;=5),"x",IF(AND(O11="ranger",O12&gt;=2),"xx"," "))</f>
        <v xml:space="preserve"> </v>
      </c>
      <c r="R180" s="33" t="str">
        <f ca="1">IF(AND($O$11="ranger",$O$12&gt;=9),"x",IF(AND($O$11="ranger",$O$12&gt;=5),"xx"," "))</f>
        <v xml:space="preserve"> </v>
      </c>
      <c r="S180" s="33" t="str">
        <f ca="1">IF(AND($O$11="ranger",$O$12&gt;=13),"x",IF(AND($O$11="ranger",$O$12&gt;=9),"xx"," "))</f>
        <v xml:space="preserve"> </v>
      </c>
      <c r="T180" s="33" t="str">
        <f ca="1">IF(AND($O$11="ranger",$O$12&gt;=17),"x",IF(AND($O$11="ranger",$O$12&gt;=13),"xx"," "))</f>
        <v xml:space="preserve"> </v>
      </c>
      <c r="AJ180" s="29">
        <v>5</v>
      </c>
      <c r="AK180" s="29">
        <v>9</v>
      </c>
      <c r="AL180" s="29" t="str">
        <f ca="1">IF(AND(O11="bard",O12&gt;=18),VLOOKUP(RANDBETWEEN(1,10),Table222346460802859916332389499[],2)," ")</f>
        <v xml:space="preserve"> </v>
      </c>
    </row>
    <row r="181" spans="2:38" hidden="1" x14ac:dyDescent="0.3">
      <c r="B181" s="112" t="s">
        <v>1246</v>
      </c>
      <c r="C181" s="33"/>
      <c r="D181" s="33"/>
      <c r="E181" s="33"/>
      <c r="F181" s="33"/>
      <c r="G181" s="33"/>
      <c r="H181" s="33"/>
      <c r="I181" s="33"/>
      <c r="J181" s="33"/>
      <c r="K181" s="33"/>
      <c r="L181" s="33"/>
      <c r="M181" s="33"/>
      <c r="N181" s="33"/>
      <c r="O181" s="33" t="str">
        <f ca="1">IF($O$11="ranger",INDEX('Spell Tables'!C119:C138,MATCH($O$12,('Spell Tables'!B119:B138),0))," ")</f>
        <v xml:space="preserve"> </v>
      </c>
      <c r="P181" s="92" t="s">
        <v>1324</v>
      </c>
      <c r="Q181" s="33">
        <f ca="1">IF($Q180="x",RANDBETWEEN(1,2),IF($Q180="xx",$O$181,0))</f>
        <v>0</v>
      </c>
      <c r="R181" s="33">
        <f ca="1">IF(R180="x",RANDBETWEEN(1,2),IF(R180="xx",$O$181-Q181,0))</f>
        <v>0</v>
      </c>
      <c r="S181" s="33">
        <f ca="1">IF(S180="x",O181-SUM(Q181:R181,T130:X130),IF(S180="xx",$O$181-SUM(Q181:R181),0))</f>
        <v>0</v>
      </c>
      <c r="T181" s="33">
        <f ca="1">IF(T180="x",RANDBETWEEN(1,2),IF(T180="xx",RANDBETWEEN(2,3),0))</f>
        <v>0</v>
      </c>
      <c r="AJ181" s="29">
        <v>6</v>
      </c>
      <c r="AK181" s="29">
        <v>9</v>
      </c>
    </row>
    <row r="182" spans="2:38" hidden="1" x14ac:dyDescent="0.3">
      <c r="B182" s="112" t="s">
        <v>1245</v>
      </c>
      <c r="C182" s="33"/>
      <c r="D182" s="33"/>
      <c r="E182" s="33"/>
      <c r="F182" s="33"/>
      <c r="G182" s="33"/>
      <c r="H182" s="33"/>
      <c r="I182" s="33"/>
      <c r="J182" s="33"/>
      <c r="K182" s="33"/>
      <c r="L182" s="33"/>
      <c r="M182" s="33"/>
      <c r="N182" s="33"/>
      <c r="O182" s="33" t="s">
        <v>530</v>
      </c>
      <c r="P182" s="92" t="s">
        <v>1324</v>
      </c>
      <c r="Q182" s="33" t="str">
        <f ca="1">IF(AND($O$11="paladin",$O$12&gt;=5),"x",IF($O$11="paladin","xx"," "))</f>
        <v xml:space="preserve"> </v>
      </c>
      <c r="R182" s="33" t="str">
        <f ca="1">IF(AND(O11="paladin",O12&gt;=9),"x",IF(AND($O$11="paladin",$O$12&gt;=5),"xx"," "))</f>
        <v xml:space="preserve"> </v>
      </c>
      <c r="S182" s="33" t="str">
        <f ca="1">IF(AND(O11="paladin",O12&gt;=13),"x",IF(AND($O$11="paladin",$O$12&gt;=9),"xx"," "))</f>
        <v xml:space="preserve"> </v>
      </c>
      <c r="T182" s="33" t="str">
        <f ca="1">IF(AND(O11="paladin",O12&gt;=17),"x",IF(AND($O$11="paladin",$O$12&gt;=13),"xx"," "))</f>
        <v xml:space="preserve"> </v>
      </c>
      <c r="AJ182" s="29">
        <v>7</v>
      </c>
      <c r="AK182" s="29">
        <v>9</v>
      </c>
    </row>
    <row r="183" spans="2:38" hidden="1" x14ac:dyDescent="0.3">
      <c r="B183" s="112" t="s">
        <v>1244</v>
      </c>
      <c r="C183" s="33"/>
      <c r="D183" s="33"/>
      <c r="E183" s="33"/>
      <c r="F183" s="33"/>
      <c r="G183" s="33"/>
      <c r="H183" s="33"/>
      <c r="I183" s="33"/>
      <c r="J183" s="33"/>
      <c r="K183" s="33"/>
      <c r="L183" s="33"/>
      <c r="M183" s="33"/>
      <c r="N183" s="33"/>
      <c r="O183" s="33" t="str">
        <f ca="1">IF(O11="paladin",ROUNDDOWN(P43+(O12*0.5),0)," ")</f>
        <v xml:space="preserve"> </v>
      </c>
      <c r="P183" s="92" t="s">
        <v>1324</v>
      </c>
      <c r="Q183" s="33">
        <f ca="1">IF($Q182="x",RANDBETWEEN(1,2),IF($Q182="xx",$O$183,0))</f>
        <v>0</v>
      </c>
      <c r="R183" s="33">
        <f ca="1">IF(R182="x",RANDBETWEEN(1,2),IF(R182="xx",$O$183-Q183,0))</f>
        <v>0</v>
      </c>
      <c r="S183" s="33">
        <f ca="1">IF(S182="x",O183-SUM(Q183:R183,U132:X132),IF(S182="xx",$O$183-SUM(Q183:R183),0))</f>
        <v>0</v>
      </c>
      <c r="T183" s="33">
        <f ca="1">IF(T182="x",RANDBETWEEN(1,2),IF(T182="xx",RANDBETWEEN(2,3),0))</f>
        <v>0</v>
      </c>
      <c r="AJ183" s="29">
        <v>8</v>
      </c>
      <c r="AK183" s="29">
        <v>9</v>
      </c>
    </row>
    <row r="184" spans="2:38" hidden="1" x14ac:dyDescent="0.3">
      <c r="B184" s="112" t="s">
        <v>1226</v>
      </c>
      <c r="C184" s="33"/>
      <c r="D184" s="33"/>
      <c r="E184" s="33"/>
      <c r="F184" s="33"/>
      <c r="G184" s="33"/>
      <c r="H184" s="33"/>
      <c r="I184" s="33"/>
      <c r="J184" s="33"/>
      <c r="K184" s="33"/>
      <c r="L184" s="33"/>
      <c r="M184" s="33"/>
      <c r="N184" s="33"/>
      <c r="O184" s="33" t="s">
        <v>530</v>
      </c>
      <c r="P184" s="92" t="s">
        <v>530</v>
      </c>
      <c r="Q184" s="33" t="str">
        <f ca="1">IF(AND(P15="eldritch knight",O12&gt;=7),"x",IF(P15="eldritch knight","xx"," "))</f>
        <v xml:space="preserve"> </v>
      </c>
      <c r="R184" s="33" t="str">
        <f ca="1">IF(AND(P15="eldritch knight",O12&gt;=13),"x",IF(AND(P15="eldritch knight",$O$12&gt;=7),"xx"," "))</f>
        <v xml:space="preserve"> </v>
      </c>
      <c r="S184" s="33" t="str">
        <f ca="1">IF(AND(P15="eldritch knight",O12&gt;=19),"x",IF(AND(P15="eldritch knight",$O$12&gt;=13),"xx"," "))</f>
        <v xml:space="preserve"> </v>
      </c>
      <c r="T184" s="33" t="str">
        <f ca="1">IF(AND(P15="eldritch knight",$O$12&gt;=19),"xx"," ")</f>
        <v xml:space="preserve"> </v>
      </c>
      <c r="AJ184" s="29">
        <v>9</v>
      </c>
      <c r="AK184" s="29">
        <v>9</v>
      </c>
    </row>
    <row r="185" spans="2:38" hidden="1" x14ac:dyDescent="0.3">
      <c r="B185" s="112" t="s">
        <v>1222</v>
      </c>
      <c r="C185" s="33"/>
      <c r="D185" s="33"/>
      <c r="E185" s="33"/>
      <c r="F185" s="33"/>
      <c r="G185" s="33"/>
      <c r="H185" s="33"/>
      <c r="I185" s="33"/>
      <c r="J185" s="33"/>
      <c r="K185" s="33"/>
      <c r="L185" s="33"/>
      <c r="M185" s="33"/>
      <c r="N185" s="33"/>
      <c r="O185" s="33" t="str">
        <f ca="1">IF($P$15="eldritch knight",INDEX('Spell Tables'!C70:C89,MATCH($O$12,('Spell Tables'!$A$70:$A$89),0))," ")</f>
        <v xml:space="preserve"> </v>
      </c>
      <c r="P185" s="92">
        <f ca="1">IF($P$15="eldritch knight",INDEX('Spell Tables'!B70:B89,MATCH($O$12,('Spell Tables'!A70:A89),0)),0)</f>
        <v>0</v>
      </c>
      <c r="Q185" s="33">
        <f ca="1">IF($Q184="x",RANDBETWEEN(2,3),IF($Q184="xx",$O$185,0))</f>
        <v>0</v>
      </c>
      <c r="R185" s="33">
        <f ca="1">IF(R184="x",RANDBETWEEN(2,3),IF(R184="xx",$O$185-Q185,0))</f>
        <v>0</v>
      </c>
      <c r="S185" s="33">
        <f ca="1">IF(S184="x",O185-SUM(Q185:R185,U134:X134),IF(S184="xx",$O$185-SUM(Q185:R185),0))</f>
        <v>0</v>
      </c>
      <c r="T185" s="33">
        <f ca="1">IF(T184="x",RANDBETWEEN(1,2),IF(T184="xx",RANDBETWEEN(2,3),0))</f>
        <v>0</v>
      </c>
      <c r="AJ185" s="29">
        <v>10</v>
      </c>
      <c r="AK185" s="29">
        <v>9</v>
      </c>
    </row>
    <row r="186" spans="2:38" hidden="1" x14ac:dyDescent="0.3">
      <c r="B186" s="112" t="s">
        <v>1219</v>
      </c>
      <c r="C186" s="33"/>
      <c r="D186" s="33"/>
      <c r="E186" s="33"/>
      <c r="F186" s="33"/>
      <c r="G186" s="33"/>
      <c r="H186" s="33"/>
      <c r="I186" s="33"/>
      <c r="J186" s="33"/>
      <c r="K186" s="33"/>
      <c r="L186" s="33"/>
      <c r="M186" s="33"/>
      <c r="N186" s="33"/>
      <c r="O186" s="33" t="s">
        <v>530</v>
      </c>
      <c r="P186" s="92" t="s">
        <v>530</v>
      </c>
      <c r="Q186" s="33" t="str">
        <f ca="1">IF(AND($O$11="druid",$O$12&gt;=3),"x",IF($O$11="druid","xx"," "))</f>
        <v xml:space="preserve"> </v>
      </c>
      <c r="R186" s="33" t="str">
        <f ca="1">IF(AND($O$11="druid",$O$12&gt;=5),"x",IF(AND($O$11="druid",$O$12&gt;=3),"xx"," "))</f>
        <v xml:space="preserve"> </v>
      </c>
      <c r="S186" s="33" t="str">
        <f ca="1">IF(AND($O$11="druid",$O$12&gt;=7),"x",IF(AND($O$11="druid",$O$12&gt;=5),"xx"," "))</f>
        <v xml:space="preserve"> </v>
      </c>
      <c r="T186" s="33" t="str">
        <f ca="1">IF(AND($O$11="druid",$O$12&gt;=9),"x",IF(AND($O$11="druid",$O$12&gt;=7),"xx"," "))</f>
        <v xml:space="preserve"> </v>
      </c>
    </row>
    <row r="187" spans="2:38" hidden="1" x14ac:dyDescent="0.3">
      <c r="B187" s="112" t="s">
        <v>1220</v>
      </c>
      <c r="C187" s="33"/>
      <c r="D187" s="33"/>
      <c r="E187" s="33"/>
      <c r="F187" s="33"/>
      <c r="G187" s="33"/>
      <c r="H187" s="33"/>
      <c r="I187" s="33"/>
      <c r="J187" s="33"/>
      <c r="K187" s="33"/>
      <c r="L187" s="33"/>
      <c r="M187" s="33"/>
      <c r="N187" s="33"/>
      <c r="O187" s="33" t="str">
        <f ca="1">IF(O11="druid",O12+P42," ")</f>
        <v xml:space="preserve"> </v>
      </c>
      <c r="P187" s="92">
        <f ca="1">IF($O$11="druid",INDEX('Spell Tables'!C48:C67,MATCH($O$12,('Spell Tables'!B48:B67),0)),0)</f>
        <v>0</v>
      </c>
      <c r="Q187" s="33">
        <f ca="1">IF($Q186="x",RANDBETWEEN(1,2),IF($Q186="xx",$O$187,0))</f>
        <v>0</v>
      </c>
      <c r="R187" s="33">
        <f ca="1">IF(R186="x",RANDBETWEEN(1,2),IF(R186="xx",$O$187-Q187,0))</f>
        <v>0</v>
      </c>
      <c r="S187" s="33">
        <f ca="1">IF(S186="x",O187-SUM(Q187:R187,U136:X136),IF(S186="xx",$O$187-SUM(Q187:R187),0))</f>
        <v>0</v>
      </c>
      <c r="T187" s="33">
        <f ca="1">IF(T186="x",RANDBETWEEN(1,2),IF(T186="xx",RANDBETWEEN(2,3),0))</f>
        <v>0</v>
      </c>
      <c r="AJ187" s="31" t="s">
        <v>1670</v>
      </c>
    </row>
    <row r="188" spans="2:38" hidden="1" x14ac:dyDescent="0.3">
      <c r="B188" s="112" t="s">
        <v>1143</v>
      </c>
      <c r="C188" s="33"/>
      <c r="D188" s="33"/>
      <c r="E188" s="33"/>
      <c r="F188" s="33"/>
      <c r="G188" s="33"/>
      <c r="H188" s="33"/>
      <c r="I188" s="33"/>
      <c r="J188" s="33"/>
      <c r="K188" s="33"/>
      <c r="L188" s="33"/>
      <c r="M188" s="33"/>
      <c r="N188" s="33"/>
      <c r="O188" s="33" t="s">
        <v>530</v>
      </c>
      <c r="P188" s="92" t="s">
        <v>530</v>
      </c>
      <c r="Q188" s="33" t="str">
        <f ca="1">IF(AND(O11="cleric",O12&gt;=3),"x",IF(O11="cleric","xx"," "))</f>
        <v xml:space="preserve"> </v>
      </c>
      <c r="R188" s="33" t="str">
        <f ca="1">IF(AND(O11="cleric",O12&gt;=5),"x",IF(AND($O$11="cleric",$O$12&gt;=3),"xx"," "))</f>
        <v xml:space="preserve"> </v>
      </c>
      <c r="S188" s="33" t="str">
        <f ca="1">IF(AND(O11="cleric",O12&gt;=7),"x",IF(AND($O$11="cleric",$O$12&gt;=5),"xx"," "))</f>
        <v xml:space="preserve"> </v>
      </c>
      <c r="T188" s="33" t="str">
        <f ca="1">IF(AND(O11="cleric",O12&gt;=9),"x",IF(AND($O$11="cleric",$O$12&gt;=7),"xx"," "))</f>
        <v xml:space="preserve"> </v>
      </c>
      <c r="AJ188" s="29">
        <v>1</v>
      </c>
      <c r="AK188" s="29" t="s">
        <v>1671</v>
      </c>
    </row>
    <row r="189" spans="2:38" hidden="1" x14ac:dyDescent="0.3">
      <c r="B189" s="112" t="s">
        <v>1142</v>
      </c>
      <c r="C189" s="33"/>
      <c r="D189" s="33"/>
      <c r="E189" s="33"/>
      <c r="F189" s="33"/>
      <c r="G189" s="33"/>
      <c r="H189" s="33"/>
      <c r="I189" s="33"/>
      <c r="J189" s="33"/>
      <c r="K189" s="33"/>
      <c r="L189" s="33"/>
      <c r="M189" s="33"/>
      <c r="N189" s="33"/>
      <c r="O189" s="33" t="str">
        <f ca="1">IF(O11="cleric",O12+P42," ")</f>
        <v xml:space="preserve"> </v>
      </c>
      <c r="P189" s="92">
        <f ca="1">IF($O$11="cleric",INDEX('Spell Tables'!C26:C45,MATCH($O$12,('Spell Tables'!B26:B45),0)),0)</f>
        <v>0</v>
      </c>
      <c r="Q189" s="33">
        <f ca="1">IF($Q188="x",RANDBETWEEN(1,2),IF($Q188="xx",$O$189,0))</f>
        <v>0</v>
      </c>
      <c r="R189" s="33">
        <f ca="1">IF(R188="x",RANDBETWEEN(1,2),IF(R188="xx",$O$189-Q189,0))</f>
        <v>0</v>
      </c>
      <c r="S189" s="33">
        <f ca="1">IF(S188="x",O189-SUM(Q189:R189,U138:X138),IF(S188="xx",$O$189-SUM(Q189:R189),0))</f>
        <v>0</v>
      </c>
      <c r="T189" s="33">
        <f ca="1">IF(T188="x",RANDBETWEEN(1,2),IF(T188="xx",RANDBETWEEN(2,3),0))</f>
        <v>0</v>
      </c>
      <c r="AJ189" s="29">
        <v>2</v>
      </c>
      <c r="AK189" s="29">
        <v>1</v>
      </c>
    </row>
    <row r="190" spans="2:38" hidden="1" x14ac:dyDescent="0.3">
      <c r="B190" s="112" t="s">
        <v>1248</v>
      </c>
      <c r="C190" s="33"/>
      <c r="D190" s="33"/>
      <c r="E190" s="33"/>
      <c r="F190" s="33"/>
      <c r="G190" s="33"/>
      <c r="H190" s="33"/>
      <c r="I190" s="33"/>
      <c r="J190" s="33"/>
      <c r="K190" s="33"/>
      <c r="L190" s="33"/>
      <c r="M190" s="33"/>
      <c r="N190" s="33"/>
      <c r="O190" s="33" t="s">
        <v>530</v>
      </c>
      <c r="P190" s="92" t="s">
        <v>530</v>
      </c>
      <c r="Q190" s="33" t="str">
        <f ca="1">IF(AND($O$11="bard",$O$12&gt;=3),"x",IF($O$11="bard","xx"," "))</f>
        <v xml:space="preserve"> </v>
      </c>
      <c r="R190" s="33" t="str">
        <f ca="1">IF(AND($O$11="bard",$O$12&gt;=5),"x",IF(AND($O$11="bard",$O$12&gt;=3),"xx"," "))</f>
        <v xml:space="preserve"> </v>
      </c>
      <c r="S190" s="33" t="str">
        <f ca="1">IF(AND($O$11="bard",$O$12&gt;=7),"x",IF(AND($O$11="bard",$O$12&gt;=5),"xx"," "))</f>
        <v xml:space="preserve"> </v>
      </c>
      <c r="T190" s="33" t="str">
        <f ca="1">IF(AND($O$11="bard",$O$12&gt;=9),"x",IF(AND($O$11="bard",$O$12&gt;=7),"xx"," "))</f>
        <v xml:space="preserve"> </v>
      </c>
      <c r="AJ190" s="29">
        <v>3</v>
      </c>
      <c r="AK190" s="29">
        <v>1</v>
      </c>
    </row>
    <row r="191" spans="2:38" hidden="1" x14ac:dyDescent="0.3">
      <c r="B191" s="112" t="s">
        <v>1141</v>
      </c>
      <c r="C191" s="33"/>
      <c r="D191" s="33"/>
      <c r="E191" s="33"/>
      <c r="F191" s="33"/>
      <c r="G191" s="33"/>
      <c r="H191" s="33"/>
      <c r="I191" s="33"/>
      <c r="J191" s="33"/>
      <c r="K191" s="33"/>
      <c r="L191" s="33"/>
      <c r="M191" s="33"/>
      <c r="N191" s="33"/>
      <c r="O191" s="33" t="str">
        <f ca="1">IF($O$11="bard",INDEX('Spell Tables'!C$2:C$21,MATCH($O$12,('Spell Tables'!$A$2:$A$21),0))," ")</f>
        <v xml:space="preserve"> </v>
      </c>
      <c r="P191" s="92">
        <f ca="1">IF($O$11="bard",INDEX('Spell Tables'!B2:B21,MATCH($O$12,('Spell Tables'!A2:A21),0)),0)</f>
        <v>0</v>
      </c>
      <c r="Q191" s="33">
        <f ca="1">IF($Q190="x",RANDBETWEEN(1,2),IF($Q190="xx",$O$191,0))</f>
        <v>0</v>
      </c>
      <c r="R191" s="33">
        <f ca="1">IF(R190="x",RANDBETWEEN(1,2),IF(R190="xx",$O$191-Q191,0))</f>
        <v>0</v>
      </c>
      <c r="S191" s="33">
        <f ca="1">IF(S190="x",O191-SUM(Q191:R191,U140:X140),IF(S190="xx",$O$191-SUM(Q191:R191),0))</f>
        <v>0</v>
      </c>
      <c r="T191" s="33">
        <f ca="1">IF(T190="x",RANDBETWEEN(1,2),IF(T190="xx",RANDBETWEEN(2,3),0))</f>
        <v>0</v>
      </c>
      <c r="AJ191" s="29">
        <v>4</v>
      </c>
      <c r="AK191" s="29">
        <v>2</v>
      </c>
      <c r="AL191" s="29" t="str">
        <f ca="1">IF(AND(P15="college of lore",O12&gt;=6),VLOOKUP(RANDBETWEEN(1,10),Table250347461803860917333390500[],2),IF(AND(R15="college of lore",Q12&gt;=6),VLOOKUP(RANDBETWEEN(1,10),Table250347461803860917333390500[],2)," "))</f>
        <v xml:space="preserve"> </v>
      </c>
    </row>
    <row r="192" spans="2:38" x14ac:dyDescent="0.3">
      <c r="B192" s="112" t="s">
        <v>1122</v>
      </c>
      <c r="C192" s="33"/>
      <c r="D192" s="33"/>
      <c r="E192" s="33"/>
      <c r="F192" s="33"/>
      <c r="G192" s="33"/>
      <c r="H192" s="33"/>
      <c r="I192" s="33"/>
      <c r="J192" s="33"/>
      <c r="K192" s="33"/>
      <c r="L192" s="33"/>
      <c r="M192" s="33"/>
      <c r="N192" s="33"/>
      <c r="O192" s="33"/>
      <c r="P192" s="92" t="s">
        <v>1124</v>
      </c>
      <c r="Q192" s="92" t="s">
        <v>1326</v>
      </c>
      <c r="R192" s="92" t="s">
        <v>1167</v>
      </c>
      <c r="S192" s="92" t="s">
        <v>1168</v>
      </c>
      <c r="T192" s="92" t="s">
        <v>676</v>
      </c>
      <c r="AJ192" s="29">
        <v>5</v>
      </c>
      <c r="AK192" s="29">
        <v>2</v>
      </c>
      <c r="AL192" s="29" t="str">
        <f ca="1">IF(AND(P15="college of lore",O12&gt;=6),VLOOKUP(RANDBETWEEN(1,10),Table250347461803860917333390500[],2),IF(AND(R15="college of lore",Q12&gt;=6),VLOOKUP(RANDBETWEEN(1,10),Table250347461803860917333390500[],2)," "))</f>
        <v xml:space="preserve"> </v>
      </c>
    </row>
    <row r="193" spans="2:37" x14ac:dyDescent="0.3">
      <c r="B193" s="79" t="str">
        <f ca="1">IF(OR(O11="bard",O11="paladin",O11="sorcerer",O11="warlock"),8+$P$8+$P$43,IF(OR(O11="druid",O11="cleric",O11="ranger"),8+P8+P42,IF(OR(P15="eldritch knight",P15="arcane trickster",O11="wizard"),8+P8+P41," ")))</f>
        <v xml:space="preserve"> </v>
      </c>
      <c r="C193" s="33"/>
      <c r="D193" s="33"/>
      <c r="E193" s="33"/>
      <c r="F193" s="33"/>
      <c r="G193" s="33"/>
      <c r="H193" s="33"/>
      <c r="I193" s="33"/>
      <c r="J193" s="33"/>
      <c r="K193" s="33"/>
      <c r="L193" s="33"/>
      <c r="M193" s="33"/>
      <c r="N193" s="33"/>
      <c r="O193" s="34">
        <v>1</v>
      </c>
      <c r="P193" s="33" t="str">
        <f ca="1">IF(P$173&gt;=O193,INDEX('Spell Tables'!$P$242:$P$257,MATCH(O193,('Spell Tables'!$N$242:$N$257),0)),IF(P$175&gt;=O193,INDEX('Spell Tables'!$P$194:$P$201,MATCH(O193,('Spell Tables'!$N$194:$N$201),0)),IF(P$177&gt;=O193,INDEX('Spell Tables'!$P$168:$P$183,MATCH(O193,('Spell Tables'!$N$168:$N$183),0)),IF(P$179&gt;=O193,INDEX('Spell Tables'!$P$141:$P$156,MATCH(O193,('Spell Tables'!$N$141:$N$157),0)),IF(P$185&gt;=O193,INDEX('Spell Tables'!$P$70:$P$83,MATCH(O193,('Spell Tables'!$N$70:$N$83),0)),IF(P$187&gt;=O193,INDEX('Spell Tables'!$P$48:$P$55,MATCH(O193,('Spell Tables'!$N$48:$N$55),0)),IF(P$189&gt;=O193,INDEX('Spell Tables'!$P$26:$P$32,MATCH(O193,('Spell Tables'!$N$26:$N$32),0)),IF(P$191&gt;=O193,INDEX('Spell Tables'!$P$2:$P$12,MATCH(O193,('Spell Tables'!$N$2:$N$12),0))," "))))))))</f>
        <v xml:space="preserve"> </v>
      </c>
      <c r="Q193" s="33" t="str">
        <f ca="1">IF(AND($O$15="Otherworldly patron - great old one",Q$175&gt;=O193),INDEX('Spell Tables'!$T$226:$T$238,MATCH(O193,('Spell Tables'!$R$226:$R$238),0)),IF(AND($O$15="Otherworldly patron - fiend",Q$175&gt;=O193),INDEX('Spell Tables'!$T$210:$T$222,MATCH(O193,('Spell Tables'!$R$210:$R$222),0)),IF(Q$173&gt;=O193,INDEX($AL$44:$AL$53,MATCH(O193,($AJ$44:$AJ$53),0)),IF(AND($O$15="Otherworldly patron - archfey",Q$175&gt;=O193),INDEX('Spell Tables'!$T$194:$T$206,MATCH(O193,('Spell Tables'!$R$194:$R$206),0)),IF(Q$177&gt;=O193,INDEX('Spell Tables'!$T$168:$T$187,MATCH(O193,('Spell Tables'!$R$168:$R$187),0)),IF(Q$179&gt;=O193,INDEX('Spell Tables'!$T$141:$T$147,MATCH(O193,('Spell Tables'!$R$141:$R$147),0)),IF(Q$181&gt;=O193,INDEX('Spell Tables'!$P$119:$P$131,MATCH(O193,('Spell Tables'!$N$119:$N$131),0)),IF(Q$183&gt;=O193,INDEX('Spell Tables'!$P$97:$P$111,MATCH(O193,('Spell Tables'!$N$97:$N$111),0)),IF(Q$185&gt;=O193,INDEX('Spell Tables'!$T$70:$T$78,MATCH(O193,('Spell Tables'!$R$70:$R$78),0)),IF(Q$187&gt;=O193,INDEX('Spell Tables'!$T$48:$T$63,MATCH(O193,('Spell Tables'!$R$48:$R$63),0)),IF(Q$189&gt;=O193,INDEX('Spell Tables'!$T$26:$T$40,MATCH(O193,('Spell Tables'!$R$26:$R$40),0)),IF(Q$191&gt;=O193,INDEX('Spell Tables'!$T$2:$T$22,MATCH(O193,('Spell Tables'!$R$2:$R$22),0))," "))))))))))))</f>
        <v xml:space="preserve"> </v>
      </c>
      <c r="R193" s="33" t="str">
        <f ca="1">IF(AND($O$15="Otherworldly patron - great old one",R$175&gt;=O193),INDEX('Spell Tables'!$X$226:$X$239,MATCH(O193,('Spell Tables'!$V$226:$V$239),0)),IF(AND($O$15="Otherworldly patron - fiend",R$175&gt;=O193),INDEX('Spell Tables'!$X$210:$X$223,MATCH(O193,('Spell Tables'!$V$210:$V$223),0)),IF(AND($O$15="Otherworldly patron - archfey",R$175&gt;=O193),INDEX('Spell Tables'!$X$194:$X$207,MATCH(O193,('Spell Tables'!$V$194:$V$207),0)),IF($R$173&gt;=O193,INDEX($AL$56:$AL$65,MATCH(O193,($AJ$56:$AJ$65),0)),IF($R$177&gt;=O193,INDEX('Spell Tables'!$X$168:$X$191,MATCH(O193,('Spell Tables'!$V$168:$V$191),0)),IF($R$179&gt;=O193,INDEX('Spell Tables'!$AB$141:$AB$149,MATCH(O193,('Spell Tables'!$Z$141:$Z$149),0)),IF($R$181&gt;=O193,INDEX('Spell Tables'!$T$119:$T$131,MATCH(O193,('Spell Tables'!$R$119:$R$131),0)),IF($R$183&gt;=O193,INDEX('Spell Tables'!$T$97:$T$104,MATCH(O193,('Spell Tables'!$R$97:$R$104),0)),IF($R$185&gt;=O193,INDEX('Spell Tables'!$AB$70:$AB$75,MATCH(O193,('Spell Tables'!$Z$70:$Z$75),0)),IF($R$187&gt;=O193,INDEX('Spell Tables'!$X$48:$X$65,MATCH(O193,('Spell Tables'!$V$48:$V$65),0)),IF($R$189&gt;=O193,INDEX('Spell Tables'!$X$26:$X$42,MATCH(O193,('Spell Tables'!$V$26:$V$42),0)),IF($R$191&gt;=O193,INDEX('Spell Tables'!$X$2:$X$23,MATCH(O193,('Spell Tables'!$V$2:$V$23),0))," "))))))))))))</f>
        <v xml:space="preserve"> </v>
      </c>
      <c r="S193" s="33" t="str">
        <f ca="1">IF(AND($O$15="Otherworldly patron - great old one",S$175&gt;=O193),INDEX('Spell Tables'!$AB$226:$AB$238,MATCH(O193,('Spell Tables'!$Z$226:$Z$238),0)),IF(AND($O$15="Otherworldly patron - fiend",S$175&gt;=O193),INDEX('Spell Tables'!$AB$210:$AB$222,MATCH(O193,('Spell Tables'!$Z$210:$Z$222),0)),IF(AND($O$15="Otherworldly patron - archfey",S$175&gt;=O193),INDEX('Spell Tables'!$AB$194:$AB$206,MATCH(O193,('Spell Tables'!$Z$194:$Z$206),0)),IF($S$173&gt;=O193,INDEX($AL$68:$AL$77,MATCH(O193,($AJ$68:$AJ$77),0)),IF($S$177&gt;=O193,INDEX('Spell Tables'!$AB$168:$AB$187,MATCH(O193,('Spell Tables'!$Z$168:$Z$187),0)),IF($S$179&gt;=O193,INDEX('Spell Tables'!$AJ$141:$AJ$144,MATCH(O193,('Spell Tables'!$AH$141:$AH$144),0)),IF($S$181&gt;=O193,INDEX('Spell Tables'!$X$119:$X$129,MATCH(O193,('Spell Tables'!$V$119:$V$129),0)),IF($S$183&gt;=O193,INDEX('Spell Tables'!$X$97:$X$106,MATCH(O193,('Spell Tables'!$V$97:$V$106),0)),IF($S$185&gt;=O193,INDEX('Spell Tables'!$AJ$70:$AJ$79,MATCH(O193,('Spell Tables'!$AH$70:$AH$79),0)),IF($S$187&gt;=O193,INDEX('Spell Tables'!$AB$48:$AB$60,MATCH(O193,('Spell Tables'!$Z$48:$Z$60),0)),IF($S$189&gt;=O193,INDEX('Spell Tables'!$AB$26:$AB$45,MATCH(O193,('Spell Tables'!$Z$26:$Z$45),0)),IF($S$191&gt;=O193,INDEX('Spell Tables'!$AB$2:$AB$17,MATCH(O193,('Spell Tables'!$Z$2:$Z$17),0))," "))))))))))))</f>
        <v xml:space="preserve"> </v>
      </c>
      <c r="T193" s="33" t="str">
        <f ca="1">IF(AND($O$15="Otherworldly patron - great old one",T$175&gt;=O193),INDEX('Spell Tables'!$AF$226:$AF$231,MATCH(O193,('Spell Tables'!$AD$226:$AD$231),0)),IF(AND($O$15="Otherworldly patron - fiend",T$175&gt;=O193),INDEX('Spell Tables'!$AF$210:$AF$215,MATCH(O193,('Spell Tables'!$AD$210:$AD$215),0)),IF(AND($O$15="Otherworldly patron - archfey",T$175&gt;=O193),INDEX('Spell Tables'!$AF$194:$AF$199,MATCH(O193,('Spell Tables'!$AD$194:$AD$199),0)),IF($T$173&gt;=O193,INDEX($AL$80:$AL$89,MATCH(O193,($AJ$80:$AJ$89),0)),IF($T$177&gt;=O193,INDEX('Spell Tables'!$AF$168:$AF$177,MATCH(O193,('Spell Tables'!$AD$168:$AD$177),0)),IF($T$179&gt;=O193,INDEX('Spell Tables'!$AR$141:$AR$144,MATCH(O193,('Spell Tables'!$AP$141:$AP$144),0)),IF($T$181&gt;=O193,INDEX('Spell Tables'!$AB$119:$AB$123,MATCH(O193,('Spell Tables'!$Z$119:$Z$123),0)),IF($T$183&gt;=O193,INDEX('Spell Tables'!$AB$97:$AB$102,MATCH(O193,('Spell Tables'!$Z$97:$Z$102),0)),IF($T$185&gt;=O193,INDEX('Spell Tables'!$AR$70:$AR$75,MATCH(O193,('Spell Tables'!$AP$70:$AP$75),0)),IF($T$187&gt;=O193,INDEX('Spell Tables'!$AF$48:$AF$63,MATCH(O193,('Spell Tables'!$AD$48:$AD$63),0)),IF($T$189&gt;=O193,INDEX('Spell Tables'!$AF$26:$AF$33,MATCH(O193,('Spell Tables'!$AD$26:$AD$33),0)),IF($T$191&gt;=O193,INDEX('Spell Tables'!$AF$2:$AF$9,MATCH(O193,('Spell Tables'!$AD$2:$AD$9),0))," "))))))))))))</f>
        <v xml:space="preserve"> </v>
      </c>
      <c r="AJ193" s="29">
        <v>6</v>
      </c>
      <c r="AK193" s="29">
        <v>2</v>
      </c>
    </row>
    <row r="194" spans="2:37" x14ac:dyDescent="0.3">
      <c r="B194" s="112" t="s">
        <v>1123</v>
      </c>
      <c r="C194" s="33"/>
      <c r="D194" s="33"/>
      <c r="E194" s="33"/>
      <c r="F194" s="33"/>
      <c r="G194" s="33"/>
      <c r="H194" s="33"/>
      <c r="I194" s="33"/>
      <c r="J194" s="33"/>
      <c r="K194" s="33"/>
      <c r="L194" s="33"/>
      <c r="M194" s="33"/>
      <c r="N194" s="33"/>
      <c r="O194" s="34">
        <v>2</v>
      </c>
      <c r="P194" s="33" t="str">
        <f ca="1">IF(P$173&gt;=O194,INDEX('Spell Tables'!$P$242:$P$257,MATCH(O194,('Spell Tables'!$N$242:$N$257),0)),IF(P$175&gt;=O194,INDEX('Spell Tables'!$P$194:$P$201,MATCH(O194,('Spell Tables'!$N$194:$N$201),0)),IF(P$177&gt;=O194,INDEX('Spell Tables'!$P$168:$P$183,MATCH(O194,('Spell Tables'!$N$168:$N$183),0)),IF(P$179&gt;=O194,INDEX('Spell Tables'!$P$141:$P$156,MATCH(O194,('Spell Tables'!$N$141:$N$157),0)),IF(P$185&gt;=O194,INDEX('Spell Tables'!$P$70:$P$83,MATCH(O194,('Spell Tables'!$N$70:$N$83),0)),IF(P$187&gt;=O194,INDEX('Spell Tables'!$P$48:$P$55,MATCH(O194,('Spell Tables'!$N$48:$N$55),0)),IF(P$189&gt;=O194,INDEX('Spell Tables'!$P$26:$P$32,MATCH(O194,('Spell Tables'!$N$26:$N$32),0)),IF(P$191&gt;=O194,INDEX('Spell Tables'!$P$2:$P$12,MATCH(O194,('Spell Tables'!$N$2:$N$12),0))," "))))))))</f>
        <v xml:space="preserve"> </v>
      </c>
      <c r="Q194" s="33" t="str">
        <f ca="1">IF(AND($O$15="Otherworldly patron - great old one",Q$175&gt;=O194),INDEX('Spell Tables'!$T$226:$T$238,MATCH(O194,('Spell Tables'!$R$226:$R$238),0)),IF(AND($O$15="Otherworldly patron - fiend",Q$175&gt;=O194),INDEX('Spell Tables'!$T$210:$T$222,MATCH(O194,('Spell Tables'!$R$210:$R$222),0)),IF(Q$173&gt;=O194,INDEX($AL$44:$AL$53,MATCH(O194,($AJ$44:$AJ$53),0)),IF(AND($O$15="Otherworldly patron - archfey",Q$175&gt;=O194),INDEX('Spell Tables'!$T$194:$T$206,MATCH(O194,('Spell Tables'!$R$194:$R$206),0)),IF(Q$177&gt;=O194,INDEX('Spell Tables'!$T$168:$T$187,MATCH(O194,('Spell Tables'!$R$168:$R$187),0)),IF(Q$179&gt;=O194,INDEX('Spell Tables'!$T$141:$T$147,MATCH(O194,('Spell Tables'!$R$141:$R$147),0)),IF(Q$181&gt;=O194,INDEX('Spell Tables'!$P$119:$P$131,MATCH(O194,('Spell Tables'!$N$119:$N$131),0)),IF(Q$183&gt;=O194,INDEX('Spell Tables'!$P$97:$P$111,MATCH(O194,('Spell Tables'!$N$97:$N$111),0)),IF(Q$185&gt;=O194,INDEX('Spell Tables'!$T$70:$T$78,MATCH(O194,('Spell Tables'!$R$70:$R$78),0)),IF(Q$187&gt;=O194,INDEX('Spell Tables'!$T$48:$T$63,MATCH(O194,('Spell Tables'!$R$48:$R$63),0)),IF(Q$189&gt;=O194,INDEX('Spell Tables'!$T$26:$T$40,MATCH(O194,('Spell Tables'!$R$26:$R$40),0)),IF(Q$191&gt;=O194,INDEX('Spell Tables'!$T$2:$T$22,MATCH(O194,('Spell Tables'!$R$2:$R$22),0))," "))))))))))))</f>
        <v xml:space="preserve"> </v>
      </c>
      <c r="R194" s="33" t="str">
        <f ca="1">IF(AND($O$15="Otherworldly patron - great old one",R$175&gt;=O194),INDEX('Spell Tables'!$X$226:$X$239,MATCH(O194,('Spell Tables'!$V$226:$V$239),0)),IF(AND($O$15="Otherworldly patron - fiend",R$175&gt;=O194),INDEX('Spell Tables'!$X$210:$X$223,MATCH(O194,('Spell Tables'!$V$210:$V$223),0)),IF(AND($O$15="Otherworldly patron - archfey",R$175&gt;=O194),INDEX('Spell Tables'!$X$194:$X$207,MATCH(O194,('Spell Tables'!$V$194:$V$207),0)),IF($R$173&gt;=O194,INDEX($AL$56:$AL$65,MATCH(O194,($AJ$56:$AJ$65),0)),IF($R$177&gt;=O194,INDEX('Spell Tables'!$X$168:$X$191,MATCH(O194,('Spell Tables'!$V$168:$V$191),0)),IF($R$179&gt;=O194,INDEX('Spell Tables'!$AB$141:$AB$149,MATCH(O194,('Spell Tables'!$Z$141:$Z$149),0)),IF($R$181&gt;=O194,INDEX('Spell Tables'!$T$119:$T$131,MATCH(O194,('Spell Tables'!$R$119:$R$131),0)),IF($R$183&gt;=O194,INDEX('Spell Tables'!$T$97:$T$104,MATCH(O194,('Spell Tables'!$R$97:$R$104),0)),IF($R$185&gt;=O194,INDEX('Spell Tables'!$AB$70:$AB$75,MATCH(O194,('Spell Tables'!$Z$70:$Z$75),0)),IF($R$187&gt;=O194,INDEX('Spell Tables'!$X$48:$X$65,MATCH(O194,('Spell Tables'!$V$48:$V$65),0)),IF($R$189&gt;=O194,INDEX('Spell Tables'!$X$26:$X$42,MATCH(O194,('Spell Tables'!$V$26:$V$42),0)),IF($R$191&gt;=O194,INDEX('Spell Tables'!$X$2:$X$23,MATCH(O194,('Spell Tables'!$V$2:$V$23),0))," "))))))))))))</f>
        <v xml:space="preserve"> </v>
      </c>
      <c r="S194" s="33" t="str">
        <f ca="1">IF(AND($O$15="Otherworldly patron - great old one",S$175&gt;=O194),INDEX('Spell Tables'!$AB$226:$AB$238,MATCH(O194,('Spell Tables'!$Z$226:$Z$238),0)),IF(AND($O$15="Otherworldly patron - fiend",S$175&gt;=O194),INDEX('Spell Tables'!$AB$210:$AB$222,MATCH(O194,('Spell Tables'!$Z$210:$Z$222),0)),IF(AND($O$15="Otherworldly patron - archfey",S$175&gt;=O194),INDEX('Spell Tables'!$AB$194:$AB$206,MATCH(O194,('Spell Tables'!$Z$194:$Z$206),0)),IF($S$173&gt;=O194,INDEX($AL$68:$AL$77,MATCH(O194,($AJ$68:$AJ$77),0)),IF($S$177&gt;=O194,INDEX('Spell Tables'!$AB$168:$AB$187,MATCH(O194,('Spell Tables'!$Z$168:$Z$187),0)),IF($S$179&gt;=O194,INDEX('Spell Tables'!$AJ$141:$AJ$144,MATCH(O194,('Spell Tables'!$AH$141:$AH$144),0)),IF($S$181&gt;=O194,INDEX('Spell Tables'!$X$119:$X$129,MATCH(O194,('Spell Tables'!$V$119:$V$129),0)),IF($S$183&gt;=O194,INDEX('Spell Tables'!$X$97:$X$106,MATCH(O194,('Spell Tables'!$V$97:$V$106),0)),IF($S$185&gt;=O194,INDEX('Spell Tables'!$AJ$70:$AJ$79,MATCH(O194,('Spell Tables'!$AH$70:$AH$79),0)),IF($S$187&gt;=O194,INDEX('Spell Tables'!$AB$48:$AB$60,MATCH(O194,('Spell Tables'!$Z$48:$Z$60),0)),IF($S$189&gt;=O194,INDEX('Spell Tables'!$AB$26:$AB$45,MATCH(O194,('Spell Tables'!$Z$26:$Z$45),0)),IF($S$191&gt;=O194,INDEX('Spell Tables'!$AB$2:$AB$17,MATCH(O194,('Spell Tables'!$Z$2:$Z$17),0))," "))))))))))))</f>
        <v xml:space="preserve"> </v>
      </c>
      <c r="T194" s="33" t="str">
        <f ca="1">IF(AND($O$15="Otherworldly patron - great old one",T$175&gt;=O194),INDEX('Spell Tables'!$AF$226:$AF$231,MATCH(O194,('Spell Tables'!$AD$226:$AD$231),0)),IF(AND($O$15="Otherworldly patron - fiend",T$175&gt;=O194),INDEX('Spell Tables'!$AF$210:$AF$215,MATCH(O194,('Spell Tables'!$AD$210:$AD$215),0)),IF(AND($O$15="Otherworldly patron - archfey",T$175&gt;=O194),INDEX('Spell Tables'!$AF$194:$AF$199,MATCH(O194,('Spell Tables'!$AD$194:$AD$199),0)),IF($T$173&gt;=O194,INDEX($AL$80:$AL$89,MATCH(O194,($AJ$80:$AJ$89),0)),IF($T$177&gt;=O194,INDEX('Spell Tables'!$AF$168:$AF$177,MATCH(O194,('Spell Tables'!$AD$168:$AD$177),0)),IF($T$179&gt;=O194,INDEX('Spell Tables'!$AR$141:$AR$144,MATCH(O194,('Spell Tables'!$AP$141:$AP$144),0)),IF($T$181&gt;=O194,INDEX('Spell Tables'!$AB$119:$AB$123,MATCH(O194,('Spell Tables'!$Z$119:$Z$123),0)),IF($T$183&gt;=O194,INDEX('Spell Tables'!$AB$97:$AB$102,MATCH(O194,('Spell Tables'!$Z$97:$Z$102),0)),IF($T$185&gt;=O194,INDEX('Spell Tables'!$AR$70:$AR$75,MATCH(O194,('Spell Tables'!$AP$70:$AP$75),0)),IF($T$187&gt;=O194,INDEX('Spell Tables'!$AF$48:$AF$63,MATCH(O194,('Spell Tables'!$AD$48:$AD$63),0)),IF($T$189&gt;=O194,INDEX('Spell Tables'!$AF$26:$AF$33,MATCH(O194,('Spell Tables'!$AD$26:$AD$33),0)),IF($T$191&gt;=O194,INDEX('Spell Tables'!$AF$2:$AF$9,MATCH(O194,('Spell Tables'!$AD$2:$AD$9),0))," "))))))))))))</f>
        <v xml:space="preserve"> </v>
      </c>
      <c r="AJ194" s="29">
        <v>7</v>
      </c>
      <c r="AK194" s="29">
        <v>3</v>
      </c>
    </row>
    <row r="195" spans="2:37" x14ac:dyDescent="0.3">
      <c r="B195" s="79" t="str">
        <f ca="1">IF(OR(O11="bard",O11="paladin",O11="sorcerer",O11="warlock"),P8+$P$43,IF(OR(O11="druid",O11="cleric",O11="ranger"),P8+P42,IF(OR(P15="eldritch knight",P15="arcane trickster",O11="wizard"),P8+P41," ")))</f>
        <v xml:space="preserve"> </v>
      </c>
      <c r="C195" s="33"/>
      <c r="D195" s="33"/>
      <c r="E195" s="33"/>
      <c r="F195" s="33"/>
      <c r="G195" s="33"/>
      <c r="H195" s="33"/>
      <c r="I195" s="33"/>
      <c r="J195" s="33"/>
      <c r="K195" s="33"/>
      <c r="L195" s="33"/>
      <c r="M195" s="33"/>
      <c r="N195" s="33"/>
      <c r="O195" s="34">
        <v>3</v>
      </c>
      <c r="P195" s="33" t="str">
        <f ca="1">IF(P$173&gt;=O195,INDEX('Spell Tables'!$P$242:$P$257,MATCH(O195,('Spell Tables'!$N$242:$N$257),0)),IF(P$175&gt;=O195,INDEX('Spell Tables'!$P$194:$P$201,MATCH(O195,('Spell Tables'!$N$194:$N$201),0)),IF(P$177&gt;=O195,INDEX('Spell Tables'!$P$168:$P$183,MATCH(O195,('Spell Tables'!$N$168:$N$183),0)),IF(P$179&gt;=O195,INDEX('Spell Tables'!$P$141:$P$156,MATCH(O195,('Spell Tables'!$N$141:$N$157),0)),IF(P$185&gt;=O195,INDEX('Spell Tables'!$P$70:$P$83,MATCH(O195,('Spell Tables'!$N$70:$N$83),0)),IF(P$187&gt;=O195,INDEX('Spell Tables'!$P$48:$P$55,MATCH(O195,('Spell Tables'!$N$48:$N$55),0)),IF(P$189&gt;=O195,INDEX('Spell Tables'!$P$26:$P$32,MATCH(O195,('Spell Tables'!$N$26:$N$32),0)),IF(P$191&gt;=O195,INDEX('Spell Tables'!$P$2:$P$12,MATCH(O195,('Spell Tables'!$N$2:$N$12),0))," "))))))))</f>
        <v xml:space="preserve"> </v>
      </c>
      <c r="Q195" s="33" t="str">
        <f ca="1">IF(AND($O$15="Otherworldly patron - great old one",Q$175&gt;=O195),INDEX('Spell Tables'!$T$226:$T$238,MATCH(O195,('Spell Tables'!$R$226:$R$238),0)),IF(AND($O$15="Otherworldly patron - fiend",Q$175&gt;=O195),INDEX('Spell Tables'!$T$210:$T$222,MATCH(O195,('Spell Tables'!$R$210:$R$222),0)),IF(Q$173&gt;=O195,INDEX($AL$44:$AL$53,MATCH(O195,($AJ$44:$AJ$53),0)),IF(AND($O$15="Otherworldly patron - archfey",Q$175&gt;=O195),INDEX('Spell Tables'!$T$194:$T$206,MATCH(O195,('Spell Tables'!$R$194:$R$206),0)),IF(Q$177&gt;=O195,INDEX('Spell Tables'!$T$168:$T$187,MATCH(O195,('Spell Tables'!$R$168:$R$187),0)),IF(Q$179&gt;=O195,INDEX('Spell Tables'!$T$141:$T$147,MATCH(O195,('Spell Tables'!$R$141:$R$147),0)),IF(Q$181&gt;=O195,INDEX('Spell Tables'!$P$119:$P$131,MATCH(O195,('Spell Tables'!$N$119:$N$131),0)),IF(Q$183&gt;=O195,INDEX('Spell Tables'!$P$97:$P$111,MATCH(O195,('Spell Tables'!$N$97:$N$111),0)),IF(Q$185&gt;=O195,INDEX('Spell Tables'!$T$70:$T$78,MATCH(O195,('Spell Tables'!$R$70:$R$78),0)),IF(Q$187&gt;=O195,INDEX('Spell Tables'!$T$48:$T$63,MATCH(O195,('Spell Tables'!$R$48:$R$63),0)),IF(Q$189&gt;=O195,INDEX('Spell Tables'!$T$26:$T$40,MATCH(O195,('Spell Tables'!$R$26:$R$40),0)),IF(Q$191&gt;=O195,INDEX('Spell Tables'!$T$2:$T$22,MATCH(O195,('Spell Tables'!$R$2:$R$22),0))," "))))))))))))</f>
        <v xml:space="preserve"> </v>
      </c>
      <c r="R195" s="33" t="str">
        <f ca="1">IF(AND($O$15="Otherworldly patron - great old one",R$175&gt;=O195),INDEX('Spell Tables'!$X$226:$X$239,MATCH(O195,('Spell Tables'!$V$226:$V$239),0)),IF(AND($O$15="Otherworldly patron - fiend",R$175&gt;=O195),INDEX('Spell Tables'!$X$210:$X$223,MATCH(O195,('Spell Tables'!$V$210:$V$223),0)),IF(AND($O$15="Otherworldly patron - archfey",R$175&gt;=O195),INDEX('Spell Tables'!$X$194:$X$207,MATCH(O195,('Spell Tables'!$V$194:$V$207),0)),IF($R$173&gt;=O195,INDEX($AL$56:$AL$65,MATCH(O195,($AJ$56:$AJ$65),0)),IF($R$177&gt;=O195,INDEX('Spell Tables'!$X$168:$X$191,MATCH(O195,('Spell Tables'!$V$168:$V$191),0)),IF($R$179&gt;=O195,INDEX('Spell Tables'!$AB$141:$AB$149,MATCH(O195,('Spell Tables'!$Z$141:$Z$149),0)),IF($R$181&gt;=O195,INDEX('Spell Tables'!$T$119:$T$131,MATCH(O195,('Spell Tables'!$R$119:$R$131),0)),IF($R$183&gt;=O195,INDEX('Spell Tables'!$T$97:$T$104,MATCH(O195,('Spell Tables'!$R$97:$R$104),0)),IF($R$185&gt;=O195,INDEX('Spell Tables'!$AB$70:$AB$75,MATCH(O195,('Spell Tables'!$Z$70:$Z$75),0)),IF($R$187&gt;=O195,INDEX('Spell Tables'!$X$48:$X$65,MATCH(O195,('Spell Tables'!$V$48:$V$65),0)),IF($R$189&gt;=O195,INDEX('Spell Tables'!$X$26:$X$42,MATCH(O195,('Spell Tables'!$V$26:$V$42),0)),IF($R$191&gt;=O195,INDEX('Spell Tables'!$X$2:$X$23,MATCH(O195,('Spell Tables'!$V$2:$V$23),0))," "))))))))))))</f>
        <v xml:space="preserve"> </v>
      </c>
      <c r="S195" s="33" t="str">
        <f ca="1">IF(AND($O$15="Otherworldly patron - great old one",S$175&gt;=O195),INDEX('Spell Tables'!$AB$226:$AB$238,MATCH(O195,('Spell Tables'!$Z$226:$Z$238),0)),IF(AND($O$15="Otherworldly patron - fiend",S$175&gt;=O195),INDEX('Spell Tables'!$AB$210:$AB$222,MATCH(O195,('Spell Tables'!$Z$210:$Z$222),0)),IF(AND($O$15="Otherworldly patron - archfey",S$175&gt;=O195),INDEX('Spell Tables'!$AB$194:$AB$206,MATCH(O195,('Spell Tables'!$Z$194:$Z$206),0)),IF($S$173&gt;=O197,INDEX($AL$68:$AL$77,MATCH(O195,($AJ$68:$AJ$77),0)),IF($S$177&gt;=O195,INDEX('Spell Tables'!$AB$168:$AB$187,MATCH(O195,('Spell Tables'!$Z$168:$Z$187),0)),IF($S$179&gt;=O195,INDEX('Spell Tables'!$AJ$141:$AJ$144,MATCH(O195,('Spell Tables'!$AH$141:$AH$144),0)),IF($S$181&gt;=O195,INDEX('Spell Tables'!$X$119:$X$129,MATCH(O195,('Spell Tables'!$V$119:$V$129),0)),IF($S$183&gt;=O195,INDEX('Spell Tables'!$X$97:$X$106,MATCH(O195,('Spell Tables'!$V$97:$V$106),0)),IF($S$185&gt;=O195,INDEX('Spell Tables'!$AJ$70:$AJ$79,MATCH(O195,('Spell Tables'!$AH$70:$AH$79),0)),IF($S$187&gt;=O195,INDEX('Spell Tables'!$AB$48:$AB$60,MATCH(O195,('Spell Tables'!$Z$48:$Z$60),0)),IF($S$189&gt;=O195,INDEX('Spell Tables'!$AB$26:$AB$45,MATCH(O195,('Spell Tables'!$Z$26:$Z$45),0)),IF($S$191&gt;=O195,INDEX('Spell Tables'!$AB$2:$AB$17,MATCH(O195,('Spell Tables'!$Z$2:$Z$17),0))," "))))))))))))</f>
        <v xml:space="preserve"> </v>
      </c>
      <c r="T195" s="33" t="str">
        <f ca="1">IF(AND($O$15="Otherworldly patron - great old one",T$175&gt;=O195),INDEX('Spell Tables'!$AF$226:$AF$231,MATCH(O195,('Spell Tables'!$AD$226:$AD$231),0)),IF(AND($O$15="Otherworldly patron - fiend",T$175&gt;=O195),INDEX('Spell Tables'!$AF$210:$AF$215,MATCH(O195,('Spell Tables'!$AD$210:$AD$215),0)),IF(AND($O$15="Otherworldly patron - archfey",T$175&gt;=O195),INDEX('Spell Tables'!$AF$194:$AF$199,MATCH(O195,('Spell Tables'!$AD$194:$AD$199),0)),IF($T$173&gt;=O195,INDEX($AL$80:$AL$89,MATCH(O195,($AJ$80:$AJ$89),0)),IF($T$177&gt;=O195,INDEX('Spell Tables'!$AF$168:$AF$177,MATCH(O195,('Spell Tables'!$AD$168:$AD$177),0)),IF($T$179&gt;=O195,INDEX('Spell Tables'!$AR$141:$AR$144,MATCH(O195,('Spell Tables'!$AP$141:$AP$144),0)),IF($T$181&gt;=O195,INDEX('Spell Tables'!$AB$119:$AB$123,MATCH(O195,('Spell Tables'!$Z$119:$Z$123),0)),IF($T$183&gt;=O195,INDEX('Spell Tables'!$AB$97:$AB$102,MATCH(O195,('Spell Tables'!$Z$97:$Z$102),0)),IF($T$185&gt;=O195,INDEX('Spell Tables'!$AR$70:$AR$75,MATCH(O195,('Spell Tables'!$AP$70:$AP$75),0)),IF($T$187&gt;=O195,INDEX('Spell Tables'!$AF$48:$AF$63,MATCH(O195,('Spell Tables'!$AD$48:$AD$63),0)),IF($T$189&gt;=O195,INDEX('Spell Tables'!$AF$26:$AF$33,MATCH(O195,('Spell Tables'!$AD$26:$AD$33),0)),IF($T$191&gt;=O195,INDEX('Spell Tables'!$AF$2:$AF$9,MATCH(O195,('Spell Tables'!$AD$2:$AD$9),0))," "))))))))))))</f>
        <v xml:space="preserve"> </v>
      </c>
      <c r="AJ195" s="29">
        <v>8</v>
      </c>
      <c r="AK195" s="29">
        <v>3</v>
      </c>
    </row>
    <row r="196" spans="2:37" x14ac:dyDescent="0.3">
      <c r="B196" s="79"/>
      <c r="C196" s="33"/>
      <c r="D196" s="33"/>
      <c r="E196" s="33"/>
      <c r="F196" s="33"/>
      <c r="G196" s="33"/>
      <c r="H196" s="33"/>
      <c r="I196" s="33"/>
      <c r="J196" s="33"/>
      <c r="K196" s="33"/>
      <c r="L196" s="33"/>
      <c r="M196" s="33"/>
      <c r="N196" s="33"/>
      <c r="O196" s="34">
        <v>4</v>
      </c>
      <c r="P196" s="33" t="str">
        <f ca="1">IF(P$173&gt;=O196,INDEX('Spell Tables'!$P$242:$P$257,MATCH(O196,('Spell Tables'!$N$242:$N$257),0)),IF(P$175&gt;=O196,INDEX('Spell Tables'!$P$194:$P$201,MATCH(O196,('Spell Tables'!$N$194:$N$201),0)),IF(P$177&gt;=O196,INDEX('Spell Tables'!$P$168:$P$183,MATCH(O196,('Spell Tables'!$N$168:$N$183),0)),IF(P$179&gt;=O196,INDEX('Spell Tables'!$P$141:$P$156,MATCH(O196,('Spell Tables'!$N$141:$N$157),0)),IF(P$185&gt;=O196,INDEX('Spell Tables'!$P$70:$P$83,MATCH(O196,('Spell Tables'!$N$70:$N$83),0)),IF(P$187&gt;=O196,INDEX('Spell Tables'!$P$48:$P$55,MATCH(O196,('Spell Tables'!$N$48:$N$55),0)),IF(P$189&gt;=O196,INDEX('Spell Tables'!$P$26:$P$32,MATCH(O196,('Spell Tables'!$N$26:$N$32),0)),IF(P$191&gt;=O196,INDEX('Spell Tables'!$P$2:$P$12,MATCH(O196,('Spell Tables'!$N$2:$N$12),0))," "))))))))</f>
        <v xml:space="preserve"> </v>
      </c>
      <c r="Q196" s="33" t="str">
        <f ca="1">IF(AND($O$15="Otherworldly patron - great old one",Q$175&gt;=O196),INDEX('Spell Tables'!$T$226:$T$238,MATCH(O196,('Spell Tables'!$R$226:$R$238),0)),IF(AND($O$15="Otherworldly patron - fiend",Q$175&gt;=O196),INDEX('Spell Tables'!$T$210:$T$222,MATCH(O196,('Spell Tables'!$R$210:$R$222),0)),IF(Q$173&gt;=O196,INDEX($AL$44:$AL$53,MATCH(O196,($AJ$44:$AJ$53),0)),IF(AND($O$15="Otherworldly patron - archfey",Q$175&gt;=O196),INDEX('Spell Tables'!$T$194:$T$206,MATCH(O196,('Spell Tables'!$R$194:$R$206),0)),IF(Q$177&gt;=O196,INDEX('Spell Tables'!$T$168:$T$187,MATCH(O196,('Spell Tables'!$R$168:$R$187),0)),IF(Q$179&gt;=O196,INDEX('Spell Tables'!$T$141:$T$147,MATCH(O196,('Spell Tables'!$R$141:$R$147),0)),IF(Q$181&gt;=O196,INDEX('Spell Tables'!$P$119:$P$131,MATCH(O196,('Spell Tables'!$N$119:$N$131),0)),IF(Q$183&gt;=O196,INDEX('Spell Tables'!$P$97:$P$111,MATCH(O196,('Spell Tables'!$N$97:$N$111),0)),IF(Q$185&gt;=O196,INDEX('Spell Tables'!$T$70:$T$78,MATCH(O196,('Spell Tables'!$R$70:$R$78),0)),IF(Q$187&gt;=O196,INDEX('Spell Tables'!$T$48:$T$63,MATCH(O196,('Spell Tables'!$R$48:$R$63),0)),IF(Q$189&gt;=O196,INDEX('Spell Tables'!$T$26:$T$40,MATCH(O196,('Spell Tables'!$R$26:$R$40),0)),IF(Q$191&gt;=O196,INDEX('Spell Tables'!$T$2:$T$22,MATCH(O196,('Spell Tables'!$R$2:$R$22),0))," "))))))))))))</f>
        <v xml:space="preserve"> </v>
      </c>
      <c r="R196" s="33" t="str">
        <f ca="1">IF(AND($O$15="Otherworldly patron - great old one",R$175&gt;=O196),INDEX('Spell Tables'!$X$226:$X$239,MATCH(O196,('Spell Tables'!$V$226:$V$239),0)),IF(AND($O$15="Otherworldly patron - fiend",R$175&gt;=O196),INDEX('Spell Tables'!$X$210:$X$223,MATCH(O196,('Spell Tables'!$V$210:$V$223),0)),IF(AND($O$15="Otherworldly patron - archfey",R$175&gt;=O196),INDEX('Spell Tables'!$X$194:$X$207,MATCH(O196,('Spell Tables'!$V$194:$V$207),0)),IF($R$173&gt;=O196,INDEX($AL$56:$AL$65,MATCH(O196,($AJ$56:$AJ$65),0)),IF($R$177&gt;=O196,INDEX('Spell Tables'!$X$168:$X$191,MATCH(O196,('Spell Tables'!$V$168:$V$191),0)),IF($R$179&gt;=O196,INDEX('Spell Tables'!$AB$141:$AB$149,MATCH(O196,('Spell Tables'!$Z$141:$Z$149),0)),IF($R$181&gt;=O196,INDEX('Spell Tables'!$T$119:$T$131,MATCH(O196,('Spell Tables'!$R$119:$R$131),0)),IF($R$183&gt;=O196,INDEX('Spell Tables'!$T$97:$T$104,MATCH(O196,('Spell Tables'!$R$97:$R$104),0)),IF($R$185&gt;=O196,INDEX('Spell Tables'!$AB$70:$AB$75,MATCH(O196,('Spell Tables'!$Z$70:$Z$75),0)),IF($R$187&gt;=O196,INDEX('Spell Tables'!$X$48:$X$65,MATCH(O196,('Spell Tables'!$V$48:$V$65),0)),IF($R$189&gt;=O196,INDEX('Spell Tables'!$X$26:$X$42,MATCH(O196,('Spell Tables'!$V$26:$V$42),0)),IF($R$191&gt;=O196,INDEX('Spell Tables'!$X$2:$X$23,MATCH(O196,('Spell Tables'!$V$2:$V$23),0))," "))))))))))))</f>
        <v xml:space="preserve"> </v>
      </c>
      <c r="S196" s="33" t="str">
        <f ca="1">IF(AND($O$15="Otherworldly patron - great old one",S$175&gt;=O196),INDEX('Spell Tables'!$AB$226:$AB$238,MATCH(O196,('Spell Tables'!$Z$226:$Z$238),0)),IF(AND($O$15="Otherworldly patron - fiend",S$175&gt;=O196),INDEX('Spell Tables'!$AB$210:$AB$222,MATCH(O196,('Spell Tables'!$Z$210:$Z$222),0)),IF(AND($O$15="Otherworldly patron - archfey",S$175&gt;=O196),INDEX('Spell Tables'!$AB$194:$AB$206,MATCH(O196,('Spell Tables'!$Z$194:$Z$206),0)),IF($S$173&gt;=O196,INDEX($AL$68:$AL$77,MATCH(O196,($AJ$68:$AJ$77),0)),IF($S$177&gt;=O196,INDEX('Spell Tables'!$AB$168:$AB$187,MATCH(O196,('Spell Tables'!$Z$168:$Z$187),0)),IF($S$179&gt;=O196,INDEX('Spell Tables'!$AJ$141:$AJ$144,MATCH(O196,('Spell Tables'!$AH$141:$AH$144),0)),IF($S$181&gt;=O196,INDEX('Spell Tables'!$X$119:$X$129,MATCH(O196,('Spell Tables'!$V$119:$V$129),0)),IF($S$183&gt;=O196,INDEX('Spell Tables'!$X$97:$X$106,MATCH(O196,('Spell Tables'!$V$97:$V$106),0)),IF($S$185&gt;=O196,INDEX('Spell Tables'!$AJ$70:$AJ$79,MATCH(O196,('Spell Tables'!$AH$70:$AH$79),0)),IF($S$187&gt;=O196,INDEX('Spell Tables'!$AB$48:$AB$60,MATCH(O196,('Spell Tables'!$Z$48:$Z$60),0)),IF($S$189&gt;=O196,INDEX('Spell Tables'!$AB$26:$AB$45,MATCH(O196,('Spell Tables'!$Z$26:$Z$45),0)),IF($S$191&gt;=O196,INDEX('Spell Tables'!$AB$2:$AB$17,MATCH(O196,('Spell Tables'!$Z$2:$Z$17),0))," "))))))))))))</f>
        <v xml:space="preserve"> </v>
      </c>
      <c r="T196" s="33" t="str">
        <f ca="1">IF(AND($O$15="Otherworldly patron - great old one",T$175&gt;=O196),INDEX('Spell Tables'!$AF$226:$AF$231,MATCH(O196,('Spell Tables'!$AD$226:$AD$231),0)),IF(AND($O$15="Otherworldly patron - fiend",T$175&gt;=O196),INDEX('Spell Tables'!$AF$210:$AF$215,MATCH(O196,('Spell Tables'!$AD$210:$AD$215),0)),IF(AND($O$15="Otherworldly patron - archfey",T$175&gt;=O196),INDEX('Spell Tables'!$AF$194:$AF$199,MATCH(O196,('Spell Tables'!$AD$194:$AD$199),0)),IF($T$173&gt;=O196,INDEX($AL$80:$AL$89,MATCH(O196,($AJ$80:$AJ$89),0)),IF($T$177&gt;=O196,INDEX('Spell Tables'!$AF$168:$AF$177,MATCH(O196,('Spell Tables'!$AD$168:$AD$177),0)),IF($T$179&gt;=O196,INDEX('Spell Tables'!$AR$141:$AR$144,MATCH(O196,('Spell Tables'!$AP$141:$AP$144),0)),IF($T$181&gt;=O196,INDEX('Spell Tables'!$AB$119:$AB$123,MATCH(O196,('Spell Tables'!$Z$119:$Z$123),0)),IF($T$183&gt;=O196,INDEX('Spell Tables'!$AB$97:$AB$102,MATCH(O196,('Spell Tables'!$Z$97:$Z$102),0)),IF($T$185&gt;=O196,INDEX('Spell Tables'!$AR$70:$AR$75,MATCH(O196,('Spell Tables'!$AP$70:$AP$75),0)),IF($T$187&gt;=O196,INDEX('Spell Tables'!$AF$48:$AF$63,MATCH(O196,('Spell Tables'!$AD$48:$AD$63),0)),IF($T$189&gt;=O196,INDEX('Spell Tables'!$AF$26:$AF$33,MATCH(O196,('Spell Tables'!$AD$26:$AD$33),0)),IF($T$191&gt;=O196,INDEX('Spell Tables'!$AF$2:$AF$9,MATCH(O196,('Spell Tables'!$AD$2:$AD$9),0))," "))))))))))))</f>
        <v xml:space="preserve"> </v>
      </c>
      <c r="AJ196" s="29">
        <v>9</v>
      </c>
      <c r="AK196" s="29">
        <v>3</v>
      </c>
    </row>
    <row r="197" spans="2:37" x14ac:dyDescent="0.3">
      <c r="B197" s="79"/>
      <c r="C197" s="33"/>
      <c r="D197" s="33"/>
      <c r="E197" s="33"/>
      <c r="F197" s="33"/>
      <c r="G197" s="33"/>
      <c r="H197" s="33"/>
      <c r="I197" s="33"/>
      <c r="J197" s="33"/>
      <c r="K197" s="33"/>
      <c r="L197" s="33"/>
      <c r="M197" s="33"/>
      <c r="N197" s="33"/>
      <c r="O197" s="34">
        <v>5</v>
      </c>
      <c r="P197" s="33" t="str">
        <f ca="1">IF(P$173&gt;=O197,INDEX('Spell Tables'!$P$242:$P$257,MATCH(O197,('Spell Tables'!$N$242:$N$257),0)),IF(P$175&gt;=O197,INDEX('Spell Tables'!$P$194:$P$201,MATCH(O197,('Spell Tables'!$N$194:$N$201),0)),IF(P$177&gt;=O197,INDEX('Spell Tables'!$P$168:$P$183,MATCH(O197,('Spell Tables'!$N$168:$N$183),0)),IF(P$179&gt;=O197,INDEX('Spell Tables'!$P$141:$P$156,MATCH(O197,('Spell Tables'!$N$141:$N$157),0)),IF(P$185&gt;=O197,INDEX('Spell Tables'!$P$70:$P$83,MATCH(O197,('Spell Tables'!$N$70:$N$83),0)),IF(P$187&gt;=O197,INDEX('Spell Tables'!$P$48:$P$55,MATCH(O197,('Spell Tables'!$N$48:$N$55),0)),IF(P$189&gt;=O197,INDEX('Spell Tables'!$P$26:$P$32,MATCH(O197,('Spell Tables'!$N$26:$N$32),0)),IF(P$191&gt;=O197,INDEX('Spell Tables'!$P$2:$P$12,MATCH(O197,('Spell Tables'!$N$2:$N$12),0))," "))))))))</f>
        <v xml:space="preserve"> </v>
      </c>
      <c r="Q197" s="33" t="str">
        <f ca="1">IF(AND($O$15="Otherworldly patron - great old one",Q$175&gt;=O197),INDEX('Spell Tables'!$T$226:$T$238,MATCH(O197,('Spell Tables'!$R$226:$R$238),0)),IF(AND($O$15="Otherworldly patron - fiend",Q$175&gt;=O197),INDEX('Spell Tables'!$T$210:$T$222,MATCH(O197,('Spell Tables'!$R$210:$R$222),0)),IF(Q$173&gt;=O197,INDEX($AL$44:$AL$53,MATCH(O197,($AJ$44:$AJ$53),0)),IF(AND($O$15="Otherworldly patron - archfey",Q$175&gt;=O197),INDEX('Spell Tables'!$T$194:$T$206,MATCH(O197,('Spell Tables'!$R$194:$R$206),0)),IF(Q$177&gt;=O197,INDEX('Spell Tables'!$T$168:$T$187,MATCH(O197,('Spell Tables'!$R$168:$R$187),0)),IF(Q$179&gt;=O197,INDEX('Spell Tables'!$T$141:$T$147,MATCH(O197,('Spell Tables'!$R$141:$R$147),0)),IF(Q$181&gt;=O197,INDEX('Spell Tables'!$P$119:$P$131,MATCH(O197,('Spell Tables'!$N$119:$N$131),0)),IF(Q$183&gt;=O197,INDEX('Spell Tables'!$P$97:$P$111,MATCH(O197,('Spell Tables'!$N$97:$N$111),0)),IF(Q$185&gt;=O197,INDEX('Spell Tables'!$T$70:$T$78,MATCH(O197,('Spell Tables'!$R$70:$R$78),0)),IF(Q$187&gt;=O197,INDEX('Spell Tables'!$T$48:$T$63,MATCH(O197,('Spell Tables'!$R$48:$R$63),0)),IF(Q$189&gt;=O197,INDEX('Spell Tables'!$T$26:$T$40,MATCH(O197,('Spell Tables'!$R$26:$R$40),0)),IF(Q$191&gt;=O197,INDEX('Spell Tables'!$T$2:$T$22,MATCH(O197,('Spell Tables'!$R$2:$R$22),0))," "))))))))))))</f>
        <v xml:space="preserve"> </v>
      </c>
      <c r="R197" s="33" t="str">
        <f ca="1">IF(AND($O$15="Otherworldly patron - great old one",R$175&gt;=O197),INDEX('Spell Tables'!$X$226:$X$239,MATCH(O197,('Spell Tables'!$V$226:$V$239),0)),IF(AND($O$15="Otherworldly patron - fiend",R$175&gt;=O197),INDEX('Spell Tables'!$X$210:$X$223,MATCH(O197,('Spell Tables'!$V$210:$V$223),0)),IF(AND($O$15="Otherworldly patron - archfey",R$175&gt;=O197),INDEX('Spell Tables'!$X$194:$X$207,MATCH(O197,('Spell Tables'!$V$194:$V$207),0)),IF($R$173&gt;=O197,INDEX($AL$56:$AL$65,MATCH(O197,($AJ$56:$AJ$65),0)),IF($R$177&gt;=O197,INDEX('Spell Tables'!$X$168:$X$191,MATCH(O197,('Spell Tables'!$V$168:$V$191),0)),IF($R$179&gt;=O197,INDEX('Spell Tables'!$AB$141:$AB$149,MATCH(O197,('Spell Tables'!$Z$141:$Z$149),0)),IF($R$181&gt;=O197,INDEX('Spell Tables'!$T$119:$T$131,MATCH(O197,('Spell Tables'!$R$119:$R$131),0)),IF($R$183&gt;=O197,INDEX('Spell Tables'!$T$97:$T$104,MATCH(O197,('Spell Tables'!$R$97:$R$104),0)),IF($R$185&gt;=O197,INDEX('Spell Tables'!$AB$70:$AB$75,MATCH(O197,('Spell Tables'!$Z$70:$Z$75),0)),IF($R$187&gt;=O197,INDEX('Spell Tables'!$X$48:$X$65,MATCH(O197,('Spell Tables'!$V$48:$V$65),0)),IF($R$189&gt;=O197,INDEX('Spell Tables'!$X$26:$X$42,MATCH(O197,('Spell Tables'!$V$26:$V$42),0)),IF($R$191&gt;=O197,INDEX('Spell Tables'!$X$2:$X$23,MATCH(O197,('Spell Tables'!$V$2:$V$23),0))," "))))))))))))</f>
        <v xml:space="preserve"> </v>
      </c>
      <c r="S197" s="33" t="str">
        <f ca="1">IF(AND($O$15="Otherworldly patron - great old one",S$175&gt;=O197),INDEX('Spell Tables'!$AB$226:$AB$238,MATCH(O197,('Spell Tables'!$Z$226:$Z$238),0)),IF(AND($O$15="Otherworldly patron - fiend",S$175&gt;=O197),INDEX('Spell Tables'!$AB$210:$AB$222,MATCH(O197,('Spell Tables'!$Z$210:$Z$222),0)),IF(AND($O$15="Otherworldly patron - archfey",S$175&gt;=O197),INDEX('Spell Tables'!$AB$194:$AB$206,MATCH(O197,('Spell Tables'!$Z$194:$Z$206),0)),IF($S$173&gt;=O197,INDEX($AL$68:$AL$77,MATCH(O197,($AJ$68:$AJ$77),0)),IF($S$177&gt;=O197,INDEX('Spell Tables'!$AB$168:$AB$187,MATCH(O197,('Spell Tables'!$Z$168:$Z$187),0)),IF($S$179&gt;=O197,INDEX('Spell Tables'!$AJ$141:$AJ$144,MATCH(O197,('Spell Tables'!$AH$141:$AH$144),0)),IF($S$181&gt;=O197,INDEX('Spell Tables'!$X$119:$X$129,MATCH(O197,('Spell Tables'!$V$119:$V$129),0)),IF($S$183&gt;=O197,INDEX('Spell Tables'!$X$97:$X$106,MATCH(O197,('Spell Tables'!$V$97:$V$106),0)),IF($S$185&gt;=O197,INDEX('Spell Tables'!$AJ$70:$AJ$79,MATCH(O197,('Spell Tables'!$AH$70:$AH$79),0)),IF($S$187&gt;=O197,INDEX('Spell Tables'!$AB$48:$AB$60,MATCH(O197,('Spell Tables'!$Z$48:$Z$60),0)),IF($S$189&gt;=O197,INDEX('Spell Tables'!$AB$26:$AB$45,MATCH(O197,('Spell Tables'!$Z$26:$Z$45),0)),IF($S$191&gt;=O197,INDEX('Spell Tables'!$AB$2:$AB$17,MATCH(O197,('Spell Tables'!$Z$2:$Z$17),0))," "))))))))))))</f>
        <v xml:space="preserve"> </v>
      </c>
      <c r="T197" s="33" t="str">
        <f ca="1">IF(AND($O$15="Otherworldly patron - great old one",T$175&gt;=O197),INDEX('Spell Tables'!$AF$226:$AF$231,MATCH(O197,('Spell Tables'!$AD$226:$AD$231),0)),IF(AND($O$15="Otherworldly patron - fiend",T$175&gt;=O197),INDEX('Spell Tables'!$AF$210:$AF$215,MATCH(O197,('Spell Tables'!$AD$210:$AD$215),0)),IF(AND($O$15="Otherworldly patron - archfey",T$175&gt;=O197),INDEX('Spell Tables'!$AF$194:$AF$199,MATCH(O197,('Spell Tables'!$AD$194:$AD$199),0)),IF($T$173&gt;=O197,INDEX($AL$80:$AL$89,MATCH(O197,($AJ$80:$AJ$89),0)),IF($T$177&gt;=O197,INDEX('Spell Tables'!$AF$168:$AF$177,MATCH(O197,('Spell Tables'!$AD$168:$AD$177),0)),IF($T$179&gt;=O197,INDEX('Spell Tables'!$AR$141:$AR$144,MATCH(O197,('Spell Tables'!$AP$141:$AP$144),0)),IF($T$181&gt;=O197,INDEX('Spell Tables'!$AB$119:$AB$123,MATCH(O197,('Spell Tables'!$Z$119:$Z$123),0)),IF($T$183&gt;=O197,INDEX('Spell Tables'!$AB$97:$AB$102,MATCH(O197,('Spell Tables'!$Z$97:$Z$102),0)),IF($T$185&gt;=O197,INDEX('Spell Tables'!$AR$70:$AR$75,MATCH(O197,('Spell Tables'!$AP$70:$AP$75),0)),IF($T$187&gt;=O197,INDEX('Spell Tables'!$AF$48:$AF$63,MATCH(O197,('Spell Tables'!$AD$48:$AD$63),0)),IF($T$189&gt;=O197,INDEX('Spell Tables'!$AF$26:$AF$33,MATCH(O197,('Spell Tables'!$AD$26:$AD$33),0)),IF($T$191&gt;=O197,INDEX('Spell Tables'!$AF$2:$AF$9,MATCH(O197,('Spell Tables'!$AD$2:$AD$9),0))," "))))))))))))</f>
        <v xml:space="preserve"> </v>
      </c>
      <c r="AJ197" s="29">
        <v>10</v>
      </c>
      <c r="AK197" s="29">
        <v>3</v>
      </c>
    </row>
    <row r="198" spans="2:37" x14ac:dyDescent="0.3">
      <c r="B198" s="33"/>
      <c r="C198" s="33"/>
      <c r="D198" s="33"/>
      <c r="E198" s="33"/>
      <c r="F198" s="33"/>
      <c r="G198" s="33"/>
      <c r="H198" s="33"/>
      <c r="I198" s="33"/>
      <c r="J198" s="33"/>
      <c r="K198" s="33"/>
      <c r="L198" s="33"/>
      <c r="M198" s="33"/>
      <c r="N198" s="33"/>
      <c r="O198" s="34">
        <v>6</v>
      </c>
      <c r="P198" s="33" t="str">
        <f ca="1">IF(P$173&gt;=O198,INDEX('Spell Tables'!$P$242:$P$257,MATCH(O198,('Spell Tables'!$N$242:$N$257),0)),IF(P$175&gt;=O198,INDEX('Spell Tables'!$P$194:$P$201,MATCH(O198,('Spell Tables'!$N$194:$N$201),0)),IF(P$177&gt;=O198,INDEX('Spell Tables'!$P$168:$P$183,MATCH(O198,('Spell Tables'!$N$168:$N$183),0)),IF(P$179&gt;=O198,INDEX('Spell Tables'!$P$141:$P$156,MATCH(O198,('Spell Tables'!$N$141:$N$157),0)),IF(P$185&gt;=O198,INDEX('Spell Tables'!$P$70:$P$83,MATCH(O198,('Spell Tables'!$N$70:$N$83),0)),IF(P$187&gt;=O198,INDEX('Spell Tables'!$P$48:$P$55,MATCH(O198,('Spell Tables'!$N$48:$N$55),0)),IF(P$189&gt;=O198,INDEX('Spell Tables'!$P$26:$P$32,MATCH(O198,('Spell Tables'!$N$26:$N$32),0)),IF(P$191&gt;=O198,INDEX('Spell Tables'!$P$2:$P$12,MATCH(O198,('Spell Tables'!$N$2:$N$12),0))," "))))))))</f>
        <v xml:space="preserve"> </v>
      </c>
      <c r="Q198" s="33" t="str">
        <f ca="1">IF(AND($O$15="Otherworldly patron - great old one",Q$175&gt;=O198),INDEX('Spell Tables'!$T$226:$T$238,MATCH(O198,('Spell Tables'!$R$226:$R$238),0)),IF(AND($O$15="Otherworldly patron - fiend",Q$175&gt;=O198),INDEX('Spell Tables'!$T$210:$T$222,MATCH(O198,('Spell Tables'!$R$210:$R$222),0)),IF(Q$173&gt;=O198,INDEX($AL$44:$AL$53,MATCH(O198,($AJ$44:$AJ$53),0)),IF(AND($O$15="Otherworldly patron - archfey",Q$175&gt;=O198),INDEX('Spell Tables'!$T$194:$T$206,MATCH(O198,('Spell Tables'!$R$194:$R$206),0)),IF(Q$177&gt;=O198,INDEX('Spell Tables'!$T$168:$T$187,MATCH(O198,('Spell Tables'!$R$168:$R$187),0)),IF(Q$179&gt;=O198,INDEX('Spell Tables'!$T$141:$T$147,MATCH(O198,('Spell Tables'!$R$141:$R$147),0)),IF(Q$181&gt;=O198,INDEX('Spell Tables'!$P$119:$P$131,MATCH(O198,('Spell Tables'!$N$119:$N$131),0)),IF(Q$183&gt;=O198,INDEX('Spell Tables'!$P$97:$P$111,MATCH(O198,('Spell Tables'!$N$97:$N$111),0)),IF(Q$185&gt;=O198,INDEX('Spell Tables'!$T$70:$T$78,MATCH(O198,('Spell Tables'!$R$70:$R$78),0)),IF(Q$187&gt;=O198,INDEX('Spell Tables'!$T$48:$T$63,MATCH(O198,('Spell Tables'!$R$48:$R$63),0)),IF(Q$189&gt;=O198,INDEX('Spell Tables'!$T$26:$T$40,MATCH(O198,('Spell Tables'!$R$26:$R$40),0)),IF(Q$191&gt;=O198,INDEX('Spell Tables'!$T$2:$T$22,MATCH(O198,('Spell Tables'!$R$2:$R$22),0))," "))))))))))))</f>
        <v xml:space="preserve"> </v>
      </c>
      <c r="R198" s="33" t="str">
        <f ca="1">IF(AND($O$15="Otherworldly patron - great old one",R$175&gt;=O198),INDEX('Spell Tables'!$X$226:$X$239,MATCH(O198,('Spell Tables'!$V$226:$V$239),0)),IF(AND($O$15="Otherworldly patron - fiend",R$175&gt;=O198),INDEX('Spell Tables'!$X$210:$X$223,MATCH(O198,('Spell Tables'!$V$210:$V$223),0)),IF(AND($O$15="Otherworldly patron - archfey",R$175&gt;=O198),INDEX('Spell Tables'!$X$194:$X$207,MATCH(O198,('Spell Tables'!$V$194:$V$207),0)),IF($R$173&gt;=O198,INDEX($AL$56:$AL$65,MATCH(O198,($AJ$56:$AJ$65),0)),IF($R$177&gt;=O198,INDEX('Spell Tables'!$X$168:$X$191,MATCH(O198,('Spell Tables'!$V$168:$V$191),0)),IF($R$179&gt;=O198,INDEX('Spell Tables'!$AB$141:$AB$149,MATCH(O198,('Spell Tables'!$Z$141:$Z$149),0)),IF($R$181&gt;=O198,INDEX('Spell Tables'!$T$119:$T$131,MATCH(O198,('Spell Tables'!$R$119:$R$131),0)),IF($R$183&gt;=O198,INDEX('Spell Tables'!$T$97:$T$104,MATCH(O198,('Spell Tables'!$R$97:$R$104),0)),IF($R$185&gt;=O198,INDEX('Spell Tables'!$AB$70:$AB$75,MATCH(O198,('Spell Tables'!$Z$70:$Z$75),0)),IF($R$187&gt;=O198,INDEX('Spell Tables'!$X$48:$X$65,MATCH(O198,('Spell Tables'!$V$48:$V$65),0)),IF($R$189&gt;=O198,INDEX('Spell Tables'!$X$26:$X$42,MATCH(O198,('Spell Tables'!$V$26:$V$42),0)),IF($R$191&gt;=O198,INDEX('Spell Tables'!$X$2:$X$23,MATCH(O198,('Spell Tables'!$V$2:$V$23),0))," "))))))))))))</f>
        <v xml:space="preserve"> </v>
      </c>
      <c r="S198" s="33" t="str">
        <f ca="1">IF(AND($O$15="Otherworldly patron - great old one",S$175&gt;=O198),INDEX('Spell Tables'!$AB$226:$AB$238,MATCH(O198,('Spell Tables'!$Z$226:$Z$238),0)),IF(AND($O$15="Otherworldly patron - fiend",S$175&gt;=O198),INDEX('Spell Tables'!$AB$210:$AB$222,MATCH(O198,('Spell Tables'!$Z$210:$Z$222),0)),IF(AND($O$15="Otherworldly patron - archfey",S$175&gt;=O198),INDEX('Spell Tables'!$AB$194:$AB$206,MATCH(O198,('Spell Tables'!$Z$194:$Z$206),0)),IF($S$173&gt;=O198,INDEX($AL$68:$AL$77,MATCH(O198,($AJ$68:$AJ$77),0)),IF($S$177&gt;=O198,INDEX('Spell Tables'!$AB$168:$AB$187,MATCH(O198,('Spell Tables'!$Z$168:$Z$187),0)),IF($S$179&gt;=O198,INDEX('Spell Tables'!$AJ$141:$AJ$144,MATCH(O198,('Spell Tables'!$AH$141:$AH$144),0)),IF($S$181&gt;=O198,INDEX('Spell Tables'!$X$119:$X$129,MATCH(O198,('Spell Tables'!$V$119:$V$129),0)),IF($S$183&gt;=O198,INDEX('Spell Tables'!$X$97:$X$106,MATCH(O198,('Spell Tables'!$V$97:$V$106),0)),IF($S$185&gt;=O198,INDEX('Spell Tables'!$AJ$70:$AJ$79,MATCH(O198,('Spell Tables'!$AH$70:$AH$79),0)),IF($S$187&gt;=O198,INDEX('Spell Tables'!$AB$48:$AB$60,MATCH(O198,('Spell Tables'!$Z$48:$Z$60),0)),IF($S$189&gt;=O198,INDEX('Spell Tables'!$AB$26:$AB$45,MATCH(O198,('Spell Tables'!$Z$26:$Z$45),0)),IF($S$191&gt;=O198,INDEX('Spell Tables'!$AB$2:$AB$17,MATCH(O198,('Spell Tables'!$Z$2:$Z$17),0))," "))))))))))))</f>
        <v xml:space="preserve"> </v>
      </c>
      <c r="T198" s="33" t="str">
        <f ca="1">IF(AND($O$15="Otherworldly patron - great old one",T$175&gt;=O198),INDEX('Spell Tables'!$AF$226:$AF$231,MATCH(O198,('Spell Tables'!$AD$226:$AD$231),0)),IF(AND($O$15="Otherworldly patron - fiend",T$175&gt;=O198),INDEX('Spell Tables'!$AF$210:$AF$215,MATCH(O198,('Spell Tables'!$AD$210:$AD$215),0)),IF(AND($O$15="Otherworldly patron - archfey",T$175&gt;=O198),INDEX('Spell Tables'!$AF$194:$AF$199,MATCH(O198,('Spell Tables'!$AD$194:$AD$199),0)),IF($T$173&gt;=O198,INDEX($AL$80:$AL$89,MATCH(O198,($AJ$80:$AJ$89),0)),IF($T$177&gt;=O198,INDEX('Spell Tables'!$AF$168:$AF$177,MATCH(O198,('Spell Tables'!$AD$168:$AD$177),0)),IF($T$179&gt;=O198,INDEX('Spell Tables'!$AR$141:$AR$144,MATCH(O198,('Spell Tables'!$AP$141:$AP$144),0)),IF($T$181&gt;=O198,INDEX('Spell Tables'!$AB$119:$AB$123,MATCH(O198,('Spell Tables'!$Z$119:$Z$123),0)),IF($T$183&gt;=O198,INDEX('Spell Tables'!$AB$97:$AB$102,MATCH(O198,('Spell Tables'!$Z$97:$Z$102),0)),IF($T$185&gt;=O198,INDEX('Spell Tables'!$AR$70:$AR$75,MATCH(O198,('Spell Tables'!$AP$70:$AP$75),0)),IF($T$187&gt;=O198,INDEX('Spell Tables'!$AF$48:$AF$63,MATCH(O198,('Spell Tables'!$AD$48:$AD$63),0)),IF($T$189&gt;=O198,INDEX('Spell Tables'!$AF$26:$AF$33,MATCH(O198,('Spell Tables'!$AD$26:$AD$33),0)),IF($T$191&gt;=O198,INDEX('Spell Tables'!$AF$2:$AF$9,MATCH(O198,('Spell Tables'!$AD$2:$AD$9),0))," "))))))))))))</f>
        <v xml:space="preserve"> </v>
      </c>
    </row>
    <row r="199" spans="2:37" x14ac:dyDescent="0.3">
      <c r="B199" s="33"/>
      <c r="C199" s="33"/>
      <c r="D199" s="33"/>
      <c r="E199" s="33"/>
      <c r="F199" s="33"/>
      <c r="G199" s="33"/>
      <c r="H199" s="33"/>
      <c r="I199" s="33"/>
      <c r="J199" s="33"/>
      <c r="K199" s="33"/>
      <c r="L199" s="33"/>
      <c r="M199" s="33"/>
      <c r="N199" s="33"/>
      <c r="O199" s="34">
        <v>7</v>
      </c>
      <c r="P199" s="33" t="str">
        <f ca="1">IF(P$173&gt;=O199,INDEX('Spell Tables'!$P$242:$P$257,MATCH(O199,('Spell Tables'!$N$242:$N$257),0)),IF(P$175&gt;=O199,INDEX('Spell Tables'!$P$194:$P$201,MATCH(O199,('Spell Tables'!$N$194:$N$201),0)),IF(P$177&gt;=O199,INDEX('Spell Tables'!$P$168:$P$183,MATCH(O199,('Spell Tables'!$N$168:$N$183),0)),IF(P$179&gt;=O199,INDEX('Spell Tables'!$P$141:$P$156,MATCH(O199,('Spell Tables'!$N$141:$N$157),0)),IF(P$185&gt;=O199,INDEX('Spell Tables'!$P$70:$P$83,MATCH(O199,('Spell Tables'!$N$70:$N$83),0)),IF(P$187&gt;=O199,INDEX('Spell Tables'!$P$48:$P$55,MATCH(O199,('Spell Tables'!$N$48:$N$55),0)),IF(P$189&gt;=O199,INDEX('Spell Tables'!$P$26:$P$32,MATCH(O199,('Spell Tables'!$N$26:$N$32),0)),IF(P$191&gt;=O199,INDEX('Spell Tables'!$P$2:$P$12,MATCH(O199,('Spell Tables'!$N$2:$N$12),0))," "))))))))</f>
        <v xml:space="preserve"> </v>
      </c>
      <c r="Q199" s="33" t="str">
        <f ca="1">IF(AND($O$15="Otherworldly patron - great old one",Q$175&gt;=O199),INDEX('Spell Tables'!$T$226:$T$238,MATCH(O199,('Spell Tables'!$R$226:$R$238),0)),IF(AND($O$15="Otherworldly patron - fiend",Q$175&gt;=O199),INDEX('Spell Tables'!$T$210:$T$222,MATCH(O199,('Spell Tables'!$R$210:$R$222),0)),IF(Q$173&gt;=O199,INDEX($AL$44:$AL$53,MATCH(O199,($AJ$44:$AJ$53),0)),IF(AND($O$15="Otherworldly patron - archfey",Q$175&gt;=O199),INDEX('Spell Tables'!$T$194:$T$206,MATCH(O199,('Spell Tables'!$R$194:$R$206),0)),IF(Q$177&gt;=O199,INDEX('Spell Tables'!$T$168:$T$187,MATCH(O199,('Spell Tables'!$R$168:$R$187),0)),IF(Q$179&gt;=O199,INDEX('Spell Tables'!$T$141:$T$147,MATCH(O199,('Spell Tables'!$R$141:$R$147),0)),IF(Q$181&gt;=O199,INDEX('Spell Tables'!$P$119:$P$131,MATCH(O199,('Spell Tables'!$N$119:$N$131),0)),IF(Q$183&gt;=O199,INDEX('Spell Tables'!$P$97:$P$111,MATCH(O199,('Spell Tables'!$N$97:$N$111),0)),IF(Q$185&gt;=O199,INDEX('Spell Tables'!$T$70:$T$78,MATCH(O199,('Spell Tables'!$R$70:$R$78),0)),IF(Q$187&gt;=O199,INDEX('Spell Tables'!$T$48:$T$63,MATCH(O199,('Spell Tables'!$R$48:$R$63),0)),IF(Q$189&gt;=O199,INDEX('Spell Tables'!$T$26:$T$40,MATCH(O199,('Spell Tables'!$R$26:$R$40),0)),IF(Q$191&gt;=O199,INDEX('Spell Tables'!$T$2:$T$22,MATCH(O199,('Spell Tables'!$R$2:$R$22),0))," "))))))))))))</f>
        <v xml:space="preserve"> </v>
      </c>
      <c r="R199" s="33" t="str">
        <f ca="1">IF(AND($O$15="Otherworldly patron - great old one",R$175&gt;=O199),INDEX('Spell Tables'!$X$226:$X$239,MATCH(O199,('Spell Tables'!$V$226:$V$239),0)),IF(AND($O$15="Otherworldly patron - fiend",R$175&gt;=O199),INDEX('Spell Tables'!$X$210:$X$223,MATCH(O199,('Spell Tables'!$V$210:$V$223),0)),IF(AND($O$15="Otherworldly patron - archfey",R$175&gt;=O199),INDEX('Spell Tables'!$X$194:$X$207,MATCH(O199,('Spell Tables'!$V$194:$V$207),0)),IF($R$173&gt;=O199,INDEX($AL$56:$AL$65,MATCH(O199,($AJ$56:$AJ$65),0)),IF($R$177&gt;=O199,INDEX('Spell Tables'!$X$168:$X$191,MATCH(O199,('Spell Tables'!$V$168:$V$191),0)),IF($R$179&gt;=O199,INDEX('Spell Tables'!$AB$141:$AB$149,MATCH(O199,('Spell Tables'!$Z$141:$Z$149),0)),IF($R$181&gt;=O199,INDEX('Spell Tables'!$T$119:$T$131,MATCH(O199,('Spell Tables'!$R$119:$R$131),0)),IF($R$183&gt;=O199,INDEX('Spell Tables'!$T$97:$T$104,MATCH(O199,('Spell Tables'!$R$97:$R$104),0)),IF($R$185&gt;=O199,INDEX('Spell Tables'!$AB$70:$AB$75,MATCH(O199,('Spell Tables'!$Z$70:$Z$75),0)),IF($R$187&gt;=O199,INDEX('Spell Tables'!$X$48:$X$65,MATCH(O199,('Spell Tables'!$V$48:$V$65),0)),IF($R$189&gt;=O199,INDEX('Spell Tables'!$X$26:$X$42,MATCH(O199,('Spell Tables'!$V$26:$V$42),0)),IF($R$191&gt;=O199,INDEX('Spell Tables'!$X$2:$X$23,MATCH(O199,('Spell Tables'!$V$2:$V$23),0))," "))))))))))))</f>
        <v xml:space="preserve"> </v>
      </c>
      <c r="S199" s="33" t="str">
        <f ca="1">IF(AND($O$15="Otherworldly patron - great old one",S$175&gt;=O199),INDEX('Spell Tables'!$AB$226:$AB$238,MATCH(O199,('Spell Tables'!$Z$226:$Z$238),0)),IF(AND($O$15="Otherworldly patron - fiend",S$175&gt;=O199),INDEX('Spell Tables'!$AB$210:$AB$222,MATCH(O199,('Spell Tables'!$Z$210:$Z$222),0)),IF(AND($O$15="Otherworldly patron - archfey",S$175&gt;=O199),INDEX('Spell Tables'!$AB$194:$AB$206,MATCH(O199,('Spell Tables'!$Z$194:$Z$206),0)),IF($S$173&gt;=O199,INDEX($AL$68:$AL$77,MATCH(O199,($AJ$68:$AJ$77),0)),IF($S$177&gt;=O199,INDEX('Spell Tables'!$AB$168:$AB$187,MATCH(O199,('Spell Tables'!$Z$168:$Z$187),0)),IF($S$179&gt;=O199,INDEX('Spell Tables'!$AJ$141:$AJ$144,MATCH(O199,('Spell Tables'!$AH$141:$AH$144),0)),IF($S$181&gt;=O199,INDEX('Spell Tables'!$X$119:$X$129,MATCH(O199,('Spell Tables'!$V$119:$V$129),0)),IF($S$183&gt;=O199,INDEX('Spell Tables'!$X$97:$X$106,MATCH(O199,('Spell Tables'!$V$97:$V$106),0)),IF($S$185&gt;=O199,INDEX('Spell Tables'!$AJ$70:$AJ$79,MATCH(O199,('Spell Tables'!$AH$70:$AH$79),0)),IF($S$187&gt;=O199,INDEX('Spell Tables'!$AB$48:$AB$60,MATCH(O199,('Spell Tables'!$Z$48:$Z$60),0)),IF($S$189&gt;=O199,INDEX('Spell Tables'!$AB$26:$AB$45,MATCH(O199,('Spell Tables'!$Z$26:$Z$45),0)),IF($S$191&gt;=O199,INDEX('Spell Tables'!$AB$2:$AB$17,MATCH(O199,('Spell Tables'!$Z$2:$Z$17),0))," "))))))))))))</f>
        <v xml:space="preserve"> </v>
      </c>
      <c r="T199" s="33" t="str">
        <f ca="1">IF(AND($O$15="Otherworldly patron - great old one",T$175&gt;=O199),INDEX('Spell Tables'!$AF$226:$AF$231,MATCH(O199,('Spell Tables'!$AD$226:$AD$231),0)),IF(AND($O$15="Otherworldly patron - fiend",T$175&gt;=O199),INDEX('Spell Tables'!$AF$210:$AF$215,MATCH(O199,('Spell Tables'!$AD$210:$AD$215),0)),IF(AND($O$15="Otherworldly patron - archfey",T$175&gt;=O199),INDEX('Spell Tables'!$AF$194:$AF$199,MATCH(O199,('Spell Tables'!$AD$194:$AD$199),0)),IF($T$173&gt;=O199,INDEX($AL$80:$AL$89,MATCH(O199,($AJ$80:$AJ$89),0)),IF($T$177&gt;=O199,INDEX('Spell Tables'!$AF$168:$AF$177,MATCH(O199,('Spell Tables'!$AD$168:$AD$177),0)),IF($T$179&gt;=O199,INDEX('Spell Tables'!$AR$141:$AR$144,MATCH(O199,('Spell Tables'!$AP$141:$AP$144),0)),IF($T$181&gt;=O199,INDEX('Spell Tables'!$AB$119:$AB$123,MATCH(O199,('Spell Tables'!$Z$119:$Z$123),0)),IF($T$183&gt;=O199,INDEX('Spell Tables'!$AB$97:$AB$102,MATCH(O199,('Spell Tables'!$Z$97:$Z$102),0)),IF($T$185&gt;=O199,INDEX('Spell Tables'!$AR$70:$AR$75,MATCH(O199,('Spell Tables'!$AP$70:$AP$75),0)),IF($T$187&gt;=O199,INDEX('Spell Tables'!$AF$48:$AF$63,MATCH(O199,('Spell Tables'!$AD$48:$AD$63),0)),IF($T$189&gt;=O199,INDEX('Spell Tables'!$AF$26:$AF$33,MATCH(O199,('Spell Tables'!$AD$26:$AD$33),0)),IF($T$191&gt;=O199,INDEX('Spell Tables'!$AF$2:$AF$9,MATCH(O199,('Spell Tables'!$AD$2:$AD$9),0))," "))))))))))))</f>
        <v xml:space="preserve"> </v>
      </c>
    </row>
    <row r="200" spans="2:37" x14ac:dyDescent="0.3">
      <c r="B200" s="33"/>
      <c r="C200" s="33"/>
      <c r="D200" s="33"/>
      <c r="E200" s="33"/>
      <c r="F200" s="33"/>
      <c r="G200" s="33"/>
      <c r="H200" s="33"/>
      <c r="I200" s="33"/>
      <c r="J200" s="33"/>
      <c r="K200" s="33"/>
      <c r="L200" s="33"/>
      <c r="M200" s="33"/>
      <c r="N200" s="33"/>
      <c r="O200" s="34">
        <v>8</v>
      </c>
      <c r="P200" s="33" t="str">
        <f ca="1">IF(P$173&gt;=O200,INDEX('Spell Tables'!$P$242:$P$257,MATCH(O200,('Spell Tables'!$N$242:$N$257),0)),IF(P$175&gt;=O200,INDEX('Spell Tables'!$P$194:$P$201,MATCH(O200,('Spell Tables'!$N$194:$N$201),0)),IF(P$177&gt;=O200,INDEX('Spell Tables'!$P$168:$P$183,MATCH(O200,('Spell Tables'!$N$168:$N$183),0)),IF(P$179&gt;=O200,INDEX('Spell Tables'!$P$141:$P$156,MATCH(O200,('Spell Tables'!$N$141:$N$157),0)),IF(P$185&gt;=O200,INDEX('Spell Tables'!$P$70:$P$83,MATCH(O200,('Spell Tables'!$N$70:$N$83),0)),IF(P$187&gt;=O200,INDEX('Spell Tables'!$P$48:$P$55,MATCH(O200,('Spell Tables'!$N$48:$N$55),0)),IF(P$189&gt;=O200,INDEX('Spell Tables'!$P$26:$P$32,MATCH(O200,('Spell Tables'!$N$26:$N$32),0)),IF(P$191&gt;=O200,INDEX('Spell Tables'!$P$2:$P$12,MATCH(O200,('Spell Tables'!$N$2:$N$12),0))," "))))))))</f>
        <v xml:space="preserve"> </v>
      </c>
      <c r="Q200" s="33" t="str">
        <f ca="1">IF(AND($O$15="Otherworldly patron - great old one",Q$175&gt;=O200),INDEX('Spell Tables'!$T$226:$T$238,MATCH(O200,('Spell Tables'!$R$226:$R$238),0)),IF(AND($O$15="Otherworldly patron - fiend",Q$175&gt;=O200),INDEX('Spell Tables'!$T$210:$T$222,MATCH(O200,('Spell Tables'!$R$210:$R$222),0)),IF(Q$173&gt;=O200,INDEX($AL$44:$AL$53,MATCH(O200,($AJ$44:$AJ$53),0)),IF(AND($O$15="Otherworldly patron - archfey",Q$175&gt;=O200),INDEX('Spell Tables'!$T$194:$T$206,MATCH(O200,('Spell Tables'!$R$194:$R$206),0)),IF(Q$177&gt;=O200,INDEX('Spell Tables'!$T$168:$T$187,MATCH(O200,('Spell Tables'!$R$168:$R$187),0)),IF(Q$179&gt;=O200,INDEX('Spell Tables'!$T$141:$T$147,MATCH(O200,('Spell Tables'!$R$141:$R$147),0)),IF(Q$181&gt;=O200,INDEX('Spell Tables'!$P$119:$P$131,MATCH(O200,('Spell Tables'!$N$119:$N$131),0)),IF(Q$183&gt;=O200,INDEX('Spell Tables'!$P$97:$P$111,MATCH(O200,('Spell Tables'!$N$97:$N$111),0)),IF(Q$185&gt;=O200,INDEX('Spell Tables'!$T$70:$T$78,MATCH(O200,('Spell Tables'!$R$70:$R$78),0)),IF(Q$187&gt;=O200,INDEX('Spell Tables'!$T$48:$T$63,MATCH(O200,('Spell Tables'!$R$48:$R$63),0)),IF(Q$189&gt;=O200,INDEX('Spell Tables'!$T$26:$T$40,MATCH(O200,('Spell Tables'!$R$26:$R$40),0)),IF(Q$191&gt;=O200,INDEX('Spell Tables'!$T$2:$T$22,MATCH(O200,('Spell Tables'!$R$2:$R$22),0))," "))))))))))))</f>
        <v xml:space="preserve"> </v>
      </c>
      <c r="R200" s="33" t="str">
        <f ca="1">IF(AND($O$15="Otherworldly patron - great old one",R$175&gt;=O200),INDEX('Spell Tables'!$X$226:$X$239,MATCH(O200,('Spell Tables'!$V$226:$V$239),0)),IF(AND($O$15="Otherworldly patron - fiend",R$175&gt;=O200),INDEX('Spell Tables'!$X$210:$X$223,MATCH(O200,('Spell Tables'!$V$210:$V$223),0)),IF(AND($O$15="Otherworldly patron - archfey",R$175&gt;=O200),INDEX('Spell Tables'!$X$194:$X$207,MATCH(O200,('Spell Tables'!$V$194:$V$207),0)),IF($R$173&gt;=O200,INDEX($AL$56:$AL$65,MATCH(O200,($AJ$56:$AJ$65),0)),IF($R$177&gt;=O200,INDEX('Spell Tables'!$X$168:$X$191,MATCH(O200,('Spell Tables'!$V$168:$V$191),0)),IF($R$179&gt;=O200,INDEX('Spell Tables'!$AB$141:$AB$149,MATCH(O200,('Spell Tables'!$Z$141:$Z$149),0)),IF($R$181&gt;=O200,INDEX('Spell Tables'!$T$119:$T$131,MATCH(O200,('Spell Tables'!$R$119:$R$131),0)),IF($R$183&gt;=O200,INDEX('Spell Tables'!$T$97:$T$104,MATCH(O200,('Spell Tables'!$R$97:$R$104),0)),IF($R$185&gt;=O200,INDEX('Spell Tables'!$AB$70:$AB$75,MATCH(O200,('Spell Tables'!$Z$70:$Z$75),0)),IF($R$187&gt;=O200,INDEX('Spell Tables'!$X$48:$X$65,MATCH(O200,('Spell Tables'!$V$48:$V$65),0)),IF($R$189&gt;=O200,INDEX('Spell Tables'!$X$26:$X$42,MATCH(O200,('Spell Tables'!$V$26:$V$42),0)),IF($R$191&gt;=O200,INDEX('Spell Tables'!$X$2:$X$23,MATCH(O200,('Spell Tables'!$V$2:$V$23),0))," "))))))))))))</f>
        <v xml:space="preserve"> </v>
      </c>
      <c r="S200" s="33" t="str">
        <f ca="1">IF(AND($O$15="Otherworldly patron - great old one",S$175&gt;=O200),INDEX('Spell Tables'!$AB$226:$AB$238,MATCH(O200,('Spell Tables'!$Z$226:$Z$238),0)),IF(AND($O$15="Otherworldly patron - fiend",S$175&gt;=O200),INDEX('Spell Tables'!$AB$210:$AB$222,MATCH(O200,('Spell Tables'!$Z$210:$Z$222),0)),IF(AND($O$15="Otherworldly patron - archfey",S$175&gt;=O200),INDEX('Spell Tables'!$AB$194:$AB$206,MATCH(O200,('Spell Tables'!$Z$194:$Z$206),0)),IF($S$173&gt;=O200,INDEX($AL$68:$AL$77,MATCH(O200,($AJ$68:$AJ$77),0)),IF($S$177&gt;=O200,INDEX('Spell Tables'!$AB$168:$AB$187,MATCH(O200,('Spell Tables'!$Z$168:$Z$187),0)),IF($S$179&gt;=O200,INDEX('Spell Tables'!$AJ$141:$AJ$144,MATCH(O200,('Spell Tables'!$AH$141:$AH$144),0)),IF($S$181&gt;=O200,INDEX('Spell Tables'!$X$119:$X$129,MATCH(O200,('Spell Tables'!$V$119:$V$129),0)),IF($S$183&gt;=O200,INDEX('Spell Tables'!$X$97:$X$106,MATCH(O200,('Spell Tables'!$V$97:$V$106),0)),IF($S$185&gt;=O200,INDEX('Spell Tables'!$AJ$70:$AJ$79,MATCH(O200,('Spell Tables'!$AH$70:$AH$79),0)),IF($S$187&gt;=O200,INDEX('Spell Tables'!$AB$48:$AB$60,MATCH(O200,('Spell Tables'!$Z$48:$Z$60),0)),IF($S$189&gt;=O200,INDEX('Spell Tables'!$AB$26:$AB$45,MATCH(O200,('Spell Tables'!$Z$26:$Z$45),0)),IF($S$191&gt;=O200,INDEX('Spell Tables'!$AB$2:$AB$17,MATCH(O200,('Spell Tables'!$Z$2:$Z$17),0))," "))))))))))))</f>
        <v xml:space="preserve"> </v>
      </c>
      <c r="T200" s="33" t="str">
        <f ca="1">IF(AND($O$15="Otherworldly patron - great old one",T$175&gt;=O200),INDEX('Spell Tables'!$AF$226:$AF$231,MATCH(O200,('Spell Tables'!$AD$226:$AD$231),0)),IF(AND($O$15="Otherworldly patron - fiend",T$175&gt;=O200),INDEX('Spell Tables'!$AF$210:$AF$215,MATCH(O200,('Spell Tables'!$AD$210:$AD$215),0)),IF(AND($O$15="Otherworldly patron - archfey",T$175&gt;=O200),INDEX('Spell Tables'!$AF$194:$AF$199,MATCH(O200,('Spell Tables'!$AD$194:$AD$199),0)),IF($T$173&gt;=O200,INDEX($AL$80:$AL$89,MATCH(O200,($AJ$80:$AJ$89),0)),IF($T$177&gt;=O200,INDEX('Spell Tables'!$AF$168:$AF$177,MATCH(O200,('Spell Tables'!$AD$168:$AD$177),0)),IF($T$179&gt;=O200,INDEX('Spell Tables'!$AR$141:$AR$144,MATCH(O200,('Spell Tables'!$AP$141:$AP$144),0)),IF($T$181&gt;=O200,INDEX('Spell Tables'!$AB$119:$AB$123,MATCH(O200,('Spell Tables'!$Z$119:$Z$123),0)),IF($T$183&gt;=O200,INDEX('Spell Tables'!$AB$97:$AB$102,MATCH(O200,('Spell Tables'!$Z$97:$Z$102),0)),IF($T$185&gt;=O200,INDEX('Spell Tables'!$AR$70:$AR$75,MATCH(O200,('Spell Tables'!$AP$70:$AP$75),0)),IF($T$187&gt;=O200,INDEX('Spell Tables'!$AF$48:$AF$63,MATCH(O200,('Spell Tables'!$AD$48:$AD$63),0)),IF($T$189&gt;=O200,INDEX('Spell Tables'!$AF$26:$AF$33,MATCH(O200,('Spell Tables'!$AD$26:$AD$33),0)),IF($T$191&gt;=O200,INDEX('Spell Tables'!$AF$2:$AF$9,MATCH(O200,('Spell Tables'!$AD$2:$AD$9),0))," "))))))))))))</f>
        <v xml:space="preserve"> </v>
      </c>
    </row>
    <row r="201" spans="2:37" x14ac:dyDescent="0.3">
      <c r="B201" s="33"/>
      <c r="C201" s="33"/>
      <c r="D201" s="33"/>
      <c r="E201" s="33"/>
      <c r="F201" s="33"/>
      <c r="G201" s="33"/>
      <c r="H201" s="33"/>
      <c r="I201" s="33"/>
      <c r="J201" s="33"/>
      <c r="K201" s="33"/>
      <c r="L201" s="33"/>
      <c r="M201" s="33"/>
      <c r="N201" s="33"/>
      <c r="O201" s="34">
        <v>9</v>
      </c>
      <c r="P201" s="33" t="str">
        <f ca="1">IF(P$173&gt;=O201,INDEX('Spell Tables'!$P$242:$P$257,MATCH(O201,('Spell Tables'!$N$242:$N$257),0)),IF(P$175&gt;=O201,INDEX('Spell Tables'!$P$194:$P$201,MATCH(O201,('Spell Tables'!$N$194:$N$201),0)),IF(P$177&gt;=O201,INDEX('Spell Tables'!$P$168:$P$183,MATCH(O201,('Spell Tables'!$N$168:$N$183),0)),IF(P$179&gt;=O201,INDEX('Spell Tables'!$P$141:$P$156,MATCH(O201,('Spell Tables'!$N$141:$N$157),0)),IF(P$185&gt;=O201,INDEX('Spell Tables'!$P$70:$P$83,MATCH(O201,('Spell Tables'!$N$70:$N$83),0)),IF(P$187&gt;=O201,INDEX('Spell Tables'!$P$48:$P$55,MATCH(O201,('Spell Tables'!$N$48:$N$55),0)),IF(P$189&gt;=O201,INDEX('Spell Tables'!$P$26:$P$32,MATCH(O201,('Spell Tables'!$N$26:$N$32),0)),IF(P$191&gt;=O201,INDEX('Spell Tables'!$P$2:$P$12,MATCH(O201,('Spell Tables'!$N$2:$N$12),0))," "))))))))</f>
        <v xml:space="preserve"> </v>
      </c>
      <c r="Q201" s="33" t="str">
        <f ca="1">IF(AND($O$15="Otherworldly patron - great old one",Q$175&gt;=O201),INDEX('Spell Tables'!$T$226:$T$238,MATCH(O201,('Spell Tables'!$R$226:$R$238),0)),IF(AND($O$15="Otherworldly patron - fiend",Q$175&gt;=O201),INDEX('Spell Tables'!$T$210:$T$222,MATCH(O201,('Spell Tables'!$R$210:$R$222),0)),IF(Q$173&gt;=O201,INDEX($AL$44:$AL$53,MATCH(O201,($AJ$44:$AJ$53),0)),IF(AND($O$15="Otherworldly patron - archfey",Q$175&gt;=O201),INDEX('Spell Tables'!$T$194:$T$206,MATCH(O201,('Spell Tables'!$R$194:$R$206),0)),IF(Q$177&gt;=O201,INDEX('Spell Tables'!$T$168:$T$187,MATCH(O201,('Spell Tables'!$R$168:$R$187),0)),IF(Q$179&gt;=O201,INDEX('Spell Tables'!$T$141:$T$147,MATCH(O201,('Spell Tables'!$R$141:$R$147),0)),IF(Q$181&gt;=O201,INDEX('Spell Tables'!$P$119:$P$131,MATCH(O201,('Spell Tables'!$N$119:$N$131),0)),IF(Q$183&gt;=O201,INDEX('Spell Tables'!$P$97:$P$111,MATCH(O201,('Spell Tables'!$N$97:$N$111),0)),IF(Q$185&gt;=O201,INDEX('Spell Tables'!$T$70:$T$78,MATCH(O201,('Spell Tables'!$R$70:$R$78),0)),IF(Q$187&gt;=O201,INDEX('Spell Tables'!$T$48:$T$63,MATCH(O201,('Spell Tables'!$R$48:$R$63),0)),IF(Q$189&gt;=O201,INDEX('Spell Tables'!$T$26:$T$40,MATCH(O201,('Spell Tables'!$R$26:$R$40),0)),IF(Q$191&gt;=O201,INDEX('Spell Tables'!$T$2:$T$22,MATCH(O201,('Spell Tables'!$R$2:$R$22),0))," "))))))))))))</f>
        <v xml:space="preserve"> </v>
      </c>
      <c r="R201" s="33" t="str">
        <f ca="1">IF(AND($O$15="Otherworldly patron - great old one",R$175&gt;=O201),INDEX('Spell Tables'!$X$226:$X$239,MATCH(O201,('Spell Tables'!$V$226:$V$239),0)),IF(AND($O$15="Otherworldly patron - fiend",R$175&gt;=O201),INDEX('Spell Tables'!$X$210:$X$223,MATCH(O201,('Spell Tables'!$V$210:$V$223),0)),IF(AND($O$15="Otherworldly patron - archfey",R$175&gt;=O201),INDEX('Spell Tables'!$X$194:$X$207,MATCH(O201,('Spell Tables'!$V$194:$V$207),0)),IF($R$173&gt;=O201,INDEX($AL$56:$AL$65,MATCH(O201,($AJ$56:$AJ$65),0)),IF($R$177&gt;=O201,INDEX('Spell Tables'!$X$168:$X$191,MATCH(O201,('Spell Tables'!$V$168:$V$191),0)),IF($R$179&gt;=O201,INDEX('Spell Tables'!$AB$141:$AB$149,MATCH(O201,('Spell Tables'!$Z$141:$Z$149),0)),IF($R$181&gt;=O201,INDEX('Spell Tables'!$T$119:$T$131,MATCH(O201,('Spell Tables'!$R$119:$R$131),0)),IF($R$183&gt;=O201,INDEX('Spell Tables'!$T$97:$T$104,MATCH(O201,('Spell Tables'!$R$97:$R$104),0)),IF($R$185&gt;=O201,INDEX('Spell Tables'!$AB$70:$AB$75,MATCH(O201,('Spell Tables'!$Z$70:$Z$75),0)),IF($R$187&gt;=O201,INDEX('Spell Tables'!$X$48:$X$65,MATCH(O201,('Spell Tables'!$V$48:$V$65),0)),IF($R$189&gt;=O201,INDEX('Spell Tables'!$X$26:$X$42,MATCH(O201,('Spell Tables'!$V$26:$V$42),0)),IF($R$191&gt;=O201,INDEX('Spell Tables'!$X$2:$X$23,MATCH(O201,('Spell Tables'!$V$2:$V$23),0))," "))))))))))))</f>
        <v xml:space="preserve"> </v>
      </c>
      <c r="S201" s="33" t="str">
        <f ca="1">IF(AND($O$15="Otherworldly patron - great old one",S$175&gt;=O201),INDEX('Spell Tables'!$AB$226:$AB$238,MATCH(O201,('Spell Tables'!$Z$226:$Z$238),0)),IF(AND($O$15="Otherworldly patron - fiend",S$175&gt;=O201),INDEX('Spell Tables'!$AB$210:$AB$222,MATCH(O201,('Spell Tables'!$Z$210:$Z$222),0)),IF(AND($O$15="Otherworldly patron - archfey",S$175&gt;=O201),INDEX('Spell Tables'!$AB$194:$AB$206,MATCH(O201,('Spell Tables'!$Z$194:$Z$206),0)),IF($S$173&gt;=O201,INDEX($AL$68:$AL$77,MATCH(O201,($AJ$68:$AJ$77),0)),IF($S$177&gt;=O201,INDEX('Spell Tables'!$AB$168:$AB$187,MATCH(O201,('Spell Tables'!$Z$168:$Z$187),0)),IF($S$179&gt;=O201,INDEX('Spell Tables'!$AJ$141:$AJ$144,MATCH(O201,('Spell Tables'!$AH$141:$AH$144),0)),IF($S$181&gt;=O201,INDEX('Spell Tables'!$X$119:$X$129,MATCH(O201,('Spell Tables'!$V$119:$V$129),0)),IF($S$183&gt;=O201,INDEX('Spell Tables'!$X$97:$X$106,MATCH(O201,('Spell Tables'!$V$97:$V$106),0)),IF($S$185&gt;=O201,INDEX('Spell Tables'!$AJ$70:$AJ$79,MATCH(O201,('Spell Tables'!$AH$70:$AH$79),0)),IF($S$187&gt;=O201,INDEX('Spell Tables'!$AB$48:$AB$60,MATCH(O201,('Spell Tables'!$Z$48:$Z$60),0)),IF($S$189&gt;=O201,INDEX('Spell Tables'!$AB$26:$AB$45,MATCH(O201,('Spell Tables'!$Z$26:$Z$45),0)),IF($S$191&gt;=O201,INDEX('Spell Tables'!$AB$2:$AB$17,MATCH(O201,('Spell Tables'!$Z$2:$Z$17),0))," "))))))))))))</f>
        <v xml:space="preserve"> </v>
      </c>
      <c r="T201" s="33" t="str">
        <f ca="1">IF(AND($O$15="Otherworldly patron - great old one",T$175&gt;=O201),INDEX('Spell Tables'!$AF$226:$AF$231,MATCH(O201,('Spell Tables'!$AD$226:$AD$231),0)),IF(AND($O$15="Otherworldly patron - fiend",T$175&gt;=O201),INDEX('Spell Tables'!$AF$210:$AF$215,MATCH(O201,('Spell Tables'!$AD$210:$AD$215),0)),IF(AND($O$15="Otherworldly patron - archfey",T$175&gt;=O201),INDEX('Spell Tables'!$AF$194:$AF$199,MATCH(O201,('Spell Tables'!$AD$194:$AD$199),0)),IF($T$173&gt;=O201,INDEX($AL$80:$AL$89,MATCH(O201,($AJ$80:$AJ$89),0)),IF($T$177&gt;=O201,INDEX('Spell Tables'!$AF$168:$AF$177,MATCH(O201,('Spell Tables'!$AD$168:$AD$177),0)),IF($T$179&gt;=O201,INDEX('Spell Tables'!$AR$141:$AR$144,MATCH(O201,('Spell Tables'!$AP$141:$AP$144),0)),IF($T$181&gt;=O201,INDEX('Spell Tables'!$AB$119:$AB$123,MATCH(O201,('Spell Tables'!$Z$119:$Z$123),0)),IF($T$183&gt;=O201,INDEX('Spell Tables'!$AB$97:$AB$102,MATCH(O201,('Spell Tables'!$Z$97:$Z$102),0)),IF($T$185&gt;=O201,INDEX('Spell Tables'!$AR$70:$AR$75,MATCH(O201,('Spell Tables'!$AP$70:$AP$75),0)),IF($T$187&gt;=O201,INDEX('Spell Tables'!$AF$48:$AF$63,MATCH(O201,('Spell Tables'!$AD$48:$AD$63),0)),IF($T$189&gt;=O201,INDEX('Spell Tables'!$AF$26:$AF$33,MATCH(O201,('Spell Tables'!$AD$26:$AD$33),0)),IF($T$191&gt;=O201,INDEX('Spell Tables'!$AF$2:$AF$9,MATCH(O201,('Spell Tables'!$AD$2:$AD$9),0))," "))))))))))))</f>
        <v xml:space="preserve"> </v>
      </c>
    </row>
    <row r="202" spans="2:37" x14ac:dyDescent="0.3">
      <c r="B202" s="33"/>
      <c r="C202" s="33"/>
      <c r="D202" s="33"/>
      <c r="E202" s="33"/>
      <c r="F202" s="33"/>
      <c r="G202" s="33"/>
      <c r="H202" s="33"/>
      <c r="I202" s="33"/>
      <c r="J202" s="33"/>
      <c r="K202" s="33"/>
      <c r="L202" s="33"/>
      <c r="M202" s="33"/>
      <c r="N202" s="33"/>
      <c r="O202" s="34">
        <v>10</v>
      </c>
      <c r="P202" s="33" t="str">
        <f ca="1">IF(P$173&gt;=O202,INDEX('Spell Tables'!$P$242:$P$257,MATCH(O202,('Spell Tables'!$N$242:$N$257),0)),IF(P$175&gt;=O202,INDEX('Spell Tables'!$P$194:$P$201,MATCH(O202,('Spell Tables'!$N$194:$N$201),0)),IF(P$177&gt;=O202,INDEX('Spell Tables'!$P$168:$P$183,MATCH(O202,('Spell Tables'!$N$168:$N$183),0)),IF(P$179&gt;=O202,INDEX('Spell Tables'!$P$141:$P$156,MATCH(O202,('Spell Tables'!$N$141:$N$157),0)),IF(P$185&gt;=O202,INDEX('Spell Tables'!$P$70:$P$83,MATCH(O202,('Spell Tables'!$N$70:$N$83),0)),IF(P$187&gt;=O202,INDEX('Spell Tables'!$P$48:$P$55,MATCH(O202,('Spell Tables'!$N$48:$N$55),0)),IF(P$189&gt;=O202,INDEX('Spell Tables'!$P$26:$P$32,MATCH(O202,('Spell Tables'!$N$26:$N$32),0)),IF(P$191&gt;=O202,INDEX('Spell Tables'!$P$2:$P$12,MATCH(O202,('Spell Tables'!$N$2:$N$12),0))," "))))))))</f>
        <v xml:space="preserve"> </v>
      </c>
      <c r="Q202" s="33" t="str">
        <f ca="1">IF(AND($O$15="Otherworldly patron - great old one",Q$175&gt;=O202),INDEX('Spell Tables'!$T$226:$T$238,MATCH(O202,('Spell Tables'!$R$226:$R$238),0)),IF(AND($O$15="Otherworldly patron - fiend",Q$175&gt;=O202),INDEX('Spell Tables'!$T$210:$T$222,MATCH(O202,('Spell Tables'!$R$210:$R$222),0)),IF(Q$173&gt;=O202,INDEX($AL$44:$AL$53,MATCH(O202,($AJ$44:$AJ$53),0)),IF(AND($O$15="Otherworldly patron - archfey",Q$175&gt;=O202),INDEX('Spell Tables'!$T$194:$T$206,MATCH(O202,('Spell Tables'!$R$194:$R$206),0)),IF(Q$177&gt;=O202,INDEX('Spell Tables'!$T$168:$T$187,MATCH(O202,('Spell Tables'!$R$168:$R$187),0)),IF(Q$179&gt;=O202,INDEX('Spell Tables'!$T$141:$T$147,MATCH(O202,('Spell Tables'!$R$141:$R$147),0)),IF(Q$181&gt;=O202,INDEX('Spell Tables'!$P$119:$P$131,MATCH(O202,('Spell Tables'!$N$119:$N$131),0)),IF(Q$183&gt;=O202,INDEX('Spell Tables'!$P$97:$P$111,MATCH(O202,('Spell Tables'!$N$97:$N$111),0)),IF(Q$185&gt;=O202,INDEX('Spell Tables'!$T$70:$T$78,MATCH(O202,('Spell Tables'!$R$70:$R$78),0)),IF(Q$187&gt;=O202,INDEX('Spell Tables'!$T$48:$T$63,MATCH(O202,('Spell Tables'!$R$48:$R$63),0)),IF(Q$189&gt;=O202,INDEX('Spell Tables'!$T$26:$T$40,MATCH(O202,('Spell Tables'!$R$26:$R$40),0)),IF(Q$191&gt;=O202,INDEX('Spell Tables'!$T$2:$T$22,MATCH(O202,('Spell Tables'!$R$2:$R$22),0))," "))))))))))))</f>
        <v xml:space="preserve"> </v>
      </c>
      <c r="R202" s="33" t="str">
        <f ca="1">IF(AND($O$15="Otherworldly patron - great old one",R$175&gt;=O202),INDEX('Spell Tables'!$X$226:$X$239,MATCH(O202,('Spell Tables'!$V$226:$V$239),0)),IF(AND($O$15="Otherworldly patron - fiend",R$175&gt;=O202),INDEX('Spell Tables'!$X$210:$X$223,MATCH(O202,('Spell Tables'!$V$210:$V$223),0)),IF(AND($O$15="Otherworldly patron - archfey",R$175&gt;=O202),INDEX('Spell Tables'!$X$194:$X$207,MATCH(O202,('Spell Tables'!$V$194:$V$207),0)),IF($R$173&gt;=O202,INDEX($AL$56:$AL$65,MATCH(O202,($AJ$56:$AJ$65),0)),IF($R$177&gt;=O202,INDEX('Spell Tables'!$X$168:$X$191,MATCH(O202,('Spell Tables'!$V$168:$V$191),0)),IF($R$179&gt;=O202,INDEX('Spell Tables'!$AB$141:$AB$149,MATCH(O202,('Spell Tables'!$Z$141:$Z$149),0)),IF($R$181&gt;=O202,INDEX('Spell Tables'!$T$119:$T$131,MATCH(O202,('Spell Tables'!$R$119:$R$131),0)),IF($R$183&gt;=O202,INDEX('Spell Tables'!$T$97:$T$104,MATCH(O202,('Spell Tables'!$R$97:$R$104),0)),IF($R$185&gt;=O202,INDEX('Spell Tables'!$AB$70:$AB$75,MATCH(O202,('Spell Tables'!$Z$70:$Z$75),0)),IF($R$187&gt;=O202,INDEX('Spell Tables'!$X$48:$X$65,MATCH(O202,('Spell Tables'!$V$48:$V$65),0)),IF($R$189&gt;=O202,INDEX('Spell Tables'!$X$26:$X$42,MATCH(O202,('Spell Tables'!$V$26:$V$42),0)),IF($R$191&gt;=O202,INDEX('Spell Tables'!$X$2:$X$23,MATCH(O202,('Spell Tables'!$V$2:$V$23),0))," "))))))))))))</f>
        <v xml:space="preserve"> </v>
      </c>
      <c r="S202" s="33" t="str">
        <f ca="1">IF(AND($O$15="Otherworldly patron - great old one",S$175&gt;=O202),INDEX('Spell Tables'!$AB$226:$AB$238,MATCH(O202,('Spell Tables'!$Z$226:$Z$238),0)),IF(AND($O$15="Otherworldly patron - fiend",S$175&gt;=O202),INDEX('Spell Tables'!$AB$210:$AB$222,MATCH(O202,('Spell Tables'!$Z$210:$Z$222),0)),IF(AND($O$15="Otherworldly patron - archfey",S$175&gt;=O202),INDEX('Spell Tables'!$AB$194:$AB$206,MATCH(O202,('Spell Tables'!$Z$194:$Z$206),0)),IF($S$173&gt;=O202,INDEX($AL$68:$AL$77,MATCH(O202,($AJ$68:$AJ$77),0)),IF($S$177&gt;=O202,INDEX('Spell Tables'!$AB$168:$AB$187,MATCH(O202,('Spell Tables'!$Z$168:$Z$187),0)),IF($S$179&gt;=O202,INDEX('Spell Tables'!$AJ$141:$AJ$144,MATCH(O202,('Spell Tables'!$AH$141:$AH$144),0)),IF($S$181&gt;=O202,INDEX('Spell Tables'!$X$119:$X$129,MATCH(O202,('Spell Tables'!$V$119:$V$129),0)),IF($S$183&gt;=O202,INDEX('Spell Tables'!$X$97:$X$106,MATCH(O202,('Spell Tables'!$V$97:$V$106),0)),IF($S$185&gt;=O202,INDEX('Spell Tables'!$AJ$70:$AJ$79,MATCH(O202,('Spell Tables'!$AH$70:$AH$79),0)),IF($S$187&gt;=O202,INDEX('Spell Tables'!$AB$48:$AB$60,MATCH(O202,('Spell Tables'!$Z$48:$Z$60),0)),IF($S$189&gt;=O202,INDEX('Spell Tables'!$AB$26:$AB$45,MATCH(O202,('Spell Tables'!$Z$26:$Z$45),0)),IF($S$191&gt;=O202,INDEX('Spell Tables'!$AB$2:$AB$17,MATCH(O202,('Spell Tables'!$Z$2:$Z$17),0))," "))))))))))))</f>
        <v xml:space="preserve"> </v>
      </c>
      <c r="T202" s="33" t="str">
        <f ca="1">IF(AND($O$15="Otherworldly patron - great old one",T$175&gt;=O202),INDEX('Spell Tables'!$AF$226:$AF$231,MATCH(O202,('Spell Tables'!$AD$226:$AD$231),0)),IF(AND($O$15="Otherworldly patron - fiend",T$175&gt;=O202),INDEX('Spell Tables'!$AF$210:$AF$215,MATCH(O202,('Spell Tables'!$AD$210:$AD$215),0)),IF(AND($O$15="Otherworldly patron - archfey",T$175&gt;=O202),INDEX('Spell Tables'!$AF$194:$AF$199,MATCH(O202,('Spell Tables'!$AD$194:$AD$199),0)),IF($T$173&gt;=O202,INDEX('Spell Tables'!$AF$242:$AF$264,MATCH(O202,('Spell Tables'!$AD$242:$AD$264),0)),IF($T$177&gt;=O202,INDEX('Spell Tables'!$AF$168:$AF$177,MATCH(O202,('Spell Tables'!$AD$168:$AD$177),0)),IF($T$179&gt;=O202,INDEX('Spell Tables'!$AR$141:$AR$144,MATCH(O202,('Spell Tables'!$AP$141:$AP$144),0)),IF($T$181&gt;=O202,INDEX('Spell Tables'!$AB$119:$AB$123,MATCH(O202,('Spell Tables'!$Z$119:$Z$123),0)),IF($T$183&gt;=O202,INDEX('Spell Tables'!$AB$97:$AB$102,MATCH(O202,('Spell Tables'!$Z$97:$Z$102),0)),IF($T$185&gt;=O202,INDEX('Spell Tables'!$AR$70:$AR$75,MATCH(O202,('Spell Tables'!$AP$70:$AP$75),0)),IF($T$187&gt;=O202,INDEX('Spell Tables'!$AF$48:$AF$63,MATCH(O202,('Spell Tables'!$AD$48:$AD$63),0)),IF($T$189&gt;=O202,INDEX('Spell Tables'!$AF$26:$AF$33,MATCH(O202,('Spell Tables'!$AD$26:$AD$33),0)),IF($T$191&gt;=O202,INDEX('Spell Tables'!$AF$2:$AF$9,MATCH(O202,('Spell Tables'!$AD$2:$AD$9),0))," "))))))))))))</f>
        <v xml:space="preserve"> </v>
      </c>
    </row>
    <row r="204" spans="2:37" ht="19.5" thickBot="1" x14ac:dyDescent="0.35">
      <c r="C204" s="38"/>
      <c r="D204" s="38"/>
      <c r="E204" s="38"/>
      <c r="F204" s="38"/>
      <c r="G204" s="38"/>
      <c r="H204" s="38"/>
      <c r="I204" s="38"/>
      <c r="J204" s="38"/>
      <c r="K204" s="38"/>
      <c r="L204" s="38"/>
      <c r="M204" s="38"/>
      <c r="O204" s="38"/>
      <c r="P204" s="38"/>
      <c r="Q204" s="38"/>
      <c r="R204" s="38"/>
      <c r="S204" s="38"/>
      <c r="T204" s="38"/>
    </row>
    <row r="205" spans="2:37" hidden="1" x14ac:dyDescent="0.3">
      <c r="N205" s="72"/>
      <c r="P205" s="27"/>
      <c r="Q205" s="27"/>
      <c r="R205" s="27"/>
      <c r="S205" s="91"/>
    </row>
    <row r="206" spans="2:37" x14ac:dyDescent="0.3">
      <c r="N206" s="72"/>
      <c r="O206" s="135" t="s">
        <v>1342</v>
      </c>
      <c r="P206" s="65">
        <f ca="1">IF(AND(AF14=2,OR(O11="monk",O11="barbarian",O11="warlock"),OR(Q11="fighter",Q11="rogue"),OR(P15&lt;&gt;"arcane trickster",R15&lt;&gt;"arcane trickster",P15&lt;&gt;"eldritch knight",R15&lt;&gt;"eldritch knight")),0,IF(AND(AF14=2,OR(O11="monk",O11="barbarian",O11="warlock"),OR(Q11="monk",Q11="barbarian",Q11="warlock")),0,IF(AND(AF14=2,OR(O11="monk",O11="barbarian",O11="warlock",Q11="monk",Q11="barbarian",Q11="warlock"),OR(O11="paladin",Q11="paladin",O11="ranger",Q11="ranger")),INDEX('Spell Tables'!H119:H138,MATCH(AF18,('Spell Tables'!B119:B138),0)),IF(AF14=2,INDEX('Spell Tables'!H242:H261,MATCH(AF18,('Spell Tables'!B242:B261),0)),IF(OR($O$11="bard",$O$11="cleric",$O$11="druid",O11="sorcerer",O11="wizard"),INDEX('Spell Tables'!H$2:H$21,MATCH($O$12,('Spell Tables'!$A$2:$A$21),0))," ")))))</f>
        <v>0</v>
      </c>
      <c r="Q206" s="65">
        <f ca="1">IF(AND(AF14=2,OR(O11="monk",O11="barbarian",O11="warlock"),OR(Q11="fighter",Q11="rogue"),OR(P15&lt;&gt;"arcane trickster",R15&lt;&gt;"arcane trickster",P15&lt;&gt;"eldritch knight",R15&lt;&gt;"eldritch knight")),0,IF(AND(AF14=2,OR(O11="monk",O11="barbarian",O11="warlock"),OR(Q11="monk",Q11="barbarian",Q11="warlock")),0,IF(AF14=2,INDEX('Spell Tables'!I242:I261,MATCH(AF18,('Spell Tables'!B242:B261),0)),IF(OR($O$11="bard",$O$11="cleric",$O$11="druid",O11="sorcerer",O11="wizard"),INDEX('Spell Tables'!I$2:I$21,MATCH($O$12,('Spell Tables'!$A$2:$A$21),0))," "))))</f>
        <v>0</v>
      </c>
      <c r="R206" s="65">
        <f ca="1">IF(AND(AF14=2,OR(O11="monk",O11="barbarian",O11="warlock"),OR(Q11="fighter",Q11="rogue"),OR(P15&lt;&gt;"arcane trickster",R15&lt;&gt;"arcane trickster",P15&lt;&gt;"eldritch knight",R15&lt;&gt;"eldritch knight")),0,IF(AND(AF14=2,OR(O11="monk",O11="barbarian",O11="warlock"),OR(Q11="monk",Q11="barbarian",Q11="warlock")),0,IF(AF14=2,INDEX('Spell Tables'!J242:J261,MATCH(AF18,('Spell Tables'!B242:B261),0)),IF(OR($O$11="bard",$O$11="cleric",$O$11="druid",O11="sorcerer",O11="wizard"),INDEX('Spell Tables'!J$2:J$21,MATCH($O$12,('Spell Tables'!$A$2:$A$21),0))," "))))</f>
        <v>0</v>
      </c>
      <c r="S206" s="65">
        <f ca="1">IF(AND(AF14=2,OR(O11="monk",O11="barbarian",O11="warlock"),OR(Q11="fighter",Q11="rogue"),OR(P15&lt;&gt;"arcane trickster",R15&lt;&gt;"arcane trickster",P15&lt;&gt;"eldritch knight",R15&lt;&gt;"eldritch knight")),0,IF(AND(AF14=2,OR(O11="monk",O11="barbarian",O11="warlock"),OR(Q11="monk",Q11="barbarian",Q11="warlock")),0,IF(AF14=2,INDEX('Spell Tables'!K242:K261,MATCH(AF18,('Spell Tables'!B242:B261),0)),IF(OR($O$11="bard",$O$11="cleric",$O$11="druid",O11="sorcerer",O11="wizard"),INDEX('Spell Tables'!K$2:K$21,MATCH($O$12,('Spell Tables'!$A$2:$A$21),0))," "))))</f>
        <v>0</v>
      </c>
      <c r="T206" s="66">
        <f ca="1">IF(AND(AF14=2,OR(O11="monk",O11="barbarian",O11="warlock"),OR(Q11="fighter",Q11="rogue"),OR(P15&lt;&gt;"arcane trickster",R15&lt;&gt;"arcane trickster",P15&lt;&gt;"eldritch knight",R15&lt;&gt;"eldritch knight")),0,IF(AND(AF14=2,OR(O11="monk",O11="barbarian",O11="warlock"),OR(Q11="monk",Q11="barbarian",Q11="warlock")),0,IF(AF14=2,INDEX('Spell Tables'!L242:L261,MATCH(AF18,('Spell Tables'!B242:B261),0)),IF(OR($O$11="bard",$O$11="cleric",$O$11="druid",O11="sorcerer",O11="wizard"),INDEX('Spell Tables'!L$2:L$21,MATCH($O$12,('Spell Tables'!$A$2:$A$21),0))," "))))</f>
        <v>0</v>
      </c>
    </row>
    <row r="207" spans="2:37" hidden="1" x14ac:dyDescent="0.3">
      <c r="N207" s="72"/>
      <c r="O207" s="79"/>
      <c r="P207" s="29" t="str">
        <f ca="1">IF(AND(O11="wizard",O12&gt;=11),"x",IF(AND($O$11="wizard",$O$12&gt;9),"xx",IF(AND(O11="wizard",O12=9),"xxx"," ")))</f>
        <v xml:space="preserve"> </v>
      </c>
      <c r="Q207" s="29" t="str">
        <f ca="1">IF(AND(O11="wizard",O12&gt;=13),"x",IF(AND($O$11="wizard",$O$12&gt;11),"xx",IF(AND(O11="wizard",O12=11),"xxx"," ")))</f>
        <v xml:space="preserve"> </v>
      </c>
      <c r="R207" s="29" t="str">
        <f ca="1">IF(AND(O11="wizard",O12&gt;=15),"x",IF(AND($O$11="wizard",$O$12&gt;13),"xx",IF(AND(O11="wizard",O12=13),"xxx"," ")))</f>
        <v xml:space="preserve"> </v>
      </c>
      <c r="S207" s="29" t="str">
        <f ca="1">IF(AND(O11="wizard",O12&gt;=17),"x",IF(AND($O$11="wizard",$O$12&gt;15),"xx",IF(AND(O11="wizard",O12=15),"xxx"," ")))</f>
        <v xml:space="preserve"> </v>
      </c>
      <c r="T207" s="72" t="str">
        <f ca="1">IF(AND($O$11="wizard",$O$12&gt;17),"xx",IF(AND(O11="wizard",O12=17),"xxx"," "))</f>
        <v xml:space="preserve"> </v>
      </c>
    </row>
    <row r="208" spans="2:37" hidden="1" x14ac:dyDescent="0.3">
      <c r="N208" s="72"/>
      <c r="O208" s="79"/>
      <c r="P208" s="29">
        <f ca="1">IF(P207="x",RANDBETWEEN(2,3),IF(P207="xx",RANDBETWEEN(2,3),IF(P207="xxx",RANDBETWEEN(1,2),0)))</f>
        <v>0</v>
      </c>
      <c r="Q208" s="29">
        <f ca="1">IF(Q207="x",RANDBETWEEN(2,3),IF(Q207="xx",RANDBETWEEN(2,3),IF(Q207="xxx",RANDBETWEEN(1,2),0)))</f>
        <v>0</v>
      </c>
      <c r="R208" s="29">
        <f ca="1">IF(R207="x",RANDBETWEEN(1,2),IF(R207="xx",RANDBETWEEN(1,2),IF(R207="xxx",RANDBETWEEN(1,2),0)))</f>
        <v>0</v>
      </c>
      <c r="S208" s="29">
        <f ca="1">IF(OR(S207="x",S207="xx"),RANDBETWEEN(1,2),IF(S207="xxx",RANDBETWEEN(1,2),0))</f>
        <v>0</v>
      </c>
      <c r="T208" s="72">
        <f ca="1">IF(T207="xx",RANDBETWEEN(1,2),IF(T207="xxx",RANDBETWEEN(1,2),0))</f>
        <v>0</v>
      </c>
    </row>
    <row r="209" spans="14:20" hidden="1" x14ac:dyDescent="0.3">
      <c r="N209" s="72"/>
      <c r="O209" s="79"/>
      <c r="P209" s="29" t="str">
        <f ca="1">IF(AND($O$11="warlock",$O$12&gt;=9),"xx"," ")</f>
        <v xml:space="preserve"> </v>
      </c>
      <c r="T209" s="72"/>
    </row>
    <row r="210" spans="14:20" hidden="1" x14ac:dyDescent="0.3">
      <c r="N210" s="72"/>
      <c r="O210" s="79"/>
      <c r="P210" s="29">
        <f ca="1">IF(P209="x",RANDBETWEEN(2,3),IF(P209="xx",RANDBETWEEN(2,3),0))</f>
        <v>0</v>
      </c>
      <c r="T210" s="72"/>
    </row>
    <row r="211" spans="14:20" hidden="1" x14ac:dyDescent="0.3">
      <c r="N211" s="72"/>
      <c r="O211" s="79"/>
      <c r="P211" s="29" t="str">
        <f ca="1">IF(AND($O$11="sorcerer",$O$12&gt;=11),"x",IF(AND($O$11="sorcerer",$O$12&gt;=9),"xx"," "))</f>
        <v xml:space="preserve"> </v>
      </c>
      <c r="Q211" s="29" t="str">
        <f ca="1">IF(AND($O$11="sorcerer",$O$12&gt;=13),"x",IF(AND($O$11="sorcerer",$O$12&gt;=11),"xx"," "))</f>
        <v xml:space="preserve"> </v>
      </c>
      <c r="R211" s="29" t="str">
        <f ca="1">IF(AND($O$11="sorcerer",$O$12&gt;=15),"x",IF(AND($O$11="sorcerer",$O$12&gt;=13),"xx"," "))</f>
        <v xml:space="preserve"> </v>
      </c>
      <c r="S211" s="29" t="str">
        <f ca="1">IF(AND($O$11="sorcerer",$O$12&gt;=17),"x",IF(AND($O$11="sorcerer",$O$12&gt;15),"xx"," "))</f>
        <v xml:space="preserve"> </v>
      </c>
      <c r="T211" s="72" t="str">
        <f ca="1">IF(AND($O$11="sorcerer",$O$12&gt;=17),"xx"," ")</f>
        <v xml:space="preserve"> </v>
      </c>
    </row>
    <row r="212" spans="14:20" hidden="1" x14ac:dyDescent="0.3">
      <c r="N212" s="72"/>
      <c r="O212" s="79"/>
      <c r="P212" s="29">
        <f ca="1">IF(P211="x",RANDBETWEEN(2,3),IF(P211="xx",RANDBETWEEN(2,3),0))</f>
        <v>0</v>
      </c>
      <c r="Q212" s="29">
        <f ca="1">IF(Q211="x",RANDBETWEEN(2,3),IF(Q211="xx",RANDBETWEEN(2,3),0))</f>
        <v>0</v>
      </c>
      <c r="R212" s="29">
        <f ca="1">IF(R211="x",RANDBETWEEN(1,2),IF(R211="xx",RANDBETWEEN(1,2),0))</f>
        <v>0</v>
      </c>
      <c r="S212" s="29">
        <f ca="1">IF(OR(S211="x",S211="xx"),RANDBETWEEN(1,2),0)</f>
        <v>0</v>
      </c>
      <c r="T212" s="72">
        <f ca="1">IF(T211="xx",RANDBETWEEN(1,2),0)</f>
        <v>0</v>
      </c>
    </row>
    <row r="213" spans="14:20" hidden="1" x14ac:dyDescent="0.3">
      <c r="N213" s="72"/>
      <c r="O213" s="79"/>
      <c r="T213" s="72"/>
    </row>
    <row r="214" spans="14:20" hidden="1" x14ac:dyDescent="0.3">
      <c r="N214" s="72"/>
      <c r="O214" s="79"/>
      <c r="T214" s="72"/>
    </row>
    <row r="215" spans="14:20" hidden="1" x14ac:dyDescent="0.3">
      <c r="N215" s="72"/>
      <c r="O215" s="79"/>
      <c r="P215" s="29" t="str">
        <f ca="1">IF(AND($O$11="ranger",$O$12&gt;=17),"xx"," ")</f>
        <v xml:space="preserve"> </v>
      </c>
      <c r="T215" s="72"/>
    </row>
    <row r="216" spans="14:20" hidden="1" x14ac:dyDescent="0.3">
      <c r="N216" s="72"/>
      <c r="O216" s="79"/>
      <c r="P216" s="29">
        <f ca="1">IF(P215="x",RANDBETWEEN(2,3),IF(P215="xx",RANDBETWEEN(2,3),0))</f>
        <v>0</v>
      </c>
      <c r="T216" s="72"/>
    </row>
    <row r="217" spans="14:20" hidden="1" x14ac:dyDescent="0.3">
      <c r="N217" s="72"/>
      <c r="O217" s="79"/>
      <c r="P217" s="29" t="str">
        <f ca="1">IF(AND(O11="paladin",O12&gt;=17),"xx"," ")</f>
        <v xml:space="preserve"> </v>
      </c>
      <c r="T217" s="72"/>
    </row>
    <row r="218" spans="14:20" hidden="1" x14ac:dyDescent="0.3">
      <c r="N218" s="72"/>
      <c r="O218" s="79"/>
      <c r="P218" s="29">
        <f ca="1">IF(P217="x",RANDBETWEEN(2,3),IF(P217="xx",RANDBETWEEN(2,3),0))</f>
        <v>0</v>
      </c>
      <c r="T218" s="72"/>
    </row>
    <row r="219" spans="14:20" hidden="1" x14ac:dyDescent="0.3">
      <c r="N219" s="72"/>
      <c r="O219" s="79"/>
      <c r="T219" s="72"/>
    </row>
    <row r="220" spans="14:20" hidden="1" x14ac:dyDescent="0.3">
      <c r="N220" s="72"/>
      <c r="O220" s="79"/>
      <c r="T220" s="72"/>
    </row>
    <row r="221" spans="14:20" hidden="1" x14ac:dyDescent="0.3">
      <c r="N221" s="72"/>
      <c r="O221" s="79"/>
      <c r="P221" s="29" t="str">
        <f ca="1">IF(AND($O$11="druid",$O$12&gt;=11),"x",IF(AND($O$11="druid",$O$12&gt;=9),"xx"," "))</f>
        <v xml:space="preserve"> </v>
      </c>
      <c r="Q221" s="29" t="str">
        <f ca="1">IF(AND($O$11="druid",$O$12&gt;=13),"x",IF(AND($O$11="druid",$O$12&gt;=11),"xx"," "))</f>
        <v xml:space="preserve"> </v>
      </c>
      <c r="R221" s="29" t="str">
        <f ca="1">IF(AND($O$11="druid",$O$12&gt;=15),"x",IF(AND($O$11="druid",$O$12&gt;=13),"xx"," "))</f>
        <v xml:space="preserve"> </v>
      </c>
      <c r="S221" s="29" t="str">
        <f ca="1">IF(AND($O$11="druid",$O$12&gt;=17),"x",IF(AND($O$11="druid",$O$12&gt;15),"xx"," "))</f>
        <v xml:space="preserve"> </v>
      </c>
      <c r="T221" s="72" t="str">
        <f ca="1">IF(AND($O$11="druid",$O$12&gt;=17),"xx"," ")</f>
        <v xml:space="preserve"> </v>
      </c>
    </row>
    <row r="222" spans="14:20" hidden="1" x14ac:dyDescent="0.3">
      <c r="N222" s="72"/>
      <c r="O222" s="79"/>
      <c r="P222" s="29">
        <f ca="1">IF(P221="x",RANDBETWEEN(2,3),IF(P221="xx",RANDBETWEEN(2,3),0))</f>
        <v>0</v>
      </c>
      <c r="Q222" s="29">
        <f ca="1">IF(Q221="x",RANDBETWEEN(2,3),IF(Q221="xx",RANDBETWEEN(2,3),0))</f>
        <v>0</v>
      </c>
      <c r="R222" s="29">
        <f ca="1">IF(R221="x",RANDBETWEEN(1,2),IF(R221="xx",RANDBETWEEN(1,2),0))</f>
        <v>0</v>
      </c>
      <c r="S222" s="29">
        <f ca="1">IF(OR(S221="x",S221="xx"),RANDBETWEEN(1,2),0)</f>
        <v>0</v>
      </c>
      <c r="T222" s="72">
        <f ca="1">IF(T221="xx",RANDBETWEEN(1,2),0)</f>
        <v>0</v>
      </c>
    </row>
    <row r="223" spans="14:20" hidden="1" x14ac:dyDescent="0.3">
      <c r="N223" s="72"/>
      <c r="O223" s="79"/>
      <c r="P223" s="29" t="str">
        <f ca="1">IF(AND(O11="cleric",O12&gt;=11),"x",IF(AND($O$11="cleric",$O$12&gt;=9),"xx"," "))</f>
        <v xml:space="preserve"> </v>
      </c>
      <c r="Q223" s="29" t="str">
        <f ca="1">IF(AND(O11="cleric",O12&gt;=13),"x",IF(AND($O$11="cleric",$O$12&gt;=11),"xx"," "))</f>
        <v xml:space="preserve"> </v>
      </c>
      <c r="R223" s="29" t="str">
        <f ca="1">IF(AND(O11="cleric",O12&gt;=15),"x",IF(AND($O$11="cleric",$O$12&gt;=13),"xx"," "))</f>
        <v xml:space="preserve"> </v>
      </c>
      <c r="S223" s="29" t="str">
        <f ca="1">IF(AND(O11="cleric",O12&gt;=17),"x",IF(AND($O$11="cleric",$O$12&gt;15),"xx"," "))</f>
        <v xml:space="preserve"> </v>
      </c>
      <c r="T223" s="72" t="str">
        <f ca="1">IF(AND($O$11="cleric",$O$12&gt;=17),"xx"," ")</f>
        <v xml:space="preserve"> </v>
      </c>
    </row>
    <row r="224" spans="14:20" hidden="1" x14ac:dyDescent="0.3">
      <c r="N224" s="72"/>
      <c r="O224" s="79"/>
      <c r="P224" s="29">
        <f ca="1">IF(P223="x",RANDBETWEEN(2,3),IF(P223="xx",RANDBETWEEN(2,3),0))</f>
        <v>0</v>
      </c>
      <c r="Q224" s="29">
        <f ca="1">IF(Q223="x",RANDBETWEEN(2,3),IF(Q223="xx",RANDBETWEEN(2,3),0))</f>
        <v>0</v>
      </c>
      <c r="R224" s="29">
        <f ca="1">IF(R223="x",RANDBETWEEN(1,2),IF(R223="xx",RANDBETWEEN(1,2),0))</f>
        <v>0</v>
      </c>
      <c r="S224" s="29">
        <f ca="1">IF(OR(S223="x",S223="xx"),RANDBETWEEN(1,2),0)</f>
        <v>0</v>
      </c>
      <c r="T224" s="72">
        <f ca="1">IF(T223="xx",RANDBETWEEN(1,2),0)</f>
        <v>0</v>
      </c>
    </row>
    <row r="225" spans="2:20" hidden="1" x14ac:dyDescent="0.3">
      <c r="N225" s="72"/>
      <c r="O225" s="79"/>
      <c r="P225" s="29" t="str">
        <f ca="1">IF(AND($O$11="bard",$O$12&gt;=11),"x",IF(AND($O$11="bard",$O$12&gt;=9),"xx"," "))</f>
        <v xml:space="preserve"> </v>
      </c>
      <c r="Q225" s="29" t="str">
        <f ca="1">IF(AND($O$11="bard",$O$12&gt;=13),"x",IF(AND($O$11="bard",$O$12&gt;=11),"xx"," "))</f>
        <v xml:space="preserve"> </v>
      </c>
      <c r="R225" s="29" t="str">
        <f ca="1">IF(AND($O$11="bard",$O$12&gt;=15),"x",IF(AND($O$11="bard",$O$12&gt;=13),"xx"," "))</f>
        <v xml:space="preserve"> </v>
      </c>
      <c r="S225" s="29" t="str">
        <f ca="1">IF(AND($O$11="bard",$O$12&gt;=17),"x",IF(AND($O$11="bard",$O$12&gt;15),"xx"," "))</f>
        <v xml:space="preserve"> </v>
      </c>
      <c r="T225" s="72" t="str">
        <f ca="1">IF(AND($O$11="bard",$O$12&gt;=17),"xx"," ")</f>
        <v xml:space="preserve"> </v>
      </c>
    </row>
    <row r="226" spans="2:20" hidden="1" x14ac:dyDescent="0.3">
      <c r="N226" s="72"/>
      <c r="O226" s="79"/>
      <c r="P226" s="29">
        <f ca="1">IF(P225="x",RANDBETWEEN(2,3),IF(P225="xx",RANDBETWEEN(2,3),0))</f>
        <v>0</v>
      </c>
      <c r="Q226" s="29">
        <f ca="1">IF(Q225="x",RANDBETWEEN(2,3),IF(Q225="xx",RANDBETWEEN(2,3),0))</f>
        <v>0</v>
      </c>
      <c r="R226" s="29">
        <f ca="1">IF(R225="x",RANDBETWEEN(1,2),IF(R225="xx",RANDBETWEEN(1,2),0))</f>
        <v>0</v>
      </c>
      <c r="S226" s="29">
        <f ca="1">IF(OR(S225="x",S225="xx"),RANDBETWEEN(1,2),0)</f>
        <v>0</v>
      </c>
      <c r="T226" s="72">
        <f ca="1">IF(T225="xx",RANDBETWEEN(1,2),0)</f>
        <v>0</v>
      </c>
    </row>
    <row r="227" spans="2:20" x14ac:dyDescent="0.3">
      <c r="N227" s="72"/>
      <c r="O227" s="79"/>
      <c r="P227" s="107" t="s">
        <v>1169</v>
      </c>
      <c r="Q227" s="107" t="s">
        <v>1170</v>
      </c>
      <c r="R227" s="107" t="s">
        <v>1171</v>
      </c>
      <c r="S227" s="107" t="s">
        <v>677</v>
      </c>
      <c r="T227" s="93" t="s">
        <v>1172</v>
      </c>
    </row>
    <row r="228" spans="2:20" x14ac:dyDescent="0.3">
      <c r="N228" s="72"/>
      <c r="O228" s="86">
        <v>1</v>
      </c>
      <c r="P228" s="65" t="str">
        <f ca="1">IF(AND($O$15="Otherworldly patron - great old one",P$210&gt;=O193),INDEX('Spell Tables'!$AJ$226:$AJ$231,MATCH(O193,('Spell Tables'!$AH$226:$AH$231),0)),IF(AND($O$15="Otherworldly patron - fiend",P$210&gt;=O193),INDEX('Spell Tables'!$AJ$210:$AJ$215,MATCH(O193,('Spell Tables'!$AH$210:$AH$215),0)),IF(AND($O$15="Otherworldly patron - archfey",P$210&gt;=O193),INDEX('Spell Tables'!$AJ$194:$AJ$199,MATCH(O193,('Spell Tables'!$AH$194:$AH$199),0)),IF($P$208&gt;=O193,INDEX($AL$92:$AL$101,MATCH(O193,($AJ$92:$AJ$101),0)),IF($P$212&gt;=O193,INDEX('Spell Tables'!$AJ$168:$AJ$178,MATCH(O193,('Spell Tables'!$AH$168:$AH$178),0)),IF($P$216&gt;=O193,INDEX('Spell Tables'!$AF$119:$AF$122,MATCH(O193,('Spell Tables'!$AD$119:$AD$122),0)),IF($P$218&gt;=O193,INDEX('Spell Tables'!$AF$97:$AF$102,MATCH(O193,('Spell Tables'!$AD$97:$AD$102),0)),IF($P$222&gt;=O193,INDEX('Spell Tables'!$AJ$48:$AJ$61,MATCH(O193,('Spell Tables'!$AH$48:$AH$61),0)),IF($P$224&gt;=O193,INDEX('Spell Tables'!$AJ$26:$AJ$38,MATCH(O193,('Spell Tables'!$AH$26:$AH$38),0)),IF($P$226&gt;=O193,INDEX('Spell Tables'!$AJ$2:$AJ$17,MATCH(O193,('Spell Tables'!$AH$2:$AH$17),0))," "))))))))))</f>
        <v xml:space="preserve"> </v>
      </c>
      <c r="Q228" s="65" t="str">
        <f ca="1">IF($Q$208&gt;=O193,INDEX($AL$104:$AL$113,MATCH(O193,($AJ$104:$AJ$113),0)),IF($Q$212&gt;=O193,INDEX('Spell Tables'!$AN$168:$AN$177,MATCH(O193,('Spell Tables'!$AL$168:$AL$177),0)),IF($Q$222&gt;=O193,INDEX('Spell Tables'!$AN$48:$AN$56,MATCH(O193,('Spell Tables'!$AL$48:$AL$56),0)),IF($Q$224&gt;=O193,INDEX('Spell Tables'!$AN$26:$AN$35,MATCH(O193,('Spell Tables'!$AL$26:$AL$35),0)),IF($Q$226&gt;=O193,INDEX('Spell Tables'!$AN$2:$AN$8,MATCH(O193,('Spell Tables'!$AL$2:$AL$8),0))," ")))))</f>
        <v xml:space="preserve"> </v>
      </c>
      <c r="R228" s="65" t="str">
        <f ca="1">IF($R$208&gt;=O193,INDEX($AL$116:$AL$125,MATCH(O193,($AJ$116:$AJ$125),0)),IF($R$212&gt;=O193,INDEX('Spell Tables'!$AR$168:$AR$175,MATCH(O193,('Spell Tables'!$AP$168:$AP$175),0)),IF($R$222&gt;=O193,INDEX('Spell Tables'!$AR$48:$AR$52,MATCH(O193,('Spell Tables'!$AP$48:$AP$52),0)),IF($R$224&gt;=O193,INDEX('Spell Tables'!$AR$26:$AR$33,MATCH(O193,('Spell Tables'!$AP$26:$AP$33),0)),IF($R$226&gt;=O193,INDEX('Spell Tables'!$AR$2:$AR$11,MATCH(O193,('Spell Tables'!$AL$2:$AL$11),0))," ")))))</f>
        <v xml:space="preserve"> </v>
      </c>
      <c r="S228" s="65" t="str">
        <f ca="1">IF($S$208&gt;=O193,INDEX($AL$128:$AL$137,MATCH(O193,($AJ$128:$AJ$137),0)),IF($S$212&gt;=O193,INDEX('Spell Tables'!$AV$168:$AV$172,MATCH(O193,('Spell Tables'!$AT$168:$AT$172),0)),IF($S$222&gt;=O193,INDEX('Spell Tables'!$AV$48:$AV$54,MATCH(O193,('Spell Tables'!$AT$48:$AT$54),0)),IF($S$224&gt;=O193,INDEX('Spell Tables'!$AV$26:$AV$29,MATCH(O193,('Spell Tables'!$AT$26:$AT$29),0)),IF($S$226&gt;=O193,INDEX('Spell Tables'!$AV$2:$AV$6,MATCH(O193,('Spell Tables'!$AT$2:$AT$6),0))," ")))))</f>
        <v xml:space="preserve"> </v>
      </c>
      <c r="T228" s="66" t="str">
        <f ca="1">IF($T$222&gt;=O193,INDEX('Spell Tables'!$AZ$48:$AZ$51,MATCH(O193,('Spell Tables'!$AX$48:$AX$51),0)),IF($T$208&gt;=O193,INDEX($AL$140:$AL$149,MATCH(O193,($AJ$140:$AJ$149),0)),IF($T$212&gt;=O193,INDEX('Spell Tables'!$AZ$168:$AZ$172,MATCH(O193,('Spell Tables'!$AX$168:$AX$172),0)),IF($T$224&gt;=O193,INDEX('Spell Tables'!$AZ$26:$AZ$29,MATCH(O193,('Spell Tables'!$AX$26:$AX$29),0)),IF($T$226&gt;=O193,INDEX('Spell Tables'!$AZ$2:$AZ$5,MATCH(O193,('Spell Tables'!$AX$2:$AX$5),0))," ")))))</f>
        <v xml:space="preserve"> </v>
      </c>
    </row>
    <row r="229" spans="2:20" x14ac:dyDescent="0.3">
      <c r="N229" s="72"/>
      <c r="O229" s="133">
        <v>2</v>
      </c>
      <c r="P229" s="60" t="str">
        <f ca="1">IF(AND($O$15="Otherworldly patron - great old one",P$210&gt;=O194),INDEX('Spell Tables'!$AJ$226:$AJ$231,MATCH(O194,('Spell Tables'!$AH$226:$AH$231),0)),IF(AND($O$15="Otherworldly patron - fiend",P$210&gt;=O194),INDEX('Spell Tables'!$AJ$210:$AJ$215,MATCH(O194,('Spell Tables'!$AH$210:$AH$215),0)),IF(AND($O$15="Otherworldly patron - archfey",P$210&gt;=O194),INDEX('Spell Tables'!$AJ$194:$AJ$199,MATCH(O194,('Spell Tables'!$AH$194:$AH$199),0)),IF($P$208&gt;=O194,INDEX($AL$92:$AL$101,MATCH(O194,($AJ$92:$AJ$101),0)),IF($P$212&gt;=O194,INDEX('Spell Tables'!$AJ$168:$AJ$178,MATCH(O194,('Spell Tables'!$AH$168:$AH$178),0)),IF($P$216&gt;=O194,INDEX('Spell Tables'!$AF$119:$AF$122,MATCH(O194,('Spell Tables'!$AD$119:$AD$122),0)),IF($P$218&gt;=O194,INDEX('Spell Tables'!$AF$97:$AF$102,MATCH(O194,('Spell Tables'!$AD$97:$AD$102),0)),IF($P$222&gt;=O194,INDEX('Spell Tables'!$AJ$48:$AJ$61,MATCH(O194,('Spell Tables'!$AH$48:$AH$61),0)),IF($P$224&gt;=O194,INDEX('Spell Tables'!$AJ$26:$AJ$38,MATCH(O194,('Spell Tables'!$AH$26:$AH$38),0)),IF($P$226&gt;=O194,INDEX('Spell Tables'!$AJ$2:$AJ$17,MATCH(O194,('Spell Tables'!$AH$2:$AH$17),0))," "))))))))))</f>
        <v xml:space="preserve"> </v>
      </c>
      <c r="Q229" s="60" t="str">
        <f ca="1">IF($Q$208&gt;=O194,INDEX($AL$104:$AL$113,MATCH(O194,($AJ$104:$AJ$113),0)),IF($Q$212&gt;=O194,INDEX('Spell Tables'!$AN$168:$AN$177,MATCH(O194,('Spell Tables'!$AL$168:$AL$177),0)),IF($Q$222&gt;=O194,INDEX('Spell Tables'!$AN$48:$AN$56,MATCH(O194,('Spell Tables'!$AL$48:$AL$56),0)),IF($Q$224&gt;=O194,INDEX('Spell Tables'!$AN$26:$AN$35,MATCH(O194,('Spell Tables'!$AL$26:$AL$35),0)),IF($Q$226&gt;=O194,INDEX('Spell Tables'!$AN$2:$AN$8,MATCH(O194,('Spell Tables'!$AL$2:$AL$8),0))," ")))))</f>
        <v xml:space="preserve"> </v>
      </c>
      <c r="R229" s="60" t="str">
        <f ca="1">IF($R$208&gt;=O194,INDEX($AL$116:$AL$125,MATCH(O194,($AJ$116:$AJ$125),0)),IF($R$212&gt;=O194,INDEX('Spell Tables'!$AR$168:$AR$175,MATCH(O194,('Spell Tables'!$AP$168:$AP$175),0)),IF($R$222&gt;=O194,INDEX('Spell Tables'!$AR$48:$AR$52,MATCH(O194,('Spell Tables'!$AP$48:$AP$52),0)),IF($R$224&gt;=O194,INDEX('Spell Tables'!$AR$26:$AR$33,MATCH(O194,('Spell Tables'!$AP$26:$AP$33),0)),IF($R$226&gt;=O194,INDEX('Spell Tables'!$AR$2:$AR$11,MATCH(O194,('Spell Tables'!$AL$2:$AL$11),0))," ")))))</f>
        <v xml:space="preserve"> </v>
      </c>
      <c r="S229" s="60" t="str">
        <f ca="1">IF($S$208&gt;=O194,INDEX($AL$128:$AL$137,MATCH(O194,($AJ$128:$AJ$137),0)),IF($S$212&gt;=O194,INDEX('Spell Tables'!$AV$168:$AV$172,MATCH(O194,('Spell Tables'!$AT$168:$AT$172),0)),IF($S$222&gt;=O194,INDEX('Spell Tables'!$AV$48:$AV$54,MATCH(O194,('Spell Tables'!$AT$48:$AT$54),0)),IF($S$224&gt;=O194,INDEX('Spell Tables'!$AV$26:$AV$29,MATCH(O194,('Spell Tables'!$AT$26:$AT$29),0)),IF($S$226&gt;=O194,INDEX('Spell Tables'!$AV$2:$AV$6,MATCH(O194,('Spell Tables'!$AT$2:$AT$6),0))," ")))))</f>
        <v xml:space="preserve"> </v>
      </c>
      <c r="T229" s="63" t="str">
        <f ca="1">IF($T$222&gt;=O194,INDEX('Spell Tables'!$AZ$48:$AZ$51,MATCH(O194,('Spell Tables'!$AX$48:$AX$51),0)),IF($T$208&gt;=O194,INDEX($AL$140:$AL$149,MATCH(O194,($AJ$140:$AJ$149),0)),IF($T$212&gt;=O194,INDEX('Spell Tables'!$AZ$168:$AZ$172,MATCH(O194,('Spell Tables'!$AX$168:$AX$172),0)),IF($T$224&gt;=O194,INDEX('Spell Tables'!$AZ$26:$AZ$29,MATCH(O194,('Spell Tables'!$AX$26:$AX$29),0)),IF($T$226&gt;=O194,INDEX('Spell Tables'!$AZ$2:$AZ$5,MATCH(O194,('Spell Tables'!$AX$2:$AX$5),0))," ")))))</f>
        <v xml:space="preserve"> </v>
      </c>
    </row>
    <row r="230" spans="2:20" x14ac:dyDescent="0.3">
      <c r="N230" s="72"/>
      <c r="O230" s="86">
        <v>3</v>
      </c>
      <c r="P230" s="65" t="str">
        <f ca="1">IF(AND($O$15="Otherworldly patron - great old one",P$210&gt;=O195),INDEX('Spell Tables'!$AJ$226:$AJ$231,MATCH(O195,('Spell Tables'!$AH$226:$AH$231),0)),IF(AND($O$15="Otherworldly patron - fiend",P$210&gt;=O195),INDEX('Spell Tables'!$AJ$210:$AJ$215,MATCH(O195,('Spell Tables'!$AH$210:$AH$215),0)),IF(AND($O$15="Otherworldly patron - archfey",P$210&gt;=O195),INDEX('Spell Tables'!$AJ$194:$AJ$199,MATCH(O195,('Spell Tables'!$AH$194:$AH$199),0)),IF($P$208&gt;=O195,INDEX($AL$92:$AL$101,MATCH(O195,($AJ$92:$AJ$101),0)),IF($P$212&gt;=O195,INDEX('Spell Tables'!$AJ$168:$AJ$178,MATCH(O195,('Spell Tables'!$AH$168:$AH$178),0)),IF($P$216&gt;=O195,INDEX('Spell Tables'!$AF$119:$AF$122,MATCH(O195,('Spell Tables'!$AD$119:$AD$122),0)),IF($P$218&gt;=O195,INDEX('Spell Tables'!$AF$97:$AF$102,MATCH(O195,('Spell Tables'!$AD$97:$AD$102),0)),IF($P$222&gt;=O195,INDEX('Spell Tables'!$AJ$48:$AJ$61,MATCH(O195,('Spell Tables'!$AH$48:$AH$61),0)),IF($P$224&gt;=O195,INDEX('Spell Tables'!$AJ$26:$AJ$38,MATCH(O195,('Spell Tables'!$AH$26:$AH$38),0)),IF($P$226&gt;=O195,INDEX('Spell Tables'!$AJ$2:$AJ$17,MATCH(O195,('Spell Tables'!$AH$2:$AH$17),0))," "))))))))))</f>
        <v xml:space="preserve"> </v>
      </c>
      <c r="Q230" s="65" t="str">
        <f ca="1">IF($Q$208&gt;=O195,INDEX($AL$104:$AL$113,MATCH(O195,($AJ$104:$AJ$113),0)),IF($Q$212&gt;=O195,INDEX('Spell Tables'!$AN$168:$AN$177,MATCH(O195,('Spell Tables'!$AL$168:$AL$177),0)),IF($Q$222&gt;=O195,INDEX('Spell Tables'!$AN$48:$AN$56,MATCH(O195,('Spell Tables'!$AL$48:$AL$56),0)),IF($Q$224&gt;=O195,INDEX('Spell Tables'!$AN$26:$AN$35,MATCH(O195,('Spell Tables'!$AL$26:$AL$35),0)),IF($Q$226&gt;=O195,INDEX('Spell Tables'!$AN$2:$AN$8,MATCH(O195,('Spell Tables'!$AL$2:$AL$8),0))," ")))))</f>
        <v xml:space="preserve"> </v>
      </c>
      <c r="R230" s="65" t="str">
        <f ca="1">IF($R$208&gt;=O195,INDEX($AL$116:$AL$125,MATCH(O195,($AJ$116:$AJ$125),0)),IF($R$212&gt;=O195,INDEX('Spell Tables'!$AR$168:$AR$175,MATCH(O195,('Spell Tables'!$AP$168:$AP$175),0)),IF($R$222&gt;=O195,INDEX('Spell Tables'!$AR$48:$AR$52,MATCH(O195,('Spell Tables'!$AP$48:$AP$52),0)),IF($R$224&gt;=O195,INDEX('Spell Tables'!$AR$26:$AR$33,MATCH(O195,('Spell Tables'!$AP$26:$AP$33),0)),IF($R$226&gt;=O195,INDEX('Spell Tables'!$AR$2:$AR$11,MATCH(O195,('Spell Tables'!$AL$2:$AL$11),0))," ")))))</f>
        <v xml:space="preserve"> </v>
      </c>
      <c r="S230" s="65" t="str">
        <f ca="1">IF($S$208&gt;=O195,INDEX($AL$128:$AL$137,MATCH(O195,($AJ$128:$AJ$137),0)),IF($S$212&gt;=O195,INDEX('Spell Tables'!$AV$168:$AV$172,MATCH(O195,('Spell Tables'!$AT$168:$AT$172),0)),IF($S$222&gt;=O195,INDEX('Spell Tables'!$AV$48:$AV$54,MATCH(O195,('Spell Tables'!$AT$48:$AT$54),0)),IF($S$224&gt;=O195,INDEX('Spell Tables'!$AV$26:$AV$29,MATCH(O195,('Spell Tables'!$AT$26:$AT$29),0)),IF($S$226&gt;=O195,INDEX('Spell Tables'!$AV$2:$AV$6,MATCH(O195,('Spell Tables'!$AT$2:$AT$6),0))," ")))))</f>
        <v xml:space="preserve"> </v>
      </c>
      <c r="T230" s="66" t="str">
        <f ca="1">IF($T$222&gt;=O195,INDEX('Spell Tables'!$AZ$48:$AZ$51,MATCH(O195,('Spell Tables'!$AX$48:$AX$51),0)),IF($T$208&gt;=O195,INDEX($AL$140:$AL$149,MATCH(O195,($AJ$140:$AJ$149),0)),IF($T$212&gt;=O195,INDEX('Spell Tables'!$AZ$168:$AZ$172,MATCH(O195,('Spell Tables'!$AX$168:$AX$172),0)),IF($T$224&gt;=O195,INDEX('Spell Tables'!$AZ$26:$AZ$29,MATCH(O195,('Spell Tables'!$AX$26:$AX$29),0)),IF($T$226&gt;=O195,INDEX('Spell Tables'!$AZ$2:$AZ$5,MATCH(O195,('Spell Tables'!$AX$2:$AX$5),0))," ")))))</f>
        <v xml:space="preserve"> </v>
      </c>
    </row>
    <row r="231" spans="2:20" x14ac:dyDescent="0.3">
      <c r="N231" s="72"/>
      <c r="O231" s="133">
        <v>4</v>
      </c>
      <c r="P231" s="60" t="str">
        <f ca="1">IF(AND($O$15="Otherworldly patron - great old one",P$210&gt;=O196),INDEX('Spell Tables'!$AJ$226:$AJ$231,MATCH(O196,('Spell Tables'!$AH$226:$AH$231),0)),IF(AND($O$15="Otherworldly patron - fiend",P$210&gt;=O196),INDEX('Spell Tables'!$AJ$210:$AJ$215,MATCH(O196,('Spell Tables'!$AH$210:$AH$215),0)),IF(AND($O$15="Otherworldly patron - archfey",P$210&gt;=O196),INDEX('Spell Tables'!$AJ$194:$AJ$199,MATCH(O196,('Spell Tables'!$AH$194:$AH$199),0)),IF($P$208&gt;=O196,INDEX($AL$92:$AL$101,MATCH(O196,($AJ$92:$AJ$101),0)),IF($P$212&gt;=O196,INDEX('Spell Tables'!$AJ$168:$AJ$178,MATCH(O196,('Spell Tables'!$AH$168:$AH$178),0)),IF($P$216&gt;=O196,INDEX('Spell Tables'!$AF$119:$AF$122,MATCH(O196,('Spell Tables'!$AD$119:$AD$122),0)),IF($P$218&gt;=O196,INDEX('Spell Tables'!$AF$97:$AF$102,MATCH(O196,('Spell Tables'!$AD$97:$AD$102),0)),IF($P$222&gt;=O196,INDEX('Spell Tables'!$AJ$48:$AJ$61,MATCH(O196,('Spell Tables'!$AH$48:$AH$61),0)),IF($P$224&gt;=O196,INDEX('Spell Tables'!$AJ$26:$AJ$38,MATCH(O196,('Spell Tables'!$AH$26:$AH$38),0)),IF($P$226&gt;=O196,INDEX('Spell Tables'!$AJ$2:$AJ$17,MATCH(O196,('Spell Tables'!$AH$2:$AH$17),0))," "))))))))))</f>
        <v xml:space="preserve"> </v>
      </c>
      <c r="Q231" s="60" t="str">
        <f ca="1">IF($Q$208&gt;=O196,INDEX($AL$104:$AL$113,MATCH(O196,($AJ$104:$AJ$113),0)),IF($Q$212&gt;=O196,INDEX('Spell Tables'!$AN$168:$AN$177,MATCH(O196,('Spell Tables'!$AL$168:$AL$177),0)),IF($Q$222&gt;=O196,INDEX('Spell Tables'!$AN$48:$AN$56,MATCH(O196,('Spell Tables'!$AL$48:$AL$56),0)),IF($Q$224&gt;=O196,INDEX('Spell Tables'!$AN$26:$AN$35,MATCH(O196,('Spell Tables'!$AL$26:$AL$35),0)),IF($Q$226&gt;=O196,INDEX('Spell Tables'!$AN$2:$AN$8,MATCH(O196,('Spell Tables'!$AL$2:$AL$8),0))," ")))))</f>
        <v xml:space="preserve"> </v>
      </c>
      <c r="R231" s="60" t="str">
        <f ca="1">IF($R$208&gt;=O196,INDEX($AL$116:$AL$125,MATCH(O196,($AJ$116:$AJ$125),0)),IF($R$212&gt;=O196,INDEX('Spell Tables'!$AR$168:$AR$175,MATCH(O196,('Spell Tables'!$AP$168:$AP$175),0)),IF($R$222&gt;=O196,INDEX('Spell Tables'!$AR$48:$AR$52,MATCH(O196,('Spell Tables'!$AP$48:$AP$52),0)),IF($R$224&gt;=O196,INDEX('Spell Tables'!$AR$26:$AR$33,MATCH(O196,('Spell Tables'!$AP$26:$AP$33),0)),IF($R$226&gt;=O196,INDEX('Spell Tables'!$AR$2:$AR$11,MATCH(O196,('Spell Tables'!$AL$2:$AL$11),0))," ")))))</f>
        <v xml:space="preserve"> </v>
      </c>
      <c r="S231" s="60" t="str">
        <f ca="1">IF($S$208&gt;=O196,INDEX($AL$128:$AL$137,MATCH(O196,($AJ$128:$AJ$137),0)),IF($S$212&gt;=O196,INDEX('Spell Tables'!$AV$168:$AV$172,MATCH(O196,('Spell Tables'!$AT$168:$AT$172),0)),IF($S$222&gt;=O196,INDEX('Spell Tables'!$AV$48:$AV$54,MATCH(O196,('Spell Tables'!$AT$48:$AT$54),0)),IF($S$224&gt;=O196,INDEX('Spell Tables'!$AV$26:$AV$29,MATCH(O196,('Spell Tables'!$AT$26:$AT$29),0)),IF($S$226&gt;=O196,INDEX('Spell Tables'!$AV$2:$AV$6,MATCH(O196,('Spell Tables'!$AT$2:$AT$6),0))," ")))))</f>
        <v xml:space="preserve"> </v>
      </c>
      <c r="T231" s="63" t="str">
        <f ca="1">IF($T$222&gt;=O196,INDEX('Spell Tables'!$AZ$48:$AZ$51,MATCH(O196,('Spell Tables'!$AX$48:$AX$51),0)),IF($T$208&gt;=O196,INDEX($AL$140:$AL$149,MATCH(O196,($AJ$140:$AJ$149),0)),IF($T$212&gt;=O196,INDEX('Spell Tables'!$AZ$168:$AZ$172,MATCH(O196,('Spell Tables'!$AX$168:$AX$172),0)),IF($T$224&gt;=O196,INDEX('Spell Tables'!$AZ$26:$AZ$29,MATCH(O196,('Spell Tables'!$AX$26:$AX$29),0)),IF($T$226&gt;=O196,INDEX('Spell Tables'!$AZ$2:$AZ$5,MATCH(O196,('Spell Tables'!$AX$2:$AX$5),0))," ")))))</f>
        <v xml:space="preserve"> </v>
      </c>
    </row>
    <row r="232" spans="2:20" x14ac:dyDescent="0.3">
      <c r="N232" s="72"/>
      <c r="O232" s="86">
        <v>5</v>
      </c>
      <c r="P232" s="65" t="str">
        <f ca="1">IF(AND($O$15="Otherworldly patron - great old one",P$210&gt;=O197),INDEX('Spell Tables'!$AJ$226:$AJ$231,MATCH(O197,('Spell Tables'!$AH$226:$AH$231),0)),IF(AND($O$15="Otherworldly patron - fiend",P$210&gt;=O197),INDEX('Spell Tables'!$AJ$210:$AJ$215,MATCH(O197,('Spell Tables'!$AH$210:$AH$215),0)),IF(AND($O$15="Otherworldly patron - archfey",P$210&gt;=O197),INDEX('Spell Tables'!$AJ$194:$AJ$199,MATCH(O197,('Spell Tables'!$AH$194:$AH$199),0)),IF($P$208&gt;=O197,INDEX($AL$92:$AL$101,MATCH(O197,($AJ$92:$AJ$101),0)),IF($P$212&gt;=O197,INDEX('Spell Tables'!$AJ$168:$AJ$178,MATCH(O197,('Spell Tables'!$AH$168:$AH$178),0)),IF($P$216&gt;=O197,INDEX('Spell Tables'!$AF$119:$AF$122,MATCH(O197,('Spell Tables'!$AD$119:$AD$122),0)),IF($P$218&gt;=O197,INDEX('Spell Tables'!$AF$97:$AF$102,MATCH(O197,('Spell Tables'!$AD$97:$AD$102),0)),IF($P$222&gt;=O197,INDEX('Spell Tables'!$AJ$48:$AJ$61,MATCH(O197,('Spell Tables'!$AH$48:$AH$61),0)),IF($P$224&gt;=O197,INDEX('Spell Tables'!$AJ$26:$AJ$38,MATCH(O197,('Spell Tables'!$AH$26:$AH$38),0)),IF($P$226&gt;=O197,INDEX('Spell Tables'!$AJ$2:$AJ$17,MATCH(O197,('Spell Tables'!$AH$2:$AH$17),0))," "))))))))))</f>
        <v xml:space="preserve"> </v>
      </c>
      <c r="Q232" s="65" t="str">
        <f ca="1">IF($Q$208&gt;=O197,INDEX($AL$104:$AL$113,MATCH(O197,($AJ$104:$AJ$113),0)),IF($Q$212&gt;=O197,INDEX('Spell Tables'!$AN$168:$AN$177,MATCH(O197,('Spell Tables'!$AL$168:$AL$177),0)),IF($Q$222&gt;=O197,INDEX('Spell Tables'!$AN$48:$AN$56,MATCH(O197,('Spell Tables'!$AL$48:$AL$56),0)),IF($Q$224&gt;=O197,INDEX('Spell Tables'!$AN$26:$AN$35,MATCH(O197,('Spell Tables'!$AL$26:$AL$35),0)),IF($Q$226&gt;=O197,INDEX('Spell Tables'!$AN$2:$AN$8,MATCH(O197,('Spell Tables'!$AL$2:$AL$8),0))," ")))))</f>
        <v xml:space="preserve"> </v>
      </c>
      <c r="R232" s="65" t="str">
        <f ca="1">IF($R$208&gt;=O197,INDEX($AL$116:$AL$125,MATCH(O197,($AJ$116:$AJ$125),0)),IF($R$212&gt;=O197,INDEX('Spell Tables'!$AR$168:$AR$175,MATCH(O197,('Spell Tables'!$AP$168:$AP$175),0)),IF($R$222&gt;=O197,INDEX('Spell Tables'!$AR$48:$AR$52,MATCH(O197,('Spell Tables'!$AP$48:$AP$52),0)),IF($R$224&gt;=O197,INDEX('Spell Tables'!$AR$26:$AR$33,MATCH(O197,('Spell Tables'!$AP$26:$AP$33),0)),IF($R$226&gt;=O197,INDEX('Spell Tables'!$AR$2:$AR$11,MATCH(O197,('Spell Tables'!$AL$2:$AL$11),0))," ")))))</f>
        <v xml:space="preserve"> </v>
      </c>
      <c r="S232" s="65" t="str">
        <f ca="1">IF($S$208&gt;=O197,INDEX($AL$128:$AL$137,MATCH(O197,($AJ$128:$AJ$137),0)),IF($S$212&gt;=O197,INDEX('Spell Tables'!$AV$168:$AV$172,MATCH(O197,('Spell Tables'!$AT$168:$AT$172),0)),IF($S$222&gt;=O197,INDEX('Spell Tables'!$AV$48:$AV$54,MATCH(O197,('Spell Tables'!$AT$48:$AT$54),0)),IF($S$224&gt;=O197,INDEX('Spell Tables'!$AV$26:$AV$29,MATCH(O197,('Spell Tables'!$AT$26:$AT$29),0)),IF($S$226&gt;=O197,INDEX('Spell Tables'!$AV$2:$AV$6,MATCH(O197,('Spell Tables'!$AT$2:$AT$6),0))," ")))))</f>
        <v xml:space="preserve"> </v>
      </c>
      <c r="T232" s="66" t="str">
        <f ca="1">IF($T$222&gt;=O197,INDEX('Spell Tables'!$AZ$48:$AZ$51,MATCH(O197,('Spell Tables'!$AX$48:$AX$51),0)),IF($T$208&gt;=O197,INDEX($AL$140:$AL$149,MATCH(O197,($AJ$140:$AJ$149),0)),IF($T$212&gt;=O197,INDEX('Spell Tables'!$AZ$168:$AZ$172,MATCH(O197,('Spell Tables'!$AX$168:$AX$172),0)),IF($T$224&gt;=O197,INDEX('Spell Tables'!$AZ$26:$AZ$29,MATCH(O197,('Spell Tables'!$AX$26:$AX$29),0)),IF($T$226&gt;=O197,INDEX('Spell Tables'!$AZ$2:$AZ$5,MATCH(O197,('Spell Tables'!$AX$2:$AX$5),0))," ")))))</f>
        <v xml:space="preserve"> </v>
      </c>
    </row>
    <row r="233" spans="2:20" x14ac:dyDescent="0.3">
      <c r="N233" s="72"/>
      <c r="O233" s="133">
        <v>6</v>
      </c>
      <c r="P233" s="60" t="str">
        <f ca="1">IF(AND($O$15="Otherworldly patron - great old one",P$210&gt;=O198),INDEX('Spell Tables'!$AJ$226:$AJ$231,MATCH(O198,('Spell Tables'!$AH$226:$AH$231),0)),IF(AND($O$15="Otherworldly patron - fiend",P$210&gt;=O198),INDEX('Spell Tables'!$AJ$210:$AJ$215,MATCH(O198,('Spell Tables'!$AH$210:$AH$215),0)),IF(AND($O$15="Otherworldly patron - archfey",P$210&gt;=O198),INDEX('Spell Tables'!$AJ$194:$AJ$199,MATCH(O198,('Spell Tables'!$AH$194:$AH$199),0)),IF($P$208&gt;=O198,INDEX($AL$92:$AL$101,MATCH(O198,($AJ$92:$AJ$101),0)),IF($P$212&gt;=O198,INDEX('Spell Tables'!$AJ$168:$AJ$178,MATCH(O198,('Spell Tables'!$AH$168:$AH$178),0)),IF($P$216&gt;=O198,INDEX('Spell Tables'!$AF$119:$AF$122,MATCH(O198,('Spell Tables'!$AD$119:$AD$122),0)),IF($P$218&gt;=O198,INDEX('Spell Tables'!$AF$97:$AF$102,MATCH(O198,('Spell Tables'!$AD$97:$AD$102),0)),IF($P$222&gt;=O198,INDEX('Spell Tables'!$AJ$48:$AJ$61,MATCH(O198,('Spell Tables'!$AH$48:$AH$61),0)),IF($P$224&gt;=O198,INDEX('Spell Tables'!$AJ$26:$AJ$38,MATCH(O198,('Spell Tables'!$AH$26:$AH$38),0)),IF($P$226&gt;=O198,INDEX('Spell Tables'!$AJ$2:$AJ$17,MATCH(O198,('Spell Tables'!$AH$2:$AH$17),0))," "))))))))))</f>
        <v xml:space="preserve"> </v>
      </c>
      <c r="Q233" s="60" t="str">
        <f ca="1">IF($Q$208&gt;=O198,INDEX($AL$104:$AL$113,MATCH(O198,($AJ$104:$AJ$113),0)),IF($Q$212&gt;=O198,INDEX('Spell Tables'!$AN$168:$AN$177,MATCH(O198,('Spell Tables'!$AL$168:$AL$177),0)),IF($Q$222&gt;=O198,INDEX('Spell Tables'!$AN$48:$AN$56,MATCH(O198,('Spell Tables'!$AL$48:$AL$56),0)),IF($Q$224&gt;=O198,INDEX('Spell Tables'!$AN$26:$AN$35,MATCH(O198,('Spell Tables'!$AL$26:$AL$35),0)),IF($Q$226&gt;=O198,INDEX('Spell Tables'!$AN$2:$AN$8,MATCH(O198,('Spell Tables'!$AL$2:$AL$8),0))," ")))))</f>
        <v xml:space="preserve"> </v>
      </c>
      <c r="R233" s="60" t="str">
        <f ca="1">IF($R$208&gt;=O198,INDEX($AL$116:$AL$125,MATCH(O198,($AJ$116:$AJ$125),0)),IF($R$212&gt;=O198,INDEX('Spell Tables'!$AR$168:$AR$175,MATCH(O198,('Spell Tables'!$AP$168:$AP$175),0)),IF($R$222&gt;=O198,INDEX('Spell Tables'!$AR$48:$AR$52,MATCH(O198,('Spell Tables'!$AP$48:$AP$52),0)),IF($R$224&gt;=O198,INDEX('Spell Tables'!$AR$26:$AR$33,MATCH(O198,('Spell Tables'!$AP$26:$AP$33),0)),IF($R$226&gt;=O198,INDEX('Spell Tables'!$AR$2:$AR$11,MATCH(O198,('Spell Tables'!$AL$2:$AL$11),0))," ")))))</f>
        <v xml:space="preserve"> </v>
      </c>
      <c r="S233" s="60" t="str">
        <f ca="1">IF($S$208&gt;=O198,INDEX($AL$128:$AL$137,MATCH(O198,($AJ$128:$AJ$137),0)),IF($S$212&gt;=O198,INDEX('Spell Tables'!$AV$168:$AV$172,MATCH(O198,('Spell Tables'!$AT$168:$AT$172),0)),IF($S$222&gt;=O198,INDEX('Spell Tables'!$AV$48:$AV$54,MATCH(O198,('Spell Tables'!$AT$48:$AT$54),0)),IF($S$224&gt;=O198,INDEX('Spell Tables'!$AV$26:$AV$29,MATCH(O198,('Spell Tables'!$AT$26:$AT$29),0)),IF($S$226&gt;=O198,INDEX('Spell Tables'!$AV$2:$AV$6,MATCH(O198,('Spell Tables'!$AT$2:$AT$6),0))," ")))))</f>
        <v xml:space="preserve"> </v>
      </c>
      <c r="T233" s="63" t="str">
        <f ca="1">IF($T$222&gt;=O198,INDEX('Spell Tables'!$AZ$48:$AZ$51,MATCH(O198,('Spell Tables'!$AX$48:$AX$51),0)),IF($T$208&gt;=O198,INDEX($AL$140:$AL$149,MATCH(O198,($AJ$140:$AJ$149),0)),IF($T$212&gt;=O198,INDEX('Spell Tables'!$AZ$168:$AZ$172,MATCH(O198,('Spell Tables'!$AX$168:$AX$172),0)),IF($T$224&gt;=O198,INDEX('Spell Tables'!$AZ$26:$AZ$29,MATCH(O198,('Spell Tables'!$AX$26:$AX$29),0)),IF($T$226&gt;=O198,INDEX('Spell Tables'!$AZ$2:$AZ$5,MATCH(O198,('Spell Tables'!$AX$2:$AX$5),0))," ")))))</f>
        <v xml:space="preserve"> </v>
      </c>
    </row>
    <row r="234" spans="2:20" x14ac:dyDescent="0.3">
      <c r="N234" s="72"/>
      <c r="O234" s="86">
        <v>7</v>
      </c>
      <c r="P234" s="65" t="str">
        <f ca="1">IF(AND($O$15="Otherworldly patron - great old one",P$210&gt;=O199),INDEX('Spell Tables'!$AJ$226:$AJ$231,MATCH(O199,('Spell Tables'!$AH$226:$AH$231),0)),IF(AND($O$15="Otherworldly patron - fiend",P$210&gt;=O199),INDEX('Spell Tables'!$AJ$210:$AJ$215,MATCH(O199,('Spell Tables'!$AH$210:$AH$215),0)),IF(AND($O$15="Otherworldly patron - archfey",P$210&gt;=O199),INDEX('Spell Tables'!$AJ$194:$AJ$199,MATCH(O199,('Spell Tables'!$AH$194:$AH$199),0)),IF($P$208&gt;=O199,INDEX($AL$92:$AL$101,MATCH(O199,($AJ$92:$AJ$101),0)),IF($P$212&gt;=O199,INDEX('Spell Tables'!$AJ$168:$AJ$178,MATCH(O199,('Spell Tables'!$AH$168:$AH$178),0)),IF($P$216&gt;=O199,INDEX('Spell Tables'!$AF$119:$AF$122,MATCH(O199,('Spell Tables'!$AD$119:$AD$122),0)),IF($P$218&gt;=O199,INDEX('Spell Tables'!$AF$97:$AF$102,MATCH(O199,('Spell Tables'!$AD$97:$AD$102),0)),IF($P$222&gt;=O199,INDEX('Spell Tables'!$AJ$48:$AJ$61,MATCH(O199,('Spell Tables'!$AH$48:$AH$61),0)),IF($P$224&gt;=O199,INDEX('Spell Tables'!$AJ$26:$AJ$38,MATCH(O199,('Spell Tables'!$AH$26:$AH$38),0)),IF($P$226&gt;=O199,INDEX('Spell Tables'!$AJ$2:$AJ$17,MATCH(O199,('Spell Tables'!$AH$2:$AH$17),0))," "))))))))))</f>
        <v xml:space="preserve"> </v>
      </c>
      <c r="Q234" s="65" t="str">
        <f ca="1">IF($Q$208&gt;=O199,INDEX($AL$104:$AL$113,MATCH(O199,($AJ$104:$AJ$113),0)),IF($Q$212&gt;=O199,INDEX('Spell Tables'!$AN$168:$AN$177,MATCH(O199,('Spell Tables'!$AL$168:$AL$177),0)),IF($Q$222&gt;=O199,INDEX('Spell Tables'!$AN$48:$AN$56,MATCH(O199,('Spell Tables'!$AL$48:$AL$56),0)),IF($Q$224&gt;=O199,INDEX('Spell Tables'!$AN$26:$AN$35,MATCH(O199,('Spell Tables'!$AL$26:$AL$35),0)),IF($Q$226&gt;=O199,INDEX('Spell Tables'!$AN$2:$AN$8,MATCH(O199,('Spell Tables'!$AL$2:$AL$8),0))," ")))))</f>
        <v xml:space="preserve"> </v>
      </c>
      <c r="R234" s="65" t="str">
        <f ca="1">IF($R$208&gt;=O199,INDEX($AL$116:$AL$125,MATCH(O199,($AJ$116:$AJ$125),0)),IF($R$212&gt;=O199,INDEX('Spell Tables'!$AR$168:$AR$175,MATCH(O199,('Spell Tables'!$AP$168:$AP$175),0)),IF($R$222&gt;=O199,INDEX('Spell Tables'!$AR$48:$AR$52,MATCH(O199,('Spell Tables'!$AP$48:$AP$52),0)),IF($R$224&gt;=O199,INDEX('Spell Tables'!$AR$26:$AR$33,MATCH(O199,('Spell Tables'!$AP$26:$AP$33),0)),IF($R$226&gt;=O199,INDEX('Spell Tables'!$AR$2:$AR$11,MATCH(O199,('Spell Tables'!$AL$2:$AL$11),0))," ")))))</f>
        <v xml:space="preserve"> </v>
      </c>
      <c r="S234" s="65" t="str">
        <f ca="1">IF($S$208&gt;=O199,INDEX($AL$128:$AL$137,MATCH(O199,($AJ$128:$AJ$137),0)),IF($S$212&gt;=O199,INDEX('Spell Tables'!$AV$168:$AV$172,MATCH(O199,('Spell Tables'!$AT$168:$AT$172),0)),IF($S$222&gt;=O199,INDEX('Spell Tables'!$AV$48:$AV$54,MATCH(O199,('Spell Tables'!$AT$48:$AT$54),0)),IF($S$224&gt;=O199,INDEX('Spell Tables'!$AV$26:$AV$29,MATCH(O199,('Spell Tables'!$AT$26:$AT$29),0)),IF($S$226&gt;=O199,INDEX('Spell Tables'!$AV$2:$AV$6,MATCH(O199,('Spell Tables'!$AT$2:$AT$6),0))," ")))))</f>
        <v xml:space="preserve"> </v>
      </c>
      <c r="T234" s="66" t="str">
        <f ca="1">IF($T$222&gt;=O199,INDEX('Spell Tables'!$AZ$48:$AZ$51,MATCH(O199,('Spell Tables'!$AX$48:$AX$51),0)),IF($T$208&gt;=O199,INDEX($AL$140:$AL$149,MATCH(O199,($AJ$140:$AJ$149),0)),IF($T$212&gt;=O199,INDEX('Spell Tables'!$AZ$168:$AZ$172,MATCH(O199,('Spell Tables'!$AX$168:$AX$172),0)),IF($T$224&gt;=O199,INDEX('Spell Tables'!$AZ$26:$AZ$29,MATCH(O199,('Spell Tables'!$AX$26:$AX$29),0)),IF($T$226&gt;=O199,INDEX('Spell Tables'!$AZ$2:$AZ$5,MATCH(O199,('Spell Tables'!$AX$2:$AX$5),0))," ")))))</f>
        <v xml:space="preserve"> </v>
      </c>
    </row>
    <row r="235" spans="2:20" x14ac:dyDescent="0.3">
      <c r="N235" s="72"/>
      <c r="O235" s="133">
        <v>8</v>
      </c>
      <c r="P235" s="60" t="str">
        <f ca="1">IF(AND($O$15="Otherworldly patron - great old one",P$210&gt;=O200),INDEX('Spell Tables'!$AJ$226:$AJ$231,MATCH(O200,('Spell Tables'!$AH$226:$AH$231),0)),IF(AND($O$15="Otherworldly patron - fiend",P$210&gt;=O200),INDEX('Spell Tables'!$AJ$210:$AJ$215,MATCH(O200,('Spell Tables'!$AH$210:$AH$215),0)),IF(AND($O$15="Otherworldly patron - archfey",P$210&gt;=O200),INDEX('Spell Tables'!$AJ$194:$AJ$199,MATCH(O200,('Spell Tables'!$AH$194:$AH$199),0)),IF($P$208&gt;=O200,INDEX($AL$92:$AL$101,MATCH(O200,($AJ$92:$AJ$101),0)),IF($P$212&gt;=O200,INDEX('Spell Tables'!$AJ$168:$AJ$178,MATCH(O200,('Spell Tables'!$AH$168:$AH$178),0)),IF($P$216&gt;=O200,INDEX('Spell Tables'!$AF$119:$AF$122,MATCH(O200,('Spell Tables'!$AD$119:$AD$122),0)),IF($P$218&gt;=O200,INDEX('Spell Tables'!$AF$97:$AF$102,MATCH(O200,('Spell Tables'!$AD$97:$AD$102),0)),IF($P$222&gt;=O200,INDEX('Spell Tables'!$AJ$48:$AJ$61,MATCH(O200,('Spell Tables'!$AH$48:$AH$61),0)),IF($P$224&gt;=O200,INDEX('Spell Tables'!$AJ$26:$AJ$38,MATCH(O200,('Spell Tables'!$AH$26:$AH$38),0)),IF($P$226&gt;=O200,INDEX('Spell Tables'!$AJ$2:$AJ$17,MATCH(O200,('Spell Tables'!$AH$2:$AH$17),0))," "))))))))))</f>
        <v xml:space="preserve"> </v>
      </c>
      <c r="Q235" s="60" t="str">
        <f ca="1">IF($Q$208&gt;=O200,INDEX($AL$104:$AL$113,MATCH(O200,($AJ$104:$AJ$113),0)),IF($Q$212&gt;=O200,INDEX('Spell Tables'!$AN$168:$AN$177,MATCH(O200,('Spell Tables'!$AL$168:$AL$177),0)),IF($Q$222&gt;=O200,INDEX('Spell Tables'!$AN$48:$AN$56,MATCH(O200,('Spell Tables'!$AL$48:$AL$56),0)),IF($Q$224&gt;=O200,INDEX('Spell Tables'!$AN$26:$AN$35,MATCH(O200,('Spell Tables'!$AL$26:$AL$35),0)),IF($Q$226&gt;=O200,INDEX('Spell Tables'!$AN$2:$AN$8,MATCH(O200,('Spell Tables'!$AL$2:$AL$8),0))," ")))))</f>
        <v xml:space="preserve"> </v>
      </c>
      <c r="R235" s="60" t="str">
        <f ca="1">IF($R$208&gt;=O200,INDEX($AL$116:$AL$125,MATCH(O200,($AJ$116:$AJ$125),0)),IF($R$212&gt;=O200,INDEX('Spell Tables'!$AR$168:$AR$175,MATCH(O200,('Spell Tables'!$AP$168:$AP$175),0)),IF($R$222&gt;=O200,INDEX('Spell Tables'!$AR$48:$AR$52,MATCH(O200,('Spell Tables'!$AP$48:$AP$52),0)),IF($R$224&gt;=O200,INDEX('Spell Tables'!$AR$26:$AR$33,MATCH(O200,('Spell Tables'!$AP$26:$AP$33),0)),IF($R$226&gt;=O200,INDEX('Spell Tables'!$AR$2:$AR$11,MATCH(O200,('Spell Tables'!$AL$2:$AL$11),0))," ")))))</f>
        <v xml:space="preserve"> </v>
      </c>
      <c r="S235" s="60" t="str">
        <f ca="1">IF($S$208&gt;=O200,INDEX($AL$128:$AL$137,MATCH(O200,($AJ$128:$AJ$137),0)),IF($S$212&gt;=O200,INDEX('Spell Tables'!$AV$168:$AV$172,MATCH(O200,('Spell Tables'!$AT$168:$AT$172),0)),IF($S$222&gt;=O200,INDEX('Spell Tables'!$AV$48:$AV$54,MATCH(O200,('Spell Tables'!$AT$48:$AT$54),0)),IF($S$224&gt;=O200,INDEX('Spell Tables'!$AV$26:$AV$29,MATCH(O200,('Spell Tables'!$AT$26:$AT$29),0)),IF($S$226&gt;=O200,INDEX('Spell Tables'!$AV$2:$AV$6,MATCH(O200,('Spell Tables'!$AT$2:$AT$6),0))," ")))))</f>
        <v xml:space="preserve"> </v>
      </c>
      <c r="T235" s="63" t="str">
        <f ca="1">IF($T$222&gt;=O200,INDEX('Spell Tables'!$AZ$48:$AZ$51,MATCH(O200,('Spell Tables'!$AX$48:$AX$51),0)),IF($T$208&gt;=O200,INDEX($AL$140:$AL$149,MATCH(O200,($AJ$140:$AJ$149),0)),IF($T$212&gt;=O200,INDEX('Spell Tables'!$AZ$168:$AZ$172,MATCH(O200,('Spell Tables'!$AX$168:$AX$172),0)),IF($T$224&gt;=O200,INDEX('Spell Tables'!$AZ$26:$AZ$29,MATCH(O200,('Spell Tables'!$AX$26:$AX$29),0)),IF($T$226&gt;=O200,INDEX('Spell Tables'!$AZ$2:$AZ$5,MATCH(O200,('Spell Tables'!$AX$2:$AX$5),0))," ")))))</f>
        <v xml:space="preserve"> </v>
      </c>
    </row>
    <row r="236" spans="2:20" x14ac:dyDescent="0.3">
      <c r="N236" s="72"/>
      <c r="O236" s="86">
        <v>9</v>
      </c>
      <c r="P236" s="65" t="str">
        <f ca="1">IF(AND($O$15="Otherworldly patron - great old one",P$210&gt;=O201),INDEX('Spell Tables'!$AJ$226:$AJ$231,MATCH(O201,('Spell Tables'!$AH$226:$AH$231),0)),IF(AND($O$15="Otherworldly patron - fiend",P$210&gt;=O201),INDEX('Spell Tables'!$AJ$210:$AJ$215,MATCH(O201,('Spell Tables'!$AH$210:$AH$215),0)),IF(AND($O$15="Otherworldly patron - archfey",P$210&gt;=O201),INDEX('Spell Tables'!$AJ$194:$AJ$199,MATCH(O201,('Spell Tables'!$AH$194:$AH$199),0)),IF($P$208&gt;=O201,INDEX($AL$92:$AL$101,MATCH(O201,($AJ$92:$AJ$101),0)),IF($P$212&gt;=O201,INDEX('Spell Tables'!$AJ$168:$AJ$178,MATCH(O201,('Spell Tables'!$AH$168:$AH$178),0)),IF($P$216&gt;=O201,INDEX('Spell Tables'!$AF$119:$AF$122,MATCH(O201,('Spell Tables'!$AD$119:$AD$122),0)),IF($P$218&gt;=O201,INDEX('Spell Tables'!$AF$97:$AF$102,MATCH(O201,('Spell Tables'!$AD$97:$AD$102),0)),IF($P$222&gt;=O201,INDEX('Spell Tables'!$AJ$48:$AJ$61,MATCH(O201,('Spell Tables'!$AH$48:$AH$61),0)),IF($P$224&gt;=O201,INDEX('Spell Tables'!$AJ$26:$AJ$38,MATCH(O201,('Spell Tables'!$AH$26:$AH$38),0)),IF($P$226&gt;=O201,INDEX('Spell Tables'!$AJ$2:$AJ$17,MATCH(O201,('Spell Tables'!$AH$2:$AH$17),0))," "))))))))))</f>
        <v xml:space="preserve"> </v>
      </c>
      <c r="Q236" s="65" t="str">
        <f ca="1">IF($Q$208&gt;=O201,INDEX($AL$104:$AL$113,MATCH(O201,($AJ$104:$AJ$113),0)),IF($Q$212&gt;=O201,INDEX('Spell Tables'!$AN$168:$AN$177,MATCH(O201,('Spell Tables'!$AL$168:$AL$177),0)),IF($Q$222&gt;=O201,INDEX('Spell Tables'!$AN$48:$AN$56,MATCH(O201,('Spell Tables'!$AL$48:$AL$56),0)),IF($Q$224&gt;=O201,INDEX('Spell Tables'!$AN$26:$AN$35,MATCH(O201,('Spell Tables'!$AL$26:$AL$35),0)),IF($Q$226&gt;=O201,INDEX('Spell Tables'!$AN$2:$AN$8,MATCH(O201,('Spell Tables'!$AL$2:$AL$8),0))," ")))))</f>
        <v xml:space="preserve"> </v>
      </c>
      <c r="R236" s="65" t="str">
        <f ca="1">IF($R$208&gt;=O201,INDEX($AL$116:$AL$125,MATCH(O201,($AJ$116:$AJ$125),0)),IF($R$212&gt;=O201,INDEX('Spell Tables'!$AR$168:$AR$175,MATCH(O201,('Spell Tables'!$AP$168:$AP$175),0)),IF($R$222&gt;=O201,INDEX('Spell Tables'!$AR$48:$AR$52,MATCH(O201,('Spell Tables'!$AP$48:$AP$52),0)),IF($R$224&gt;=O201,INDEX('Spell Tables'!$AR$26:$AR$33,MATCH(O201,('Spell Tables'!$AP$26:$AP$33),0)),IF($R$226&gt;=O201,INDEX('Spell Tables'!$AR$2:$AR$11,MATCH(O201,('Spell Tables'!$AL$2:$AL$11),0))," ")))))</f>
        <v xml:space="preserve"> </v>
      </c>
      <c r="S236" s="65" t="str">
        <f ca="1">IF($S$208&gt;=O201,INDEX($AL$128:$AL$137,MATCH(O201,($AJ$128:$AJ$137),0)),IF($S$212&gt;=O201,INDEX('Spell Tables'!$AV$168:$AV$172,MATCH(O201,('Spell Tables'!$AT$168:$AT$172),0)),IF($S$222&gt;=O201,INDEX('Spell Tables'!$AV$48:$AV$54,MATCH(O201,('Spell Tables'!$AT$48:$AT$54),0)),IF($S$224&gt;=O201,INDEX('Spell Tables'!$AV$26:$AV$29,MATCH(O201,('Spell Tables'!$AT$26:$AT$29),0)),IF($S$226&gt;=O201,INDEX('Spell Tables'!$AV$2:$AV$6,MATCH(O201,('Spell Tables'!$AT$2:$AT$6),0))," ")))))</f>
        <v xml:space="preserve"> </v>
      </c>
      <c r="T236" s="66" t="str">
        <f ca="1">IF($T$222&gt;=O201,INDEX('Spell Tables'!$AZ$48:$AZ$51,MATCH(O201,('Spell Tables'!$AX$48:$AX$51),0)),IF($T$208&gt;=O201,INDEX($AL$140:$AL$149,MATCH(O201,($AJ$140:$AJ$149),0)),IF($T$212&gt;=O201,INDEX('Spell Tables'!$AZ$168:$AZ$172,MATCH(O201,('Spell Tables'!$AX$168:$AX$172),0)),IF($T$224&gt;=O201,INDEX('Spell Tables'!$AZ$26:$AZ$29,MATCH(O201,('Spell Tables'!$AX$26:$AX$29),0)),IF($T$226&gt;=O201,INDEX('Spell Tables'!$AZ$2:$AZ$5,MATCH(O201,('Spell Tables'!$AX$2:$AX$5),0))," ")))))</f>
        <v xml:space="preserve"> </v>
      </c>
    </row>
    <row r="237" spans="2:20" ht="19.5" thickBot="1" x14ac:dyDescent="0.35">
      <c r="N237" s="72"/>
      <c r="O237" s="134">
        <v>10</v>
      </c>
      <c r="P237" s="67" t="str">
        <f ca="1">IF(AND($O$15="Otherworldly patron - great old one",P$210&gt;=O202),INDEX('Spell Tables'!$AJ$226:$AJ$231,MATCH(O202,('Spell Tables'!$AH$226:$AH$231),0)),IF(AND($O$15="Otherworldly patron - fiend",P$210&gt;=O202),INDEX('Spell Tables'!$AJ$210:$AJ$215,MATCH(O202,('Spell Tables'!$AH$210:$AH$215),0)),IF(AND($O$15="Otherworldly patron - archfey",P$210&gt;=O202),INDEX('Spell Tables'!$AJ$194:$AJ$199,MATCH(O202,('Spell Tables'!$AH$194:$AH$199),0)),IF($P$208&gt;=O202,INDEX($AL$92:$AL$101,MATCH(O202,($AJ$92:$AJ$101),0)),IF($P$212&gt;=O202,INDEX('Spell Tables'!$AJ$168:$AJ$178,MATCH(O202,('Spell Tables'!$AH$168:$AH$178),0)),IF($P$216&gt;=O202,INDEX('Spell Tables'!$AF$119:$AF$122,MATCH(O202,('Spell Tables'!$AD$119:$AD$122),0)),IF($P$218&gt;=O202,INDEX('Spell Tables'!$AF$97:$AF$102,MATCH(O202,('Spell Tables'!$AD$97:$AD$102),0)),IF($P$222&gt;=O202,INDEX('Spell Tables'!$AJ$48:$AJ$61,MATCH(O202,('Spell Tables'!$AH$48:$AH$61),0)),IF($P$224&gt;=O202,INDEX('Spell Tables'!$AJ$26:$AJ$38,MATCH(O202,('Spell Tables'!$AH$26:$AH$38),0)),IF($P$226&gt;=O202,INDEX('Spell Tables'!$AJ$2:$AJ$17,MATCH(O202,('Spell Tables'!$AH$2:$AH$17),0))," "))))))))))</f>
        <v xml:space="preserve"> </v>
      </c>
      <c r="Q237" s="67" t="str">
        <f ca="1">IF($Q$208&gt;=O202,INDEX($AL$104:$AL$113,MATCH(O202,($AJ$104:$AJ$113),0)),IF($Q$212&gt;=O202,INDEX('Spell Tables'!$AN$168:$AN$177,MATCH(O202,('Spell Tables'!$AL$168:$AL$177),0)),IF($Q$222&gt;=O202,INDEX('Spell Tables'!$AN$48:$AN$56,MATCH(O202,('Spell Tables'!$AL$48:$AL$56),0)),IF($Q$224&gt;=O202,INDEX('Spell Tables'!$AN$26:$AN$35,MATCH(O202,('Spell Tables'!$AL$26:$AL$35),0)),IF($Q$226&gt;=O202,INDEX('Spell Tables'!$AN$2:$AN$8,MATCH(O202,('Spell Tables'!$AL$2:$AL$8),0))," ")))))</f>
        <v xml:space="preserve"> </v>
      </c>
      <c r="R237" s="67" t="str">
        <f ca="1">IF($R$208&gt;=O202,INDEX($AL$116:$AL$125,MATCH(O202,($AJ$116:$AJ$125),0)),IF($R$212&gt;=O202,INDEX('Spell Tables'!$AR$168:$AR$175,MATCH(O202,('Spell Tables'!$AP$168:$AP$175),0)),IF($R$222&gt;=O202,INDEX('Spell Tables'!$AR$48:$AR$52,MATCH(O202,('Spell Tables'!$AP$48:$AP$52),0)),IF($R$224&gt;=O202,INDEX('Spell Tables'!$AR$26:$AR$33,MATCH(O202,('Spell Tables'!$AP$26:$AP$33),0)),IF($R$226&gt;=O202,INDEX('Spell Tables'!$AR$2:$AR$11,MATCH(O202,('Spell Tables'!$AL$2:$AL$11),0))," ")))))</f>
        <v xml:space="preserve"> </v>
      </c>
      <c r="S237" s="67" t="str">
        <f ca="1">IF($S$208&gt;=O202,INDEX($AL$128:$AL$137,MATCH(O202,($AJ$128:$AJ$137),0)),IF($S$212&gt;=O202,INDEX('Spell Tables'!$AV$168:$AV$172,MATCH(O202,('Spell Tables'!$AT$168:$AT$172),0)),IF($S$222&gt;=O202,INDEX('Spell Tables'!$AV$48:$AV$54,MATCH(O202,('Spell Tables'!$AT$48:$AT$54),0)),IF($S$224&gt;=O202,INDEX('Spell Tables'!$AV$26:$AV$29,MATCH(O202,('Spell Tables'!$AT$26:$AT$29),0)),IF($S$226&gt;=O202,INDEX('Spell Tables'!$AV$2:$AV$6,MATCH(O202,('Spell Tables'!$AT$2:$AT$6),0))," ")))))</f>
        <v xml:space="preserve"> </v>
      </c>
      <c r="T237" s="68" t="str">
        <f ca="1">IF($T$222&gt;=O202,INDEX('Spell Tables'!$AZ$48:$AZ$51,MATCH(O202,('Spell Tables'!$AX$48:$AX$51),0)),IF($T$208&gt;=O202,INDEX($AL$140:$AL$149,MATCH(O202,($AJ$140:$AJ$149),0)),IF($T$212&gt;=O202,INDEX('Spell Tables'!$AZ$168:$AZ$172,MATCH(O202,('Spell Tables'!$AX$168:$AX$172),0)),IF($T$224&gt;=O202,INDEX('Spell Tables'!$AZ$26:$AZ$29,MATCH(O202,('Spell Tables'!$AX$26:$AX$29),0)),IF($T$226&gt;=O202,INDEX('Spell Tables'!$AZ$2:$AZ$5,MATCH(O202,('Spell Tables'!$AX$2:$AX$5),0))," ")))))</f>
        <v xml:space="preserve"> </v>
      </c>
    </row>
    <row r="238" spans="2:20" ht="19.5" thickBot="1" x14ac:dyDescent="0.35"/>
    <row r="239" spans="2:20" ht="30.75" thickBot="1" x14ac:dyDescent="0.45">
      <c r="B239" s="105" t="s">
        <v>1323</v>
      </c>
      <c r="C239" s="57"/>
      <c r="D239" s="57"/>
      <c r="E239" s="57"/>
      <c r="F239" s="57"/>
      <c r="G239" s="57"/>
      <c r="H239" s="57"/>
      <c r="I239" s="57"/>
      <c r="J239" s="57"/>
      <c r="K239" s="57"/>
      <c r="L239" s="57"/>
      <c r="M239" s="57"/>
      <c r="N239" s="57"/>
      <c r="O239" s="57"/>
      <c r="P239" s="57"/>
      <c r="Q239" s="57"/>
      <c r="R239" s="57"/>
      <c r="S239" s="57"/>
    </row>
    <row r="240" spans="2:20" ht="19.5" thickBot="1" x14ac:dyDescent="0.35">
      <c r="B240" s="33"/>
      <c r="C240" s="27"/>
      <c r="D240" s="27"/>
      <c r="E240" s="27"/>
      <c r="F240" s="27"/>
      <c r="G240" s="27"/>
      <c r="H240" s="27"/>
      <c r="I240" s="27"/>
      <c r="J240" s="27"/>
      <c r="K240" s="27"/>
      <c r="L240" s="27"/>
      <c r="M240" s="27"/>
      <c r="O240" s="27"/>
      <c r="P240" s="87" t="s">
        <v>1341</v>
      </c>
      <c r="Q240" s="94" t="str">
        <f ca="1">IF($Q$11="warlock",INDEX('Spell Tables'!$D$194:$D$213,MATCH($Q$12,('Spell Tables'!$A$194:$A$213),0))," ")</f>
        <v xml:space="preserve"> </v>
      </c>
      <c r="R240" s="89" t="s">
        <v>1340</v>
      </c>
      <c r="S240" s="90" t="str">
        <f ca="1">IF($Q$11="warlock",INDEX('Spell Tables'!$E$194:$E$213,MATCH($Q$12,('Spell Tables'!$A$194:$A$213),0))," ")</f>
        <v xml:space="preserve"> </v>
      </c>
      <c r="T240" s="27"/>
    </row>
    <row r="241" spans="2:20" hidden="1" x14ac:dyDescent="0.3">
      <c r="B241" s="92" t="s">
        <v>1270</v>
      </c>
      <c r="C241" s="33"/>
      <c r="D241" s="33"/>
      <c r="E241" s="33"/>
      <c r="F241" s="33"/>
      <c r="G241" s="33"/>
      <c r="H241" s="33"/>
      <c r="I241" s="33"/>
      <c r="J241" s="33"/>
      <c r="K241" s="33"/>
      <c r="L241" s="33"/>
      <c r="M241" s="33"/>
      <c r="O241" s="33" t="s">
        <v>530</v>
      </c>
      <c r="P241" s="33" t="s">
        <v>530</v>
      </c>
      <c r="Q241" s="114" t="str">
        <f ca="1">IF(AND(Q11="wizard",Q12&gt;=3),"x",IF(Q11="wizard","xx"," "))</f>
        <v xml:space="preserve"> </v>
      </c>
      <c r="R241" s="114" t="str">
        <f ca="1">IF(AND(Q11="wizard",Q12&gt;=5),"x",IF(AND($Q$11="wizard",$Q$12&gt;=3),"xx"," "))</f>
        <v xml:space="preserve"> </v>
      </c>
      <c r="S241" s="114" t="str">
        <f ca="1">IF(AND(Q11="Wizard",Q12&gt;=7),"x",IF(AND($Q$11="wizard",$Q$12&gt;5),"xx",IF(AND(Q11="wizard",Q12=5),"xxx"," ")))</f>
        <v xml:space="preserve"> </v>
      </c>
      <c r="T241" s="114" t="str">
        <f ca="1">IF(AND(Q11="wizard",Q12&gt;=9),"x",IF(AND($Q$11="wizard",$Q$12&gt;7),"xx",IF(AND(Q11="wizard",Q12=7),"xxx"," ")))</f>
        <v xml:space="preserve"> </v>
      </c>
    </row>
    <row r="242" spans="2:20" hidden="1" x14ac:dyDescent="0.3">
      <c r="B242" s="92" t="s">
        <v>1272</v>
      </c>
      <c r="C242" s="33"/>
      <c r="D242" s="33"/>
      <c r="E242" s="33"/>
      <c r="F242" s="33"/>
      <c r="G242" s="33"/>
      <c r="H242" s="33"/>
      <c r="I242" s="33"/>
      <c r="J242" s="33"/>
      <c r="K242" s="33"/>
      <c r="L242" s="33"/>
      <c r="M242" s="33"/>
      <c r="O242" s="33" t="str">
        <f ca="1">IF(Q11="wizard",N41+Q12," ")</f>
        <v xml:space="preserve"> </v>
      </c>
      <c r="P242" s="33">
        <f ca="1">IF(Q11="wizard",INDEX('Spell Tables'!C242:C261,MATCH(Q12,('Spell Tables'!B242:B261),0)),0)</f>
        <v>0</v>
      </c>
      <c r="Q242" s="114">
        <f ca="1">IF($Q241="x",RANDBETWEEN(1,2),IF($Q241="xx",$O$242,0))</f>
        <v>0</v>
      </c>
      <c r="R242" s="114">
        <f ca="1">IF(R241="x",RANDBETWEEN(1,2),IF(R241="xx",$O$242-Q242,0))</f>
        <v>0</v>
      </c>
      <c r="S242" s="114">
        <f ca="1">IF(S241="x",O242-SUM(Q242:R242,U169:X169),IF(S241="xx",$O$242-SUM(Q242:R242),0))</f>
        <v>0</v>
      </c>
      <c r="T242" s="114">
        <f ca="1">IF(T241="x",RANDBETWEEN(1,2),IF(T241="xx",RANDBETWEEN(2,3),IF(T241="xxx",RANDBETWEEN(1,2),0)))</f>
        <v>0</v>
      </c>
    </row>
    <row r="243" spans="2:20" hidden="1" x14ac:dyDescent="0.3">
      <c r="B243" s="92" t="s">
        <v>1269</v>
      </c>
      <c r="C243" s="33"/>
      <c r="D243" s="33"/>
      <c r="E243" s="33"/>
      <c r="F243" s="33"/>
      <c r="G243" s="33"/>
      <c r="H243" s="33"/>
      <c r="I243" s="33"/>
      <c r="J243" s="33"/>
      <c r="K243" s="33"/>
      <c r="L243" s="33"/>
      <c r="M243" s="33"/>
      <c r="O243" s="33" t="s">
        <v>530</v>
      </c>
      <c r="P243" s="33" t="s">
        <v>530</v>
      </c>
      <c r="Q243" s="114" t="str">
        <f ca="1">IF(AND($Q$11="warlock",$Q$12&gt;=3),"x",IF(Q11="warlock","xx"," "))</f>
        <v xml:space="preserve"> </v>
      </c>
      <c r="R243" s="114" t="str">
        <f ca="1">IF(AND($Q$11="warlock",$Q$12&gt;=5),"x",IF(AND($Q$11="warlock",$Q$12&gt;=3),"xx"," "))</f>
        <v xml:space="preserve"> </v>
      </c>
      <c r="S243" s="114" t="str">
        <f ca="1">IF(AND($Q$11="warlock",$Q$12&gt;=7),"x",IF(AND($Q$11="warlock",$Q$12&gt;=5),"xx"," "))</f>
        <v xml:space="preserve"> </v>
      </c>
      <c r="T243" s="114" t="str">
        <f ca="1">IF(AND($Q$11="warlock",$Q$12&gt;=9),"x",IF(AND($Q$11="warlock",$Q$12&gt;=7),"xx"," "))</f>
        <v xml:space="preserve"> </v>
      </c>
    </row>
    <row r="244" spans="2:20" hidden="1" x14ac:dyDescent="0.3">
      <c r="B244" s="92" t="s">
        <v>1268</v>
      </c>
      <c r="C244" s="33"/>
      <c r="D244" s="33"/>
      <c r="E244" s="33"/>
      <c r="F244" s="33"/>
      <c r="G244" s="33"/>
      <c r="H244" s="33"/>
      <c r="I244" s="33"/>
      <c r="J244" s="33"/>
      <c r="K244" s="33"/>
      <c r="L244" s="33"/>
      <c r="M244" s="33"/>
      <c r="O244" s="33" t="str">
        <f ca="1">IF(Q11="warlock",INDEX('Spell Tables'!C194:C213,MATCH($Q$12,('Spell Tables'!A194:A213),0))," ")</f>
        <v xml:space="preserve"> </v>
      </c>
      <c r="P244" s="33">
        <f ca="1">IF($Q$11="warlock",INDEX('Spell Tables'!B194:B213,MATCH($Q$12,('Spell Tables'!A194:A213),0)),0)</f>
        <v>0</v>
      </c>
      <c r="Q244" s="114">
        <f ca="1">IF($Q243="x",RANDBETWEEN(1,2),IF($Q243="xx",$O$244,0))</f>
        <v>0</v>
      </c>
      <c r="R244" s="114">
        <f ca="1">IF(R243="x",RANDBETWEEN(1,2),IF(R243="xx",$O$244-Q244,0))</f>
        <v>0</v>
      </c>
      <c r="S244" s="114">
        <f ca="1">IF(S243="x",O244-SUM(Q244:R244,U171:X171),IF(S243="xx",$O$244-SUM(Q244:R244),0))</f>
        <v>0</v>
      </c>
      <c r="T244" s="114">
        <f ca="1">IF(T243="x",RANDBETWEEN(1,2),IF(T243="xx",RANDBETWEEN(2,3),0))</f>
        <v>0</v>
      </c>
    </row>
    <row r="245" spans="2:20" hidden="1" x14ac:dyDescent="0.3">
      <c r="B245" s="92" t="s">
        <v>1267</v>
      </c>
      <c r="C245" s="33"/>
      <c r="D245" s="33"/>
      <c r="E245" s="33"/>
      <c r="F245" s="33"/>
      <c r="G245" s="33"/>
      <c r="H245" s="33"/>
      <c r="I245" s="33"/>
      <c r="J245" s="33"/>
      <c r="K245" s="33"/>
      <c r="L245" s="33"/>
      <c r="M245" s="33"/>
      <c r="O245" s="33" t="s">
        <v>530</v>
      </c>
      <c r="P245" s="33" t="s">
        <v>530</v>
      </c>
      <c r="Q245" s="114" t="str">
        <f ca="1">IF(AND($Q$11="sorcerer",$Q$12&gt;=3),"x",IF($Q$11="sorcerer","xx"," "))</f>
        <v xml:space="preserve"> </v>
      </c>
      <c r="R245" s="114" t="str">
        <f ca="1">IF(AND($Q$11="sorcerer",$Q$12&gt;=5),"x",IF(AND($Q$11="sorcerer",$Q$12&gt;=3),"xx"," "))</f>
        <v xml:space="preserve"> </v>
      </c>
      <c r="S245" s="114" t="str">
        <f ca="1">IF(AND($Q$11="sorcerer",$Q$12&gt;=7),"x",IF(AND($Q$11="sorcerer",$Q$12&gt;=5),"xx"," "))</f>
        <v xml:space="preserve"> </v>
      </c>
      <c r="T245" s="114" t="str">
        <f ca="1">IF(AND($Q$11="sorcerer",$Q$12&gt;=9),"x",IF(AND($Q$11="sorcerer",$Q$12&gt;=7),"xx"," "))</f>
        <v xml:space="preserve"> </v>
      </c>
    </row>
    <row r="246" spans="2:20" hidden="1" x14ac:dyDescent="0.3">
      <c r="B246" s="92" t="s">
        <v>1266</v>
      </c>
      <c r="C246" s="33"/>
      <c r="D246" s="33"/>
      <c r="E246" s="33"/>
      <c r="F246" s="33"/>
      <c r="G246" s="33"/>
      <c r="H246" s="33"/>
      <c r="I246" s="33"/>
      <c r="J246" s="33"/>
      <c r="K246" s="33"/>
      <c r="L246" s="33"/>
      <c r="M246" s="33"/>
      <c r="O246" s="33" t="str">
        <f ca="1">IF(Q11="sorcerer",INDEX('Spell Tables'!C168:C187,MATCH($Q$12,('Spell Tables'!A168:A187),0))," ")</f>
        <v xml:space="preserve"> </v>
      </c>
      <c r="P246" s="33">
        <f ca="1">IF($Q$11="sorcerer",INDEX('Spell Tables'!B168:B187,MATCH($Q$12,('Spell Tables'!A168:A187),0)),0)</f>
        <v>0</v>
      </c>
      <c r="Q246" s="114">
        <f ca="1">IF($Q245="x",RANDBETWEEN(1,2),IF($Q245="xx",$O$246,0))</f>
        <v>0</v>
      </c>
      <c r="R246" s="114">
        <f ca="1">IF(R245="x",RANDBETWEEN(1,2),IF(R245="xx",$O$246-Q246,0))</f>
        <v>0</v>
      </c>
      <c r="S246" s="114">
        <f ca="1">IF(S245="x",O246-SUM(Q246:R246,U173:X173),IF(S245="xx",$O$246-SUM(Q246:R246),0))</f>
        <v>0</v>
      </c>
      <c r="T246" s="114">
        <f ca="1">IF(T245="x",RANDBETWEEN(1,2),IF(T245="xx",RANDBETWEEN(2,3),0))</f>
        <v>0</v>
      </c>
    </row>
    <row r="247" spans="2:20" hidden="1" x14ac:dyDescent="0.3">
      <c r="B247" s="92" t="s">
        <v>1254</v>
      </c>
      <c r="C247" s="33"/>
      <c r="D247" s="33"/>
      <c r="E247" s="33"/>
      <c r="F247" s="33"/>
      <c r="G247" s="33"/>
      <c r="H247" s="33"/>
      <c r="I247" s="33"/>
      <c r="J247" s="33"/>
      <c r="K247" s="33"/>
      <c r="L247" s="33"/>
      <c r="M247" s="33"/>
      <c r="O247" s="33" t="s">
        <v>530</v>
      </c>
      <c r="P247" s="33" t="s">
        <v>530</v>
      </c>
      <c r="Q247" s="114" t="str">
        <f ca="1">IF(AND(R15="arcane trickster",Q12&gt;=7),"x",IF(R15="arcane trickster","xx"," "))</f>
        <v xml:space="preserve"> </v>
      </c>
      <c r="R247" s="114" t="str">
        <f ca="1">IF(AND(R15="arcane trickster",Q12=13),"x",IF(AND(R15="arcane trickster",$Q$12&gt;=7),"xx"," "))</f>
        <v xml:space="preserve"> </v>
      </c>
      <c r="S247" s="114" t="str">
        <f ca="1">IF(AND(R15="arcane trickster",Q12&gt;=19),"x",IF(AND(R15="arcane trickster",$Q$12&gt;=13),"xx"," "))</f>
        <v xml:space="preserve"> </v>
      </c>
      <c r="T247" s="114" t="str">
        <f ca="1">IF(AND(R15="arcane trickster",$Q$12&gt;=19),"xx"," ")</f>
        <v xml:space="preserve"> </v>
      </c>
    </row>
    <row r="248" spans="2:20" hidden="1" x14ac:dyDescent="0.3">
      <c r="B248" s="92" t="s">
        <v>1253</v>
      </c>
      <c r="C248" s="33"/>
      <c r="D248" s="33"/>
      <c r="E248" s="33"/>
      <c r="F248" s="33"/>
      <c r="G248" s="33"/>
      <c r="H248" s="33"/>
      <c r="I248" s="33"/>
      <c r="J248" s="33"/>
      <c r="K248" s="33"/>
      <c r="L248" s="33"/>
      <c r="M248" s="33"/>
      <c r="O248" s="33" t="str">
        <f ca="1">IF(R15="arcane trickster",INDEX('Spell Tables'!C141:C160,MATCH($Q$12,('Spell Tables'!A141:A160),0))," ")</f>
        <v xml:space="preserve"> </v>
      </c>
      <c r="P248" s="33">
        <f ca="1">IF($R$15="arcane trickster",INDEX('Spell Tables'!B141:B160,MATCH($Q$12,('Spell Tables'!A141:A160),0)),0)</f>
        <v>0</v>
      </c>
      <c r="Q248" s="114">
        <f ca="1">IF($Q247="x",RANDBETWEEN(2,3),IF($Q247="xx",$O$248,0))</f>
        <v>0</v>
      </c>
      <c r="R248" s="114">
        <f ca="1">IF(R247="x",RANDBETWEEN(2,3),IF(R247="xx",$O$248-Q248,0))</f>
        <v>0</v>
      </c>
      <c r="S248" s="114">
        <f ca="1">IF(S247="x",O248-SUM(Q248:R248,U175:X175),IF(S247="xx",$O$248-SUM(Q248:R248),0))</f>
        <v>0</v>
      </c>
      <c r="T248" s="114">
        <f ca="1">IF(T247="x",RANDBETWEEN(1,2),IF(T247="xx",RANDBETWEEN(2,3),0))</f>
        <v>0</v>
      </c>
    </row>
    <row r="249" spans="2:20" hidden="1" x14ac:dyDescent="0.3">
      <c r="B249" s="92" t="s">
        <v>1247</v>
      </c>
      <c r="C249" s="33"/>
      <c r="D249" s="33"/>
      <c r="E249" s="33"/>
      <c r="F249" s="33"/>
      <c r="G249" s="33"/>
      <c r="H249" s="33"/>
      <c r="I249" s="33"/>
      <c r="J249" s="33"/>
      <c r="K249" s="33"/>
      <c r="L249" s="33"/>
      <c r="M249" s="33"/>
      <c r="O249" s="33" t="s">
        <v>530</v>
      </c>
      <c r="P249" s="33" t="s">
        <v>1324</v>
      </c>
      <c r="Q249" s="114" t="str">
        <f ca="1">IF(AND($Q$11="ranger",$Q$12&gt;=5),"x",IF(AND(Q11="ranger",Q12&gt;=2),"xx"," "))</f>
        <v>x</v>
      </c>
      <c r="R249" s="114" t="str">
        <f ca="1">IF(AND($Q$11="ranger",$Q$12&gt;=9),"x",IF(AND($Q$11="ranger",$Q$12&gt;=5),"xx"," "))</f>
        <v>xx</v>
      </c>
      <c r="S249" s="114" t="str">
        <f ca="1">IF(AND($Q$11="ranger",$Q$12&gt;=13),"x",IF(AND($Q$11="ranger",$Q$12&gt;=9),"xx"," "))</f>
        <v xml:space="preserve"> </v>
      </c>
      <c r="T249" s="114" t="str">
        <f ca="1">IF(AND($Q$11="ranger",$Q$12&gt;=17),"x",IF(AND($Q$11="ranger",$Q$12&gt;=13),"xx"," "))</f>
        <v xml:space="preserve"> </v>
      </c>
    </row>
    <row r="250" spans="2:20" hidden="1" x14ac:dyDescent="0.3">
      <c r="B250" s="92" t="s">
        <v>1246</v>
      </c>
      <c r="C250" s="33"/>
      <c r="D250" s="33"/>
      <c r="E250" s="33"/>
      <c r="F250" s="33"/>
      <c r="G250" s="33"/>
      <c r="H250" s="33"/>
      <c r="I250" s="33"/>
      <c r="J250" s="33"/>
      <c r="K250" s="33"/>
      <c r="L250" s="33"/>
      <c r="M250" s="33"/>
      <c r="O250" s="33">
        <f ca="1">IF($Q$11="ranger",INDEX('Spell Tables'!C119:C138,MATCH($Q$12,('Spell Tables'!B119:B138),0))," ")</f>
        <v>5</v>
      </c>
      <c r="P250" s="33" t="s">
        <v>1324</v>
      </c>
      <c r="Q250" s="114">
        <f ca="1">IF($Q249="x",RANDBETWEEN(1,2),IF($Q249="xx",$O$250,0))</f>
        <v>1</v>
      </c>
      <c r="R250" s="114">
        <f ca="1">IF(R249="x",RANDBETWEEN(1,2),IF(R249="xx",$O$250-Q250,0))</f>
        <v>4</v>
      </c>
      <c r="S250" s="114">
        <f ca="1">IF(S249="x",O250-SUM(Q250:R250,U177:X177),IF(S249="xx",$O$250-SUM(Q250:R250),0))</f>
        <v>0</v>
      </c>
      <c r="T250" s="114">
        <f ca="1">IF(T249="x",RANDBETWEEN(1,2),IF(T249="xx",RANDBETWEEN(2,3),0))</f>
        <v>0</v>
      </c>
    </row>
    <row r="251" spans="2:20" hidden="1" x14ac:dyDescent="0.3">
      <c r="B251" s="92" t="s">
        <v>1245</v>
      </c>
      <c r="C251" s="33"/>
      <c r="D251" s="33"/>
      <c r="E251" s="33"/>
      <c r="F251" s="33"/>
      <c r="G251" s="33"/>
      <c r="H251" s="33"/>
      <c r="I251" s="33"/>
      <c r="J251" s="33"/>
      <c r="K251" s="33"/>
      <c r="L251" s="33"/>
      <c r="M251" s="33"/>
      <c r="O251" s="33" t="s">
        <v>530</v>
      </c>
      <c r="P251" s="33" t="s">
        <v>1324</v>
      </c>
      <c r="Q251" s="114" t="str">
        <f ca="1">IF(AND($Q$11="paladin",$Q$12&gt;=5),"x",IF($Q$11="paladin","xx"," "))</f>
        <v xml:space="preserve"> </v>
      </c>
      <c r="R251" s="114" t="str">
        <f ca="1">IF(AND(Q11="paladin",Q12&gt;=9),"x",IF(AND($Q$11="paladin",$Q$12&gt;=5),"xx"," "))</f>
        <v xml:space="preserve"> </v>
      </c>
      <c r="S251" s="114" t="str">
        <f ca="1">IF(AND(Q11="paladin",Q12&gt;=13),"x",IF(AND($Q$11="paladin",$Q$12&gt;=9),"xx"," "))</f>
        <v xml:space="preserve"> </v>
      </c>
      <c r="T251" s="114" t="str">
        <f ca="1">IF(AND(Q11="paladin",Q12&gt;=17),"x",IF(AND($Q$11="paladin",$Q$12&gt;=13),"xx"," "))</f>
        <v xml:space="preserve"> </v>
      </c>
    </row>
    <row r="252" spans="2:20" hidden="1" x14ac:dyDescent="0.3">
      <c r="B252" s="92" t="s">
        <v>1244</v>
      </c>
      <c r="C252" s="33"/>
      <c r="D252" s="33"/>
      <c r="E252" s="33"/>
      <c r="F252" s="33"/>
      <c r="G252" s="33"/>
      <c r="H252" s="33"/>
      <c r="I252" s="33"/>
      <c r="J252" s="33"/>
      <c r="K252" s="33"/>
      <c r="L252" s="33"/>
      <c r="M252" s="33"/>
      <c r="O252" s="33" t="str">
        <f ca="1">IF(Q11="paladin",ROUNDDOWN(N43+(Q12*0.5),0)," ")</f>
        <v xml:space="preserve"> </v>
      </c>
      <c r="P252" s="33" t="s">
        <v>1324</v>
      </c>
      <c r="Q252" s="114">
        <f ca="1">IF($Q251="x",RANDBETWEEN(1,2),IF($Q251="xx",$O$252,0))</f>
        <v>0</v>
      </c>
      <c r="R252" s="114">
        <f ca="1">IF(R251="x",RANDBETWEEN(1,2),IF(R251="xx",$O$252-Q252,0))</f>
        <v>0</v>
      </c>
      <c r="S252" s="114">
        <f ca="1">IF(S251="x",O252-SUM(Q252:R252,U179:X179),IF(S251="xx",$O$252-SUM(Q252:R252),0))</f>
        <v>0</v>
      </c>
      <c r="T252" s="114">
        <f ca="1">IF(T251="x",RANDBETWEEN(1,2),IF(T251="xx",RANDBETWEEN(2,3),0))</f>
        <v>0</v>
      </c>
    </row>
    <row r="253" spans="2:20" hidden="1" x14ac:dyDescent="0.3">
      <c r="B253" s="92" t="s">
        <v>1226</v>
      </c>
      <c r="C253" s="33"/>
      <c r="D253" s="33"/>
      <c r="E253" s="33"/>
      <c r="F253" s="33"/>
      <c r="G253" s="33"/>
      <c r="H253" s="33"/>
      <c r="I253" s="33"/>
      <c r="J253" s="33"/>
      <c r="K253" s="33"/>
      <c r="L253" s="33"/>
      <c r="M253" s="33"/>
      <c r="O253" s="33" t="s">
        <v>530</v>
      </c>
      <c r="P253" s="33" t="s">
        <v>530</v>
      </c>
      <c r="Q253" s="114" t="str">
        <f ca="1">IF(AND(R15="eldritch knight",Q12&gt;=7),"x",IF(R15="eldritch knight","xx"," "))</f>
        <v xml:space="preserve"> </v>
      </c>
      <c r="R253" s="114" t="str">
        <f ca="1">IF(AND(R15="eldritch knight",Q12&gt;=13),"x",IF(AND(R15="eldritch knight",$Q$12&gt;=7),"xx"," "))</f>
        <v xml:space="preserve"> </v>
      </c>
      <c r="S253" s="114" t="str">
        <f ca="1">IF(AND(R15="eldritch knight",Q12&gt;=19),"x",IF(AND(R15="eldritch knight",$Q$12&gt;=13),"xx"," "))</f>
        <v xml:space="preserve"> </v>
      </c>
      <c r="T253" s="114" t="str">
        <f ca="1">IF(AND(R15="eldritch knight",$Q$12&gt;=19),"xx"," ")</f>
        <v xml:space="preserve"> </v>
      </c>
    </row>
    <row r="254" spans="2:20" hidden="1" x14ac:dyDescent="0.3">
      <c r="B254" s="92" t="s">
        <v>1222</v>
      </c>
      <c r="C254" s="33"/>
      <c r="D254" s="33"/>
      <c r="E254" s="33"/>
      <c r="F254" s="33"/>
      <c r="G254" s="33"/>
      <c r="H254" s="33"/>
      <c r="I254" s="33"/>
      <c r="J254" s="33"/>
      <c r="K254" s="33"/>
      <c r="L254" s="33"/>
      <c r="M254" s="33"/>
      <c r="O254" s="33" t="str">
        <f ca="1">IF($R$15="eldritch knight",INDEX('Spell Tables'!C70:C89,MATCH($Q$12,('Spell Tables'!A70:A89),0))," ")</f>
        <v xml:space="preserve"> </v>
      </c>
      <c r="P254" s="33">
        <f ca="1">IF($R$15="eldritch knight",INDEX('Spell Tables'!B70:B89,MATCH($Q$12,('Spell Tables'!A70:A89),0)),0)</f>
        <v>0</v>
      </c>
      <c r="Q254" s="114">
        <f ca="1">IF($Q253="x",RANDBETWEEN(2,3),IF($Q253="xx",$O$254,0))</f>
        <v>0</v>
      </c>
      <c r="R254" s="114">
        <f ca="1">IF(R253="x",RANDBETWEEN(2,3),IF(R253="xx",$O$254-Q254,0))</f>
        <v>0</v>
      </c>
      <c r="S254" s="114">
        <f ca="1">IF(S253="x",O254-SUM(Q254:R254,U181:X181),IF(S253="xx",$O$254-SUM(Q254:R254),0))</f>
        <v>0</v>
      </c>
      <c r="T254" s="114">
        <f ca="1">IF(T253="x",RANDBETWEEN(1,2),IF(T253="xx",RANDBETWEEN(2,3),0))</f>
        <v>0</v>
      </c>
    </row>
    <row r="255" spans="2:20" hidden="1" x14ac:dyDescent="0.3">
      <c r="B255" s="92" t="s">
        <v>1219</v>
      </c>
      <c r="C255" s="33"/>
      <c r="D255" s="33"/>
      <c r="E255" s="33"/>
      <c r="F255" s="33"/>
      <c r="G255" s="33"/>
      <c r="H255" s="33"/>
      <c r="I255" s="33"/>
      <c r="J255" s="33"/>
      <c r="K255" s="33"/>
      <c r="L255" s="33"/>
      <c r="M255" s="33"/>
      <c r="O255" s="33" t="s">
        <v>530</v>
      </c>
      <c r="P255" s="33" t="s">
        <v>530</v>
      </c>
      <c r="Q255" s="114" t="str">
        <f ca="1">IF(AND($Q$11="druid",$Q$12&gt;=3),"x",IF($Q$11="druid","xx"," "))</f>
        <v xml:space="preserve"> </v>
      </c>
      <c r="R255" s="114" t="str">
        <f ca="1">IF(AND($Q$11="druid",$Q$12&gt;=5),"x",IF(AND($Q$11="druid",$Q$12&gt;=3),"xx"," "))</f>
        <v xml:space="preserve"> </v>
      </c>
      <c r="S255" s="114" t="str">
        <f ca="1">IF(AND($Q$11="druid",$Q$12&gt;=7),"x",IF(AND($Q$11="druid",$Q$12&gt;=5),"xx"," "))</f>
        <v xml:space="preserve"> </v>
      </c>
      <c r="T255" s="114" t="str">
        <f ca="1">IF(AND($Q$11="druid",$Q$12&gt;=9),"x",IF(AND($Q$11="druid",$Q$12&gt;=7),"xx"," "))</f>
        <v xml:space="preserve"> </v>
      </c>
    </row>
    <row r="256" spans="2:20" hidden="1" x14ac:dyDescent="0.3">
      <c r="B256" s="92" t="s">
        <v>1220</v>
      </c>
      <c r="C256" s="33"/>
      <c r="D256" s="33"/>
      <c r="E256" s="33"/>
      <c r="F256" s="33"/>
      <c r="G256" s="33"/>
      <c r="H256" s="33"/>
      <c r="I256" s="33"/>
      <c r="J256" s="95"/>
      <c r="K256" s="95"/>
      <c r="L256" s="95"/>
      <c r="M256" s="95"/>
      <c r="O256" s="33" t="str">
        <f ca="1">IF(Q11="druid",Q12+N42," ")</f>
        <v xml:space="preserve"> </v>
      </c>
      <c r="P256" s="33">
        <f ca="1">IF($Q$11="druid",INDEX('Spell Tables'!C48:C67,MATCH($Q$12,('Spell Tables'!B48:B67),0)),0)</f>
        <v>0</v>
      </c>
      <c r="Q256" s="114">
        <f ca="1">IF($Q255="x",RANDBETWEEN(1,2),IF($Q255="xx",$O$256,0))</f>
        <v>0</v>
      </c>
      <c r="R256" s="114">
        <f ca="1">IF(R255="x",RANDBETWEEN(1,2),IF(R255="xx",$O$256-Q256,0))</f>
        <v>0</v>
      </c>
      <c r="S256" s="114">
        <f ca="1">IF(S255="x",O256-SUM(Q256:R256,U183:X183),IF(S255="xx",$O$256-SUM(Q256:R256),0))</f>
        <v>0</v>
      </c>
      <c r="T256" s="114">
        <f ca="1">IF(T255="x",RANDBETWEEN(1,2),IF(T255="xx",RANDBETWEEN(2,3),0))</f>
        <v>0</v>
      </c>
    </row>
    <row r="257" spans="2:20" hidden="1" x14ac:dyDescent="0.3">
      <c r="B257" s="92" t="s">
        <v>1143</v>
      </c>
      <c r="C257" s="33"/>
      <c r="D257" s="33"/>
      <c r="E257" s="33"/>
      <c r="F257" s="33"/>
      <c r="G257" s="33"/>
      <c r="H257" s="33"/>
      <c r="I257" s="33"/>
      <c r="J257" s="33"/>
      <c r="K257" s="33"/>
      <c r="L257" s="33"/>
      <c r="M257" s="33"/>
      <c r="O257" s="33" t="s">
        <v>530</v>
      </c>
      <c r="P257" s="33" t="s">
        <v>530</v>
      </c>
      <c r="Q257" s="114" t="str">
        <f ca="1">IF(AND(Q11="cleric",Q12&gt;=3),"x",IF(Q11="cleric","xx"," "))</f>
        <v xml:space="preserve"> </v>
      </c>
      <c r="R257" s="114" t="str">
        <f ca="1">IF(AND(Q11="cleric",Q12&gt;=5),"x",IF(AND($Q$11="cleric",$Q$12&gt;=3),"xx"," "))</f>
        <v xml:space="preserve"> </v>
      </c>
      <c r="S257" s="114" t="str">
        <f ca="1">IF(AND(Q11="cleric",Q12&gt;=7),"x",IF(AND($Q$11="cleric",$Q$12&gt;=5),"xx"," "))</f>
        <v xml:space="preserve"> </v>
      </c>
      <c r="T257" s="114" t="str">
        <f ca="1">IF(AND(Q11="cleric",Q12&gt;=9),"x",IF(AND($Q$11="cleric",$Q$12&gt;=7),"xx"," "))</f>
        <v xml:space="preserve"> </v>
      </c>
    </row>
    <row r="258" spans="2:20" hidden="1" x14ac:dyDescent="0.3">
      <c r="B258" s="92" t="s">
        <v>1142</v>
      </c>
      <c r="C258" s="33"/>
      <c r="D258" s="33"/>
      <c r="E258" s="33"/>
      <c r="F258" s="33"/>
      <c r="G258" s="33"/>
      <c r="H258" s="33"/>
      <c r="I258" s="33"/>
      <c r="J258" s="33"/>
      <c r="K258" s="33"/>
      <c r="L258" s="33"/>
      <c r="M258" s="33"/>
      <c r="O258" s="33" t="str">
        <f ca="1">IF(Q11="cleric",Q12+N42," ")</f>
        <v xml:space="preserve"> </v>
      </c>
      <c r="P258" s="33">
        <f ca="1">IF($Q$11="cleric",INDEX('Spell Tables'!C26:C45,MATCH($Q$12,('Spell Tables'!B26:B45),0)),0)</f>
        <v>0</v>
      </c>
      <c r="Q258" s="114">
        <f ca="1">IF($Q257="x",RANDBETWEEN(1,2),IF($Q257="xx",$O$258,0))</f>
        <v>0</v>
      </c>
      <c r="R258" s="114">
        <f ca="1">IF(R257="x",RANDBETWEEN(1,2),IF(R257="xx",$O$258-Q258,0))</f>
        <v>0</v>
      </c>
      <c r="S258" s="114">
        <f ca="1">IF(S257="x",O258-SUM(Q258:R258,U185:X185),IF(S257="xx",$O$258-SUM(Q258:R258),0))</f>
        <v>0</v>
      </c>
      <c r="T258" s="114">
        <f ca="1">IF(T257="x",RANDBETWEEN(1,2),IF(T257="xx",RANDBETWEEN(2,3),0))</f>
        <v>0</v>
      </c>
    </row>
    <row r="259" spans="2:20" hidden="1" x14ac:dyDescent="0.3">
      <c r="B259" s="92" t="s">
        <v>1248</v>
      </c>
      <c r="C259" s="33"/>
      <c r="D259" s="33"/>
      <c r="E259" s="33"/>
      <c r="F259" s="33"/>
      <c r="G259" s="33"/>
      <c r="H259" s="33"/>
      <c r="I259" s="33"/>
      <c r="J259" s="33"/>
      <c r="K259" s="33"/>
      <c r="L259" s="33"/>
      <c r="M259" s="33"/>
      <c r="O259" s="33" t="s">
        <v>530</v>
      </c>
      <c r="P259" s="33" t="s">
        <v>530</v>
      </c>
      <c r="Q259" s="114" t="str">
        <f ca="1">IF(AND($Q$11="bard",$Q$12&gt;=3),"x",IF($Q$11="bard","xx"," "))</f>
        <v xml:space="preserve"> </v>
      </c>
      <c r="R259" s="114" t="str">
        <f ca="1">IF(AND($Q$11="bard",$Q$12&gt;=5),"x",IF(AND($Q$11="bard",$Q$12&gt;=3),"xx"," "))</f>
        <v xml:space="preserve"> </v>
      </c>
      <c r="S259" s="114" t="str">
        <f ca="1">IF(AND($Q$11="bard",$Q$12&gt;=7),"x",IF(AND($Q$11="bard",$Q$12&gt;=5),"xx"," "))</f>
        <v xml:space="preserve"> </v>
      </c>
      <c r="T259" s="114" t="str">
        <f ca="1">IF(AND($Q$11="bard",$Q$12&gt;=9),"x",IF(AND($Q$11="bard",$Q$12&gt;=7),"xx"," "))</f>
        <v xml:space="preserve"> </v>
      </c>
    </row>
    <row r="260" spans="2:20" hidden="1" x14ac:dyDescent="0.3">
      <c r="B260" s="92" t="s">
        <v>1141</v>
      </c>
      <c r="C260" s="33"/>
      <c r="D260" s="33"/>
      <c r="E260" s="33"/>
      <c r="F260" s="33"/>
      <c r="G260" s="33"/>
      <c r="H260" s="33"/>
      <c r="I260" s="33"/>
      <c r="J260" s="33"/>
      <c r="K260" s="33"/>
      <c r="L260" s="33"/>
      <c r="M260" s="33"/>
      <c r="O260" s="33" t="str">
        <f ca="1">IF($Q$11="bard",INDEX('Spell Tables'!C$2:C$21,MATCH($Q$12,('Spell Tables'!$A$2:$A$21),0))," ")</f>
        <v xml:space="preserve"> </v>
      </c>
      <c r="P260" s="33">
        <f ca="1">IF($Q$11="bard",INDEX('Spell Tables'!B2:B21,MATCH($Q$12,('Spell Tables'!A2:A21),0)),0)</f>
        <v>0</v>
      </c>
      <c r="Q260" s="114">
        <f ca="1">IF($Q259="x",RANDBETWEEN(1,2),IF($Q259="xx",$O$260,0))</f>
        <v>0</v>
      </c>
      <c r="R260" s="114">
        <f ca="1">IF(R259="x",RANDBETWEEN(1,2),IF(R259="xx",$O$260-Q260,0))</f>
        <v>0</v>
      </c>
      <c r="S260" s="114">
        <f ca="1">IF(S259="x",O260-SUM(Q260:R260,U187:X187),IF(S259="xx",$O$260-SUM(Q260:R260),0))</f>
        <v>0</v>
      </c>
      <c r="T260" s="114">
        <f ca="1">IF(T259="x",RANDBETWEEN(1,2),IF(T259="xx",RANDBETWEEN(2,3),0))</f>
        <v>0</v>
      </c>
    </row>
    <row r="261" spans="2:20" x14ac:dyDescent="0.3">
      <c r="B261" s="92" t="s">
        <v>1122</v>
      </c>
      <c r="C261" s="33"/>
      <c r="D261" s="33"/>
      <c r="E261" s="33"/>
      <c r="F261" s="33"/>
      <c r="G261" s="33"/>
      <c r="H261" s="33"/>
      <c r="I261" s="33"/>
      <c r="J261" s="33"/>
      <c r="K261" s="33"/>
      <c r="L261" s="33"/>
      <c r="M261" s="33"/>
      <c r="O261" s="33"/>
      <c r="P261" s="92" t="s">
        <v>1124</v>
      </c>
      <c r="Q261" s="92" t="s">
        <v>746</v>
      </c>
      <c r="R261" s="92" t="s">
        <v>747</v>
      </c>
      <c r="S261" s="92" t="s">
        <v>748</v>
      </c>
      <c r="T261" s="92" t="s">
        <v>749</v>
      </c>
    </row>
    <row r="262" spans="2:20" x14ac:dyDescent="0.3">
      <c r="B262" s="33">
        <f ca="1">IF(OR(Q11="bard",Q11="paladin",Q11="sorcerer",Q11="warlock"),8+$P$8+$N$43,IF(OR(Q11="druid",Q11="cleric",Q11="ranger"),8+P8+N42,IF(OR(R15="eldritch knight",R15="arcane trickster",Q11="wizard"),8+P8+N41," ")))</f>
        <v>14</v>
      </c>
      <c r="C262" s="33"/>
      <c r="D262" s="33"/>
      <c r="E262" s="33"/>
      <c r="F262" s="33"/>
      <c r="G262" s="33"/>
      <c r="H262" s="33"/>
      <c r="I262" s="33"/>
      <c r="J262" s="33"/>
      <c r="K262" s="33"/>
      <c r="L262" s="33"/>
      <c r="M262" s="33"/>
      <c r="O262" s="34">
        <v>1</v>
      </c>
      <c r="P262" s="33" t="str">
        <f ca="1">IF(P$242&gt;=O193,INDEX('Spell Tables'!$P$242:$P$257,MATCH(O193,('Spell Tables'!$N$242:$N$257),0)),IF(P$244&gt;=O193,INDEX('Spell Tables'!$P$194:$P$201,MATCH(O193,('Spell Tables'!$N$194:$N$201),0)),IF(P$246&gt;=O193,INDEX('Spell Tables'!$P$168:$P$183,MATCH(O193,('Spell Tables'!$N$168:$N$183),0)),IF(P$248&gt;=O193,INDEX('Spell Tables'!$P$141:$P$156,MATCH(O193,('Spell Tables'!$N$141:$N$157),0)),IF(P$254&gt;=O193,INDEX('Spell Tables'!$P$70:$P$83,MATCH(O193,('Spell Tables'!$N$70:$N$83),0)),IF(P$256&gt;=O193,INDEX('Spell Tables'!$P$48:$P$55,MATCH(O193,('Spell Tables'!$N$48:$N$55),0)),IF(P$258&gt;=O193,INDEX('Spell Tables'!$P$26:$P$32,MATCH(O193,('Spell Tables'!$N$26:$N$32),0)),IF(P$260&gt;=O193,INDEX('Spell Tables'!$P$2:$P$12,MATCH(O193,('Spell Tables'!$N$2:$N$12),0))," "))))))))</f>
        <v xml:space="preserve"> </v>
      </c>
      <c r="Q262" s="33" t="str">
        <f ca="1">IF(AND($Q$15="Otherworldly patron - great old one",Q$244&gt;=O193),INDEX('Spell Tables'!$T$226:$T$238,MATCH(O193,('Spell Tables'!$R$226:$R$238),0)),IF(AND($Q$15="Otherworldly patron - fiend",Q$244&gt;=O193),INDEX('Spell Tables'!$T$210:$T$222,MATCH(O193,('Spell Tables'!$R$210:$R$222),0)),IF(Q$242&gt;=O193,INDEX($AL$44:$AL$53,MATCH(O193,($AJ$44:$AJ$53),0)),IF(AND($Q$15="Otherworldly patron - archfey",Q$244&gt;=O193),INDEX('Spell Tables'!T$206:$T294,MATCH(O193,('Spell Tables'!$R$194:$R$206),0)),IF(Q$246&gt;=O193,INDEX('Spell Tables'!T268:T287,MATCH(O193,('Spell Tables'!$R$168:$R$187),0)),IF(Q$248&gt;=O193,INDEX('Spell Tables'!T241:T247,MATCH(O193,('Spell Tables'!$R$141:$R$147),0)),IF(Q$250&gt;=O193,INDEX('Spell Tables'!$P$119:$P$131,MATCH(O193,('Spell Tables'!$N$119:$N$131),0)),IF(Q$252&gt;=O193,INDEX('Spell Tables'!$P$97:$P$111,MATCH(O193,('Spell Tables'!$N$97:$N$111),0)),IF(Q$254&gt;=O193,INDEX('Spell Tables'!$T$70:$T$78,MATCH(O193,('Spell Tables'!$R$70:$R$78),0)),IF(Q$256&gt;=O193,INDEX('Spell Tables'!$T$48:$T$63,MATCH(O193,('Spell Tables'!$R$48:$R$63),0)),IF(Q$258&gt;=O193,INDEX('Spell Tables'!$T$26:$T$40,MATCH(O193,('Spell Tables'!$R$26:$R$40),0)),IF(Q$260&gt;=O193,INDEX('Spell Tables'!$T$2:$T$22,MATCH(O193,('Spell Tables'!$R$2:$R$22),0))," "))))))))))))</f>
        <v>Detect Magic</v>
      </c>
      <c r="R262" s="33" t="str">
        <f ca="1">IF(AND($Q$15="Otherworldly patron - great old one",R$244&gt;=O193),INDEX('Spell Tables'!$X$226:$X$239,MATCH(O193,('Spell Tables'!$V$226:$V$239),0)),IF(AND($Q$15="Otherworldly patron - fiend",R$244&gt;=O193),INDEX('Spell Tables'!$X$210:$X$223,MATCH(O193,('Spell Tables'!$V$210:$V$223),0)),IF(AND($Q$15="Otherworldly patron - archfey",R$244&gt;=O193),INDEX('Spell Tables'!$X$194:$X$207,MATCH(O193,('Spell Tables'!$V$194:$V$207),0)),IF($R$242&gt;=O193,INDEX($AL$56:$AL$65,MATCH(O193,($AJ$56:$AJ$65),0)),IF($R$246&gt;=O193,INDEX('Spell Tables'!$X$168:$X$191,MATCH(O193,('Spell Tables'!$V$168:$V$191),0)),IF($R$248&gt;=O193,INDEX('Spell Tables'!$AB$141:$AB$149,MATCH(O193,('Spell Tables'!$Z$141:$Z$149),0)),IF($R$250&gt;=O193,INDEX('Spell Tables'!T219:T231,MATCH(O193,('Spell Tables'!$R$119:$R$131),0)),IF($R$252&gt;=O193,INDEX('Spell Tables'!$T$97:T204,MATCH(O193,('Spell Tables'!$R$97:$R$104),0)),IF($R$254&gt;=O193,INDEX('Spell Tables'!$AB$70:$AB$75,MATCH(O193,('Spell Tables'!$Z$70:$Z$75),0)),IF($R$256&gt;=O193,INDEX('Spell Tables'!$X$48:$X$65,MATCH(O193,('Spell Tables'!$V$48:$V$65),0)),IF($R$258&gt;=O193,INDEX('Spell Tables'!$X$26:$X$42,MATCH(O193,('Spell Tables'!$V$26:$V$42),0)),IF($R$260&gt;=O193,INDEX('Spell Tables'!$X$2:$X$23,MATCH(O193,('Spell Tables'!$V$2:$V$23),0))," "))))))))))))</f>
        <v>Arms of Hadar</v>
      </c>
      <c r="S262" s="33" t="str">
        <f ca="1">IF(AND($Q$15="Otherworldly patron - great old one",S$244&gt;=O193),INDEX('Spell Tables'!$AB$226:$AB$238,MATCH(O193,('Spell Tables'!$Z$226:$Z$238),0)),IF(AND($Q$15="Otherworldly patron - fiend",S$244&gt;=O193),INDEX('Spell Tables'!$AB$210:$AB$222,MATCH(O193,('Spell Tables'!$Z$210:$Z$222),0)),IF(AND($Q$15="Otherworldly patron - archfey",S$244&gt;=O193),INDEX('Spell Tables'!$AB$194:$AB$206,MATCH(O193,('Spell Tables'!$Z$194:$Z$206),0)),IF($S$242&gt;=O193,INDEX($AL$68:$AL$77,MATCH(O193,($AJ$68:$AJ$77),0)),IF($S$246&gt;=O193,INDEX('Spell Tables'!$AB$168:$AB$187,MATCH(O193,('Spell Tables'!$Z$168:$Z$187),0)),IF($S$248&gt;=O193,INDEX('Spell Tables'!$AJ$141:$AJ$144,MATCH(O193,('Spell Tables'!$AH$141:$AH$144),0)),IF($S$250&gt;=O193,INDEX('Spell Tables'!$X$119:$X$129,MATCH(O193,('Spell Tables'!$V$119:$V$129),0)),IF($S$252&gt;=O193,INDEX('Spell Tables'!$X$97:$X$106,MATCH(O193,('Spell Tables'!$V$97:$V$106),0)),IF($S$254&gt;=O193,INDEX('Spell Tables'!$AJ$70:$AJ$79,MATCH(O193,('Spell Tables'!$AH$70:$AH$79),0)),IF($S$256&gt;=O193,INDEX('Spell Tables'!$AB$48:$AB$60,MATCH(O193,('Spell Tables'!$Z$48:$Z$60),0)),IF($S$258&gt;=O193,INDEX('Spell Tables'!$AB$26:$AB$45,MATCH(O193,('Spell Tables'!$Z$26:$Z$45),0)),IF($S$260&gt;=O193,INDEX('Spell Tables'!$AB$2:$AB$17,MATCH(O193,('Spell Tables'!$Z$2:$Z$17),0))," "))))))))))))</f>
        <v xml:space="preserve"> </v>
      </c>
      <c r="T262" s="33" t="str">
        <f ca="1">IF(AND($Q$15="Otherworldly patron - great old one",T$244&gt;=O193),INDEX('Spell Tables'!$AF$226:$AF$231,MATCH(O193,('Spell Tables'!$AD$226:$AD$231),0)),IF(AND($Q$15="Otherworldly patron - fiend",T$244&gt;=O193),INDEX('Spell Tables'!$AF$210:$AF$215,MATCH(O193,('Spell Tables'!$AD$210:$AD$215),0)),IF(AND($Q$15="Otherworldly patron - archfey",T$244&gt;=O193),INDEX('Spell Tables'!$AF$194:$AF$199,MATCH(O193,('Spell Tables'!$AD$194:$AD$199),0)),IF($T$242&gt;=O193,INDEX($AL$80:$AL$89,MATCH(O193,($AJ$80:$AJ$89),0)),IF($T$246&gt;=O193,INDEX('Spell Tables'!$AF$168:$AF$177,MATCH(O193,('Spell Tables'!$AD$168:$AD$177),0)),IF($T$248&gt;=O193,INDEX('Spell Tables'!$AR$141:$AR$144,MATCH(O193,('Spell Tables'!$AP$141:$AP$144),0)),IF($T$250&gt;=O193,INDEX('Spell Tables'!$AB$119:$AB$123,MATCH(O193,('Spell Tables'!$Z$119:$Z$123),0)),IF($T$252&gt;=O193,INDEX('Spell Tables'!$AB$97:$AB$102,MATCH(O193,('Spell Tables'!$Z$97:$Z$102),0)),IF($T$254&gt;=O193,INDEX('Spell Tables'!$AR$70:$AR$75,MATCH(O193,('Spell Tables'!$AP$70:$AP$75),0)),IF($T$256&gt;=O193,INDEX('Spell Tables'!$AF$48:$AF$63,MATCH(O193,('Spell Tables'!$AD$48:$AD$63),0)),IF($T$258&gt;=O193,INDEX('Spell Tables'!$AF$26:$AF$33,MATCH(O193,('Spell Tables'!$AD$26:$AD$33),0)),IF($T$260&gt;=O193,INDEX('Spell Tables'!$AF$2:$AF$9,MATCH(O193,('Spell Tables'!$AD$2:$AD$9),0))," "))))))))))))</f>
        <v xml:space="preserve"> </v>
      </c>
    </row>
    <row r="263" spans="2:20" x14ac:dyDescent="0.3">
      <c r="B263" s="92" t="s">
        <v>1123</v>
      </c>
      <c r="C263" s="33"/>
      <c r="D263" s="33"/>
      <c r="E263" s="33"/>
      <c r="F263" s="33"/>
      <c r="G263" s="33"/>
      <c r="H263" s="33"/>
      <c r="I263" s="33"/>
      <c r="J263" s="33"/>
      <c r="K263" s="33"/>
      <c r="L263" s="33"/>
      <c r="M263" s="33"/>
      <c r="O263" s="34">
        <v>2</v>
      </c>
      <c r="P263" s="33" t="str">
        <f ca="1">IF(P$242&gt;=O194,INDEX('Spell Tables'!$P$242:$P$257,MATCH(O194,('Spell Tables'!$N$242:$N$257),0)),IF(P$244&gt;=O194,INDEX('Spell Tables'!$P$194:$P$201,MATCH(O194,('Spell Tables'!$N$194:$N$201),0)),IF(P$246&gt;=O194,INDEX('Spell Tables'!$P$168:$P$183,MATCH(O194,('Spell Tables'!$N$168:$N$183),0)),IF(P$248&gt;=O194,INDEX('Spell Tables'!$P$141:$P$156,MATCH(O194,('Spell Tables'!$N$141:$N$157),0)),IF(P$254&gt;=O194,INDEX('Spell Tables'!$P$70:$P$83,MATCH(O194,('Spell Tables'!$N$70:$N$83),0)),IF(P$256&gt;=O194,INDEX('Spell Tables'!$P$48:$P$55,MATCH(O194,('Spell Tables'!$N$48:$N$55),0)),IF(P$258&gt;=O194,INDEX('Spell Tables'!$P$26:$P$32,MATCH(O194,('Spell Tables'!$N$26:$N$32),0)),IF(P$260&gt;=O194,INDEX('Spell Tables'!$P$2:$P$12,MATCH(O194,('Spell Tables'!$N$2:$N$12),0))," "))))))))</f>
        <v xml:space="preserve"> </v>
      </c>
      <c r="Q263" s="33" t="str">
        <f ca="1">IF(AND($Q$15="Otherworldly patron - great old one",Q$244&gt;=O194),INDEX('Spell Tables'!$T$226:$T$238,MATCH(O194,('Spell Tables'!$R$226:$R$238),0)),IF(AND($Q$15="Otherworldly patron - fiend",Q$244&gt;=O194),INDEX('Spell Tables'!$T$210:$T$222,MATCH(O194,('Spell Tables'!$R$210:$R$222),0)),IF(Q$242&gt;=O194,INDEX($AL$44:$AL$53,MATCH(O194,($AJ$44:$AJ$53),0)),IF(AND($Q$15="Otherworldly patron - archfey",Q$244&gt;=O194),INDEX('Spell Tables'!T$206:$T295,MATCH(O194,('Spell Tables'!$R$194:$R$206),0)),IF(Q$246&gt;=O194,INDEX('Spell Tables'!T269:T288,MATCH(O194,('Spell Tables'!$R$168:$R$187),0)),IF(Q$248&gt;=O194,INDEX('Spell Tables'!T242:T248,MATCH(O194,('Spell Tables'!$R$141:$R$147),0)),IF(Q$250&gt;=O194,INDEX('Spell Tables'!$P$119:$P$131,MATCH(O194,('Spell Tables'!$N$119:$N$131),0)),IF(Q$252&gt;=O194,INDEX('Spell Tables'!$P$97:$P$111,MATCH(O194,('Spell Tables'!$N$97:$N$111),0)),IF(Q$254&gt;=O194,INDEX('Spell Tables'!$T$70:$T$78,MATCH(O194,('Spell Tables'!$R$70:$R$78),0)),IF(Q$256&gt;=O194,INDEX('Spell Tables'!$T$48:$T$63,MATCH(O194,('Spell Tables'!$R$48:$R$63),0)),IF(Q$258&gt;=O194,INDEX('Spell Tables'!$T$26:$T$40,MATCH(O194,('Spell Tables'!$R$26:$R$40),0)),IF(Q$260&gt;=O194,INDEX('Spell Tables'!$T$2:$T$22,MATCH(O194,('Spell Tables'!$R$2:$R$22),0))," "))))))))))))</f>
        <v xml:space="preserve"> </v>
      </c>
      <c r="R263" s="33" t="str">
        <f ca="1">IF(AND($Q$15="Otherworldly patron - great old one",R$244&gt;=O194),INDEX('Spell Tables'!$X$226:$X$239,MATCH(O194,('Spell Tables'!$V$226:$V$239),0)),IF(AND($Q$15="Otherworldly patron - fiend",R$244&gt;=O194),INDEX('Spell Tables'!$X$210:$X$223,MATCH(O194,('Spell Tables'!$V$210:$V$223),0)),IF(AND($Q$15="Otherworldly patron - archfey",R$244&gt;=O194),INDEX('Spell Tables'!$X$194:$X$207,MATCH(O194,('Spell Tables'!$V$194:$V$207),0)),IF($R$242&gt;=O194,INDEX($AL$56:$AL$65,MATCH(O194,($AJ$56:$AJ$65),0)),IF($R$246&gt;=O194,INDEX('Spell Tables'!$X$168:$X$191,MATCH(O194,('Spell Tables'!$V$168:$V$191),0)),IF($R$248&gt;=O194,INDEX('Spell Tables'!$AB$141:$AB$149,MATCH(O194,('Spell Tables'!$Z$141:$Z$149),0)),IF($R$250&gt;=O194,INDEX('Spell Tables'!T220:T232,MATCH(O194,('Spell Tables'!$R$119:$R$131),0)),IF($R$252&gt;=O194,INDEX('Spell Tables'!$T$97:T205,MATCH(O194,('Spell Tables'!$R$97:$R$104),0)),IF($R$254&gt;=O194,INDEX('Spell Tables'!$AB$70:$AB$75,MATCH(O194,('Spell Tables'!$Z$70:$Z$75),0)),IF($R$256&gt;=O194,INDEX('Spell Tables'!$X$48:$X$65,MATCH(O194,('Spell Tables'!$V$48:$V$65),0)),IF($R$258&gt;=O194,INDEX('Spell Tables'!$X$26:$X$42,MATCH(O194,('Spell Tables'!$V$26:$V$42),0)),IF($R$260&gt;=O194,INDEX('Spell Tables'!$X$2:$X$23,MATCH(O194,('Spell Tables'!$V$2:$V$23),0))," "))))))))))))</f>
        <v>Witch Bolt</v>
      </c>
      <c r="S263" s="33" t="str">
        <f ca="1">IF(AND($Q$15="Otherworldly patron - great old one",S$244&gt;=O194),INDEX('Spell Tables'!$AB$226:$AB$238,MATCH(O194,('Spell Tables'!$Z$226:$Z$238),0)),IF(AND($Q$15="Otherworldly patron - fiend",S$244&gt;=O194),INDEX('Spell Tables'!$AB$210:$AB$222,MATCH(O194,('Spell Tables'!$Z$210:$Z$222),0)),IF(AND($Q$15="Otherworldly patron - archfey",S$244&gt;=O194),INDEX('Spell Tables'!$AB$194:$AB$206,MATCH(O194,('Spell Tables'!$Z$194:$Z$206),0)),IF($S$242&gt;=O194,INDEX($AL$68:$AL$77,MATCH(O194,($AJ$68:$AJ$77),0)),IF($S$246&gt;=O194,INDEX('Spell Tables'!$AB$168:$AB$187,MATCH(O194,('Spell Tables'!$Z$168:$Z$187),0)),IF($S$248&gt;=O194,INDEX('Spell Tables'!$AJ$141:$AJ$144,MATCH(O194,('Spell Tables'!$AH$141:$AH$144),0)),IF($S$250&gt;=O194,INDEX('Spell Tables'!$X$119:$X$129,MATCH(O194,('Spell Tables'!$V$119:$V$129),0)),IF($S$252&gt;=O194,INDEX('Spell Tables'!$X$97:$X$106,MATCH(O194,('Spell Tables'!$V$97:$V$106),0)),IF($S$254&gt;=O194,INDEX('Spell Tables'!$AJ$70:$AJ$79,MATCH(O194,('Spell Tables'!$AH$70:$AH$79),0)),IF($S$256&gt;=O194,INDEX('Spell Tables'!$AB$48:$AB$60,MATCH(O194,('Spell Tables'!$Z$48:$Z$60),0)),IF($S$258&gt;=O194,INDEX('Spell Tables'!$AB$26:$AB$45,MATCH(O194,('Spell Tables'!$Z$26:$Z$45),0)),IF($S$260&gt;=O194,INDEX('Spell Tables'!$AB$2:$AB$17,MATCH(O194,('Spell Tables'!$Z$2:$Z$17),0))," "))))))))))))</f>
        <v xml:space="preserve"> </v>
      </c>
      <c r="T263" s="33" t="str">
        <f ca="1">IF(AND($Q$15="Otherworldly patron - great old one",T$244&gt;=O194),INDEX('Spell Tables'!$AF$226:$AF$231,MATCH(O194,('Spell Tables'!$AD$226:$AD$231),0)),IF(AND($Q$15="Otherworldly patron - fiend",T$244&gt;=O194),INDEX('Spell Tables'!$AF$210:$AF$215,MATCH(O194,('Spell Tables'!$AD$210:$AD$215),0)),IF(AND($Q$15="Otherworldly patron - archfey",T$244&gt;=O194),INDEX('Spell Tables'!$AF$194:$AF$199,MATCH(O194,('Spell Tables'!$AD$194:$AD$199),0)),IF($T$242&gt;=O194,INDEX($AL$80:$AL$89,MATCH(O194,($AJ$80:$AJ$89),0)),IF($T$246&gt;=O194,INDEX('Spell Tables'!$AF$168:$AF$177,MATCH(O194,('Spell Tables'!$AD$168:$AD$177),0)),IF($T$248&gt;=O194,INDEX('Spell Tables'!$AR$141:$AR$144,MATCH(O194,('Spell Tables'!$AP$141:$AP$144),0)),IF($T$250&gt;=O194,INDEX('Spell Tables'!$AB$119:$AB$123,MATCH(O194,('Spell Tables'!$Z$119:$Z$123),0)),IF($T$252&gt;=O194,INDEX('Spell Tables'!$AB$97:$AB$102,MATCH(O194,('Spell Tables'!$Z$97:$Z$102),0)),IF($T$254&gt;=O194,INDEX('Spell Tables'!$AR$70:$AR$75,MATCH(O194,('Spell Tables'!$AP$70:$AP$75),0)),IF($T$256&gt;=O194,INDEX('Spell Tables'!$AF$48:$AF$63,MATCH(O194,('Spell Tables'!$AD$48:$AD$63),0)),IF($T$258&gt;=O194,INDEX('Spell Tables'!$AF$26:$AF$33,MATCH(O194,('Spell Tables'!$AD$26:$AD$33),0)),IF($T$260&gt;=O194,INDEX('Spell Tables'!$AF$2:$AF$9,MATCH(O194,('Spell Tables'!$AD$2:$AD$9),0))," "))))))))))))</f>
        <v xml:space="preserve"> </v>
      </c>
    </row>
    <row r="264" spans="2:20" x14ac:dyDescent="0.3">
      <c r="B264" s="33">
        <f ca="1">IF(OR(Q11="bard",Q11="paladin",Q11="sorcerer",Q11="warlock"),P8+$N$43,IF(OR(Q11="druid",Q11="cleric",Q11="ranger"),P8+N42,IF(OR(R15="eldritch knight",R15="arcane trickster",Q11="wizard"),P8+N41," ")))</f>
        <v>6</v>
      </c>
      <c r="C264" s="33"/>
      <c r="D264" s="33"/>
      <c r="E264" s="33"/>
      <c r="F264" s="33"/>
      <c r="G264" s="33"/>
      <c r="H264" s="33"/>
      <c r="I264" s="33"/>
      <c r="J264" s="33"/>
      <c r="K264" s="33"/>
      <c r="L264" s="33"/>
      <c r="M264" s="33"/>
      <c r="O264" s="34">
        <v>3</v>
      </c>
      <c r="P264" s="33" t="str">
        <f ca="1">IF(P$242&gt;=O195,INDEX('Spell Tables'!$P$242:$P$257,MATCH(O195,('Spell Tables'!$N$242:$N$257),0)),IF(P$244&gt;=O195,INDEX('Spell Tables'!$P$194:$P$201,MATCH(O195,('Spell Tables'!$N$194:$N$201),0)),IF(P$246&gt;=O195,INDEX('Spell Tables'!$P$168:$P$183,MATCH(O195,('Spell Tables'!$N$168:$N$183),0)),IF(P$248&gt;=O195,INDEX('Spell Tables'!$P$141:$P$156,MATCH(O195,('Spell Tables'!$N$141:$N$157),0)),IF(P$254&gt;=O195,INDEX('Spell Tables'!$P$70:$P$83,MATCH(O195,('Spell Tables'!$N$70:$N$83),0)),IF(P$256&gt;=O195,INDEX('Spell Tables'!$P$48:$P$55,MATCH(O195,('Spell Tables'!$N$48:$N$55),0)),IF(P$258&gt;=O195,INDEX('Spell Tables'!$P$26:$P$32,MATCH(O195,('Spell Tables'!$N$26:$N$32),0)),IF(P$260&gt;=O195,INDEX('Spell Tables'!$P$2:$P$12,MATCH(O195,('Spell Tables'!$N$2:$N$12),0))," "))))))))</f>
        <v xml:space="preserve"> </v>
      </c>
      <c r="Q264" s="33" t="str">
        <f ca="1">IF(AND($Q$15="Otherworldly patron - great old one",Q$244&gt;=O195),INDEX('Spell Tables'!$T$226:$T$238,MATCH(O195,('Spell Tables'!$R$226:$R$238),0)),IF(AND($Q$15="Otherworldly patron - fiend",Q$244&gt;=O195),INDEX('Spell Tables'!$T$210:$T$222,MATCH(O195,('Spell Tables'!$R$210:$R$222),0)),IF(Q$242&gt;=O195,INDEX($AL$44:$AL$53,MATCH(O195,($AJ$44:$AJ$53),0)),IF(AND($Q$15="Otherworldly patron - archfey",Q$244&gt;=O195),INDEX('Spell Tables'!T$206:$T296,MATCH(O195,('Spell Tables'!$R$194:$R$206),0)),IF(Q$246&gt;=O195,INDEX('Spell Tables'!T270:T289,MATCH(O195,('Spell Tables'!$R$168:$R$187),0)),IF(Q$248&gt;=O195,INDEX('Spell Tables'!T243:T249,MATCH(O195,('Spell Tables'!$R$141:$R$147),0)),IF(Q$250&gt;=O195,INDEX('Spell Tables'!$P$119:$P$131,MATCH(O195,('Spell Tables'!$N$119:$N$131),0)),IF(Q$252&gt;=O195,INDEX('Spell Tables'!$P$97:$P$111,MATCH(O195,('Spell Tables'!$N$97:$N$111),0)),IF(Q$254&gt;=O195,INDEX('Spell Tables'!$T$70:$T$78,MATCH(O195,('Spell Tables'!$R$70:$R$78),0)),IF(Q$256&gt;=O195,INDEX('Spell Tables'!$T$48:$T$63,MATCH(O195,('Spell Tables'!$R$48:$R$63),0)),IF(Q$258&gt;=O195,INDEX('Spell Tables'!$T$26:$T$40,MATCH(O195,('Spell Tables'!$R$26:$R$40),0)),IF(Q$260&gt;=O195,INDEX('Spell Tables'!$T$2:$T$22,MATCH(O195,('Spell Tables'!$R$2:$R$22),0))," "))))))))))))</f>
        <v xml:space="preserve"> </v>
      </c>
      <c r="R264" s="33" t="str">
        <f ca="1">IF(AND($Q$15="Otherworldly patron - great old one",R$244&gt;=O195),INDEX('Spell Tables'!$X$226:$X$239,MATCH(O195,('Spell Tables'!$V$226:$V$239),0)),IF(AND($Q$15="Otherworldly patron - fiend",R$244&gt;=O195),INDEX('Spell Tables'!$X$210:$X$223,MATCH(O195,('Spell Tables'!$V$210:$V$223),0)),IF(AND($Q$15="Otherworldly patron - archfey",R$244&gt;=O195),INDEX('Spell Tables'!$X$194:$X$207,MATCH(O195,('Spell Tables'!$V$194:$V$207),0)),IF($R$242&gt;=O195,INDEX($AL$56:$AL$65,MATCH(O195,($AJ$56:$AJ$65),0)),IF($R$246&gt;=O195,INDEX('Spell Tables'!$X$168:$X$191,MATCH(O195,('Spell Tables'!$V$168:$V$191),0)),IF($R$248&gt;=O195,INDEX('Spell Tables'!$AB$141:$AB$149,MATCH(O195,('Spell Tables'!$Z$141:$Z$149),0)),IF($R$250&gt;=O195,INDEX('Spell Tables'!T221:T233,MATCH(O195,('Spell Tables'!$R$119:$R$131),0)),IF($R$252&gt;=O195,INDEX('Spell Tables'!$T$97:T206,MATCH(O195,('Spell Tables'!$R$97:$R$104),0)),IF($R$254&gt;=O195,INDEX('Spell Tables'!$AB$70:$AB$75,MATCH(O195,('Spell Tables'!$Z$70:$Z$75),0)),IF($R$256&gt;=O195,INDEX('Spell Tables'!$X$48:$X$65,MATCH(O195,('Spell Tables'!$V$48:$V$65),0)),IF($R$258&gt;=O195,INDEX('Spell Tables'!$X$26:$X$42,MATCH(O195,('Spell Tables'!$V$26:$V$42),0)),IF($R$260&gt;=O195,INDEX('Spell Tables'!$X$2:$X$23,MATCH(O195,('Spell Tables'!$V$2:$V$23),0))," "))))))))))))</f>
        <v>Illusory Script</v>
      </c>
      <c r="S264" s="33" t="str">
        <f ca="1">IF(AND($Q$15="Otherworldly patron - great old one",S$244&gt;=O195),INDEX('Spell Tables'!$AB$226:$AB$238,MATCH(O195,('Spell Tables'!$Z$226:$Z$238),0)),IF(AND($Q$15="Otherworldly patron - fiend",S$244&gt;=O195),INDEX('Spell Tables'!$AB$210:$AB$222,MATCH(O195,('Spell Tables'!$Z$210:$Z$222),0)),IF(AND($Q$15="Otherworldly patron - archfey",S$244&gt;=O195),INDEX('Spell Tables'!$AB$194:$AB$206,MATCH(O195,('Spell Tables'!$Z$194:$Z$206),0)),IF($S$242&gt;=O195,INDEX($AL$68:$AL$77,MATCH(O195,($AJ$68:$AJ$77),0)),IF($S$246&gt;=O195,INDEX('Spell Tables'!$AB$168:$AB$187,MATCH(O195,('Spell Tables'!$Z$168:$Z$187),0)),IF($S$248&gt;=O195,INDEX('Spell Tables'!$AJ$141:$AJ$144,MATCH(O195,('Spell Tables'!$AH$141:$AH$144),0)),IF($S$250&gt;=O195,INDEX('Spell Tables'!$X$119:$X$129,MATCH(O195,('Spell Tables'!$V$119:$V$129),0)),IF($S$252&gt;=O195,INDEX('Spell Tables'!$X$97:$X$106,MATCH(O195,('Spell Tables'!$V$97:$V$106),0)),IF($S$254&gt;=O195,INDEX('Spell Tables'!$AJ$70:$AJ$79,MATCH(O195,('Spell Tables'!$AH$70:$AH$79),0)),IF($S$256&gt;=O195,INDEX('Spell Tables'!$AB$48:$AB$60,MATCH(O195,('Spell Tables'!$Z$48:$Z$60),0)),IF($S$258&gt;=O195,INDEX('Spell Tables'!$AB$26:$AB$45,MATCH(O195,('Spell Tables'!$Z$26:$Z$45),0)),IF($S$260&gt;=O195,INDEX('Spell Tables'!$AB$2:$AB$17,MATCH(O195,('Spell Tables'!$Z$2:$Z$17),0))," "))))))))))))</f>
        <v xml:space="preserve"> </v>
      </c>
      <c r="T264" s="33" t="str">
        <f ca="1">IF(AND($Q$15="Otherworldly patron - great old one",T$244&gt;=O195),INDEX('Spell Tables'!$AF$226:$AF$231,MATCH(O195,('Spell Tables'!$AD$226:$AD$231),0)),IF(AND($Q$15="Otherworldly patron - fiend",T$244&gt;=O195),INDEX('Spell Tables'!$AF$210:$AF$215,MATCH(O195,('Spell Tables'!$AD$210:$AD$215),0)),IF(AND($Q$15="Otherworldly patron - archfey",T$244&gt;=O195),INDEX('Spell Tables'!$AF$194:$AF$199,MATCH(O195,('Spell Tables'!$AD$194:$AD$199),0)),IF($T$242&gt;=O195,INDEX($AL$80:$AL$89,MATCH(O195,($AJ$80:$AJ$89),0)),IF($T$246&gt;=O195,INDEX('Spell Tables'!$AF$168:$AF$177,MATCH(O195,('Spell Tables'!$AD$168:$AD$177),0)),IF($T$248&gt;=O195,INDEX('Spell Tables'!$AR$141:$AR$144,MATCH(O195,('Spell Tables'!$AP$141:$AP$144),0)),IF($T$250&gt;=O195,INDEX('Spell Tables'!$AB$119:$AB$123,MATCH(O195,('Spell Tables'!$Z$119:$Z$123),0)),IF($T$252&gt;=O195,INDEX('Spell Tables'!$AB$97:$AB$102,MATCH(O195,('Spell Tables'!$Z$97:$Z$102),0)),IF($T$254&gt;=O195,INDEX('Spell Tables'!$AR$70:$AR$75,MATCH(O195,('Spell Tables'!$AP$70:$AP$75),0)),IF($T$256&gt;=O195,INDEX('Spell Tables'!$AF$48:$AF$63,MATCH(O195,('Spell Tables'!$AD$48:$AD$63),0)),IF($T$258&gt;=O195,INDEX('Spell Tables'!$AF$26:$AF$33,MATCH(O195,('Spell Tables'!$AD$26:$AD$33),0)),IF($T$260&gt;=O195,INDEX('Spell Tables'!$AF$2:$AF$9,MATCH(O195,('Spell Tables'!$AD$2:$AD$9),0))," "))))))))))))</f>
        <v xml:space="preserve"> </v>
      </c>
    </row>
    <row r="265" spans="2:20" x14ac:dyDescent="0.3">
      <c r="C265" s="33"/>
      <c r="D265" s="33"/>
      <c r="E265" s="33"/>
      <c r="F265" s="33"/>
      <c r="G265" s="33"/>
      <c r="H265" s="33"/>
      <c r="I265" s="33"/>
      <c r="J265" s="33"/>
      <c r="K265" s="33"/>
      <c r="L265" s="33"/>
      <c r="M265" s="33"/>
      <c r="O265" s="34">
        <v>4</v>
      </c>
      <c r="P265" s="33" t="str">
        <f ca="1">IF(P$242&gt;=O196,INDEX('Spell Tables'!$P$242:$P$257,MATCH(O196,('Spell Tables'!$N$242:$N$257),0)),IF(P$244&gt;=O196,INDEX('Spell Tables'!$P$194:$P$201,MATCH(O196,('Spell Tables'!$N$194:$N$201),0)),IF(P$246&gt;=O196,INDEX('Spell Tables'!$P$168:$P$183,MATCH(O196,('Spell Tables'!$N$168:$N$183),0)),IF(P$248&gt;=O196,INDEX('Spell Tables'!$P$141:$P$156,MATCH(O196,('Spell Tables'!$N$141:$N$157),0)),IF(P$254&gt;=O196,INDEX('Spell Tables'!$P$70:$P$83,MATCH(O196,('Spell Tables'!$N$70:$N$83),0)),IF(P$256&gt;=O196,INDEX('Spell Tables'!$P$48:$P$55,MATCH(O196,('Spell Tables'!$N$48:$N$55),0)),IF(P$258&gt;=O196,INDEX('Spell Tables'!$P$26:$P$32,MATCH(O196,('Spell Tables'!$N$26:$N$32),0)),IF(P$260&gt;=O196,INDEX('Spell Tables'!$P$2:$P$12,MATCH(O196,('Spell Tables'!$N$2:$N$12),0))," "))))))))</f>
        <v xml:space="preserve"> </v>
      </c>
      <c r="Q265" s="33" t="str">
        <f ca="1">IF(AND($Q$15="Otherworldly patron - great old one",Q$244&gt;=O196),INDEX('Spell Tables'!$T$226:$T$238,MATCH(O196,('Spell Tables'!$R$226:$R$238),0)),IF(AND($Q$15="Otherworldly patron - fiend",Q$244&gt;=O196),INDEX('Spell Tables'!$T$210:$T$222,MATCH(O196,('Spell Tables'!$R$210:$R$222),0)),IF(Q$242&gt;=O196,INDEX($AL$44:$AL$53,MATCH(O196,($AJ$44:$AJ$53),0)),IF(AND($Q$15="Otherworldly patron - archfey",Q$244&gt;=O196),INDEX('Spell Tables'!T$206:$T297,MATCH(O196,('Spell Tables'!$R$194:$R$206),0)),IF(Q$246&gt;=O196,INDEX('Spell Tables'!T271:T290,MATCH(O196,('Spell Tables'!$R$168:$R$187),0)),IF(Q$248&gt;=O196,INDEX('Spell Tables'!T244:T250,MATCH(O196,('Spell Tables'!$R$141:$R$147),0)),IF(Q$250&gt;=O196,INDEX('Spell Tables'!$P$119:$P$131,MATCH(O196,('Spell Tables'!$N$119:$N$131),0)),IF(Q$252&gt;=O196,INDEX('Spell Tables'!$P$97:$P$111,MATCH(O196,('Spell Tables'!$N$97:$N$111),0)),IF(Q$254&gt;=O196,INDEX('Spell Tables'!$T$70:$T$78,MATCH(O196,('Spell Tables'!$R$70:$R$78),0)),IF(Q$256&gt;=O196,INDEX('Spell Tables'!$T$48:$T$63,MATCH(O196,('Spell Tables'!$R$48:$R$63),0)),IF(Q$258&gt;=O196,INDEX('Spell Tables'!$T$26:$T$40,MATCH(O196,('Spell Tables'!$R$26:$R$40),0)),IF(Q$260&gt;=O196,INDEX('Spell Tables'!$T$2:$T$22,MATCH(O196,('Spell Tables'!$R$2:$R$22),0))," "))))))))))))</f>
        <v xml:space="preserve"> </v>
      </c>
      <c r="R265" s="33" t="str">
        <f ca="1">IF(AND($Q$15="Otherworldly patron - great old one",R$244&gt;=O196),INDEX('Spell Tables'!$X$226:$X$239,MATCH(O196,('Spell Tables'!$V$226:$V$239),0)),IF(AND($Q$15="Otherworldly patron - fiend",R$244&gt;=O196),INDEX('Spell Tables'!$X$210:$X$223,MATCH(O196,('Spell Tables'!$V$210:$V$223),0)),IF(AND($Q$15="Otherworldly patron - archfey",R$244&gt;=O196),INDEX('Spell Tables'!$X$194:$X$207,MATCH(O196,('Spell Tables'!$V$194:$V$207),0)),IF($R$242&gt;=O196,INDEX($AL$56:$AL$65,MATCH(O196,($AJ$56:$AJ$65),0)),IF($R$246&gt;=O196,INDEX('Spell Tables'!$X$168:$X$191,MATCH(O196,('Spell Tables'!$V$168:$V$191),0)),IF($R$248&gt;=O196,INDEX('Spell Tables'!$AB$141:$AB$149,MATCH(O196,('Spell Tables'!$Z$141:$Z$149),0)),IF($R$250&gt;=O196,INDEX('Spell Tables'!T222:T234,MATCH(O196,('Spell Tables'!$R$119:$R$131),0)),IF($R$252&gt;=O196,INDEX('Spell Tables'!$T$97:T207,MATCH(O196,('Spell Tables'!$R$97:$R$104),0)),IF($R$254&gt;=O196,INDEX('Spell Tables'!$AB$70:$AB$75,MATCH(O196,('Spell Tables'!$Z$70:$Z$75),0)),IF($R$256&gt;=O196,INDEX('Spell Tables'!$X$48:$X$65,MATCH(O196,('Spell Tables'!$V$48:$V$65),0)),IF($R$258&gt;=O196,INDEX('Spell Tables'!$X$26:$X$42,MATCH(O196,('Spell Tables'!$V$26:$V$42),0)),IF($R$260&gt;=O196,INDEX('Spell Tables'!$X$2:$X$23,MATCH(O196,('Spell Tables'!$V$2:$V$23),0))," "))))))))))))</f>
        <v>Arms of Hadar</v>
      </c>
      <c r="S265" s="33" t="str">
        <f ca="1">IF(AND($Q$15="Otherworldly patron - great old one",S$244&gt;=O196),INDEX('Spell Tables'!$AB$226:$AB$238,MATCH(O196,('Spell Tables'!$Z$226:$Z$238),0)),IF(AND($Q$15="Otherworldly patron - fiend",S$244&gt;=O196),INDEX('Spell Tables'!$AB$210:$AB$222,MATCH(O196,('Spell Tables'!$Z$210:$Z$222),0)),IF(AND($Q$15="Otherworldly patron - archfey",S$244&gt;=O196),INDEX('Spell Tables'!$AB$194:$AB$206,MATCH(O196,('Spell Tables'!$Z$194:$Z$206),0)),IF($S$242&gt;=O196,INDEX($AL$68:$AL$77,MATCH(O196,($AJ$68:$AJ$77),0)),IF($S$246&gt;=O196,INDEX('Spell Tables'!$AB$168:$AB$187,MATCH(O196,('Spell Tables'!$Z$168:$Z$187),0)),IF($S$248&gt;=O196,INDEX('Spell Tables'!$AJ$141:$AJ$144,MATCH(O196,('Spell Tables'!$AH$141:$AH$144),0)),IF($S$250&gt;=O196,INDEX('Spell Tables'!$X$119:$X$129,MATCH(O196,('Spell Tables'!$V$119:$V$129),0)),IF($S$252&gt;=O196,INDEX('Spell Tables'!$X$97:$X$106,MATCH(O196,('Spell Tables'!$V$97:$V$106),0)),IF($S$254&gt;=O196,INDEX('Spell Tables'!$AJ$70:$AJ$79,MATCH(O196,('Spell Tables'!$AH$70:$AH$79),0)),IF($S$256&gt;=O196,INDEX('Spell Tables'!$AB$48:$AB$60,MATCH(O196,('Spell Tables'!$Z$48:$Z$60),0)),IF($S$258&gt;=O196,INDEX('Spell Tables'!$AB$26:$AB$45,MATCH(O196,('Spell Tables'!$Z$26:$Z$45),0)),IF($S$260&gt;=O196,INDEX('Spell Tables'!$AB$2:$AB$17,MATCH(O196,('Spell Tables'!$Z$2:$Z$17),0))," "))))))))))))</f>
        <v xml:space="preserve"> </v>
      </c>
      <c r="T265" s="33" t="str">
        <f ca="1">IF(AND($Q$15="Otherworldly patron - great old one",T$244&gt;=O196),INDEX('Spell Tables'!$AF$226:$AF$231,MATCH(O196,('Spell Tables'!$AD$226:$AD$231),0)),IF(AND($Q$15="Otherworldly patron - fiend",T$244&gt;=O196),INDEX('Spell Tables'!$AF$210:$AF$215,MATCH(O196,('Spell Tables'!$AD$210:$AD$215),0)),IF(AND($Q$15="Otherworldly patron - archfey",T$244&gt;=O196),INDEX('Spell Tables'!$AF$194:$AF$199,MATCH(O196,('Spell Tables'!$AD$194:$AD$199),0)),IF($T$242&gt;=O196,INDEX($AL$80:$AL$89,MATCH(O196,($AJ$80:$AJ$89),0)),IF($T$246&gt;=O196,INDEX('Spell Tables'!$AF$168:$AF$177,MATCH(O196,('Spell Tables'!$AD$168:$AD$177),0)),IF($T$248&gt;=O196,INDEX('Spell Tables'!$AR$141:$AR$144,MATCH(O196,('Spell Tables'!$AP$141:$AP$144),0)),IF($T$250&gt;=O196,INDEX('Spell Tables'!$AB$119:$AB$123,MATCH(O196,('Spell Tables'!$Z$119:$Z$123),0)),IF($T$252&gt;=O196,INDEX('Spell Tables'!$AB$97:$AB$102,MATCH(O196,('Spell Tables'!$Z$97:$Z$102),0)),IF($T$254&gt;=O196,INDEX('Spell Tables'!$AR$70:$AR$75,MATCH(O196,('Spell Tables'!$AP$70:$AP$75),0)),IF($T$256&gt;=O196,INDEX('Spell Tables'!$AF$48:$AF$63,MATCH(O196,('Spell Tables'!$AD$48:$AD$63),0)),IF($T$258&gt;=O196,INDEX('Spell Tables'!$AF$26:$AF$33,MATCH(O196,('Spell Tables'!$AD$26:$AD$33),0)),IF($T$260&gt;=O196,INDEX('Spell Tables'!$AF$2:$AF$9,MATCH(O196,('Spell Tables'!$AD$2:$AD$9),0))," "))))))))))))</f>
        <v xml:space="preserve"> </v>
      </c>
    </row>
    <row r="266" spans="2:20" x14ac:dyDescent="0.3">
      <c r="C266" s="33"/>
      <c r="D266" s="33"/>
      <c r="E266" s="33"/>
      <c r="F266" s="33"/>
      <c r="G266" s="33"/>
      <c r="H266" s="33"/>
      <c r="I266" s="33"/>
      <c r="J266" s="33"/>
      <c r="K266" s="33"/>
      <c r="L266" s="33"/>
      <c r="M266" s="33"/>
      <c r="O266" s="34">
        <v>5</v>
      </c>
      <c r="P266" s="33" t="str">
        <f ca="1">IF(P$242&gt;=O197,INDEX('Spell Tables'!$P$242:$P$257,MATCH(O197,('Spell Tables'!$N$242:$N$257),0)),IF(P$244&gt;=O197,INDEX('Spell Tables'!$P$194:$P$201,MATCH(O197,('Spell Tables'!$N$194:$N$201),0)),IF(P$246&gt;=O197,INDEX('Spell Tables'!$P$168:$P$183,MATCH(O197,('Spell Tables'!$N$168:$N$183),0)),IF(P$248&gt;=O197,INDEX('Spell Tables'!$P$141:$P$156,MATCH(O197,('Spell Tables'!$N$141:$N$157),0)),IF(P$254&gt;=O197,INDEX('Spell Tables'!$P$70:$P$83,MATCH(O197,('Spell Tables'!$N$70:$N$83),0)),IF(P$256&gt;=O197,INDEX('Spell Tables'!$P$48:$P$55,MATCH(O197,('Spell Tables'!$N$48:$N$55),0)),IF(P$258&gt;=O197,INDEX('Spell Tables'!$P$26:$P$32,MATCH(O197,('Spell Tables'!$N$26:$N$32),0)),IF(P$260&gt;=O197,INDEX('Spell Tables'!$P$2:$P$12,MATCH(O197,('Spell Tables'!$N$2:$N$12),0))," "))))))))</f>
        <v xml:space="preserve"> </v>
      </c>
      <c r="Q266" s="33" t="str">
        <f ca="1">IF(AND($Q$15="Otherworldly patron - great old one",Q$244&gt;=O197),INDEX('Spell Tables'!$T$226:$T$238,MATCH(O197,('Spell Tables'!$R$226:$R$238),0)),IF(AND($Q$15="Otherworldly patron - fiend",Q$244&gt;=O197),INDEX('Spell Tables'!$T$210:$T$222,MATCH(O197,('Spell Tables'!$R$210:$R$222),0)),IF(Q$242&gt;=O197,INDEX($AL$44:$AL$53,MATCH(O197,($AJ$44:$AJ$53),0)),IF(AND($Q$15="Otherworldly patron - archfey",Q$244&gt;=O197),INDEX('Spell Tables'!T$206:$T298,MATCH(O197,('Spell Tables'!$R$194:$R$206),0)),IF(Q$246&gt;=O197,INDEX('Spell Tables'!T272:T291,MATCH(O197,('Spell Tables'!$R$168:$R$187),0)),IF(Q$248&gt;=O197,INDEX('Spell Tables'!T245:T251,MATCH(O197,('Spell Tables'!$R$141:$R$147),0)),IF(Q$250&gt;=O197,INDEX('Spell Tables'!$P$119:$P$131,MATCH(O197,('Spell Tables'!$N$119:$N$131),0)),IF(Q$252&gt;=O197,INDEX('Spell Tables'!$P$97:$P$111,MATCH(O197,('Spell Tables'!$N$97:$N$111),0)),IF(Q$254&gt;=O197,INDEX('Spell Tables'!$T$70:$T$78,MATCH(O197,('Spell Tables'!$R$70:$R$78),0)),IF(Q$256&gt;=O197,INDEX('Spell Tables'!$T$48:$T$63,MATCH(O197,('Spell Tables'!$R$48:$R$63),0)),IF(Q$258&gt;=O197,INDEX('Spell Tables'!$T$26:$T$40,MATCH(O197,('Spell Tables'!$R$26:$R$40),0)),IF(Q$260&gt;=O197,INDEX('Spell Tables'!$T$2:$T$22,MATCH(O197,('Spell Tables'!$R$2:$R$22),0))," "))))))))))))</f>
        <v xml:space="preserve"> </v>
      </c>
      <c r="R266" s="33" t="str">
        <f ca="1">IF(AND($Q$15="Otherworldly patron - great old one",R$244&gt;=O197),INDEX('Spell Tables'!$X$226:$X$239,MATCH(O197,('Spell Tables'!$V$226:$V$239),0)),IF(AND($Q$15="Otherworldly patron - fiend",R$244&gt;=O197),INDEX('Spell Tables'!$X$210:$X$223,MATCH(O197,('Spell Tables'!$V$210:$V$223),0)),IF(AND($Q$15="Otherworldly patron - archfey",R$244&gt;=O197),INDEX('Spell Tables'!$X$194:$X$207,MATCH(O197,('Spell Tables'!$V$194:$V$207),0)),IF($R$242&gt;=O197,INDEX($AL$56:$AL$65,MATCH(O197,($AJ$56:$AJ$65),0)),IF($R$246&gt;=O197,INDEX('Spell Tables'!$X$168:$X$191,MATCH(O197,('Spell Tables'!$V$168:$V$191),0)),IF($R$248&gt;=O197,INDEX('Spell Tables'!$AB$141:$AB$149,MATCH(O197,('Spell Tables'!$Z$141:$Z$149),0)),IF($R$250&gt;=O197,INDEX('Spell Tables'!T223:T235,MATCH(O197,('Spell Tables'!$R$119:$R$131),0)),IF($R$252&gt;=O197,INDEX('Spell Tables'!$T$97:T208,MATCH(O197,('Spell Tables'!$R$97:$R$104),0)),IF($R$254&gt;=O197,INDEX('Spell Tables'!$AB$70:$AB$75,MATCH(O197,('Spell Tables'!$Z$70:$Z$75),0)),IF($R$256&gt;=O197,INDEX('Spell Tables'!$X$48:$X$65,MATCH(O197,('Spell Tables'!$V$48:$V$65),0)),IF($R$258&gt;=O197,INDEX('Spell Tables'!$X$26:$X$42,MATCH(O197,('Spell Tables'!$V$26:$V$42),0)),IF($R$260&gt;=O197,INDEX('Spell Tables'!$X$2:$X$23,MATCH(O197,('Spell Tables'!$V$2:$V$23),0))," "))))))))))))</f>
        <v xml:space="preserve"> </v>
      </c>
      <c r="S266" s="33" t="str">
        <f ca="1">IF(AND($Q$15="Otherworldly patron - great old one",S$244&gt;=O197),INDEX('Spell Tables'!$AB$226:$AB$238,MATCH(O197,('Spell Tables'!$Z$226:$Z$238),0)),IF(AND($Q$15="Otherworldly patron - fiend",S$244&gt;=O197),INDEX('Spell Tables'!$AB$210:$AB$222,MATCH(O197,('Spell Tables'!$Z$210:$Z$222),0)),IF(AND($Q$15="Otherworldly patron - archfey",S$244&gt;=O197),INDEX('Spell Tables'!$AB$194:$AB$206,MATCH(O197,('Spell Tables'!$Z$194:$Z$206),0)),IF($S$242&gt;=O197,INDEX($AL$68:$AL$77,MATCH(O197,($AJ$68:$AJ$77),0)),IF($S$246&gt;=O197,INDEX('Spell Tables'!$AB$168:$AB$187,MATCH(O197,('Spell Tables'!$Z$168:$Z$187),0)),IF($S$248&gt;=O197,INDEX('Spell Tables'!$AJ$141:$AJ$144,MATCH(O197,('Spell Tables'!$AH$141:$AH$144),0)),IF($S$250&gt;=O197,INDEX('Spell Tables'!$X$119:$X$129,MATCH(O197,('Spell Tables'!$V$119:$V$129),0)),IF($S$252&gt;=O197,INDEX('Spell Tables'!$X$97:$X$106,MATCH(O197,('Spell Tables'!$V$97:$V$106),0)),IF($S$254&gt;=O197,INDEX('Spell Tables'!$AJ$70:$AJ$79,MATCH(O197,('Spell Tables'!$AH$70:$AH$79),0)),IF($S$256&gt;=O197,INDEX('Spell Tables'!$AB$48:$AB$60,MATCH(O197,('Spell Tables'!$Z$48:$Z$60),0)),IF($S$258&gt;=O197,INDEX('Spell Tables'!$AB$26:$AB$45,MATCH(O197,('Spell Tables'!$Z$26:$Z$45),0)),IF($S$260&gt;=O197,INDEX('Spell Tables'!$AB$2:$AB$17,MATCH(O197,('Spell Tables'!$Z$2:$Z$17),0))," "))))))))))))</f>
        <v xml:space="preserve"> </v>
      </c>
      <c r="T266" s="33" t="str">
        <f ca="1">IF(AND($Q$15="Otherworldly patron - great old one",T$244&gt;=O197),INDEX('Spell Tables'!$AF$226:$AF$231,MATCH(O197,('Spell Tables'!$AD$226:$AD$231),0)),IF(AND($Q$15="Otherworldly patron - fiend",T$244&gt;=O197),INDEX('Spell Tables'!$AF$210:$AF$215,MATCH(O197,('Spell Tables'!$AD$210:$AD$215),0)),IF(AND($Q$15="Otherworldly patron - archfey",T$244&gt;=O197),INDEX('Spell Tables'!$AF$194:$AF$199,MATCH(O197,('Spell Tables'!$AD$194:$AD$199),0)),IF($T$242&gt;=O197,INDEX($AL$80:$AL$89,MATCH(O197,($AJ$80:$AJ$89),0)),IF($T$246&gt;=O197,INDEX('Spell Tables'!$AF$168:$AF$177,MATCH(O197,('Spell Tables'!$AD$168:$AD$177),0)),IF($T$248&gt;=O197,INDEX('Spell Tables'!$AR$141:$AR$144,MATCH(O197,('Spell Tables'!$AP$141:$AP$144),0)),IF($T$250&gt;=O197,INDEX('Spell Tables'!$AB$119:$AB$123,MATCH(O197,('Spell Tables'!$Z$119:$Z$123),0)),IF($T$252&gt;=O197,INDEX('Spell Tables'!$AB$97:$AB$102,MATCH(O197,('Spell Tables'!$Z$97:$Z$102),0)),IF($T$254&gt;=O197,INDEX('Spell Tables'!$AR$70:$AR$75,MATCH(O197,('Spell Tables'!$AP$70:$AP$75),0)),IF($T$256&gt;=O197,INDEX('Spell Tables'!$AF$48:$AF$63,MATCH(O197,('Spell Tables'!$AD$48:$AD$63),0)),IF($T$258&gt;=O197,INDEX('Spell Tables'!$AF$26:$AF$33,MATCH(O197,('Spell Tables'!$AD$26:$AD$33),0)),IF($T$260&gt;=O197,INDEX('Spell Tables'!$AF$2:$AF$9,MATCH(O197,('Spell Tables'!$AD$2:$AD$9),0))," "))))))))))))</f>
        <v xml:space="preserve"> </v>
      </c>
    </row>
    <row r="267" spans="2:20" x14ac:dyDescent="0.3">
      <c r="B267" s="33"/>
      <c r="C267" s="33"/>
      <c r="D267" s="33"/>
      <c r="E267" s="33"/>
      <c r="F267" s="33"/>
      <c r="G267" s="33"/>
      <c r="H267" s="33"/>
      <c r="I267" s="33"/>
      <c r="J267" s="33"/>
      <c r="K267" s="33"/>
      <c r="L267" s="33"/>
      <c r="M267" s="33"/>
      <c r="O267" s="34">
        <v>6</v>
      </c>
      <c r="P267" s="33" t="str">
        <f ca="1">IF(P$242&gt;=O198,INDEX('Spell Tables'!$P$242:$P$257,MATCH(O198,('Spell Tables'!$N$242:$N$257),0)),IF(P$244&gt;=O198,INDEX('Spell Tables'!$P$194:$P$201,MATCH(O198,('Spell Tables'!$N$194:$N$201),0)),IF(P$246&gt;=O198,INDEX('Spell Tables'!$P$168:$P$183,MATCH(O198,('Spell Tables'!$N$168:$N$183),0)),IF(P$248&gt;=O198,INDEX('Spell Tables'!$P$141:$P$156,MATCH(O198,('Spell Tables'!$N$141:$N$157),0)),IF(P$254&gt;=O198,INDEX('Spell Tables'!$P$70:$P$83,MATCH(O198,('Spell Tables'!$N$70:$N$83),0)),IF(P$256&gt;=O198,INDEX('Spell Tables'!$P$48:$P$55,MATCH(O198,('Spell Tables'!$N$48:$N$55),0)),IF(P$258&gt;=O198,INDEX('Spell Tables'!$P$26:$P$32,MATCH(O198,('Spell Tables'!$N$26:$N$32),0)),IF(P$260&gt;=O198,INDEX('Spell Tables'!$P$2:$P$12,MATCH(O198,('Spell Tables'!$N$2:$N$12),0))," "))))))))</f>
        <v xml:space="preserve"> </v>
      </c>
      <c r="Q267" s="33" t="str">
        <f ca="1">IF(AND($Q$15="Otherworldly patron - great old one",Q$244&gt;=O198),INDEX('Spell Tables'!$T$226:$T$238,MATCH(O198,('Spell Tables'!$R$226:$R$238),0)),IF(AND($Q$15="Otherworldly patron - fiend",Q$244&gt;=O198),INDEX('Spell Tables'!$T$210:$T$222,MATCH(O198,('Spell Tables'!$R$210:$R$222),0)),IF(Q$242&gt;=O198,INDEX($AL$44:$AL$53,MATCH(O198,($AJ$44:$AJ$53),0)),IF(AND($Q$15="Otherworldly patron - archfey",Q$244&gt;=O198),INDEX('Spell Tables'!T$206:$T299,MATCH(O198,('Spell Tables'!$R$194:$R$206),0)),IF(Q$246&gt;=O198,INDEX('Spell Tables'!T273:T292,MATCH(O198,('Spell Tables'!$R$168:$R$187),0)),IF(Q$248&gt;=O198,INDEX('Spell Tables'!T246:T252,MATCH(O198,('Spell Tables'!$R$141:$R$147),0)),IF(Q$250&gt;=O198,INDEX('Spell Tables'!$P$119:$P$131,MATCH(O198,('Spell Tables'!$N$119:$N$131),0)),IF(Q$252&gt;=O198,INDEX('Spell Tables'!$P$97:$P$111,MATCH(O198,('Spell Tables'!$N$97:$N$111),0)),IF(Q$254&gt;=O198,INDEX('Spell Tables'!$T$70:$T$78,MATCH(O198,('Spell Tables'!$R$70:$R$78),0)),IF(Q$256&gt;=O198,INDEX('Spell Tables'!$T$48:$T$63,MATCH(O198,('Spell Tables'!$R$48:$R$63),0)),IF(Q$258&gt;=O198,INDEX('Spell Tables'!$T$26:$T$40,MATCH(O198,('Spell Tables'!$R$26:$R$40),0)),IF(Q$260&gt;=O198,INDEX('Spell Tables'!$T$2:$T$22,MATCH(O198,('Spell Tables'!$R$2:$R$22),0))," "))))))))))))</f>
        <v xml:space="preserve"> </v>
      </c>
      <c r="R267" s="33" t="str">
        <f ca="1">IF(AND($Q$15="Otherworldly patron - great old one",R$244&gt;=O198),INDEX('Spell Tables'!$X$226:$X$239,MATCH(O198,('Spell Tables'!$V$226:$V$239),0)),IF(AND($Q$15="Otherworldly patron - fiend",R$244&gt;=O198),INDEX('Spell Tables'!$X$210:$X$223,MATCH(O198,('Spell Tables'!$V$210:$V$223),0)),IF(AND($Q$15="Otherworldly patron - archfey",R$244&gt;=O198),INDEX('Spell Tables'!$X$194:$X$207,MATCH(O198,('Spell Tables'!$V$194:$V$207),0)),IF($R$242&gt;=O198,INDEX($AL$56:$AL$65,MATCH(O198,($AJ$56:$AJ$65),0)),IF($R$246&gt;=O198,INDEX('Spell Tables'!$X$168:$X$191,MATCH(O198,('Spell Tables'!$V$168:$V$191),0)),IF($R$248&gt;=O198,INDEX('Spell Tables'!$AB$141:$AB$149,MATCH(O198,('Spell Tables'!$Z$141:$Z$149),0)),IF($R$250&gt;=O198,INDEX('Spell Tables'!T224:T236,MATCH(O198,('Spell Tables'!$R$119:$R$131),0)),IF($R$252&gt;=O198,INDEX('Spell Tables'!$T$97:T209,MATCH(O198,('Spell Tables'!$R$97:$R$104),0)),IF($R$254&gt;=O198,INDEX('Spell Tables'!$AB$70:$AB$75,MATCH(O198,('Spell Tables'!$Z$70:$Z$75),0)),IF($R$256&gt;=O198,INDEX('Spell Tables'!$X$48:$X$65,MATCH(O198,('Spell Tables'!$V$48:$V$65),0)),IF($R$258&gt;=O198,INDEX('Spell Tables'!$X$26:$X$42,MATCH(O198,('Spell Tables'!$V$26:$V$42),0)),IF($R$260&gt;=O198,INDEX('Spell Tables'!$X$2:$X$23,MATCH(O198,('Spell Tables'!$V$2:$V$23),0))," "))))))))))))</f>
        <v xml:space="preserve"> </v>
      </c>
      <c r="S267" s="33" t="str">
        <f ca="1">IF(AND($Q$15="Otherworldly patron - great old one",S$244&gt;=O198),INDEX('Spell Tables'!$AB$226:$AB$238,MATCH(O198,('Spell Tables'!$Z$226:$Z$238),0)),IF(AND($Q$15="Otherworldly patron - fiend",S$244&gt;=O198),INDEX('Spell Tables'!$AB$210:$AB$222,MATCH(O198,('Spell Tables'!$Z$210:$Z$222),0)),IF(AND($Q$15="Otherworldly patron - archfey",S$244&gt;=O198),INDEX('Spell Tables'!$AB$194:$AB$206,MATCH(O198,('Spell Tables'!$Z$194:$Z$206),0)),IF($S$242&gt;=O198,INDEX($AL$68:$AL$77,MATCH(O198,($AJ$68:$AJ$77),0)),IF($S$246&gt;=O198,INDEX('Spell Tables'!$AB$168:$AB$187,MATCH(O198,('Spell Tables'!$Z$168:$Z$187),0)),IF($S$248&gt;=O198,INDEX('Spell Tables'!$AJ$141:$AJ$144,MATCH(O198,('Spell Tables'!$AH$141:$AH$144),0)),IF($S$250&gt;=O198,INDEX('Spell Tables'!$X$119:$X$129,MATCH(O198,('Spell Tables'!$V$119:$V$129),0)),IF($S$252&gt;=O198,INDEX('Spell Tables'!$X$97:$X$106,MATCH(O198,('Spell Tables'!$V$97:$V$106),0)),IF($S$254&gt;=O198,INDEX('Spell Tables'!$AJ$70:$AJ$79,MATCH(O198,('Spell Tables'!$AH$70:$AH$79),0)),IF($S$256&gt;=O198,INDEX('Spell Tables'!$AB$48:$AB$60,MATCH(O198,('Spell Tables'!$Z$48:$Z$60),0)),IF($S$258&gt;=O198,INDEX('Spell Tables'!$AB$26:$AB$45,MATCH(O198,('Spell Tables'!$Z$26:$Z$45),0)),IF($S$260&gt;=O198,INDEX('Spell Tables'!$AB$2:$AB$17,MATCH(O198,('Spell Tables'!$Z$2:$Z$17),0))," "))))))))))))</f>
        <v xml:space="preserve"> </v>
      </c>
      <c r="T267" s="33" t="str">
        <f ca="1">IF(AND($Q$15="Otherworldly patron - great old one",T$244&gt;=O198),INDEX('Spell Tables'!$AF$226:$AF$231,MATCH(O198,('Spell Tables'!$AD$226:$AD$231),0)),IF(AND($Q$15="Otherworldly patron - fiend",T$244&gt;=O198),INDEX('Spell Tables'!$AF$210:$AF$215,MATCH(O198,('Spell Tables'!$AD$210:$AD$215),0)),IF(AND($Q$15="Otherworldly patron - archfey",T$244&gt;=O198),INDEX('Spell Tables'!$AF$194:$AF$199,MATCH(O198,('Spell Tables'!$AD$194:$AD$199),0)),IF($T$242&gt;=O198,INDEX($AL$80:$AL$89,MATCH(O198,($AJ$80:$AJ$89),0)),IF($T$246&gt;=O198,INDEX('Spell Tables'!$AF$168:$AF$177,MATCH(O198,('Spell Tables'!$AD$168:$AD$177),0)),IF($T$248&gt;=O198,INDEX('Spell Tables'!$AR$141:$AR$144,MATCH(O198,('Spell Tables'!$AP$141:$AP$144),0)),IF($T$250&gt;=O198,INDEX('Spell Tables'!$AB$119:$AB$123,MATCH(O198,('Spell Tables'!$Z$119:$Z$123),0)),IF($T$252&gt;=O198,INDEX('Spell Tables'!$AB$97:$AB$102,MATCH(O198,('Spell Tables'!$Z$97:$Z$102),0)),IF($T$254&gt;=O198,INDEX('Spell Tables'!$AR$70:$AR$75,MATCH(O198,('Spell Tables'!$AP$70:$AP$75),0)),IF($T$256&gt;=O198,INDEX('Spell Tables'!$AF$48:$AF$63,MATCH(O198,('Spell Tables'!$AD$48:$AD$63),0)),IF($T$258&gt;=O198,INDEX('Spell Tables'!$AF$26:$AF$33,MATCH(O198,('Spell Tables'!$AD$26:$AD$33),0)),IF($T$260&gt;=O198,INDEX('Spell Tables'!$AF$2:$AF$9,MATCH(O198,('Spell Tables'!$AD$2:$AD$9),0))," "))))))))))))</f>
        <v xml:space="preserve"> </v>
      </c>
    </row>
    <row r="268" spans="2:20" x14ac:dyDescent="0.3">
      <c r="B268" s="33"/>
      <c r="C268" s="33"/>
      <c r="D268" s="33"/>
      <c r="E268" s="33"/>
      <c r="F268" s="33"/>
      <c r="G268" s="33"/>
      <c r="H268" s="33"/>
      <c r="I268" s="33"/>
      <c r="J268" s="33"/>
      <c r="K268" s="33"/>
      <c r="L268" s="33"/>
      <c r="M268" s="33"/>
      <c r="O268" s="34">
        <v>7</v>
      </c>
      <c r="P268" s="33" t="str">
        <f ca="1">IF(P$242&gt;=O199,INDEX('Spell Tables'!$P$242:$P$257,MATCH(O199,('Spell Tables'!$N$242:$N$257),0)),IF(P$244&gt;=O199,INDEX('Spell Tables'!$P$194:$P$201,MATCH(O199,('Spell Tables'!$N$194:$N$201),0)),IF(P$246&gt;=O199,INDEX('Spell Tables'!$P$168:$P$183,MATCH(O199,('Spell Tables'!$N$168:$N$183),0)),IF(P$248&gt;=O199,INDEX('Spell Tables'!$P$141:$P$156,MATCH(O199,('Spell Tables'!$N$141:$N$157),0)),IF(P$254&gt;=O199,INDEX('Spell Tables'!$P$70:$P$83,MATCH(O199,('Spell Tables'!$N$70:$N$83),0)),IF(P$256&gt;=O199,INDEX('Spell Tables'!$P$48:$P$55,MATCH(O199,('Spell Tables'!$N$48:$N$55),0)),IF(P$258&gt;=O199,INDEX('Spell Tables'!$P$26:$P$32,MATCH(O199,('Spell Tables'!$N$26:$N$32),0)),IF(P$260&gt;=O199,INDEX('Spell Tables'!$P$2:$P$12,MATCH(O199,('Spell Tables'!$N$2:$N$12),0))," "))))))))</f>
        <v xml:space="preserve"> </v>
      </c>
      <c r="Q268" s="33" t="str">
        <f ca="1">IF(AND($Q$15="Otherworldly patron - great old one",Q$244&gt;=O199),INDEX('Spell Tables'!$T$226:$T$238,MATCH(O199,('Spell Tables'!$R$226:$R$238),0)),IF(AND($Q$15="Otherworldly patron - fiend",Q$244&gt;=O199),INDEX('Spell Tables'!$T$210:$T$222,MATCH(O199,('Spell Tables'!$R$210:$R$222),0)),IF(Q$242&gt;=O199,INDEX($AL$44:$AL$53,MATCH(O199,($AJ$44:$AJ$53),0)),IF(AND($Q$15="Otherworldly patron - archfey",Q$244&gt;=O199),INDEX('Spell Tables'!T$206:$T300,MATCH(O199,('Spell Tables'!$R$194:$R$206),0)),IF(Q$246&gt;=O199,INDEX('Spell Tables'!T274:T293,MATCH(O199,('Spell Tables'!$R$168:$R$187),0)),IF(Q$248&gt;=O199,INDEX('Spell Tables'!T247:T253,MATCH(O199,('Spell Tables'!$R$141:$R$147),0)),IF(Q$250&gt;=O199,INDEX('Spell Tables'!$P$119:$P$131,MATCH(O199,('Spell Tables'!$N$119:$N$131),0)),IF(Q$252&gt;=O199,INDEX('Spell Tables'!$P$97:$P$111,MATCH(O199,('Spell Tables'!$N$97:$N$111),0)),IF(Q$254&gt;=O199,INDEX('Spell Tables'!$T$70:$T$78,MATCH(O199,('Spell Tables'!$R$70:$R$78),0)),IF(Q$256&gt;=O199,INDEX('Spell Tables'!$T$48:$T$63,MATCH(O199,('Spell Tables'!$R$48:$R$63),0)),IF(Q$258&gt;=O199,INDEX('Spell Tables'!$T$26:$T$40,MATCH(O199,('Spell Tables'!$R$26:$R$40),0)),IF(Q$260&gt;=O199,INDEX('Spell Tables'!$T$2:$T$22,MATCH(O199,('Spell Tables'!$R$2:$R$22),0))," "))))))))))))</f>
        <v xml:space="preserve"> </v>
      </c>
      <c r="R268" s="33" t="str">
        <f ca="1">IF(AND($Q$15="Otherworldly patron - great old one",R$244&gt;=O199),INDEX('Spell Tables'!$X$226:$X$239,MATCH(O199,('Spell Tables'!$V$226:$V$239),0)),IF(AND($Q$15="Otherworldly patron - fiend",R$244&gt;=O199),INDEX('Spell Tables'!$X$210:$X$223,MATCH(O199,('Spell Tables'!$V$210:$V$223),0)),IF(AND($Q$15="Otherworldly patron - archfey",R$244&gt;=O199),INDEX('Spell Tables'!$X$194:$X$207,MATCH(O199,('Spell Tables'!$V$194:$V$207),0)),IF($R$242&gt;=O199,INDEX($AL$56:$AL$65,MATCH(O199,($AJ$56:$AJ$65),0)),IF($R$246&gt;=O199,INDEX('Spell Tables'!$X$168:$X$191,MATCH(O199,('Spell Tables'!$V$168:$V$191),0)),IF($R$248&gt;=O199,INDEX('Spell Tables'!$AB$141:$AB$149,MATCH(O199,('Spell Tables'!$Z$141:$Z$149),0)),IF($R$250&gt;=O199,INDEX('Spell Tables'!T225:T237,MATCH(O199,('Spell Tables'!$R$119:$R$131),0)),IF($R$252&gt;=O199,INDEX('Spell Tables'!$T$97:T210,MATCH(O199,('Spell Tables'!$R$97:$R$104),0)),IF($R$254&gt;=O199,INDEX('Spell Tables'!$AB$70:$AB$75,MATCH(O199,('Spell Tables'!$Z$70:$Z$75),0)),IF($R$256&gt;=O199,INDEX('Spell Tables'!$X$48:$X$65,MATCH(O199,('Spell Tables'!$V$48:$V$65),0)),IF($R$258&gt;=O199,INDEX('Spell Tables'!$X$26:$X$42,MATCH(O199,('Spell Tables'!$V$26:$V$42),0)),IF($R$260&gt;=O199,INDEX('Spell Tables'!$X$2:$X$23,MATCH(O199,('Spell Tables'!$V$2:$V$23),0))," "))))))))))))</f>
        <v xml:space="preserve"> </v>
      </c>
      <c r="S268" s="33" t="str">
        <f ca="1">IF(AND($Q$15="Otherworldly patron - great old one",S$244&gt;=O199),INDEX('Spell Tables'!$AB$226:$AB$238,MATCH(O199,('Spell Tables'!$Z$226:$Z$238),0)),IF(AND($Q$15="Otherworldly patron - fiend",S$244&gt;=O199),INDEX('Spell Tables'!$AB$210:$AB$222,MATCH(O199,('Spell Tables'!$Z$210:$Z$222),0)),IF(AND($Q$15="Otherworldly patron - archfey",S$244&gt;=O199),INDEX('Spell Tables'!$AB$194:$AB$206,MATCH(O199,('Spell Tables'!$Z$194:$Z$206),0)),IF($S$242&gt;=O199,INDEX($AL$68:$AL$77,MATCH(O199,($AJ$68:$AJ$77),0)),IF($S$246&gt;=O199,INDEX('Spell Tables'!$AB$168:$AB$187,MATCH(O199,('Spell Tables'!$Z$168:$Z$187),0)),IF($S$248&gt;=O199,INDEX('Spell Tables'!$AJ$141:$AJ$144,MATCH(O199,('Spell Tables'!$AH$141:$AH$144),0)),IF($S$250&gt;=O199,INDEX('Spell Tables'!$X$119:$X$129,MATCH(O199,('Spell Tables'!$V$119:$V$129),0)),IF($S$252&gt;=O199,INDEX('Spell Tables'!$X$97:$X$106,MATCH(O199,('Spell Tables'!$V$97:$V$106),0)),IF($S$254&gt;=O199,INDEX('Spell Tables'!$AJ$70:$AJ$79,MATCH(O199,('Spell Tables'!$AH$70:$AH$79),0)),IF($S$256&gt;=O199,INDEX('Spell Tables'!$AB$48:$AB$60,MATCH(O199,('Spell Tables'!$Z$48:$Z$60),0)),IF($S$258&gt;=O199,INDEX('Spell Tables'!$AB$26:$AB$45,MATCH(O199,('Spell Tables'!$Z$26:$Z$45),0)),IF($S$260&gt;=O199,INDEX('Spell Tables'!$AB$2:$AB$17,MATCH(O199,('Spell Tables'!$Z$2:$Z$17),0))," "))))))))))))</f>
        <v xml:space="preserve"> </v>
      </c>
      <c r="T268" s="33" t="str">
        <f ca="1">IF(AND($Q$15="Otherworldly patron - great old one",T$244&gt;=O199),INDEX('Spell Tables'!$AF$226:$AF$231,MATCH(O199,('Spell Tables'!$AD$226:$AD$231),0)),IF(AND($Q$15="Otherworldly patron - fiend",T$244&gt;=O199),INDEX('Spell Tables'!$AF$210:$AF$215,MATCH(O199,('Spell Tables'!$AD$210:$AD$215),0)),IF(AND($Q$15="Otherworldly patron - archfey",T$244&gt;=O199),INDEX('Spell Tables'!$AF$194:$AF$199,MATCH(O199,('Spell Tables'!$AD$194:$AD$199),0)),IF($T$242&gt;=O199,INDEX($AL$80:$AL$89,MATCH(O199,($AJ$80:$AJ$89),0)),IF($T$246&gt;=O199,INDEX('Spell Tables'!$AF$168:$AF$177,MATCH(O199,('Spell Tables'!$AD$168:$AD$177),0)),IF($T$248&gt;=O199,INDEX('Spell Tables'!$AR$141:$AR$144,MATCH(O199,('Spell Tables'!$AP$141:$AP$144),0)),IF($T$250&gt;=O199,INDEX('Spell Tables'!$AB$119:$AB$123,MATCH(O199,('Spell Tables'!$Z$119:$Z$123),0)),IF($T$252&gt;=O199,INDEX('Spell Tables'!$AB$97:$AB$102,MATCH(O199,('Spell Tables'!$Z$97:$Z$102),0)),IF($T$254&gt;=O199,INDEX('Spell Tables'!$AR$70:$AR$75,MATCH(O199,('Spell Tables'!$AP$70:$AP$75),0)),IF($T$256&gt;=O199,INDEX('Spell Tables'!$AF$48:$AF$63,MATCH(O199,('Spell Tables'!$AD$48:$AD$63),0)),IF($T$258&gt;=O199,INDEX('Spell Tables'!$AF$26:$AF$33,MATCH(O199,('Spell Tables'!$AD$26:$AD$33),0)),IF($T$260&gt;=O199,INDEX('Spell Tables'!$AF$2:$AF$9,MATCH(O199,('Spell Tables'!$AD$2:$AD$9),0))," "))))))))))))</f>
        <v xml:space="preserve"> </v>
      </c>
    </row>
    <row r="269" spans="2:20" x14ac:dyDescent="0.3">
      <c r="B269" s="33"/>
      <c r="C269" s="33"/>
      <c r="D269" s="33"/>
      <c r="E269" s="33"/>
      <c r="F269" s="33"/>
      <c r="G269" s="33"/>
      <c r="H269" s="33"/>
      <c r="I269" s="33"/>
      <c r="J269" s="33"/>
      <c r="K269" s="33"/>
      <c r="L269" s="33"/>
      <c r="M269" s="33"/>
      <c r="O269" s="34">
        <v>8</v>
      </c>
      <c r="P269" s="33" t="str">
        <f ca="1">IF(P$242&gt;=O200,INDEX('Spell Tables'!$P$242:$P$257,MATCH(O200,('Spell Tables'!$N$242:$N$257),0)),IF(P$244&gt;=O200,INDEX('Spell Tables'!$P$194:$P$201,MATCH(O200,('Spell Tables'!$N$194:$N$201),0)),IF(P$246&gt;=O200,INDEX('Spell Tables'!$P$168:$P$183,MATCH(O200,('Spell Tables'!$N$168:$N$183),0)),IF(P$248&gt;=O200,INDEX('Spell Tables'!$P$141:$P$156,MATCH(O200,('Spell Tables'!$N$141:$N$157),0)),IF(P$254&gt;=O200,INDEX('Spell Tables'!$P$70:$P$83,MATCH(O200,('Spell Tables'!$N$70:$N$83),0)),IF(P$256&gt;=O200,INDEX('Spell Tables'!$P$48:$P$55,MATCH(O200,('Spell Tables'!$N$48:$N$55),0)),IF(P$258&gt;=O200,INDEX('Spell Tables'!$P$26:$P$32,MATCH(O200,('Spell Tables'!$N$26:$N$32),0)),IF(P$260&gt;=O200,INDEX('Spell Tables'!$P$2:$P$12,MATCH(O200,('Spell Tables'!$N$2:$N$12),0))," "))))))))</f>
        <v xml:space="preserve"> </v>
      </c>
      <c r="Q269" s="33" t="str">
        <f ca="1">IF(AND($Q$15="Otherworldly patron - great old one",Q$244&gt;=O200),INDEX('Spell Tables'!$T$226:$T$238,MATCH(O200,('Spell Tables'!$R$226:$R$238),0)),IF(AND($Q$15="Otherworldly patron - fiend",Q$244&gt;=O200),INDEX('Spell Tables'!$T$210:$T$222,MATCH(O200,('Spell Tables'!$R$210:$R$222),0)),IF(Q$242&gt;=O200,INDEX($AL$44:$AL$53,MATCH(O200,($AJ$44:$AJ$53),0)),IF(AND($Q$15="Otherworldly patron - archfey",Q$244&gt;=O200),INDEX('Spell Tables'!T$206:$T301,MATCH(O200,('Spell Tables'!$R$194:$R$206),0)),IF(Q$246&gt;=O200,INDEX('Spell Tables'!T275:T294,MATCH(O200,('Spell Tables'!$R$168:$R$187),0)),IF(Q$248&gt;=O200,INDEX('Spell Tables'!T248:T254,MATCH(O200,('Spell Tables'!$R$141:$R$147),0)),IF(Q$250&gt;=O200,INDEX('Spell Tables'!$P$119:$P$131,MATCH(O200,('Spell Tables'!$N$119:$N$131),0)),IF(Q$252&gt;=O200,INDEX('Spell Tables'!$P$97:$P$111,MATCH(O200,('Spell Tables'!$N$97:$N$111),0)),IF(Q$254&gt;=O200,INDEX('Spell Tables'!$T$70:$T$78,MATCH(O200,('Spell Tables'!$R$70:$R$78),0)),IF(Q$256&gt;=O200,INDEX('Spell Tables'!$T$48:$T$63,MATCH(O200,('Spell Tables'!$R$48:$R$63),0)),IF(Q$258&gt;=O200,INDEX('Spell Tables'!$T$26:$T$40,MATCH(O200,('Spell Tables'!$R$26:$R$40),0)),IF(Q$260&gt;=O200,INDEX('Spell Tables'!$T$2:$T$22,MATCH(O200,('Spell Tables'!$R$2:$R$22),0))," "))))))))))))</f>
        <v xml:space="preserve"> </v>
      </c>
      <c r="R269" s="33" t="str">
        <f ca="1">IF(AND($Q$15="Otherworldly patron - great old one",R$244&gt;=O200),INDEX('Spell Tables'!$X$226:$X$239,MATCH(O200,('Spell Tables'!$V$226:$V$239),0)),IF(AND($Q$15="Otherworldly patron - fiend",R$244&gt;=O200),INDEX('Spell Tables'!$X$210:$X$223,MATCH(O200,('Spell Tables'!$V$210:$V$223),0)),IF(AND($Q$15="Otherworldly patron - archfey",R$244&gt;=O200),INDEX('Spell Tables'!$X$194:$X$207,MATCH(O200,('Spell Tables'!$V$194:$V$207),0)),IF($R$242&gt;=O200,INDEX($AL$56:$AL$65,MATCH(O200,($AJ$56:$AJ$65),0)),IF($R$246&gt;=O200,INDEX('Spell Tables'!$X$168:$X$191,MATCH(O200,('Spell Tables'!$V$168:$V$191),0)),IF($R$248&gt;=O200,INDEX('Spell Tables'!$AB$141:$AB$149,MATCH(O200,('Spell Tables'!$Z$141:$Z$149),0)),IF($R$250&gt;=O200,INDEX('Spell Tables'!T226:T238,MATCH(O200,('Spell Tables'!$R$119:$R$131),0)),IF($R$252&gt;=O200,INDEX('Spell Tables'!$T$97:T211,MATCH(O200,('Spell Tables'!$R$97:$R$104),0)),IF($R$254&gt;=O200,INDEX('Spell Tables'!$AB$70:$AB$75,MATCH(O200,('Spell Tables'!$Z$70:$Z$75),0)),IF($R$256&gt;=O200,INDEX('Spell Tables'!$X$48:$X$65,MATCH(O200,('Spell Tables'!$V$48:$V$65),0)),IF($R$258&gt;=O200,INDEX('Spell Tables'!$X$26:$X$42,MATCH(O200,('Spell Tables'!$V$26:$V$42),0)),IF($R$260&gt;=O200,INDEX('Spell Tables'!$X$2:$X$23,MATCH(O200,('Spell Tables'!$V$2:$V$23),0))," "))))))))))))</f>
        <v xml:space="preserve"> </v>
      </c>
      <c r="S269" s="33" t="str">
        <f ca="1">IF(AND($Q$15="Otherworldly patron - great old one",S$244&gt;=O200),INDEX('Spell Tables'!$AB$226:$AB$238,MATCH(O200,('Spell Tables'!$Z$226:$Z$238),0)),IF(AND($Q$15="Otherworldly patron - fiend",S$244&gt;=O200),INDEX('Spell Tables'!$AB$210:$AB$222,MATCH(O200,('Spell Tables'!$Z$210:$Z$222),0)),IF(AND($Q$15="Otherworldly patron - archfey",S$244&gt;=O200),INDEX('Spell Tables'!$AB$194:$AB$206,MATCH(O200,('Spell Tables'!$Z$194:$Z$206),0)),IF($S$242&gt;=O200,INDEX($AL$68:$AL$77,MATCH(O200,($AJ$68:$AJ$77),0)),IF($S$246&gt;=O200,INDEX('Spell Tables'!$AB$168:$AB$187,MATCH(O200,('Spell Tables'!$Z$168:$Z$187),0)),IF($S$248&gt;=O200,INDEX('Spell Tables'!$AJ$141:$AJ$144,MATCH(O200,('Spell Tables'!$AH$141:$AH$144),0)),IF($S$250&gt;=O200,INDEX('Spell Tables'!$X$119:$X$129,MATCH(O200,('Spell Tables'!$V$119:$V$129),0)),IF($S$252&gt;=O200,INDEX('Spell Tables'!$X$97:$X$106,MATCH(O200,('Spell Tables'!$V$97:$V$106),0)),IF($S$254&gt;=O200,INDEX('Spell Tables'!$AJ$70:$AJ$79,MATCH(O200,('Spell Tables'!$AH$70:$AH$79),0)),IF($S$256&gt;=O200,INDEX('Spell Tables'!$AB$48:$AB$60,MATCH(O200,('Spell Tables'!$Z$48:$Z$60),0)),IF($S$258&gt;=O200,INDEX('Spell Tables'!$AB$26:$AB$45,MATCH(O200,('Spell Tables'!$Z$26:$Z$45),0)),IF($S$260&gt;=O200,INDEX('Spell Tables'!$AB$2:$AB$17,MATCH(O200,('Spell Tables'!$Z$2:$Z$17),0))," "))))))))))))</f>
        <v xml:space="preserve"> </v>
      </c>
      <c r="T269" s="33" t="str">
        <f ca="1">IF(AND($Q$15="Otherworldly patron - great old one",T$244&gt;=O200),INDEX('Spell Tables'!$AF$226:$AF$231,MATCH(O200,('Spell Tables'!$AD$226:$AD$231),0)),IF(AND($Q$15="Otherworldly patron - fiend",T$244&gt;=O200),INDEX('Spell Tables'!$AF$210:$AF$215,MATCH(O200,('Spell Tables'!$AD$210:$AD$215),0)),IF(AND($Q$15="Otherworldly patron - archfey",T$244&gt;=O200),INDEX('Spell Tables'!$AF$194:$AF$199,MATCH(O200,('Spell Tables'!$AD$194:$AD$199),0)),IF($T$242&gt;=O200,INDEX($AL$80:$AL$89,MATCH(O200,($AJ$80:$AJ$89),0)),IF($T$246&gt;=O200,INDEX('Spell Tables'!$AF$168:$AF$177,MATCH(O200,('Spell Tables'!$AD$168:$AD$177),0)),IF($T$248&gt;=O200,INDEX('Spell Tables'!$AR$141:$AR$144,MATCH(O200,('Spell Tables'!$AP$141:$AP$144),0)),IF($T$250&gt;=O200,INDEX('Spell Tables'!$AB$119:$AB$123,MATCH(O200,('Spell Tables'!$Z$119:$Z$123),0)),IF($T$252&gt;=O200,INDEX('Spell Tables'!$AB$97:$AB$102,MATCH(O200,('Spell Tables'!$Z$97:$Z$102),0)),IF($T$254&gt;=O200,INDEX('Spell Tables'!$AR$70:$AR$75,MATCH(O200,('Spell Tables'!$AP$70:$AP$75),0)),IF($T$256&gt;=O200,INDEX('Spell Tables'!$AF$48:$AF$63,MATCH(O200,('Spell Tables'!$AD$48:$AD$63),0)),IF($T$258&gt;=O200,INDEX('Spell Tables'!$AF$26:$AF$33,MATCH(O200,('Spell Tables'!$AD$26:$AD$33),0)),IF($T$260&gt;=O200,INDEX('Spell Tables'!$AF$2:$AF$9,MATCH(O200,('Spell Tables'!$AD$2:$AD$9),0))," "))))))))))))</f>
        <v xml:space="preserve"> </v>
      </c>
    </row>
    <row r="270" spans="2:20" x14ac:dyDescent="0.3">
      <c r="B270" s="33"/>
      <c r="C270" s="33"/>
      <c r="D270" s="33"/>
      <c r="E270" s="33"/>
      <c r="F270" s="33"/>
      <c r="G270" s="33"/>
      <c r="H270" s="33"/>
      <c r="I270" s="33"/>
      <c r="J270" s="33"/>
      <c r="K270" s="33"/>
      <c r="L270" s="33"/>
      <c r="M270" s="33"/>
      <c r="O270" s="34">
        <v>9</v>
      </c>
      <c r="P270" s="33" t="str">
        <f ca="1">IF(P$242&gt;=O201,INDEX('Spell Tables'!$P$242:$P$257,MATCH(O201,('Spell Tables'!$N$242:$N$257),0)),IF(P$244&gt;=O201,INDEX('Spell Tables'!$P$194:$P$201,MATCH(O201,('Spell Tables'!$N$194:$N$201),0)),IF(P$246&gt;=O201,INDEX('Spell Tables'!$P$168:$P$183,MATCH(O201,('Spell Tables'!$N$168:$N$183),0)),IF(P$248&gt;=O201,INDEX('Spell Tables'!$P$141:$P$156,MATCH(O201,('Spell Tables'!$N$141:$N$157),0)),IF(P$254&gt;=O201,INDEX('Spell Tables'!$P$70:$P$83,MATCH(O201,('Spell Tables'!$N$70:$N$83),0)),IF(P$256&gt;=O201,INDEX('Spell Tables'!$P$48:$P$55,MATCH(O201,('Spell Tables'!$N$48:$N$55),0)),IF(P$258&gt;=O201,INDEX('Spell Tables'!$P$26:$P$32,MATCH(O201,('Spell Tables'!$N$26:$N$32),0)),IF(P$260&gt;=O201,INDEX('Spell Tables'!$P$2:$P$12,MATCH(O201,('Spell Tables'!$N$2:$N$12),0))," "))))))))</f>
        <v xml:space="preserve"> </v>
      </c>
      <c r="Q270" s="33" t="str">
        <f ca="1">IF(AND($Q$15="Otherworldly patron - great old one",Q$244&gt;=O201),INDEX('Spell Tables'!$T$226:$T$238,MATCH(O201,('Spell Tables'!$R$226:$R$238),0)),IF(AND($Q$15="Otherworldly patron - fiend",Q$244&gt;=O201),INDEX('Spell Tables'!$T$210:$T$222,MATCH(O201,('Spell Tables'!$R$210:$R$222),0)),IF(Q$242&gt;=O201,INDEX($AL$44:$AL$53,MATCH(O201,($AJ$44:$AJ$53),0)),IF(AND($Q$15="Otherworldly patron - archfey",Q$244&gt;=O201),INDEX('Spell Tables'!T$206:$T302,MATCH(O201,('Spell Tables'!$R$194:$R$206),0)),IF(Q$246&gt;=O201,INDEX('Spell Tables'!T276:T295,MATCH(O201,('Spell Tables'!$R$168:$R$187),0)),IF(Q$248&gt;=O201,INDEX('Spell Tables'!T249:T255,MATCH(O201,('Spell Tables'!$R$141:$R$147),0)),IF(Q$250&gt;=O201,INDEX('Spell Tables'!$P$119:$P$131,MATCH(O201,('Spell Tables'!$N$119:$N$131),0)),IF(Q$252&gt;=O201,INDEX('Spell Tables'!$P$97:$P$111,MATCH(O201,('Spell Tables'!$N$97:$N$111),0)),IF(Q$254&gt;=O201,INDEX('Spell Tables'!$T$70:$T$78,MATCH(O201,('Spell Tables'!$R$70:$R$78),0)),IF(Q$256&gt;=O201,INDEX('Spell Tables'!$T$48:$T$63,MATCH(O201,('Spell Tables'!$R$48:$R$63),0)),IF(Q$258&gt;=O201,INDEX('Spell Tables'!$T$26:$T$40,MATCH(O201,('Spell Tables'!$R$26:$R$40),0)),IF(Q$260&gt;=O201,INDEX('Spell Tables'!$T$2:$T$22,MATCH(O201,('Spell Tables'!$R$2:$R$22),0))," "))))))))))))</f>
        <v xml:space="preserve"> </v>
      </c>
      <c r="R270" s="33" t="str">
        <f ca="1">IF(AND($Q$15="Otherworldly patron - great old one",R$244&gt;=O201),INDEX('Spell Tables'!$X$226:$X$239,MATCH(O201,('Spell Tables'!$V$226:$V$239),0)),IF(AND($Q$15="Otherworldly patron - fiend",R$244&gt;=O201),INDEX('Spell Tables'!$X$210:$X$223,MATCH(O201,('Spell Tables'!$V$210:$V$223),0)),IF(AND($Q$15="Otherworldly patron - archfey",R$244&gt;=O201),INDEX('Spell Tables'!$X$194:$X$207,MATCH(O201,('Spell Tables'!$V$194:$V$207),0)),IF($R$242&gt;=O201,INDEX($AL$56:$AL$65,MATCH(O201,($AJ$56:$AJ$65),0)),IF($R$246&gt;=O201,INDEX('Spell Tables'!$X$168:$X$191,MATCH(O201,('Spell Tables'!$V$168:$V$191),0)),IF($R$248&gt;=O201,INDEX('Spell Tables'!$AB$141:$AB$149,MATCH(O201,('Spell Tables'!$Z$141:$Z$149),0)),IF($R$250&gt;=O201,INDEX('Spell Tables'!T227:T239,MATCH(O201,('Spell Tables'!$R$119:$R$131),0)),IF($R$252&gt;=O201,INDEX('Spell Tables'!$T$97:T212,MATCH(O201,('Spell Tables'!$R$97:$R$104),0)),IF($R$254&gt;=O201,INDEX('Spell Tables'!$AB$70:$AB$75,MATCH(O201,('Spell Tables'!$Z$70:$Z$75),0)),IF($R$256&gt;=O201,INDEX('Spell Tables'!$X$48:$X$65,MATCH(O201,('Spell Tables'!$V$48:$V$65),0)),IF($R$258&gt;=O201,INDEX('Spell Tables'!$X$26:$X$42,MATCH(O201,('Spell Tables'!$V$26:$V$42),0)),IF($R$260&gt;=O201,INDEX('Spell Tables'!$X$2:$X$23,MATCH(O201,('Spell Tables'!$V$2:$V$23),0))," "))))))))))))</f>
        <v xml:space="preserve"> </v>
      </c>
      <c r="S270" s="33" t="str">
        <f ca="1">IF(AND($Q$15="Otherworldly patron - great old one",S$244&gt;=O201),INDEX('Spell Tables'!$AB$226:$AB$238,MATCH(O201,('Spell Tables'!$Z$226:$Z$238),0)),IF(AND($Q$15="Otherworldly patron - fiend",S$244&gt;=O201),INDEX('Spell Tables'!$AB$210:$AB$222,MATCH(O201,('Spell Tables'!$Z$210:$Z$222),0)),IF(AND($Q$15="Otherworldly patron - archfey",S$244&gt;=O201),INDEX('Spell Tables'!$AB$194:$AB$206,MATCH(O201,('Spell Tables'!$Z$194:$Z$206),0)),IF($S$242&gt;=O201,INDEX($AL$68:$AL$77,MATCH(O201,($AJ$68:$AJ$77),0)),IF($S$246&gt;=O201,INDEX('Spell Tables'!$AB$168:$AB$187,MATCH(O201,('Spell Tables'!$Z$168:$Z$187),0)),IF($S$248&gt;=O201,INDEX('Spell Tables'!$AJ$141:$AJ$144,MATCH(O201,('Spell Tables'!$AH$141:$AH$144),0)),IF($S$250&gt;=O201,INDEX('Spell Tables'!$X$119:$X$129,MATCH(O201,('Spell Tables'!$V$119:$V$129),0)),IF($S$252&gt;=O201,INDEX('Spell Tables'!$X$97:$X$106,MATCH(O201,('Spell Tables'!$V$97:$V$106),0)),IF($S$254&gt;=O201,INDEX('Spell Tables'!$AJ$70:$AJ$79,MATCH(O201,('Spell Tables'!$AH$70:$AH$79),0)),IF($S$256&gt;=O201,INDEX('Spell Tables'!$AB$48:$AB$60,MATCH(O201,('Spell Tables'!$Z$48:$Z$60),0)),IF($S$258&gt;=O201,INDEX('Spell Tables'!$AB$26:$AB$45,MATCH(O201,('Spell Tables'!$Z$26:$Z$45),0)),IF($S$260&gt;=O201,INDEX('Spell Tables'!$AB$2:$AB$17,MATCH(O201,('Spell Tables'!$Z$2:$Z$17),0))," "))))))))))))</f>
        <v xml:space="preserve"> </v>
      </c>
      <c r="T270" s="33" t="str">
        <f ca="1">IF(AND($Q$15="Otherworldly patron - great old one",T$244&gt;=O201),INDEX('Spell Tables'!$AF$226:$AF$231,MATCH(O201,('Spell Tables'!$AD$226:$AD$231),0)),IF(AND($Q$15="Otherworldly patron - fiend",T$244&gt;=O201),INDEX('Spell Tables'!$AF$210:$AF$215,MATCH(O201,('Spell Tables'!$AD$210:$AD$215),0)),IF(AND($Q$15="Otherworldly patron - archfey",T$244&gt;=O201),INDEX('Spell Tables'!$AF$194:$AF$199,MATCH(O201,('Spell Tables'!$AD$194:$AD$199),0)),IF($T$242&gt;=O201,INDEX($AL$80:$AL$89,MATCH(O201,($AJ$80:$AJ$89),0)),IF($T$246&gt;=O201,INDEX('Spell Tables'!$AF$168:$AF$177,MATCH(O201,('Spell Tables'!$AD$168:$AD$177),0)),IF($T$248&gt;=O201,INDEX('Spell Tables'!$AR$141:$AR$144,MATCH(O201,('Spell Tables'!$AP$141:$AP$144),0)),IF($T$250&gt;=O201,INDEX('Spell Tables'!$AB$119:$AB$123,MATCH(O201,('Spell Tables'!$Z$119:$Z$123),0)),IF($T$252&gt;=O201,INDEX('Spell Tables'!$AB$97:$AB$102,MATCH(O201,('Spell Tables'!$Z$97:$Z$102),0)),IF($T$254&gt;=O201,INDEX('Spell Tables'!$AR$70:$AR$75,MATCH(O201,('Spell Tables'!$AP$70:$AP$75),0)),IF($T$256&gt;=O201,INDEX('Spell Tables'!$AF$48:$AF$63,MATCH(O201,('Spell Tables'!$AD$48:$AD$63),0)),IF($T$258&gt;=O201,INDEX('Spell Tables'!$AF$26:$AF$33,MATCH(O201,('Spell Tables'!$AD$26:$AD$33),0)),IF($T$260&gt;=O201,INDEX('Spell Tables'!$AF$2:$AF$9,MATCH(O201,('Spell Tables'!$AD$2:$AD$9),0))," "))))))))))))</f>
        <v xml:space="preserve"> </v>
      </c>
    </row>
    <row r="271" spans="2:20" x14ac:dyDescent="0.3">
      <c r="B271" s="33"/>
      <c r="C271" s="33"/>
      <c r="D271" s="33"/>
      <c r="E271" s="33"/>
      <c r="F271" s="33"/>
      <c r="G271" s="33"/>
      <c r="H271" s="33"/>
      <c r="I271" s="33"/>
      <c r="J271" s="33"/>
      <c r="K271" s="33"/>
      <c r="L271" s="33"/>
      <c r="M271" s="33"/>
      <c r="O271" s="34">
        <v>10</v>
      </c>
      <c r="P271" s="33" t="str">
        <f ca="1">IF(P$242&gt;=O202,INDEX('Spell Tables'!$P$242:$P$257,MATCH(O202,('Spell Tables'!$N$242:$N$257),0)),IF(P$244&gt;=O202,INDEX('Spell Tables'!$P$194:$P$201,MATCH(O202,('Spell Tables'!$N$194:$N$201),0)),IF(P$246&gt;=O202,INDEX('Spell Tables'!$P$168:$P$183,MATCH(O202,('Spell Tables'!$N$168:$N$183),0)),IF(P$248&gt;=O202,INDEX('Spell Tables'!$P$141:$P$156,MATCH(O202,('Spell Tables'!$N$141:$N$157),0)),IF(P$254&gt;=O202,INDEX('Spell Tables'!$P$70:$P$83,MATCH(O202,('Spell Tables'!$N$70:$N$83),0)),IF(P$256&gt;=O202,INDEX('Spell Tables'!$P$48:$P$55,MATCH(O202,('Spell Tables'!$N$48:$N$55),0)),IF(P$258&gt;=O202,INDEX('Spell Tables'!$P$26:$P$32,MATCH(O202,('Spell Tables'!$N$26:$N$32),0)),IF(P$260&gt;=O202,INDEX('Spell Tables'!$P$2:$P$12,MATCH(O202,('Spell Tables'!$N$2:$N$12),0))," "))))))))</f>
        <v xml:space="preserve"> </v>
      </c>
      <c r="Q271" s="33" t="str">
        <f ca="1">IF(AND($Q$15="Otherworldly patron - great old one",Q$244&gt;=O202),INDEX('Spell Tables'!$T$226:$T$238,MATCH(O202,('Spell Tables'!$R$226:$R$238),0)),IF(AND($Q$15="Otherworldly patron - fiend",Q$244&gt;=O202),INDEX('Spell Tables'!$T$210:$T$222,MATCH(O202,('Spell Tables'!$R$210:$R$222),0)),IF(Q$242&gt;=O202,INDEX($AL$44:$AL$53,MATCH(O202,($AJ$44:$AJ$53),0)),IF(AND($Q$15="Otherworldly patron - archfey",Q$244&gt;=O202),INDEX('Spell Tables'!T$206:$T303,MATCH(O202,('Spell Tables'!$R$194:$R$206),0)),IF(Q$246&gt;=O202,INDEX('Spell Tables'!T277:T296,MATCH(O202,('Spell Tables'!$R$168:$R$187),0)),IF(Q$248&gt;=O202,INDEX('Spell Tables'!T250:T256,MATCH(O202,('Spell Tables'!$R$141:$R$147),0)),IF(Q$250&gt;=O202,INDEX('Spell Tables'!$P$119:$P$131,MATCH(O202,('Spell Tables'!$N$119:$N$131),0)),IF(Q$252&gt;=O202,INDEX('Spell Tables'!$P$97:$P$111,MATCH(O202,('Spell Tables'!$N$97:$N$111),0)),IF(Q$254&gt;=O202,INDEX('Spell Tables'!$T$70:$T$78,MATCH(O202,('Spell Tables'!$R$70:$R$78),0)),IF(Q$256&gt;=O202,INDEX('Spell Tables'!$T$48:$T$63,MATCH(O202,('Spell Tables'!$R$48:$R$63),0)),IF(Q$258&gt;=O202,INDEX('Spell Tables'!$T$26:$T$40,MATCH(O202,('Spell Tables'!$R$26:$R$40),0)),IF(Q$260&gt;=O202,INDEX('Spell Tables'!$T$2:$T$22,MATCH(O202,('Spell Tables'!$R$2:$R$22),0))," "))))))))))))</f>
        <v xml:space="preserve"> </v>
      </c>
      <c r="R271" s="33" t="str">
        <f ca="1">IF(AND($Q$15="Otherworldly patron - great old one",R$244&gt;=O202),INDEX('Spell Tables'!$X$226:$X$239,MATCH(O202,('Spell Tables'!$V$226:$V$239),0)),IF(AND($Q$15="Otherworldly patron - fiend",R$244&gt;=O202),INDEX('Spell Tables'!$X$210:$X$223,MATCH(O202,('Spell Tables'!$V$210:$V$223),0)),IF(AND($Q$15="Otherworldly patron - archfey",R$244&gt;=O202),INDEX('Spell Tables'!$X$194:$X$207,MATCH(O202,('Spell Tables'!$V$194:$V$207),0)),IF($R$242&gt;=O202,INDEX($AL$56:$AL$65,MATCH(O202,($AJ$56:$AJ$65),0)),IF($R$246&gt;=O202,INDEX('Spell Tables'!$X$168:$X$191,MATCH(O202,('Spell Tables'!$V$168:$V$191),0)),IF($R$248&gt;=O202,INDEX('Spell Tables'!$AB$141:$AB$149,MATCH(O202,('Spell Tables'!$Z$141:$Z$149),0)),IF($R$250&gt;=O202,INDEX('Spell Tables'!T228:T240,MATCH(O202,('Spell Tables'!$R$119:$R$131),0)),IF($R$252&gt;=O202,INDEX('Spell Tables'!$T$97:T213,MATCH(O202,('Spell Tables'!$R$97:$R$104),0)),IF($R$254&gt;=O202,INDEX('Spell Tables'!$AB$70:$AB$75,MATCH(O202,('Spell Tables'!$Z$70:$Z$75),0)),IF($R$256&gt;=O202,INDEX('Spell Tables'!$X$48:$X$65,MATCH(O202,('Spell Tables'!$V$48:$V$65),0)),IF($R$258&gt;=O202,INDEX('Spell Tables'!$X$26:$X$42,MATCH(O202,('Spell Tables'!$V$26:$V$42),0)),IF($R$260&gt;=O202,INDEX('Spell Tables'!$X$2:$X$23,MATCH(O202,('Spell Tables'!$V$2:$V$23),0))," "))))))))))))</f>
        <v xml:space="preserve"> </v>
      </c>
      <c r="S271" s="33" t="str">
        <f ca="1">IF(AND($Q$15="Otherworldly patron - great old one",S$244&gt;=O202),INDEX('Spell Tables'!$AB$226:$AB$238,MATCH(O202,('Spell Tables'!$Z$226:$Z$238),0)),IF(AND($Q$15="Otherworldly patron - fiend",S$244&gt;=O202),INDEX('Spell Tables'!$AB$210:$AB$222,MATCH(O202,('Spell Tables'!$Z$210:$Z$222),0)),IF(AND($Q$15="Otherworldly patron - archfey",S$244&gt;=O202),INDEX('Spell Tables'!$AB$194:$AB$206,MATCH(O202,('Spell Tables'!$Z$194:$Z$206),0)),IF($S$242&gt;=O202,INDEX($AL$68:$AL$77,MATCH(O202,($AJ$68:$AJ$77),0)),IF($S$246&gt;=O202,INDEX('Spell Tables'!$AB$168:$AB$187,MATCH(O202,('Spell Tables'!$Z$168:$Z$187),0)),IF($S$248&gt;=O202,INDEX('Spell Tables'!$AJ$141:$AJ$144,MATCH(O202,('Spell Tables'!$AH$141:$AH$144),0)),IF($S$250&gt;=O202,INDEX('Spell Tables'!$X$119:$X$129,MATCH(O202,('Spell Tables'!$V$119:$V$129),0)),IF($S$252&gt;=O202,INDEX('Spell Tables'!$X$97:$X$106,MATCH(O202,('Spell Tables'!$V$97:$V$106),0)),IF($S$254&gt;=O202,INDEX('Spell Tables'!$AJ$70:$AJ$79,MATCH(O202,('Spell Tables'!$AH$70:$AH$79),0)),IF($S$256&gt;=O202,INDEX('Spell Tables'!$AB$48:$AB$60,MATCH(O202,('Spell Tables'!$Z$48:$Z$60),0)),IF($S$258&gt;=O202,INDEX('Spell Tables'!$AB$26:$AB$45,MATCH(O202,('Spell Tables'!$Z$26:$Z$45),0)),IF($S$260&gt;=O202,INDEX('Spell Tables'!$AB$2:$AB$17,MATCH(O202,('Spell Tables'!$Z$2:$Z$17),0))," "))))))))))))</f>
        <v xml:space="preserve"> </v>
      </c>
      <c r="T271" s="33" t="str">
        <f ca="1">IF(AND($Q$15="Otherworldly patron - great old one",T$244&gt;=O202),INDEX('Spell Tables'!$AF$226:$AF$231,MATCH(O202,('Spell Tables'!$AD$226:$AD$231),0)),IF(AND($Q$15="Otherworldly patron - fiend",T$244&gt;=O202),INDEX('Spell Tables'!$AF$210:$AF$215,MATCH(O202,('Spell Tables'!$AD$210:$AD$215),0)),IF(AND($Q$15="Otherworldly patron - archfey",T$244&gt;=O202),INDEX('Spell Tables'!$AF$194:$AF$199,MATCH(O202,('Spell Tables'!$AD$194:$AD$199),0)),IF($T$242&gt;=O202,INDEX($AL$80:$AL$89,MATCH(O202,($AJ$80:$AJ$89),0)),IF($T$246&gt;=O202,INDEX('Spell Tables'!$AF$168:$AF$177,MATCH(O202,('Spell Tables'!$AD$168:$AD$177),0)),IF($T$248&gt;=O202,INDEX('Spell Tables'!$AR$141:$AR$144,MATCH(O202,('Spell Tables'!$AP$141:$AP$144),0)),IF($T$250&gt;=O202,INDEX('Spell Tables'!$AB$119:$AB$123,MATCH(O202,('Spell Tables'!$Z$119:$Z$123),0)),IF($T$252&gt;=O202,INDEX('Spell Tables'!$AB$97:$AB$102,MATCH(O202,('Spell Tables'!$Z$97:$Z$102),0)),IF($T$254&gt;=O202,INDEX('Spell Tables'!$AR$70:$AR$75,MATCH(O202,('Spell Tables'!$AP$70:$AP$75),0)),IF($T$256&gt;=O202,INDEX('Spell Tables'!$AF$48:$AF$63,MATCH(O202,('Spell Tables'!$AD$48:$AD$63),0)),IF($T$258&gt;=O202,INDEX('Spell Tables'!$AF$26:$AF$33,MATCH(O202,('Spell Tables'!$AD$26:$AD$33),0)),IF($T$260&gt;=O202,INDEX('Spell Tables'!$AF$2:$AF$9,MATCH(O202,('Spell Tables'!$AD$2:$AD$9),0))," "))))))))))))</f>
        <v xml:space="preserve"> </v>
      </c>
    </row>
    <row r="272" spans="2:20" ht="19.5" thickBot="1" x14ac:dyDescent="0.35">
      <c r="B272" s="33"/>
      <c r="C272" s="38"/>
      <c r="D272" s="38"/>
      <c r="E272" s="38"/>
      <c r="F272" s="38"/>
      <c r="G272" s="38"/>
      <c r="H272" s="38"/>
      <c r="I272" s="38"/>
      <c r="J272" s="38"/>
      <c r="K272" s="38"/>
      <c r="L272" s="38"/>
      <c r="M272" s="38"/>
      <c r="N272" s="38"/>
      <c r="O272" s="38"/>
      <c r="P272" s="38"/>
      <c r="Q272" s="38"/>
      <c r="R272" s="38"/>
      <c r="S272" s="38"/>
      <c r="T272" s="38"/>
    </row>
    <row r="273" spans="15:19" hidden="1" x14ac:dyDescent="0.3">
      <c r="O273" s="108"/>
      <c r="P273" s="108"/>
      <c r="Q273" s="108"/>
      <c r="R273" s="108"/>
      <c r="S273" s="109"/>
    </row>
    <row r="274" spans="15:19" hidden="1" x14ac:dyDescent="0.3">
      <c r="O274" s="60" t="str">
        <f ca="1">IF(AND(Q11="wizard",Q12&gt;=11),"x",IF(AND($Q$11="wizard",$Q$12&gt;9),"xx",IF(AND(Q11="wizard",Q12=9),"xxx"," ")))</f>
        <v xml:space="preserve"> </v>
      </c>
      <c r="P274" s="60" t="str">
        <f ca="1">IF(AND(Q11="wizard",Q12&gt;=13),"x",IF(AND($Q$11="wizard",$Q$12&gt;11),"xx",IF(AND(Q11="wizard",Q12=11),"xxx"," ")))</f>
        <v xml:space="preserve"> </v>
      </c>
      <c r="Q274" s="60" t="str">
        <f ca="1">IF(AND(Q11="wizard",Q12&gt;=15),"x",IF(AND($Q$11="wizard",$Q$12&gt;13),"xx",IF(AND(Q11="wizard",Q12=13),"xxx"," ")))</f>
        <v xml:space="preserve"> </v>
      </c>
      <c r="R274" s="60" t="str">
        <f ca="1">IF(AND(Q11="wizard",Q12&gt;=17),"x",IF(AND($Q$11="wizard",$Q$12&gt;15),"xx",IF(AND(Q11="wizard",Q12=15),"xxx"," ")))</f>
        <v xml:space="preserve"> </v>
      </c>
      <c r="S274" s="63" t="str">
        <f ca="1">IF(AND($Q$11="wizard",$Q$12&gt;17),"xx",IF(AND(Q11="wizard",Q12=17),"xxx"," "))</f>
        <v xml:space="preserve"> </v>
      </c>
    </row>
    <row r="275" spans="15:19" hidden="1" x14ac:dyDescent="0.3">
      <c r="O275" s="65">
        <f ca="1">IF(O274="x",RANDBETWEEN(2,3),IF(O274="xx",RANDBETWEEN(2,3),IF(O274="xxx",RANDBETWEEN(1,2),0)))</f>
        <v>0</v>
      </c>
      <c r="P275" s="65">
        <f ca="1">IF(P274="x",RANDBETWEEN(2,3),IF(P274="xx",RANDBETWEEN(2,3),IF(P274="xxx",RANDBETWEEN(1,2),0)))</f>
        <v>0</v>
      </c>
      <c r="Q275" s="65">
        <f ca="1">IF(Q274="x",RANDBETWEEN(1,2),IF(Q274="xx",RANDBETWEEN(1,2),IF(Q274="xxx",RANDBETWEEN(1,2),0)))</f>
        <v>0</v>
      </c>
      <c r="R275" s="65">
        <f ca="1">IF(OR(R274="x",R274="xx"),RANDBETWEEN(1,2),IF(R274="xxx",RANDBETWEEN(1,2),0))</f>
        <v>0</v>
      </c>
      <c r="S275" s="66">
        <f ca="1">IF(S274="xx",RANDBETWEEN(1,2),IF(S274="xxx",RANDBETWEEN(1,2),0))</f>
        <v>0</v>
      </c>
    </row>
    <row r="276" spans="15:19" hidden="1" x14ac:dyDescent="0.3">
      <c r="O276" s="60" t="str">
        <f ca="1">IF(AND($Q$11="warlock",$Q$12&gt;=9),"xx"," ")</f>
        <v xml:space="preserve"> </v>
      </c>
      <c r="P276" s="60"/>
      <c r="Q276" s="60"/>
      <c r="R276" s="60"/>
      <c r="S276" s="63"/>
    </row>
    <row r="277" spans="15:19" hidden="1" x14ac:dyDescent="0.3">
      <c r="O277" s="65">
        <f ca="1">IF(O276="x",RANDBETWEEN(2,3),IF(O276="xx",RANDBETWEEN(2,3),0))</f>
        <v>0</v>
      </c>
      <c r="P277" s="65"/>
      <c r="Q277" s="65"/>
      <c r="R277" s="65"/>
      <c r="S277" s="66"/>
    </row>
    <row r="278" spans="15:19" hidden="1" x14ac:dyDescent="0.3">
      <c r="O278" s="60" t="str">
        <f ca="1">IF(AND($Q$11="sorcerer",$Q$12&gt;=11),"x",IF(AND($Q$11="sorcerer",$Q$12&gt;=9),"xx"," "))</f>
        <v xml:space="preserve"> </v>
      </c>
      <c r="P278" s="60" t="str">
        <f ca="1">IF(AND($Q$11="sorcerer",$Q$12&gt;=13),"x",IF(AND($Q$11="sorcerer",$Q$12&gt;=11),"xx"," "))</f>
        <v xml:space="preserve"> </v>
      </c>
      <c r="Q278" s="60" t="str">
        <f ca="1">IF(AND($Q$11="sorcerer",$Q$12&gt;=15),"x",IF(AND($Q$11="sorcerer",$Q$12&gt;=13),"xx"," "))</f>
        <v xml:space="preserve"> </v>
      </c>
      <c r="R278" s="60" t="str">
        <f ca="1">IF(AND($Q$11="sorcerer",$Q$12&gt;=17),"x",IF(AND($Q$11="sorcerer",$Q$12&gt;15),"xx"," "))</f>
        <v xml:space="preserve"> </v>
      </c>
      <c r="S278" s="63" t="str">
        <f ca="1">IF(AND($Q$11="sorcerer",$Q$12&gt;=17),"xx"," ")</f>
        <v xml:space="preserve"> </v>
      </c>
    </row>
    <row r="279" spans="15:19" hidden="1" x14ac:dyDescent="0.3">
      <c r="O279" s="65">
        <f ca="1">IF(O278="x",RANDBETWEEN(2,3),IF(O278="xx",RANDBETWEEN(2,3),0))</f>
        <v>0</v>
      </c>
      <c r="P279" s="65">
        <f ca="1">IF(P278="x",RANDBETWEEN(2,3),IF(P278="xx",RANDBETWEEN(2,3),0))</f>
        <v>0</v>
      </c>
      <c r="Q279" s="65">
        <f ca="1">IF(Q278="x",RANDBETWEEN(1,2),IF(Q278="xx",RANDBETWEEN(1,2),0))</f>
        <v>0</v>
      </c>
      <c r="R279" s="65">
        <f ca="1">IF(OR(R278="x",R278="xx"),RANDBETWEEN(1,2),0)</f>
        <v>0</v>
      </c>
      <c r="S279" s="66">
        <f ca="1">IF(S278="xx",RANDBETWEEN(1,2),0)</f>
        <v>0</v>
      </c>
    </row>
    <row r="280" spans="15:19" hidden="1" x14ac:dyDescent="0.3">
      <c r="O280" s="60"/>
      <c r="P280" s="60"/>
      <c r="Q280" s="60"/>
      <c r="R280" s="60"/>
      <c r="S280" s="63"/>
    </row>
    <row r="281" spans="15:19" hidden="1" x14ac:dyDescent="0.3">
      <c r="O281" s="65"/>
      <c r="P281" s="65"/>
      <c r="Q281" s="65"/>
      <c r="R281" s="65"/>
      <c r="S281" s="66"/>
    </row>
    <row r="282" spans="15:19" hidden="1" x14ac:dyDescent="0.3">
      <c r="O282" s="60" t="str">
        <f ca="1">IF(AND($Q$11="ranger",$Q$12&gt;=17),"xx"," ")</f>
        <v xml:space="preserve"> </v>
      </c>
      <c r="P282" s="60"/>
      <c r="Q282" s="60"/>
      <c r="R282" s="60"/>
      <c r="S282" s="63"/>
    </row>
    <row r="283" spans="15:19" hidden="1" x14ac:dyDescent="0.3">
      <c r="O283" s="65">
        <f ca="1">IF(O282="x",RANDBETWEEN(2,3),IF(O282="xx",RANDBETWEEN(2,3),0))</f>
        <v>0</v>
      </c>
      <c r="P283" s="65"/>
      <c r="Q283" s="65"/>
      <c r="R283" s="65"/>
      <c r="S283" s="66"/>
    </row>
    <row r="284" spans="15:19" hidden="1" x14ac:dyDescent="0.3">
      <c r="O284" s="60" t="str">
        <f ca="1">IF(AND(Q11="paladin",Q12&gt;=17),"xx"," ")</f>
        <v xml:space="preserve"> </v>
      </c>
      <c r="P284" s="60"/>
      <c r="Q284" s="60"/>
      <c r="R284" s="60"/>
      <c r="S284" s="63"/>
    </row>
    <row r="285" spans="15:19" hidden="1" x14ac:dyDescent="0.3">
      <c r="O285" s="65">
        <f ca="1">IF(O284="x",RANDBETWEEN(2,3),IF(O284="xx",RANDBETWEEN(2,3),0))</f>
        <v>0</v>
      </c>
      <c r="P285" s="65"/>
      <c r="Q285" s="65"/>
      <c r="R285" s="65"/>
      <c r="S285" s="66"/>
    </row>
    <row r="286" spans="15:19" hidden="1" x14ac:dyDescent="0.3">
      <c r="O286" s="60"/>
      <c r="P286" s="60"/>
      <c r="Q286" s="60"/>
      <c r="R286" s="60"/>
      <c r="S286" s="63"/>
    </row>
    <row r="287" spans="15:19" hidden="1" x14ac:dyDescent="0.3">
      <c r="O287" s="65"/>
      <c r="P287" s="65"/>
      <c r="Q287" s="65"/>
      <c r="R287" s="65"/>
      <c r="S287" s="66"/>
    </row>
    <row r="288" spans="15:19" hidden="1" x14ac:dyDescent="0.3">
      <c r="O288" s="60" t="str">
        <f ca="1">IF(AND($Q$11="druid",$Q$12&gt;=11),"x",IF(AND($Q$11="druid",$Q$12&gt;=9),"xx"," "))</f>
        <v xml:space="preserve"> </v>
      </c>
      <c r="P288" s="60" t="str">
        <f ca="1">IF(AND($Q$11="druid",$Q$12&gt;=13),"x",IF(AND($Q$11="druid",$Q$12&gt;=11),"xx"," "))</f>
        <v xml:space="preserve"> </v>
      </c>
      <c r="Q288" s="60" t="str">
        <f ca="1">IF(AND($Q$11="druid",$Q$12&gt;=15),"x",IF(AND($Q$11="druid",$Q$12&gt;=13),"xx"," "))</f>
        <v xml:space="preserve"> </v>
      </c>
      <c r="R288" s="60" t="str">
        <f ca="1">IF(AND($Q$11="druid",$Q$12&gt;=17),"x",IF(AND($Q$11="druid",$Q$12&gt;15),"xx"," "))</f>
        <v xml:space="preserve"> </v>
      </c>
      <c r="S288" s="63" t="str">
        <f ca="1">IF(AND($Q$11="druid",$Q$12&gt;=17),"xx"," ")</f>
        <v xml:space="preserve"> </v>
      </c>
    </row>
    <row r="289" spans="14:20" hidden="1" x14ac:dyDescent="0.3">
      <c r="O289" s="65">
        <f ca="1">IF(O288="x",RANDBETWEEN(2,3),IF(O288="xx",RANDBETWEEN(2,3),0))</f>
        <v>0</v>
      </c>
      <c r="P289" s="65">
        <f ca="1">IF(P288="x",RANDBETWEEN(2,3),IF(P288="xx",RANDBETWEEN(2,3),0))</f>
        <v>0</v>
      </c>
      <c r="Q289" s="65">
        <f ca="1">IF(Q288="x",RANDBETWEEN(1,2),IF(Q288="xx",RANDBETWEEN(1,2),0))</f>
        <v>0</v>
      </c>
      <c r="R289" s="65">
        <f ca="1">IF(OR(R288="x",R288="xx"),RANDBETWEEN(1,2),0)</f>
        <v>0</v>
      </c>
      <c r="S289" s="66">
        <f ca="1">IF(S288="xx",RANDBETWEEN(1,2),0)</f>
        <v>0</v>
      </c>
    </row>
    <row r="290" spans="14:20" hidden="1" x14ac:dyDescent="0.3">
      <c r="O290" s="60" t="str">
        <f ca="1">IF(AND(Q11="cleric",Q12&gt;=11),"x",IF(AND($Q$11="cleric",$Q$12&gt;=9),"xx"," "))</f>
        <v xml:space="preserve"> </v>
      </c>
      <c r="P290" s="60" t="str">
        <f ca="1">IF(AND(Q11="cleric",Q12&gt;=13),"x",IF(AND($Q$11="cleric",$Q$12&gt;=11),"xx"," "))</f>
        <v xml:space="preserve"> </v>
      </c>
      <c r="Q290" s="60" t="str">
        <f ca="1">IF(AND(Q11="cleric",Q12&gt;=15),"x",IF(AND($Q$11="cleric",$Q$12&gt;=13),"xx"," "))</f>
        <v xml:space="preserve"> </v>
      </c>
      <c r="R290" s="60" t="str">
        <f ca="1">IF(AND(Q11="cleric",Q12&gt;=17),"x",IF(AND($Q$11="cleric",$Q$12&gt;15),"xx"," "))</f>
        <v xml:space="preserve"> </v>
      </c>
      <c r="S290" s="63" t="str">
        <f ca="1">IF(AND($Q$11="cleric",$Q$12&gt;=17),"xx"," ")</f>
        <v xml:space="preserve"> </v>
      </c>
    </row>
    <row r="291" spans="14:20" hidden="1" x14ac:dyDescent="0.3">
      <c r="O291" s="65">
        <f ca="1">IF(O290="x",RANDBETWEEN(2,3),IF(O290="xx",RANDBETWEEN(2,3),0))</f>
        <v>0</v>
      </c>
      <c r="P291" s="65">
        <f ca="1">IF(P290="x",RANDBETWEEN(2,3),IF(P290="xx",RANDBETWEEN(2,3),0))</f>
        <v>0</v>
      </c>
      <c r="Q291" s="65">
        <f ca="1">IF(Q290="x",RANDBETWEEN(1,2),IF(Q290="xx",RANDBETWEEN(1,2),0))</f>
        <v>0</v>
      </c>
      <c r="R291" s="65">
        <f ca="1">IF(OR(R290="x",R290="xx"),RANDBETWEEN(1,2),0)</f>
        <v>0</v>
      </c>
      <c r="S291" s="66">
        <f ca="1">IF(S290="xx",RANDBETWEEN(1,2),0)</f>
        <v>0</v>
      </c>
    </row>
    <row r="292" spans="14:20" hidden="1" x14ac:dyDescent="0.3">
      <c r="O292" s="60" t="str">
        <f ca="1">IF(AND($Q$11="bard",$Q$12&gt;=11),"x",IF(AND($Q$11="bard",$Q$12&gt;=9),"xx"," "))</f>
        <v xml:space="preserve"> </v>
      </c>
      <c r="P292" s="60" t="str">
        <f ca="1">IF(AND($Q$11="bard",$Q$12&gt;=13),"x",IF(AND($Q$11="bard",$Q$12&gt;=11),"xx"," "))</f>
        <v xml:space="preserve"> </v>
      </c>
      <c r="Q292" s="60" t="str">
        <f ca="1">IF(AND($Q$11="bard",$Q$12&gt;=15),"x",IF(AND($Q$11="bard",$Q$12&gt;=13),"xx"," "))</f>
        <v xml:space="preserve"> </v>
      </c>
      <c r="R292" s="60" t="str">
        <f ca="1">IF(AND($Q$11="bard",$Q$12&gt;=17),"x",IF(AND($Q$11="bard",$Q$12&gt;15),"xx"," "))</f>
        <v xml:space="preserve"> </v>
      </c>
      <c r="S292" s="63" t="str">
        <f ca="1">IF(AND($Q$11="bard",$Q$12&gt;=17),"xx"," ")</f>
        <v xml:space="preserve"> </v>
      </c>
    </row>
    <row r="293" spans="14:20" hidden="1" x14ac:dyDescent="0.3">
      <c r="O293" s="65">
        <f ca="1">IF(O292="x",RANDBETWEEN(2,3),IF(O292="xx",RANDBETWEEN(2,3),0))</f>
        <v>0</v>
      </c>
      <c r="P293" s="65">
        <f ca="1">IF(P292="x",RANDBETWEEN(2,3),IF(P292="xx",RANDBETWEEN(2,3),0))</f>
        <v>0</v>
      </c>
      <c r="Q293" s="65">
        <f ca="1">IF(Q292="x",RANDBETWEEN(1,2),IF(Q292="xx",RANDBETWEEN(1,2),0))</f>
        <v>0</v>
      </c>
      <c r="R293" s="65">
        <f ca="1">IF(OR(R292="x",R292="xx"),RANDBETWEEN(1,2),0)</f>
        <v>0</v>
      </c>
      <c r="S293" s="66">
        <f ca="1">IF(S292="xx",RANDBETWEEN(1,2),0)</f>
        <v>0</v>
      </c>
    </row>
    <row r="294" spans="14:20" x14ac:dyDescent="0.3">
      <c r="N294" s="72"/>
      <c r="O294" s="136"/>
      <c r="P294" s="96" t="s">
        <v>750</v>
      </c>
      <c r="Q294" s="96" t="s">
        <v>1125</v>
      </c>
      <c r="R294" s="96" t="s">
        <v>1126</v>
      </c>
      <c r="S294" s="96" t="s">
        <v>1127</v>
      </c>
      <c r="T294" s="97" t="s">
        <v>751</v>
      </c>
    </row>
    <row r="295" spans="14:20" x14ac:dyDescent="0.3">
      <c r="N295" s="72"/>
      <c r="O295" s="86">
        <v>1</v>
      </c>
      <c r="P295" s="65" t="str">
        <f ca="1">IF(AND($Q$15="Otherworldly patron - great old one",O$277&gt;=O193),INDEX('Spell Tables'!$AJ$226:$AJ$231,MATCH(O193,('Spell Tables'!$AH$226:$AH$231),0)),IF(AND($Q$15="Otherworldly patron - fiend",O$277&gt;=O193),INDEX('Spell Tables'!$AJ$210:$AJ$215,MATCH(O193,('Spell Tables'!$AH$210:$AH$215),0)),IF(AND($Q$15="Otherworldly patron - archfey",O$277&gt;=O193),INDEX('Spell Tables'!$AJ$194:$AJ$199,MATCH(O193,('Spell Tables'!$AH$194:$AH$199),0)),IF($O$275&gt;=O193,INDEX($AL$92:$AL$101,MATCH(O193,($AJ$92:$AJ$101),0)),IF($O$279&gt;=O193,INDEX('Spell Tables'!$AJ$168:$AJ$178,MATCH(O193,('Spell Tables'!$AH$168:$AH$178),0)),IF($O$283&gt;=O193,INDEX('Spell Tables'!$AF$119:$AF$122,MATCH(O193,('Spell Tables'!$AD$119:$AD$122),0)),IF($O$285&gt;=O193,INDEX('Spell Tables'!$AF$97:$AF$102,MATCH(O193,('Spell Tables'!$AD$97:$AD$102),0)),IF($O$289&gt;=O193,INDEX('Spell Tables'!$AJ$48:$AJ$61,MATCH(O193,('Spell Tables'!$AH$48:$AH$61),0)),IF($O$291&gt;=O193,INDEX('Spell Tables'!$AJ$26:$AJ$38,MATCH(O193,('Spell Tables'!$AH$26:$AH$38),0)),IF($O$293&gt;=O193,INDEX('Spell Tables'!$AJ$2:$AJ$17,MATCH(O193,('Spell Tables'!$AH$2:$AH$17),0))," "))))))))))</f>
        <v xml:space="preserve"> </v>
      </c>
      <c r="Q295" s="65" t="str">
        <f ca="1">IF($P$275&gt;=O262,INDEX($AL$104:$AL$113,MATCH(O262,($AJ$104:$AJ$113),0)),IF($P$279&gt;=O262,INDEX('Spell Tables'!$AN$168:$AN$177,MATCH(O262,('Spell Tables'!$AL$168:$AL$177),0)),IF($P$289&gt;=O262,INDEX('Spell Tables'!$AN$48:$AN$56,MATCH(O262,('Spell Tables'!$AL$48:$AL$56),0)),IF($P$291&gt;=O262,INDEX('Spell Tables'!$AN$26:$AN$35,MATCH(O262,('Spell Tables'!$AL$26:$AL$35),0)),IF($P$293&gt;=O262,INDEX('Spell Tables'!$AN$2:$AN$8,MATCH(O262,('Spell Tables'!$AL$2:$AL$8),0))," ")))))</f>
        <v xml:space="preserve"> </v>
      </c>
      <c r="R295" s="65" t="str">
        <f ca="1">IF($Q$275&gt;=O262,INDEX($AL$116:$AL$125,MATCH(O262,($AJ$116:$AJ$125),0)),IF($Q$279&gt;=O262,INDEX('Spell Tables'!$AR$168:$AR$175,MATCH(O262,('Spell Tables'!$AP$168:$AP$175),0)),IF($Q$289&gt;=O262,INDEX('Spell Tables'!$AR$48:$AR$52,MATCH(O262,('Spell Tables'!$AP$48:$AP$52),0)),IF($Q$291&gt;=O262,INDEX('Spell Tables'!$AR$26:$AR$33,MATCH(O262,('Spell Tables'!$AP$26:$AP$33),0)),IF($Q$293&gt;=O262,INDEX('Spell Tables'!$AR$2:$AR$11,MATCH(O262,('Spell Tables'!$AL$2:$AL$11),0))," ")))))</f>
        <v xml:space="preserve"> </v>
      </c>
      <c r="S295" s="65" t="str">
        <f ca="1">IF($R$275&gt;=O262,INDEX($AL$128:$AL$137,MATCH(O262,($AJ$128:$AJ$137),0)),IF($R$279&gt;=O262,INDEX('Spell Tables'!$AV$168:$AV$172,MATCH(O262,('Spell Tables'!$AT$168:$AT$172),0)),IF($R$289&gt;=O262,INDEX('Spell Tables'!$AV$48:$AV$54,MATCH(O262,('Spell Tables'!$AT$48:$AT$54),0)),IF($R$291&gt;=O262,INDEX('Spell Tables'!$AV$26:$AV$29,MATCH(O262,('Spell Tables'!$AT$26:$AT$29),0)),IF($R$293&gt;=O262,INDEX('Spell Tables'!$AV$2:$AV$6,MATCH(O262,('Spell Tables'!$AT$2:$AT$6),0))," ")))))</f>
        <v xml:space="preserve"> </v>
      </c>
      <c r="T295" s="66" t="str">
        <f ca="1">IF($S$289&gt;=O262,INDEX($AL$140:$AL$149,MATCH(O262,($AJ$140:$AJ$149),0)),IF($S$275&gt;=O262,INDEX('Spell Tables'!$AZ$242:$AZ$253,MATCH(O262,('Spell Tables'!$AX$242:$AX$253),0)),IF($S$279&gt;=O262,INDEX('Spell Tables'!$AZ$168:$AZ$172,MATCH(O262,('Spell Tables'!$AX$168:$AX$172),0)),IF($S$291&gt;=O262,INDEX('Spell Tables'!$AZ$26:$AZ$29,MATCH(O262,('Spell Tables'!$AX$26:$AX$29),0)),IF($S$293&gt;=O262,INDEX('Spell Tables'!$AZ$2:$AZ$5,MATCH(O262,('Spell Tables'!$AX$2:$AX$5),0))," ")))))</f>
        <v xml:space="preserve"> </v>
      </c>
    </row>
    <row r="296" spans="14:20" x14ac:dyDescent="0.3">
      <c r="N296" s="72"/>
      <c r="O296" s="133">
        <v>2</v>
      </c>
      <c r="P296" s="60" t="str">
        <f ca="1">IF(AND($Q$15="Otherworldly patron - great old one",O$277&gt;=O194),INDEX('Spell Tables'!$AJ$226:$AJ$231,MATCH(O194,('Spell Tables'!$AH$226:$AH$231),0)),IF(AND($Q$15="Otherworldly patron - fiend",O$277&gt;=O194),INDEX('Spell Tables'!$AJ$210:$AJ$215,MATCH(O194,('Spell Tables'!$AH$210:$AH$215),0)),IF(AND($Q$15="Otherworldly patron - archfey",O$277&gt;=O194),INDEX('Spell Tables'!$AJ$194:$AJ$199,MATCH(O194,('Spell Tables'!$AH$194:$AH$199),0)),IF($O$275&gt;=O194,INDEX($AL$92:$AL$101,MATCH(O194,($AJ$92:$AJ$101),0)),IF($O$279&gt;=O194,INDEX('Spell Tables'!$AJ$168:$AJ$178,MATCH(O194,('Spell Tables'!$AH$168:$AH$178),0)),IF($O$283&gt;=O194,INDEX('Spell Tables'!$AF$119:$AF$122,MATCH(O194,('Spell Tables'!$AD$119:$AD$122),0)),IF($O$285&gt;=O194,INDEX('Spell Tables'!$AF$97:$AF$102,MATCH(O194,('Spell Tables'!$AD$97:$AD$102),0)),IF($O$289&gt;=O194,INDEX('Spell Tables'!$AJ$48:$AJ$61,MATCH(O194,('Spell Tables'!$AH$48:$AH$61),0)),IF($O$291&gt;=O194,INDEX('Spell Tables'!$AJ$26:$AJ$38,MATCH(O194,('Spell Tables'!$AH$26:$AH$38),0)),IF($O$293&gt;=O194,INDEX('Spell Tables'!$AJ$2:$AJ$17,MATCH(O194,('Spell Tables'!$AH$2:$AH$17),0))," "))))))))))</f>
        <v xml:space="preserve"> </v>
      </c>
      <c r="Q296" s="60" t="str">
        <f ca="1">IF($P$275&gt;=O263,INDEX($AL$104:$AL$113,MATCH(O263,($AJ$104:$AJ$113),0)),IF($P$279&gt;=O263,INDEX('Spell Tables'!$AN$168:$AN$177,MATCH(O263,('Spell Tables'!$AL$168:$AL$177),0)),IF($P$289&gt;=O263,INDEX('Spell Tables'!$AN$48:$AN$56,MATCH(O263,('Spell Tables'!$AL$48:$AL$56),0)),IF($P$291&gt;=O263,INDEX('Spell Tables'!$AN$26:$AN$35,MATCH(O263,('Spell Tables'!$AL$26:$AL$35),0)),IF($P$293&gt;=O263,INDEX('Spell Tables'!$AN$2:$AN$8,MATCH(O263,('Spell Tables'!$AL$2:$AL$8),0))," ")))))</f>
        <v xml:space="preserve"> </v>
      </c>
      <c r="R296" s="60" t="str">
        <f ca="1">IF($Q$275&gt;=O263,INDEX($AL$116:$AL$125,MATCH(O263,($AJ$116:$AJ$125),0)),IF($Q$279&gt;=O263,INDEX('Spell Tables'!$AR$168:$AR$175,MATCH(O263,('Spell Tables'!$AP$168:$AP$175),0)),IF($Q$289&gt;=O263,INDEX('Spell Tables'!$AR$48:$AR$52,MATCH(O263,('Spell Tables'!$AP$48:$AP$52),0)),IF($Q$291&gt;=O263,INDEX('Spell Tables'!$AR$26:$AR$33,MATCH(O263,('Spell Tables'!$AP$26:$AP$33),0)),IF($Q$293&gt;=O263,INDEX('Spell Tables'!$AR$2:$AR$11,MATCH(O263,('Spell Tables'!$AL$2:$AL$11),0))," ")))))</f>
        <v xml:space="preserve"> </v>
      </c>
      <c r="S296" s="60" t="str">
        <f ca="1">IF($R$275&gt;=O263,INDEX($AL$128:$AL$137,MATCH(O263,($AJ$128:$AJ$137),0)),IF($R$279&gt;=O263,INDEX('Spell Tables'!$AV$168:$AV$172,MATCH(O263,('Spell Tables'!$AT$168:$AT$172),0)),IF($R$289&gt;=O263,INDEX('Spell Tables'!$AV$48:$AV$54,MATCH(O263,('Spell Tables'!$AT$48:$AT$54),0)),IF($R$291&gt;=O263,INDEX('Spell Tables'!$AV$26:$AV$29,MATCH(O263,('Spell Tables'!$AT$26:$AT$29),0)),IF($R$293&gt;=O263,INDEX('Spell Tables'!$AV$2:$AV$6,MATCH(O263,('Spell Tables'!$AT$2:$AT$6),0))," ")))))</f>
        <v xml:space="preserve"> </v>
      </c>
      <c r="T296" s="63" t="str">
        <f ca="1">IF($S$289&gt;=O263,INDEX($AL$140:$AL$149,MATCH(O263,($AJ$140:$AJ$149),0)),IF($S$275&gt;=O263,INDEX('Spell Tables'!$AZ$242:$AZ$253,MATCH(O263,('Spell Tables'!$AX$242:$AX$253),0)),IF($S$279&gt;=O263,INDEX('Spell Tables'!$AZ$168:$AZ$172,MATCH(O263,('Spell Tables'!$AX$168:$AX$172),0)),IF($S$291&gt;=O263,INDEX('Spell Tables'!$AZ$26:$AZ$29,MATCH(O263,('Spell Tables'!$AX$26:$AX$29),0)),IF($S$293&gt;=O263,INDEX('Spell Tables'!$AZ$2:$AZ$5,MATCH(O263,('Spell Tables'!$AX$2:$AX$5),0))," ")))))</f>
        <v xml:space="preserve"> </v>
      </c>
    </row>
    <row r="297" spans="14:20" x14ac:dyDescent="0.3">
      <c r="N297" s="72"/>
      <c r="O297" s="86">
        <v>3</v>
      </c>
      <c r="P297" s="65" t="str">
        <f ca="1">IF(AND($Q$15="Otherworldly patron - great old one",O$277&gt;=O195),INDEX('Spell Tables'!$AJ$226:$AJ$231,MATCH(O195,('Spell Tables'!$AH$226:$AH$231),0)),IF(AND($Q$15="Otherworldly patron - fiend",O$277&gt;=O195),INDEX('Spell Tables'!$AJ$210:$AJ$215,MATCH(O195,('Spell Tables'!$AH$210:$AH$215),0)),IF(AND($Q$15="Otherworldly patron - archfey",O$277&gt;=O195),INDEX('Spell Tables'!$AJ$194:$AJ$199,MATCH(O195,('Spell Tables'!$AH$194:$AH$199),0)),IF($O$275&gt;=O195,INDEX($AL$92:$AL$101,MATCH(O195,($AJ$92:$AJ$101),0)),IF($O$279&gt;=O195,INDEX('Spell Tables'!$AJ$168:$AJ$178,MATCH(O195,('Spell Tables'!$AH$168:$AH$178),0)),IF($O$283&gt;=O195,INDEX('Spell Tables'!$AF$119:$AF$122,MATCH(O195,('Spell Tables'!$AD$119:$AD$122),0)),IF($O$285&gt;=O195,INDEX('Spell Tables'!$AF$97:$AF$102,MATCH(O195,('Spell Tables'!$AD$97:$AD$102),0)),IF($O$289&gt;=O195,INDEX('Spell Tables'!$AJ$48:$AJ$61,MATCH(O195,('Spell Tables'!$AH$48:$AH$61),0)),IF($O$291&gt;=O195,INDEX('Spell Tables'!$AJ$26:$AJ$38,MATCH(O195,('Spell Tables'!$AH$26:$AH$38),0)),IF($O$293&gt;=O195,INDEX('Spell Tables'!$AJ$2:$AJ$17,MATCH(O195,('Spell Tables'!$AH$2:$AH$17),0))," "))))))))))</f>
        <v xml:space="preserve"> </v>
      </c>
      <c r="Q297" s="65" t="str">
        <f ca="1">IF($P$275&gt;=O264,INDEX($AL$104:$AL$113,MATCH(O264,($AJ$104:$AJ$113),0)),IF($P$279&gt;=O264,INDEX('Spell Tables'!$AN$168:$AN$177,MATCH(O264,('Spell Tables'!$AL$168:$AL$177),0)),IF($P$289&gt;=O264,INDEX('Spell Tables'!$AN$48:$AN$56,MATCH(O264,('Spell Tables'!$AL$48:$AL$56),0)),IF($P$291&gt;=O264,INDEX('Spell Tables'!$AN$26:$AN$35,MATCH(O264,('Spell Tables'!$AL$26:$AL$35),0)),IF($P$293&gt;=O264,INDEX('Spell Tables'!$AN$2:$AN$8,MATCH(O264,('Spell Tables'!$AL$2:$AL$8),0))," ")))))</f>
        <v xml:space="preserve"> </v>
      </c>
      <c r="R297" s="65" t="str">
        <f ca="1">IF($Q$275&gt;=O264,INDEX($AL$116:$AL$125,MATCH(O264,($AJ$116:$AJ$125),0)),IF($Q$279&gt;=O264,INDEX('Spell Tables'!$AR$168:$AR$175,MATCH(O264,('Spell Tables'!$AP$168:$AP$175),0)),IF($Q$289&gt;=O264,INDEX('Spell Tables'!$AR$48:$AR$52,MATCH(O264,('Spell Tables'!$AP$48:$AP$52),0)),IF($Q$291&gt;=O264,INDEX('Spell Tables'!$AR$26:$AR$33,MATCH(O264,('Spell Tables'!$AP$26:$AP$33),0)),IF($Q$293&gt;=O264,INDEX('Spell Tables'!$AR$2:$AR$11,MATCH(O264,('Spell Tables'!$AL$2:$AL$11),0))," ")))))</f>
        <v xml:space="preserve"> </v>
      </c>
      <c r="S297" s="65" t="str">
        <f ca="1">IF($R$275&gt;=O264,INDEX($AL$128:$AL$137,MATCH(O264,($AJ$128:$AJ$137),0)),IF($R$279&gt;=O264,INDEX('Spell Tables'!$AV$168:$AV$172,MATCH(O264,('Spell Tables'!$AT$168:$AT$172),0)),IF($R$289&gt;=O264,INDEX('Spell Tables'!$AV$48:$AV$54,MATCH(O264,('Spell Tables'!$AT$48:$AT$54),0)),IF($R$291&gt;=O264,INDEX('Spell Tables'!$AV$26:$AV$29,MATCH(O264,('Spell Tables'!$AT$26:$AT$29),0)),IF($R$293&gt;=O264,INDEX('Spell Tables'!$AV$2:$AV$6,MATCH(O264,('Spell Tables'!$AT$2:$AT$6),0))," ")))))</f>
        <v xml:space="preserve"> </v>
      </c>
      <c r="T297" s="66" t="str">
        <f ca="1">IF($S$289&gt;=O264,INDEX($AL$140:$AL$149,MATCH(O264,($AJ$140:$AJ$149),0)),IF($S$275&gt;=O264,INDEX('Spell Tables'!$AZ$242:$AZ$253,MATCH(O264,('Spell Tables'!$AX$242:$AX$253),0)),IF($S$279&gt;=O264,INDEX('Spell Tables'!$AZ$168:$AZ$172,MATCH(O264,('Spell Tables'!$AX$168:$AX$172),0)),IF($S$291&gt;=O264,INDEX('Spell Tables'!$AZ$26:$AZ$29,MATCH(O264,('Spell Tables'!$AX$26:$AX$29),0)),IF($S$293&gt;=O264,INDEX('Spell Tables'!$AZ$2:$AZ$5,MATCH(O264,('Spell Tables'!$AX$2:$AX$5),0))," ")))))</f>
        <v xml:space="preserve"> </v>
      </c>
    </row>
    <row r="298" spans="14:20" x14ac:dyDescent="0.3">
      <c r="N298" s="72"/>
      <c r="O298" s="133">
        <v>4</v>
      </c>
      <c r="P298" s="60" t="str">
        <f ca="1">IF(AND($Q$15="Otherworldly patron - great old one",O$277&gt;=O196),INDEX('Spell Tables'!$AJ$226:$AJ$231,MATCH(O196,('Spell Tables'!$AH$226:$AH$231),0)),IF(AND($Q$15="Otherworldly patron - fiend",O$277&gt;=O196),INDEX('Spell Tables'!$AJ$210:$AJ$215,MATCH(O196,('Spell Tables'!$AH$210:$AH$215),0)),IF(AND($Q$15="Otherworldly patron - archfey",O$277&gt;=O196),INDEX('Spell Tables'!$AJ$194:$AJ$199,MATCH(O196,('Spell Tables'!$AH$194:$AH$199),0)),IF($O$275&gt;=O196,INDEX($AL$92:$AL$101,MATCH(O196,($AJ$92:$AJ$101),0)),IF($O$279&gt;=O196,INDEX('Spell Tables'!$AJ$168:$AJ$178,MATCH(O196,('Spell Tables'!$AH$168:$AH$178),0)),IF($O$283&gt;=O196,INDEX('Spell Tables'!$AF$119:$AF$122,MATCH(O196,('Spell Tables'!$AD$119:$AD$122),0)),IF($O$285&gt;=O196,INDEX('Spell Tables'!$AF$97:$AF$102,MATCH(O196,('Spell Tables'!$AD$97:$AD$102),0)),IF($O$289&gt;=O196,INDEX('Spell Tables'!$AJ$48:$AJ$61,MATCH(O196,('Spell Tables'!$AH$48:$AH$61),0)),IF($O$291&gt;=O196,INDEX('Spell Tables'!$AJ$26:$AJ$38,MATCH(O196,('Spell Tables'!$AH$26:$AH$38),0)),IF($O$293&gt;=O196,INDEX('Spell Tables'!$AJ$2:$AJ$17,MATCH(O196,('Spell Tables'!$AH$2:$AH$17),0))," "))))))))))</f>
        <v xml:space="preserve"> </v>
      </c>
      <c r="Q298" s="60" t="str">
        <f ca="1">IF($P$275&gt;=O265,INDEX($AL$104:$AL$113,MATCH(O265,($AJ$104:$AJ$113),0)),IF($P$279&gt;=O265,INDEX('Spell Tables'!$AN$168:$AN$177,MATCH(O265,('Spell Tables'!$AL$168:$AL$177),0)),IF($P$289&gt;=O265,INDEX('Spell Tables'!$AN$48:$AN$56,MATCH(O265,('Spell Tables'!$AL$48:$AL$56),0)),IF($P$291&gt;=O265,INDEX('Spell Tables'!$AN$26:$AN$35,MATCH(O265,('Spell Tables'!$AL$26:$AL$35),0)),IF($P$293&gt;=O265,INDEX('Spell Tables'!$AN$2:$AN$8,MATCH(O265,('Spell Tables'!$AL$2:$AL$8),0))," ")))))</f>
        <v xml:space="preserve"> </v>
      </c>
      <c r="R298" s="60" t="str">
        <f ca="1">IF($Q$275&gt;=O265,INDEX($AL$116:$AL$125,MATCH(O265,($AJ$116:$AJ$125),0)),IF($Q$279&gt;=O265,INDEX('Spell Tables'!$AR$168:$AR$175,MATCH(O265,('Spell Tables'!$AP$168:$AP$175),0)),IF($Q$289&gt;=O265,INDEX('Spell Tables'!$AR$48:$AR$52,MATCH(O265,('Spell Tables'!$AP$48:$AP$52),0)),IF($Q$291&gt;=O265,INDEX('Spell Tables'!$AR$26:$AR$33,MATCH(O265,('Spell Tables'!$AP$26:$AP$33),0)),IF($Q$293&gt;=O265,INDEX('Spell Tables'!$AR$2:$AR$11,MATCH(O265,('Spell Tables'!$AL$2:$AL$11),0))," ")))))</f>
        <v xml:space="preserve"> </v>
      </c>
      <c r="S298" s="60" t="str">
        <f ca="1">IF($R$275&gt;=O265,INDEX($AL$128:$AL$137,MATCH(O265,($AJ$128:$AJ$137),0)),IF($R$279&gt;=O265,INDEX('Spell Tables'!$AV$168:$AV$172,MATCH(O265,('Spell Tables'!$AT$168:$AT$172),0)),IF($R$289&gt;=O265,INDEX('Spell Tables'!$AV$48:$AV$54,MATCH(O265,('Spell Tables'!$AT$48:$AT$54),0)),IF($R$291&gt;=O265,INDEX('Spell Tables'!$AV$26:$AV$29,MATCH(O265,('Spell Tables'!$AT$26:$AT$29),0)),IF($R$293&gt;=O265,INDEX('Spell Tables'!$AV$2:$AV$6,MATCH(O265,('Spell Tables'!$AT$2:$AT$6),0))," ")))))</f>
        <v xml:space="preserve"> </v>
      </c>
      <c r="T298" s="63" t="str">
        <f ca="1">IF($S$289&gt;=O265,INDEX($AL$140:$AL$149,MATCH(O265,($AJ$140:$AJ$149),0)),IF($S$275&gt;=O265,INDEX('Spell Tables'!$AZ$242:$AZ$253,MATCH(O265,('Spell Tables'!$AX$242:$AX$253),0)),IF($S$279&gt;=O265,INDEX('Spell Tables'!$AZ$168:$AZ$172,MATCH(O265,('Spell Tables'!$AX$168:$AX$172),0)),IF($S$291&gt;=O265,INDEX('Spell Tables'!$AZ$26:$AZ$29,MATCH(O265,('Spell Tables'!$AX$26:$AX$29),0)),IF($S$293&gt;=O265,INDEX('Spell Tables'!$AZ$2:$AZ$5,MATCH(O265,('Spell Tables'!$AX$2:$AX$5),0))," ")))))</f>
        <v xml:space="preserve"> </v>
      </c>
    </row>
    <row r="299" spans="14:20" x14ac:dyDescent="0.3">
      <c r="N299" s="72"/>
      <c r="O299" s="86">
        <v>5</v>
      </c>
      <c r="P299" s="65" t="str">
        <f ca="1">IF(AND($Q$15="Otherworldly patron - great old one",O$277&gt;=O197),INDEX('Spell Tables'!$AJ$226:$AJ$231,MATCH(O197,('Spell Tables'!$AH$226:$AH$231),0)),IF(AND($Q$15="Otherworldly patron - fiend",O$277&gt;=O197),INDEX('Spell Tables'!$AJ$210:$AJ$215,MATCH(O197,('Spell Tables'!$AH$210:$AH$215),0)),IF(AND($Q$15="Otherworldly patron - archfey",O$277&gt;=O197),INDEX('Spell Tables'!$AJ$194:$AJ$199,MATCH(O197,('Spell Tables'!$AH$194:$AH$199),0)),IF($O$275&gt;=O197,INDEX($AL$92:$AL$101,MATCH(O197,($AJ$92:$AJ$101),0)),IF($O$279&gt;=O197,INDEX('Spell Tables'!$AJ$168:$AJ$178,MATCH(O197,('Spell Tables'!$AH$168:$AH$178),0)),IF($O$283&gt;=O197,INDEX('Spell Tables'!$AF$119:$AF$122,MATCH(O197,('Spell Tables'!$AD$119:$AD$122),0)),IF($O$285&gt;=O197,INDEX('Spell Tables'!$AF$97:$AF$102,MATCH(O197,('Spell Tables'!$AD$97:$AD$102),0)),IF($O$289&gt;=O197,INDEX('Spell Tables'!$AJ$48:$AJ$61,MATCH(O197,('Spell Tables'!$AH$48:$AH$61),0)),IF($O$291&gt;=O197,INDEX('Spell Tables'!$AJ$26:$AJ$38,MATCH(O197,('Spell Tables'!$AH$26:$AH$38),0)),IF($O$293&gt;=O197,INDEX('Spell Tables'!$AJ$2:$AJ$17,MATCH(O197,('Spell Tables'!$AH$2:$AH$17),0))," "))))))))))</f>
        <v xml:space="preserve"> </v>
      </c>
      <c r="Q299" s="65" t="str">
        <f ca="1">IF($P$275&gt;=O266,INDEX($AL$104:$AL$113,MATCH(O266,($AJ$104:$AJ$113),0)),IF($P$279&gt;=O266,INDEX('Spell Tables'!$AN$168:$AN$177,MATCH(O266,('Spell Tables'!$AL$168:$AL$177),0)),IF($P$289&gt;=O266,INDEX('Spell Tables'!$AN$48:$AN$56,MATCH(O266,('Spell Tables'!$AL$48:$AL$56),0)),IF($P$291&gt;=O266,INDEX('Spell Tables'!$AN$26:$AN$35,MATCH(O266,('Spell Tables'!$AL$26:$AL$35),0)),IF($P$293&gt;=O266,INDEX('Spell Tables'!$AN$2:$AN$8,MATCH(O266,('Spell Tables'!$AL$2:$AL$8),0))," ")))))</f>
        <v xml:space="preserve"> </v>
      </c>
      <c r="R299" s="65" t="str">
        <f ca="1">IF($Q$275&gt;=O266,INDEX($AL$116:$AL$125,MATCH(O266,($AJ$116:$AJ$125),0)),IF($Q$279&gt;=O266,INDEX('Spell Tables'!$AR$168:$AR$175,MATCH(O266,('Spell Tables'!$AP$168:$AP$175),0)),IF($Q$289&gt;=O266,INDEX('Spell Tables'!$AR$48:$AR$52,MATCH(O266,('Spell Tables'!$AP$48:$AP$52),0)),IF($Q$291&gt;=O266,INDEX('Spell Tables'!$AR$26:$AR$33,MATCH(O266,('Spell Tables'!$AP$26:$AP$33),0)),IF($Q$293&gt;=O266,INDEX('Spell Tables'!$AR$2:$AR$11,MATCH(O266,('Spell Tables'!$AL$2:$AL$11),0))," ")))))</f>
        <v xml:space="preserve"> </v>
      </c>
      <c r="S299" s="65" t="str">
        <f ca="1">IF($R$275&gt;=O266,INDEX($AL$128:$AL$137,MATCH(O266,($AJ$128:$AJ$137),0)),IF($R$279&gt;=O266,INDEX('Spell Tables'!$AV$168:$AV$172,MATCH(O266,('Spell Tables'!$AT$168:$AT$172),0)),IF($R$289&gt;=O266,INDEX('Spell Tables'!$AV$48:$AV$54,MATCH(O266,('Spell Tables'!$AT$48:$AT$54),0)),IF($R$291&gt;=O266,INDEX('Spell Tables'!$AV$26:$AV$29,MATCH(O266,('Spell Tables'!$AT$26:$AT$29),0)),IF($R$293&gt;=O266,INDEX('Spell Tables'!$AV$2:$AV$6,MATCH(O266,('Spell Tables'!$AT$2:$AT$6),0))," ")))))</f>
        <v xml:space="preserve"> </v>
      </c>
      <c r="T299" s="66" t="str">
        <f ca="1">IF($S$289&gt;=O266,INDEX($AL$140:$AL$149,MATCH(O266,($AJ$140:$AJ$149),0)),IF($S$275&gt;=O266,INDEX('Spell Tables'!$AZ$242:$AZ$253,MATCH(O266,('Spell Tables'!$AX$242:$AX$253),0)),IF($S$279&gt;=O266,INDEX('Spell Tables'!$AZ$168:$AZ$172,MATCH(O266,('Spell Tables'!$AX$168:$AX$172),0)),IF($S$291&gt;=O266,INDEX('Spell Tables'!$AZ$26:$AZ$29,MATCH(O266,('Spell Tables'!$AX$26:$AX$29),0)),IF($S$293&gt;=O266,INDEX('Spell Tables'!$AZ$2:$AZ$5,MATCH(O266,('Spell Tables'!$AX$2:$AX$5),0))," ")))))</f>
        <v xml:space="preserve"> </v>
      </c>
    </row>
    <row r="300" spans="14:20" x14ac:dyDescent="0.3">
      <c r="N300" s="72"/>
      <c r="O300" s="133">
        <v>6</v>
      </c>
      <c r="P300" s="60" t="str">
        <f ca="1">IF(AND($Q$15="Otherworldly patron - great old one",O$277&gt;=O198),INDEX('Spell Tables'!$AJ$226:$AJ$231,MATCH(O198,('Spell Tables'!$AH$226:$AH$231),0)),IF(AND($Q$15="Otherworldly patron - fiend",O$277&gt;=O198),INDEX('Spell Tables'!$AJ$210:$AJ$215,MATCH(O198,('Spell Tables'!$AH$210:$AH$215),0)),IF(AND($Q$15="Otherworldly patron - archfey",O$277&gt;=O198),INDEX('Spell Tables'!$AJ$194:$AJ$199,MATCH(O198,('Spell Tables'!$AH$194:$AH$199),0)),IF($O$275&gt;=O198,INDEX($AL$92:$AL$101,MATCH(O198,($AJ$92:$AJ$101),0)),IF($O$279&gt;=O198,INDEX('Spell Tables'!$AJ$168:$AJ$178,MATCH(O198,('Spell Tables'!$AH$168:$AH$178),0)),IF($O$283&gt;=O198,INDEX('Spell Tables'!$AF$119:$AF$122,MATCH(O198,('Spell Tables'!$AD$119:$AD$122),0)),IF($O$285&gt;=O198,INDEX('Spell Tables'!$AF$97:$AF$102,MATCH(O198,('Spell Tables'!$AD$97:$AD$102),0)),IF($O$289&gt;=O198,INDEX('Spell Tables'!$AJ$48:$AJ$61,MATCH(O198,('Spell Tables'!$AH$48:$AH$61),0)),IF($O$291&gt;=O198,INDEX('Spell Tables'!$AJ$26:$AJ$38,MATCH(O198,('Spell Tables'!$AH$26:$AH$38),0)),IF($O$293&gt;=O198,INDEX('Spell Tables'!$AJ$2:$AJ$17,MATCH(O198,('Spell Tables'!$AH$2:$AH$17),0))," "))))))))))</f>
        <v xml:space="preserve"> </v>
      </c>
      <c r="Q300" s="60" t="str">
        <f ca="1">IF($P$275&gt;=O267,INDEX($AL$104:$AL$113,MATCH(O267,($AJ$104:$AJ$113),0)),IF($P$279&gt;=O267,INDEX('Spell Tables'!$AN$168:$AN$177,MATCH(O267,('Spell Tables'!$AL$168:$AL$177),0)),IF($P$289&gt;=O267,INDEX('Spell Tables'!$AN$48:$AN$56,MATCH(O267,('Spell Tables'!$AL$48:$AL$56),0)),IF($P$291&gt;=O267,INDEX('Spell Tables'!$AN$26:$AN$35,MATCH(O267,('Spell Tables'!$AL$26:$AL$35),0)),IF($P$293&gt;=O267,INDEX('Spell Tables'!$AN$2:$AN$8,MATCH(O267,('Spell Tables'!$AL$2:$AL$8),0))," ")))))</f>
        <v xml:space="preserve"> </v>
      </c>
      <c r="R300" s="60" t="str">
        <f ca="1">IF($Q$275&gt;=O267,INDEX($AL$116:$AL$125,MATCH(O267,($AJ$116:$AJ$125),0)),IF($Q$279&gt;=O267,INDEX('Spell Tables'!$AR$168:$AR$175,MATCH(O267,('Spell Tables'!$AP$168:$AP$175),0)),IF($Q$289&gt;=O267,INDEX('Spell Tables'!$AR$48:$AR$52,MATCH(O267,('Spell Tables'!$AP$48:$AP$52),0)),IF($Q$291&gt;=O267,INDEX('Spell Tables'!$AR$26:$AR$33,MATCH(O267,('Spell Tables'!$AP$26:$AP$33),0)),IF($Q$293&gt;=O267,INDEX('Spell Tables'!$AR$2:$AR$11,MATCH(O267,('Spell Tables'!$AL$2:$AL$11),0))," ")))))</f>
        <v xml:space="preserve"> </v>
      </c>
      <c r="S300" s="60" t="str">
        <f ca="1">IF($R$275&gt;=O267,INDEX($AL$128:$AL$137,MATCH(O267,($AJ$128:$AJ$137),0)),IF($R$279&gt;=O267,INDEX('Spell Tables'!$AV$168:$AV$172,MATCH(O267,('Spell Tables'!$AT$168:$AT$172),0)),IF($R$289&gt;=O267,INDEX('Spell Tables'!$AV$48:$AV$54,MATCH(O267,('Spell Tables'!$AT$48:$AT$54),0)),IF($R$291&gt;=O267,INDEX('Spell Tables'!$AV$26:$AV$29,MATCH(O267,('Spell Tables'!$AT$26:$AT$29),0)),IF($R$293&gt;=O267,INDEX('Spell Tables'!$AV$2:$AV$6,MATCH(O267,('Spell Tables'!$AT$2:$AT$6),0))," ")))))</f>
        <v xml:space="preserve"> </v>
      </c>
      <c r="T300" s="63" t="str">
        <f ca="1">IF($S$289&gt;=O267,INDEX($AL$140:$AL$149,MATCH(O267,($AJ$140:$AJ$149),0)),IF($S$275&gt;=O267,INDEX('Spell Tables'!$AZ$242:$AZ$253,MATCH(O267,('Spell Tables'!$AX$242:$AX$253),0)),IF($S$279&gt;=O267,INDEX('Spell Tables'!$AZ$168:$AZ$172,MATCH(O267,('Spell Tables'!$AX$168:$AX$172),0)),IF($S$291&gt;=O267,INDEX('Spell Tables'!$AZ$26:$AZ$29,MATCH(O267,('Spell Tables'!$AX$26:$AX$29),0)),IF($S$293&gt;=O267,INDEX('Spell Tables'!$AZ$2:$AZ$5,MATCH(O267,('Spell Tables'!$AX$2:$AX$5),0))," ")))))</f>
        <v xml:space="preserve"> </v>
      </c>
    </row>
    <row r="301" spans="14:20" x14ac:dyDescent="0.3">
      <c r="N301" s="72"/>
      <c r="O301" s="86">
        <v>7</v>
      </c>
      <c r="P301" s="65" t="str">
        <f ca="1">IF(AND($Q$15="Otherworldly patron - great old one",O$277&gt;=O199),INDEX('Spell Tables'!$AJ$226:$AJ$231,MATCH(O199,('Spell Tables'!$AH$226:$AH$231),0)),IF(AND($Q$15="Otherworldly patron - fiend",O$277&gt;=O199),INDEX('Spell Tables'!$AJ$210:$AJ$215,MATCH(O199,('Spell Tables'!$AH$210:$AH$215),0)),IF(AND($Q$15="Otherworldly patron - archfey",O$277&gt;=O199),INDEX('Spell Tables'!$AJ$194:$AJ$199,MATCH(O199,('Spell Tables'!$AH$194:$AH$199),0)),IF($O$275&gt;=O199,INDEX($AL$92:$AL$101,MATCH(O199,($AJ$92:$AJ$101),0)),IF($O$279&gt;=O199,INDEX('Spell Tables'!$AJ$168:$AJ$178,MATCH(O199,('Spell Tables'!$AH$168:$AH$178),0)),IF($O$283&gt;=O199,INDEX('Spell Tables'!$AF$119:$AF$122,MATCH(O199,('Spell Tables'!$AD$119:$AD$122),0)),IF($O$285&gt;=O199,INDEX('Spell Tables'!$AF$97:$AF$102,MATCH(O199,('Spell Tables'!$AD$97:$AD$102),0)),IF($O$289&gt;=O199,INDEX('Spell Tables'!$AJ$48:$AJ$61,MATCH(O199,('Spell Tables'!$AH$48:$AH$61),0)),IF($O$291&gt;=O199,INDEX('Spell Tables'!$AJ$26:$AJ$38,MATCH(O199,('Spell Tables'!$AH$26:$AH$38),0)),IF($O$293&gt;=O199,INDEX('Spell Tables'!$AJ$2:$AJ$17,MATCH(O199,('Spell Tables'!$AH$2:$AH$17),0))," "))))))))))</f>
        <v xml:space="preserve"> </v>
      </c>
      <c r="Q301" s="65" t="str">
        <f ca="1">IF($P$275&gt;=O268,INDEX($AL$104:$AL$113,MATCH(O268,($AJ$104:$AJ$113),0)),IF($P$279&gt;=O268,INDEX('Spell Tables'!$AN$168:$AN$177,MATCH(O268,('Spell Tables'!$AL$168:$AL$177),0)),IF($P$289&gt;=O268,INDEX('Spell Tables'!$AN$48:$AN$56,MATCH(O268,('Spell Tables'!$AL$48:$AL$56),0)),IF($P$291&gt;=O268,INDEX('Spell Tables'!$AN$26:$AN$35,MATCH(O268,('Spell Tables'!$AL$26:$AL$35),0)),IF($P$293&gt;=O268,INDEX('Spell Tables'!$AN$2:$AN$8,MATCH(O268,('Spell Tables'!$AL$2:$AL$8),0))," ")))))</f>
        <v xml:space="preserve"> </v>
      </c>
      <c r="R301" s="65" t="str">
        <f ca="1">IF($Q$275&gt;=O268,INDEX($AL$116:$AL$125,MATCH(O268,($AJ$116:$AJ$125),0)),IF($Q$279&gt;=O268,INDEX('Spell Tables'!$AR$168:$AR$175,MATCH(O268,('Spell Tables'!$AP$168:$AP$175),0)),IF($Q$289&gt;=O268,INDEX('Spell Tables'!$AR$48:$AR$52,MATCH(O268,('Spell Tables'!$AP$48:$AP$52),0)),IF($Q$291&gt;=O268,INDEX('Spell Tables'!$AR$26:$AR$33,MATCH(O268,('Spell Tables'!$AP$26:$AP$33),0)),IF($Q$293&gt;=O268,INDEX('Spell Tables'!$AR$2:$AR$11,MATCH(O268,('Spell Tables'!$AL$2:$AL$11),0))," ")))))</f>
        <v xml:space="preserve"> </v>
      </c>
      <c r="S301" s="65" t="str">
        <f ca="1">IF($R$275&gt;=O268,INDEX($AL$128:$AL$137,MATCH(O268,($AJ$128:$AJ$137),0)),IF($R$279&gt;=O268,INDEX('Spell Tables'!$AV$168:$AV$172,MATCH(O268,('Spell Tables'!$AT$168:$AT$172),0)),IF($R$289&gt;=O268,INDEX('Spell Tables'!$AV$48:$AV$54,MATCH(O268,('Spell Tables'!$AT$48:$AT$54),0)),IF($R$291&gt;=O268,INDEX('Spell Tables'!$AV$26:$AV$29,MATCH(O268,('Spell Tables'!$AT$26:$AT$29),0)),IF($R$293&gt;=O268,INDEX('Spell Tables'!$AV$2:$AV$6,MATCH(O268,('Spell Tables'!$AT$2:$AT$6),0))," ")))))</f>
        <v xml:space="preserve"> </v>
      </c>
      <c r="T301" s="66" t="str">
        <f ca="1">IF($S$289&gt;=O268,INDEX($AL$140:$AL$149,MATCH(O268,($AJ$140:$AJ$149),0)),IF($S$275&gt;=O268,INDEX('Spell Tables'!$AZ$242:$AZ$253,MATCH(O268,('Spell Tables'!$AX$242:$AX$253),0)),IF($S$279&gt;=O268,INDEX('Spell Tables'!$AZ$168:$AZ$172,MATCH(O268,('Spell Tables'!$AX$168:$AX$172),0)),IF($S$291&gt;=O268,INDEX('Spell Tables'!$AZ$26:$AZ$29,MATCH(O268,('Spell Tables'!$AX$26:$AX$29),0)),IF($S$293&gt;=O268,INDEX('Spell Tables'!$AZ$2:$AZ$5,MATCH(O268,('Spell Tables'!$AX$2:$AX$5),0))," ")))))</f>
        <v xml:space="preserve"> </v>
      </c>
    </row>
    <row r="302" spans="14:20" x14ac:dyDescent="0.3">
      <c r="N302" s="72"/>
      <c r="O302" s="133">
        <v>8</v>
      </c>
      <c r="P302" s="60" t="str">
        <f ca="1">IF(AND($Q$15="Otherworldly patron - great old one",O$277&gt;=O200),INDEX('Spell Tables'!$AJ$226:$AJ$231,MATCH(O200,('Spell Tables'!$AH$226:$AH$231),0)),IF(AND($Q$15="Otherworldly patron - fiend",O$277&gt;=O200),INDEX('Spell Tables'!$AJ$210:$AJ$215,MATCH(O200,('Spell Tables'!$AH$210:$AH$215),0)),IF(AND($Q$15="Otherworldly patron - archfey",O$277&gt;=O200),INDEX('Spell Tables'!$AJ$194:$AJ$199,MATCH(O200,('Spell Tables'!$AH$194:$AH$199),0)),IF($O$275&gt;=O200,INDEX($AL$92:$AL$101,MATCH(O200,($AJ$92:$AJ$101),0)),IF($O$279&gt;=O200,INDEX('Spell Tables'!$AJ$168:$AJ$178,MATCH(O200,('Spell Tables'!$AH$168:$AH$178),0)),IF($O$283&gt;=O200,INDEX('Spell Tables'!$AF$119:$AF$122,MATCH(O200,('Spell Tables'!$AD$119:$AD$122),0)),IF($O$285&gt;=O200,INDEX('Spell Tables'!$AF$97:$AF$102,MATCH(O200,('Spell Tables'!$AD$97:$AD$102),0)),IF($O$289&gt;=O200,INDEX('Spell Tables'!$AJ$48:$AJ$61,MATCH(O200,('Spell Tables'!$AH$48:$AH$61),0)),IF($O$291&gt;=O200,INDEX('Spell Tables'!$AJ$26:$AJ$38,MATCH(O200,('Spell Tables'!$AH$26:$AH$38),0)),IF($O$293&gt;=O200,INDEX('Spell Tables'!$AJ$2:$AJ$17,MATCH(O200,('Spell Tables'!$AH$2:$AH$17),0))," "))))))))))</f>
        <v xml:space="preserve"> </v>
      </c>
      <c r="Q302" s="60" t="str">
        <f ca="1">IF($P$275&gt;=O269,INDEX($AL$104:$AL$113,MATCH(O269,($AJ$104:$AJ$113),0)),IF($P$279&gt;=O269,INDEX('Spell Tables'!$AN$168:$AN$177,MATCH(O269,('Spell Tables'!$AL$168:$AL$177),0)),IF($P$289&gt;=O269,INDEX('Spell Tables'!$AN$48:$AN$56,MATCH(O269,('Spell Tables'!$AL$48:$AL$56),0)),IF($P$291&gt;=O269,INDEX('Spell Tables'!$AN$26:$AN$35,MATCH(O269,('Spell Tables'!$AL$26:$AL$35),0)),IF($P$293&gt;=O269,INDEX('Spell Tables'!$AN$2:$AN$8,MATCH(O269,('Spell Tables'!$AL$2:$AL$8),0))," ")))))</f>
        <v xml:space="preserve"> </v>
      </c>
      <c r="R302" s="60" t="str">
        <f ca="1">IF($Q$275&gt;=O269,INDEX($AL$116:$AL$125,MATCH(O269,($AJ$116:$AJ$125),0)),IF($Q$279&gt;=O269,INDEX('Spell Tables'!$AR$168:$AR$175,MATCH(O269,('Spell Tables'!$AP$168:$AP$175),0)),IF($Q$289&gt;=O269,INDEX('Spell Tables'!$AR$48:$AR$52,MATCH(O269,('Spell Tables'!$AP$48:$AP$52),0)),IF($Q$291&gt;=O269,INDEX('Spell Tables'!$AR$26:$AR$33,MATCH(O269,('Spell Tables'!$AP$26:$AP$33),0)),IF($Q$293&gt;=O269,INDEX('Spell Tables'!$AR$2:$AR$11,MATCH(O269,('Spell Tables'!$AL$2:$AL$11),0))," ")))))</f>
        <v xml:space="preserve"> </v>
      </c>
      <c r="S302" s="60" t="str">
        <f ca="1">IF($R$275&gt;=O269,INDEX($AL$128:$AL$137,MATCH(O269,($AJ$128:$AJ$137),0)),IF($R$279&gt;=O269,INDEX('Spell Tables'!$AV$168:$AV$172,MATCH(O269,('Spell Tables'!$AT$168:$AT$172),0)),IF($R$289&gt;=O269,INDEX('Spell Tables'!$AV$48:$AV$54,MATCH(O269,('Spell Tables'!$AT$48:$AT$54),0)),IF($R$291&gt;=O269,INDEX('Spell Tables'!$AV$26:$AV$29,MATCH(O269,('Spell Tables'!$AT$26:$AT$29),0)),IF($R$293&gt;=O269,INDEX('Spell Tables'!$AV$2:$AV$6,MATCH(O269,('Spell Tables'!$AT$2:$AT$6),0))," ")))))</f>
        <v xml:space="preserve"> </v>
      </c>
      <c r="T302" s="63" t="str">
        <f ca="1">IF($S$289&gt;=O269,INDEX($AL$140:$AL$149,MATCH(O269,($AJ$140:$AJ$149),0)),IF($S$275&gt;=O269,INDEX('Spell Tables'!$AZ$242:$AZ$253,MATCH(O269,('Spell Tables'!$AX$242:$AX$253),0)),IF($S$279&gt;=O269,INDEX('Spell Tables'!$AZ$168:$AZ$172,MATCH(O269,('Spell Tables'!$AX$168:$AX$172),0)),IF($S$291&gt;=O269,INDEX('Spell Tables'!$AZ$26:$AZ$29,MATCH(O269,('Spell Tables'!$AX$26:$AX$29),0)),IF($S$293&gt;=O269,INDEX('Spell Tables'!$AZ$2:$AZ$5,MATCH(O269,('Spell Tables'!$AX$2:$AX$5),0))," ")))))</f>
        <v xml:space="preserve"> </v>
      </c>
    </row>
    <row r="303" spans="14:20" x14ac:dyDescent="0.3">
      <c r="N303" s="72"/>
      <c r="O303" s="86">
        <v>9</v>
      </c>
      <c r="P303" s="65" t="str">
        <f ca="1">IF(AND($Q$15="Otherworldly patron - great old one",O$277&gt;=O201),INDEX('Spell Tables'!$AJ$226:$AJ$231,MATCH(O201,('Spell Tables'!$AH$226:$AH$231),0)),IF(AND($Q$15="Otherworldly patron - fiend",O$277&gt;=O201),INDEX('Spell Tables'!$AJ$210:$AJ$215,MATCH(O201,('Spell Tables'!$AH$210:$AH$215),0)),IF(AND($Q$15="Otherworldly patron - archfey",O$277&gt;=O201),INDEX('Spell Tables'!$AJ$194:$AJ$199,MATCH(O201,('Spell Tables'!$AH$194:$AH$199),0)),IF($O$275&gt;=O201,INDEX($AL$92:$AL$101,MATCH(O201,($AJ$92:$AJ$101),0)),IF($O$279&gt;=O201,INDEX('Spell Tables'!$AJ$168:$AJ$178,MATCH(O201,('Spell Tables'!$AH$168:$AH$178),0)),IF($O$283&gt;=O201,INDEX('Spell Tables'!$AF$119:$AF$122,MATCH(O201,('Spell Tables'!$AD$119:$AD$122),0)),IF($O$285&gt;=O201,INDEX('Spell Tables'!$AF$97:$AF$102,MATCH(O201,('Spell Tables'!$AD$97:$AD$102),0)),IF($O$289&gt;=O201,INDEX('Spell Tables'!$AJ$48:$AJ$61,MATCH(O201,('Spell Tables'!$AH$48:$AH$61),0)),IF($O$291&gt;=O201,INDEX('Spell Tables'!$AJ$26:$AJ$38,MATCH(O201,('Spell Tables'!$AH$26:$AH$38),0)),IF($O$293&gt;=O201,INDEX('Spell Tables'!$AJ$2:$AJ$17,MATCH(O201,('Spell Tables'!$AH$2:$AH$17),0))," "))))))))))</f>
        <v xml:space="preserve"> </v>
      </c>
      <c r="Q303" s="65" t="str">
        <f ca="1">IF($P$275&gt;=O270,INDEX($AL$104:$AL$113,MATCH(O270,($AJ$104:$AJ$113),0)),IF($P$279&gt;=O270,INDEX('Spell Tables'!$AN$168:$AN$177,MATCH(O270,('Spell Tables'!$AL$168:$AL$177),0)),IF($P$289&gt;=O270,INDEX('Spell Tables'!$AN$48:$AN$56,MATCH(O270,('Spell Tables'!$AL$48:$AL$56),0)),IF($P$291&gt;=O270,INDEX('Spell Tables'!$AN$26:$AN$35,MATCH(O270,('Spell Tables'!$AL$26:$AL$35),0)),IF($P$293&gt;=O270,INDEX('Spell Tables'!$AN$2:$AN$8,MATCH(O270,('Spell Tables'!$AL$2:$AL$8),0))," ")))))</f>
        <v xml:space="preserve"> </v>
      </c>
      <c r="R303" s="65" t="str">
        <f ca="1">IF($Q$275&gt;=O270,INDEX($AL$116:$AL$125,MATCH(O270,($AJ$116:$AJ$125),0)),IF($Q$279&gt;=O270,INDEX('Spell Tables'!$AR$168:$AR$175,MATCH(O270,('Spell Tables'!$AP$168:$AP$175),0)),IF($Q$289&gt;=O270,INDEX('Spell Tables'!$AR$48:$AR$52,MATCH(O270,('Spell Tables'!$AP$48:$AP$52),0)),IF($Q$291&gt;=O270,INDEX('Spell Tables'!$AR$26:$AR$33,MATCH(O270,('Spell Tables'!$AP$26:$AP$33),0)),IF($Q$293&gt;=O270,INDEX('Spell Tables'!$AR$2:$AR$11,MATCH(O270,('Spell Tables'!$AL$2:$AL$11),0))," ")))))</f>
        <v xml:space="preserve"> </v>
      </c>
      <c r="S303" s="65" t="str">
        <f ca="1">IF($R$275&gt;=O270,INDEX($AL$128:$AL$137,MATCH(O270,($AJ$128:$AJ$137),0)),IF($R$279&gt;=O270,INDEX('Spell Tables'!$AV$168:$AV$172,MATCH(O270,('Spell Tables'!$AT$168:$AT$172),0)),IF($R$289&gt;=O270,INDEX('Spell Tables'!$AV$48:$AV$54,MATCH(O270,('Spell Tables'!$AT$48:$AT$54),0)),IF($R$291&gt;=O270,INDEX('Spell Tables'!$AV$26:$AV$29,MATCH(O270,('Spell Tables'!$AT$26:$AT$29),0)),IF($R$293&gt;=O270,INDEX('Spell Tables'!$AV$2:$AV$6,MATCH(O270,('Spell Tables'!$AT$2:$AT$6),0))," ")))))</f>
        <v xml:space="preserve"> </v>
      </c>
      <c r="T303" s="66" t="str">
        <f ca="1">IF($S$289&gt;=O270,INDEX($AL$140:$AL$149,MATCH(O270,($AJ$140:$AJ$149),0)),IF($S$275&gt;=O270,INDEX('Spell Tables'!$AZ$242:$AZ$253,MATCH(O270,('Spell Tables'!$AX$242:$AX$253),0)),IF($S$279&gt;=O270,INDEX('Spell Tables'!$AZ$168:$AZ$172,MATCH(O270,('Spell Tables'!$AX$168:$AX$172),0)),IF($S$291&gt;=O270,INDEX('Spell Tables'!$AZ$26:$AZ$29,MATCH(O270,('Spell Tables'!$AX$26:$AX$29),0)),IF($S$293&gt;=O270,INDEX('Spell Tables'!$AZ$2:$AZ$5,MATCH(O270,('Spell Tables'!$AX$2:$AX$5),0))," ")))))</f>
        <v xml:space="preserve"> </v>
      </c>
    </row>
    <row r="304" spans="14:20" ht="19.5" thickBot="1" x14ac:dyDescent="0.35">
      <c r="N304" s="72"/>
      <c r="O304" s="134">
        <v>10</v>
      </c>
      <c r="P304" s="67" t="str">
        <f ca="1">IF(AND($Q$15="Otherworldly patron - great old one",O$277&gt;=O202),INDEX('Spell Tables'!$AJ$226:$AJ$231,MATCH(O202,('Spell Tables'!$AH$226:$AH$231),0)),IF(AND($Q$15="Otherworldly patron - fiend",O$277&gt;=O202),INDEX('Spell Tables'!$AJ$210:$AJ$215,MATCH(O202,('Spell Tables'!$AH$210:$AH$215),0)),IF(AND($Q$15="Otherworldly patron - archfey",O$277&gt;=O202),INDEX('Spell Tables'!$AJ$194:$AJ$199,MATCH(O202,('Spell Tables'!$AH$194:$AH$199),0)),IF($O$275&gt;=O202,INDEX($AL$92:$AL$101,MATCH(O202,($AJ$92:$AJ$101),0)),IF($O$279&gt;=O202,INDEX('Spell Tables'!$AJ$168:$AJ$178,MATCH(O202,('Spell Tables'!$AH$168:$AH$178),0)),IF($O$283&gt;=O202,INDEX('Spell Tables'!$AF$119:$AF$122,MATCH(O202,('Spell Tables'!$AD$119:$AD$122),0)),IF($O$285&gt;=O202,INDEX('Spell Tables'!$AF$97:$AF$102,MATCH(O202,('Spell Tables'!$AD$97:$AD$102),0)),IF($O$289&gt;=O202,INDEX('Spell Tables'!$AJ$48:$AJ$61,MATCH(O202,('Spell Tables'!$AH$48:$AH$61),0)),IF($O$291&gt;=O202,INDEX('Spell Tables'!$AJ$26:$AJ$38,MATCH(O202,('Spell Tables'!$AH$26:$AH$38),0)),IF($O$293&gt;=O202,INDEX('Spell Tables'!$AJ$2:$AJ$17,MATCH(O202,('Spell Tables'!$AH$2:$AH$17),0))," "))))))))))</f>
        <v xml:space="preserve"> </v>
      </c>
      <c r="Q304" s="67" t="str">
        <f ca="1">IF($P$275&gt;=O271,INDEX($AL$104:$AL$113,MATCH(O271,($AJ$104:$AJ$113),0)),IF($P$279&gt;=O271,INDEX('Spell Tables'!$AN$168:$AN$177,MATCH(O271,('Spell Tables'!$AL$168:$AL$177),0)),IF($P$289&gt;=O271,INDEX('Spell Tables'!$AN$48:$AN$56,MATCH(O271,('Spell Tables'!$AL$48:$AL$56),0)),IF($P$291&gt;=O271,INDEX('Spell Tables'!$AN$26:$AN$35,MATCH(O271,('Spell Tables'!$AL$26:$AL$35),0)),IF($P$293&gt;=O271,INDEX('Spell Tables'!$AN$2:$AN$8,MATCH(O271,('Spell Tables'!$AL$2:$AL$8),0))," ")))))</f>
        <v xml:space="preserve"> </v>
      </c>
      <c r="R304" s="67" t="str">
        <f ca="1">IF($Q$275&gt;=O271,INDEX($AL$116:$AL$125,MATCH(O271,($AJ$116:$AJ$125),0)),IF($Q$279&gt;=O271,INDEX('Spell Tables'!$AR$168:$AR$175,MATCH(O271,('Spell Tables'!$AP$168:$AP$175),0)),IF($Q$289&gt;=O271,INDEX('Spell Tables'!$AR$48:$AR$52,MATCH(O271,('Spell Tables'!$AP$48:$AP$52),0)),IF($Q$291&gt;=O271,INDEX('Spell Tables'!$AR$26:$AR$33,MATCH(O271,('Spell Tables'!$AP$26:$AP$33),0)),IF($Q$293&gt;=O271,INDEX('Spell Tables'!$AR$2:$AR$11,MATCH(O271,('Spell Tables'!$AL$2:$AL$11),0))," ")))))</f>
        <v xml:space="preserve"> </v>
      </c>
      <c r="S304" s="67" t="str">
        <f ca="1">IF($R$275&gt;=O271,INDEX($AL$128:$AL$137,MATCH(O271,($AJ$128:$AJ$137),0)),IF($R$279&gt;=O271,INDEX('Spell Tables'!$AV$168:$AV$172,MATCH(O271,('Spell Tables'!$AT$168:$AT$172),0)),IF($R$289&gt;=O271,INDEX('Spell Tables'!$AV$48:$AV$54,MATCH(O271,('Spell Tables'!$AT$48:$AT$54),0)),IF($R$291&gt;=O271,INDEX('Spell Tables'!$AV$26:$AV$29,MATCH(O271,('Spell Tables'!$AT$26:$AT$29),0)),IF($R$293&gt;=O271,INDEX('Spell Tables'!$AV$2:$AV$6,MATCH(O271,('Spell Tables'!$AT$2:$AT$6),0))," ")))))</f>
        <v xml:space="preserve"> </v>
      </c>
      <c r="T304" s="68" t="str">
        <f ca="1">IF($S$289&gt;=O271,INDEX($AL$140:$AL$149,MATCH(O271,($AJ$140:$AJ$149),0)),IF($S$275&gt;=O271,INDEX('Spell Tables'!$AZ$242:$AZ$253,MATCH(O271,('Spell Tables'!$AX$242:$AX$253),0)),IF($S$279&gt;=O271,INDEX('Spell Tables'!$AZ$168:$AZ$172,MATCH(O271,('Spell Tables'!$AX$168:$AX$172),0)),IF($S$291&gt;=O271,INDEX('Spell Tables'!$AZ$26:$AZ$29,MATCH(O271,('Spell Tables'!$AX$26:$AX$29),0)),IF($S$293&gt;=O271,INDEX('Spell Tables'!$AZ$2:$AZ$5,MATCH(O271,('Spell Tables'!$AX$2:$AX$5),0))," ")))))</f>
        <v xml:space="preserve"> </v>
      </c>
    </row>
    <row r="305" spans="2:20" ht="19.5" thickBot="1" x14ac:dyDescent="0.35"/>
    <row r="306" spans="2:20" ht="30.75" thickBot="1" x14ac:dyDescent="0.45">
      <c r="B306" s="105" t="s">
        <v>1271</v>
      </c>
    </row>
    <row r="307" spans="2:20" ht="19.5" hidden="1" thickBot="1" x14ac:dyDescent="0.35">
      <c r="P307" s="29" t="s">
        <v>1166</v>
      </c>
      <c r="Q307" s="29" t="s">
        <v>1167</v>
      </c>
      <c r="R307" s="29" t="s">
        <v>1168</v>
      </c>
      <c r="S307" s="29" t="s">
        <v>676</v>
      </c>
    </row>
    <row r="308" spans="2:20" ht="19.5" hidden="1" thickBot="1" x14ac:dyDescent="0.35">
      <c r="B308" s="29" t="s">
        <v>1270</v>
      </c>
      <c r="O308" s="29" t="s">
        <v>530</v>
      </c>
      <c r="P308" s="29" t="str">
        <f ca="1">IF(AND(O11="wizard",O12&gt;=3),"x",IF(O11="wizard","xx"," "))</f>
        <v xml:space="preserve"> </v>
      </c>
      <c r="Q308" s="29" t="str">
        <f ca="1">IF(AND(O11="wizard",O12&gt;=9),"xxxx",IF(AND(O11="wizard",O12&gt;=5),"x",IF(AND($O$11="wizard",$O$12&gt;3),"xx",IF(AND(O11="wizard",O12=3),"xxx"," "))))</f>
        <v xml:space="preserve"> </v>
      </c>
      <c r="R308" s="29" t="str">
        <f ca="1">IF(AND(O11="wizard",O12&gt;=11),"xxxx",IF(AND(O11="wizard",O12&gt;=7),"x",IF(AND($O$11="wizard",$O$12&gt;5),"xx",IF(AND(O11="wizard",O12=5),"xxx"," "))))</f>
        <v xml:space="preserve"> </v>
      </c>
      <c r="S308" s="29" t="str">
        <f ca="1">IF(AND(O11="wizard",O12&gt;=13),"xxxx",IF(AND(O11="wizard",O12&gt;=9),"x",IF(AND($O$11="wizard",$O$12&gt;7),"xx",IF(AND(O11="wizard",O12=7),"xxx"," "))))</f>
        <v xml:space="preserve"> </v>
      </c>
    </row>
    <row r="309" spans="2:20" ht="19.5" hidden="1" thickBot="1" x14ac:dyDescent="0.35">
      <c r="B309" s="29" t="s">
        <v>1271</v>
      </c>
      <c r="O309" s="29" t="str">
        <f ca="1">IF(O11="wizard",((O12-1)*2)+6," ")</f>
        <v xml:space="preserve"> </v>
      </c>
      <c r="P309" s="29">
        <f ca="1">IF(AND(O11="wizard",O12=2),O309,IF(AND(O11="wizard",O12=1),$O$309,IF(AND(O11="wizard",O12&gt;=3),MAX(8,O309-SUM(U216:X216)),0)))</f>
        <v>0</v>
      </c>
      <c r="Q309" s="29">
        <f ca="1">IF(Q$308="xxxx",MAX(R173,(RANDBETWEEN(5,6))),IF(Q308="x",MAX(R173,(RANDBETWEEN(3,6))),IF(Q308="xx",MAX(R173,(RANDBETWEEN(2,4))),IF(Q308="xxx",MAX(R173,(2)),0))))</f>
        <v>0</v>
      </c>
      <c r="R309" s="29">
        <f ca="1">IF($R308="xxxx",MAX(S173,(RANDBETWEEN(5,6))),IF(R308="x",MAX(S173,(RANDBETWEEN(3,6))),IF(R308="xx",MAX(S173,(RANDBETWEEN(2,4))),IF(R308="xxx",MAX(S173,(2)),0))))</f>
        <v>0</v>
      </c>
      <c r="S309" s="29">
        <f ca="1">IF(S$308="xxxx",MAX(T173,(RANDBETWEEN(5,6))),IF(S308="x",MAX(T173,(RANDBETWEEN(3,6))),IF(S308="xx",MAX(T173,(RANDBETWEEN(2,4))),IF(S308="xxx",MAX(T173,(2)),0))))</f>
        <v>0</v>
      </c>
    </row>
    <row r="310" spans="2:20" ht="19.5" hidden="1" thickBot="1" x14ac:dyDescent="0.35">
      <c r="P310" s="98" t="s">
        <v>1166</v>
      </c>
      <c r="Q310" s="98" t="s">
        <v>1167</v>
      </c>
      <c r="R310" s="98" t="s">
        <v>1168</v>
      </c>
      <c r="S310" s="98" t="s">
        <v>676</v>
      </c>
    </row>
    <row r="311" spans="2:20" ht="19.5" hidden="1" thickBot="1" x14ac:dyDescent="0.35">
      <c r="P311" s="98" t="str">
        <f ca="1">IF(AND(Q11="wizard",Q12&gt;=3),"x",IF(Q11="wizard","xx"," "))</f>
        <v xml:space="preserve"> </v>
      </c>
      <c r="Q311" s="98" t="str">
        <f ca="1">IF(AND(Q11="wizard",Q12&gt;=9),"xxxx",IF(AND(Q11="wizard",Q12&gt;=5),"x",IF(AND($Q$11="wizard",$Q$12&gt;3),"xx",IF(AND(Q11="wizard",Q12=3),"xxx"," "))))</f>
        <v xml:space="preserve"> </v>
      </c>
      <c r="R311" s="98" t="str">
        <f ca="1">IF(AND(Q11="wizard",Q12&gt;=11),"xxxx",IF(AND(Q11="wizard",Q12&gt;=7),"x",IF(AND($Q$11="wizard",$Q$12&gt;5),"xx",IF(AND(Q11="wizard",Q12=5),"xxx"," "))))</f>
        <v xml:space="preserve"> </v>
      </c>
      <c r="S311" s="98" t="str">
        <f ca="1">IF(AND(Q11="wizard",Q12&gt;=13),"xxxx",IF(AND(Q11="wizard",Q12&gt;=9),"x",IF(AND($Q$11="wizard",$Q$12&gt;7),"xx",IF(AND(Q11="wizard",Q12=7),"xxx"," "))))</f>
        <v xml:space="preserve"> </v>
      </c>
    </row>
    <row r="312" spans="2:20" ht="19.5" hidden="1" thickBot="1" x14ac:dyDescent="0.35">
      <c r="P312" s="98">
        <f ca="1">IF(AND(Q11="wizard",Q12=2),AK41,IF(AND(Q11="wizard",Q12=1),$AK$41,IF(AND(Q11="wizard",Q12&gt;=3),MAX(8,AK41-SUM(U219:X219)),0)))</f>
        <v>0</v>
      </c>
      <c r="Q312" s="98">
        <f ca="1">IF(Q$311="xxxx",MAX(R242,(RANDBETWEEN(5,6))),IF(Q311="x",MAX(R242,(RANDBETWEEN(3,6))),IF(Q311="xx",MAX(R242,(RANDBETWEEN(2,4))),IF(Q311="xxx",MAX(R242,(2)),0))))</f>
        <v>0</v>
      </c>
      <c r="R312" s="98">
        <f ca="1">IF($R311="xxxx",MAX(S242,(RANDBETWEEN(5,6))),IF(R311="x",MAX(S242,(RANDBETWEEN(3,6))),IF(R311="xx",MAX(S242,(RANDBETWEEN(2,4))),IF(R311="xxx",MAX(S242,(2)),0))))</f>
        <v>0</v>
      </c>
      <c r="S312" s="98">
        <f ca="1">IF(S$311="xxxx",MAX(T242,(RANDBETWEEN(5,6))),IF(S311="x",MAX(T242,(RANDBETWEEN(3,6))),IF(S311="xx",MAX(T242,(RANDBETWEEN(2,4))),IF(S311="xxx",MAX(T242,(2)),0))))</f>
        <v>0</v>
      </c>
    </row>
    <row r="313" spans="2:20" ht="19.5" hidden="1" thickBot="1" x14ac:dyDescent="0.35"/>
    <row r="314" spans="2:20" x14ac:dyDescent="0.3">
      <c r="B314" s="79"/>
      <c r="C314" s="27"/>
      <c r="D314" s="27"/>
      <c r="E314" s="27"/>
      <c r="F314" s="27"/>
      <c r="G314" s="27"/>
      <c r="H314" s="27"/>
      <c r="I314" s="27"/>
      <c r="J314" s="27"/>
      <c r="K314" s="27"/>
      <c r="L314" s="27"/>
      <c r="M314" s="27"/>
      <c r="N314" s="27"/>
      <c r="O314" s="27"/>
      <c r="P314" s="76" t="s">
        <v>1124</v>
      </c>
      <c r="Q314" s="76" t="s">
        <v>1166</v>
      </c>
      <c r="R314" s="76" t="s">
        <v>1167</v>
      </c>
      <c r="S314" s="76" t="s">
        <v>1168</v>
      </c>
      <c r="T314" s="77" t="s">
        <v>676</v>
      </c>
    </row>
    <row r="315" spans="2:20" x14ac:dyDescent="0.3">
      <c r="B315" s="79"/>
      <c r="C315" s="33"/>
      <c r="D315" s="33"/>
      <c r="E315" s="33"/>
      <c r="F315" s="33"/>
      <c r="G315" s="33"/>
      <c r="H315" s="33"/>
      <c r="I315" s="33"/>
      <c r="J315" s="33"/>
      <c r="K315" s="33"/>
      <c r="L315" s="33"/>
      <c r="M315" s="33"/>
      <c r="N315" s="33"/>
      <c r="O315" s="34">
        <v>1</v>
      </c>
      <c r="P315" s="33" t="str">
        <f t="shared" ref="P315:P324" ca="1" si="67">IF($O$11="wizard",P193,IF($Q$11="wizard",P262," "))</f>
        <v xml:space="preserve"> </v>
      </c>
      <c r="Q315" s="33" t="str">
        <f ca="1">IF(AND($O$11="wizard",$P$309&gt;=O315),INDEX('Spell Tables'!$T$242:$T$271,MATCH(1,(O315:O324),0)),IF(AND($Q$11="wizard",$P$312&gt;=O315),INDEX('Spell Tables'!$T$242:$T$271,MATCH(O315,('Spell Tables'!$R$242:$R$271),0))," "))</f>
        <v xml:space="preserve"> </v>
      </c>
      <c r="R315" s="33" t="str">
        <f ca="1">IF($Q$309&gt;=O315,INDEX('Spell Tables'!$X$242:$X$275,MATCH(O315,('Spell Tables'!$V$242:$V$275),0)),IF(AND($Q$11="wizard",$Q$312&gt;=O315),INDEX('Spell Tables'!$X$242:$X$275,MATCH(O315,('Spell Tables'!$V$242:$V$275),0))," "))</f>
        <v xml:space="preserve"> </v>
      </c>
      <c r="S315" s="33" t="str">
        <f ca="1">IF($R$309&gt;=O315,INDEX('Spell Tables'!$AB$242:$AB$270,MATCH(O315,('Spell Tables'!$Z$242:$Z$270),0)),IF(AND($Q$11="wizard",$R$312&gt;=O315),INDEX('Spell Tables'!$AB$242:$AB$270,MATCH(O315,('Spell Tables'!$Z$242:$Z$270),0))," "))</f>
        <v xml:space="preserve"> </v>
      </c>
      <c r="T315" s="72" t="str">
        <f ca="1">IF($S$309&gt;=O315,INDEX('Spell Tables'!$AF$242:$AF$264,MATCH(O315,('Spell Tables'!$AD$242:$AD$264),0)),IF(AND($Q$11="wizard",$S$312&gt;=O315),INDEX('Spell Tables'!$AF$242:$AF$264,MATCH(O315,('Spell Tables'!$AD$242:$AD$264),0))," "))</f>
        <v xml:space="preserve"> </v>
      </c>
    </row>
    <row r="316" spans="2:20" x14ac:dyDescent="0.3">
      <c r="B316" s="79"/>
      <c r="C316" s="33"/>
      <c r="D316" s="33"/>
      <c r="E316" s="33"/>
      <c r="F316" s="33"/>
      <c r="G316" s="33"/>
      <c r="H316" s="33"/>
      <c r="I316" s="33"/>
      <c r="J316" s="33"/>
      <c r="K316" s="33"/>
      <c r="L316" s="33"/>
      <c r="M316" s="33"/>
      <c r="N316" s="33"/>
      <c r="O316" s="34">
        <v>2</v>
      </c>
      <c r="P316" s="33" t="str">
        <f t="shared" ca="1" si="67"/>
        <v xml:space="preserve"> </v>
      </c>
      <c r="Q316" s="33" t="str">
        <f ca="1">IF(AND($O$11="wizard",$P$309&gt;=O316),INDEX('Spell Tables'!$T$242:$T$271,MATCH(O316,('Spell Tables'!$R$242:$R$271),0)),IF(AND($Q$11="wizard",$P$312&gt;=O316),INDEX('Spell Tables'!$T$242:$T$271,MATCH(O316,('Spell Tables'!$R$242:$R$271),0))," "))</f>
        <v xml:space="preserve"> </v>
      </c>
      <c r="R316" s="33" t="str">
        <f ca="1">IF($Q$309&gt;=O316,INDEX('Spell Tables'!$X$242:$X$275,MATCH(O316,('Spell Tables'!$V$242:$V$275),0)),IF(AND($Q$11="wizard",$Q$312&gt;=O316),INDEX('Spell Tables'!$X$242:$X$275,MATCH(O316,('Spell Tables'!$V$242:$V$275),0))," "))</f>
        <v xml:space="preserve"> </v>
      </c>
      <c r="S316" s="33" t="str">
        <f ca="1">IF($R$309&gt;=O316,INDEX('Spell Tables'!$AB$242:$AB$270,MATCH(O316,('Spell Tables'!$Z$242:$Z$270),0)),IF(AND($Q$11="wizard",$R$312&gt;=O316),INDEX('Spell Tables'!$AB$242:$AB$270,MATCH(O316,('Spell Tables'!$Z$242:$Z$270),0))," "))</f>
        <v xml:space="preserve"> </v>
      </c>
      <c r="T316" s="72" t="str">
        <f ca="1">IF($S$309&gt;=O316,INDEX('Spell Tables'!$AF$242:$AF$264,MATCH(O316,('Spell Tables'!$AD$242:$AD$264),0)),IF(AND($Q$11="wizard",$S$312&gt;=O316),INDEX('Spell Tables'!$AF$242:$AF$264,MATCH(O316,('Spell Tables'!$AD$242:$AD$264),0))," "))</f>
        <v xml:space="preserve"> </v>
      </c>
    </row>
    <row r="317" spans="2:20" x14ac:dyDescent="0.3">
      <c r="B317" s="79"/>
      <c r="C317" s="33"/>
      <c r="D317" s="33"/>
      <c r="E317" s="33"/>
      <c r="F317" s="33"/>
      <c r="G317" s="33"/>
      <c r="H317" s="33"/>
      <c r="I317" s="33"/>
      <c r="J317" s="33"/>
      <c r="K317" s="33"/>
      <c r="L317" s="33"/>
      <c r="M317" s="33"/>
      <c r="N317" s="33"/>
      <c r="O317" s="34">
        <v>3</v>
      </c>
      <c r="P317" s="33" t="str">
        <f t="shared" ca="1" si="67"/>
        <v xml:space="preserve"> </v>
      </c>
      <c r="Q317" s="33" t="str">
        <f ca="1">IF(AND($O$11="wizard",$P$309&gt;=O317),INDEX('Spell Tables'!$T$242:$T$271,MATCH(O317,('Spell Tables'!$R$242:$R$271),0)),IF(AND($Q$11="wizard",$P$312&gt;=O317),INDEX('Spell Tables'!$T$242:$T$271,MATCH(O317,('Spell Tables'!$R$242:$R$271),0))," "))</f>
        <v xml:space="preserve"> </v>
      </c>
      <c r="R317" s="33" t="str">
        <f ca="1">IF($Q$309&gt;=O317,INDEX('Spell Tables'!$X$242:$X$275,MATCH(O317,('Spell Tables'!$V$242:$V$275),0)),IF(AND($Q$11="wizard",$Q$312&gt;=O317),INDEX('Spell Tables'!$X$242:$X$275,MATCH(O317,('Spell Tables'!$V$242:$V$275),0))," "))</f>
        <v xml:space="preserve"> </v>
      </c>
      <c r="S317" s="33" t="str">
        <f ca="1">IF($R$309&gt;=O317,INDEX('Spell Tables'!$AB$242:$AB$270,MATCH(O317,('Spell Tables'!$Z$242:$Z$270),0)),IF(AND($Q$11="wizard",$R$312&gt;=O317),INDEX('Spell Tables'!$AB$242:$AB$270,MATCH(O317,('Spell Tables'!$Z$242:$Z$270),0))," "))</f>
        <v xml:space="preserve"> </v>
      </c>
      <c r="T317" s="72" t="str">
        <f ca="1">IF($S$309&gt;=O317,INDEX('Spell Tables'!$AF$242:$AF$264,MATCH(O317,('Spell Tables'!$AD$242:$AD$264),0)),IF(AND($Q$11="wizard",$S$312&gt;=O317),INDEX('Spell Tables'!$AF$242:$AF$264,MATCH(O317,('Spell Tables'!$AD$242:$AD$264),0))," "))</f>
        <v xml:space="preserve"> </v>
      </c>
    </row>
    <row r="318" spans="2:20" x14ac:dyDescent="0.3">
      <c r="B318" s="79"/>
      <c r="C318" s="33"/>
      <c r="D318" s="33"/>
      <c r="E318" s="33"/>
      <c r="F318" s="33"/>
      <c r="G318" s="33"/>
      <c r="H318" s="33"/>
      <c r="I318" s="33"/>
      <c r="J318" s="33"/>
      <c r="K318" s="33"/>
      <c r="L318" s="33"/>
      <c r="M318" s="33"/>
      <c r="N318" s="33"/>
      <c r="O318" s="34">
        <v>4</v>
      </c>
      <c r="P318" s="33" t="str">
        <f t="shared" ca="1" si="67"/>
        <v xml:space="preserve"> </v>
      </c>
      <c r="Q318" s="33" t="str">
        <f ca="1">IF(AND($O$11="wizard",$P$309&gt;=O318),INDEX('Spell Tables'!$T$242:$T$271,MATCH(O318,('Spell Tables'!$R$242:$R$271),0)),IF(AND($Q$11="wizard",$P$312&gt;=O318),INDEX('Spell Tables'!$T$242:$T$271,MATCH(O318,('Spell Tables'!$R$242:$R$271),0))," "))</f>
        <v xml:space="preserve"> </v>
      </c>
      <c r="R318" s="33" t="str">
        <f ca="1">IF($Q$309&gt;=O318,INDEX('Spell Tables'!$X$242:$X$275,MATCH(O318,('Spell Tables'!$V$242:$V$275),0)),IF(AND($Q$11="wizard",$Q$312&gt;=O318),INDEX('Spell Tables'!$X$242:$X$275,MATCH(O318,('Spell Tables'!$V$242:$V$275),0))," "))</f>
        <v xml:space="preserve"> </v>
      </c>
      <c r="S318" s="33" t="str">
        <f ca="1">IF($R$309&gt;=O318,INDEX('Spell Tables'!$AB$242:$AB$270,MATCH(O318,('Spell Tables'!$Z$242:$Z$270),0)),IF(AND($Q$11="wizard",$R$312&gt;=O318),INDEX('Spell Tables'!$AB$242:$AB$270,MATCH(O318,('Spell Tables'!$Z$242:$Z$270),0))," "))</f>
        <v xml:space="preserve"> </v>
      </c>
      <c r="T318" s="72" t="str">
        <f ca="1">IF($S$309&gt;=O318,INDEX('Spell Tables'!$AF$242:$AF$264,MATCH(O318,('Spell Tables'!$AD$242:$AD$264),0)),IF(AND($Q$11="wizard",$S$312&gt;=O318),INDEX('Spell Tables'!$AF$242:$AF$264,MATCH(O318,('Spell Tables'!$AD$242:$AD$264),0))," "))</f>
        <v xml:space="preserve"> </v>
      </c>
    </row>
    <row r="319" spans="2:20" x14ac:dyDescent="0.3">
      <c r="B319" s="79"/>
      <c r="C319" s="33"/>
      <c r="D319" s="33"/>
      <c r="E319" s="33"/>
      <c r="F319" s="33"/>
      <c r="G319" s="33"/>
      <c r="H319" s="33"/>
      <c r="I319" s="33"/>
      <c r="J319" s="33"/>
      <c r="K319" s="33"/>
      <c r="L319" s="33"/>
      <c r="M319" s="33"/>
      <c r="N319" s="33"/>
      <c r="O319" s="34">
        <v>5</v>
      </c>
      <c r="P319" s="33" t="str">
        <f t="shared" ca="1" si="67"/>
        <v xml:space="preserve"> </v>
      </c>
      <c r="Q319" s="33" t="str">
        <f ca="1">IF(AND($O$11="wizard",$P$309&gt;=O319),INDEX('Spell Tables'!$T$242:$T$271,MATCH(O319,('Spell Tables'!$R$242:$R$271),0)),IF(AND($Q$11="wizard",$P$312&gt;=O319),INDEX('Spell Tables'!$T$242:$T$271,MATCH(O319,('Spell Tables'!$R$242:$R$271),0))," "))</f>
        <v xml:space="preserve"> </v>
      </c>
      <c r="R319" s="33" t="str">
        <f ca="1">IF($Q$309&gt;=O319,INDEX('Spell Tables'!$X$242:$X$275,MATCH(O319,('Spell Tables'!$V$242:$V$275),0)),IF(AND($Q$11="wizard",$Q$312&gt;=O319),INDEX('Spell Tables'!$X$242:$X$275,MATCH(O319,('Spell Tables'!$V$242:$V$275),0))," "))</f>
        <v xml:space="preserve"> </v>
      </c>
      <c r="S319" s="33" t="str">
        <f ca="1">IF($R$309&gt;=O319,INDEX('Spell Tables'!$AB$242:$AB$270,MATCH(O319,('Spell Tables'!$Z$242:$Z$270),0)),IF(AND($Q$11="wizard",$R$312&gt;=O319),INDEX('Spell Tables'!$AB$242:$AB$270,MATCH(O319,('Spell Tables'!$Z$242:$Z$270),0))," "))</f>
        <v xml:space="preserve"> </v>
      </c>
      <c r="T319" s="72" t="str">
        <f ca="1">IF($S$309&gt;=O319,INDEX('Spell Tables'!$AF$242:$AF$264,MATCH(O319,('Spell Tables'!$AD$242:$AD$264),0)),IF(AND($Q$11="wizard",$S$312&gt;=O319),INDEX('Spell Tables'!$AF$242:$AF$264,MATCH(O319,('Spell Tables'!$AD$242:$AD$264),0))," "))</f>
        <v xml:space="preserve"> </v>
      </c>
    </row>
    <row r="320" spans="2:20" x14ac:dyDescent="0.3">
      <c r="B320" s="79"/>
      <c r="C320" s="33"/>
      <c r="D320" s="33"/>
      <c r="E320" s="33"/>
      <c r="F320" s="33"/>
      <c r="G320" s="33"/>
      <c r="H320" s="33"/>
      <c r="I320" s="33"/>
      <c r="J320" s="33"/>
      <c r="K320" s="33"/>
      <c r="L320" s="33"/>
      <c r="M320" s="33"/>
      <c r="N320" s="33"/>
      <c r="O320" s="34">
        <v>6</v>
      </c>
      <c r="P320" s="33" t="str">
        <f t="shared" ca="1" si="67"/>
        <v xml:space="preserve"> </v>
      </c>
      <c r="Q320" s="33" t="str">
        <f ca="1">IF(AND($O$11="wizard",$P$309&gt;=O320),INDEX('Spell Tables'!$T$242:$T$271,MATCH(O320,('Spell Tables'!$R$242:$R$271),0)),IF(AND($Q$11="wizard",$P$312&gt;=O320),INDEX('Spell Tables'!$T$242:$T$271,MATCH(O320,('Spell Tables'!$R$242:$R$271),0))," "))</f>
        <v xml:space="preserve"> </v>
      </c>
      <c r="R320" s="33" t="str">
        <f ca="1">IF($Q$309&gt;=O320,INDEX('Spell Tables'!$X$242:$X$275,MATCH(O320,('Spell Tables'!$V$242:$V$275),0)),IF(AND($Q$11="wizard",$Q$312&gt;=O320),INDEX('Spell Tables'!$X$242:$X$275,MATCH(O320,('Spell Tables'!$V$242:$V$275),0))," "))</f>
        <v xml:space="preserve"> </v>
      </c>
      <c r="S320" s="33" t="str">
        <f ca="1">IF($R$309&gt;=O320,INDEX('Spell Tables'!$AB$242:$AB$270,MATCH(O320,('Spell Tables'!$Z$242:$Z$270),0)),IF(AND($Q$11="wizard",$R$312&gt;=O320),INDEX('Spell Tables'!$AB$242:$AB$270,MATCH(O320,('Spell Tables'!$Z$242:$Z$270),0))," "))</f>
        <v xml:space="preserve"> </v>
      </c>
      <c r="T320" s="72" t="str">
        <f ca="1">IF($S$309&gt;=O320,INDEX('Spell Tables'!$AF$242:$AF$264,MATCH(O320,('Spell Tables'!$AD$242:$AD$264),0)),IF(AND($Q$11="wizard",$S$312&gt;=O320),INDEX('Spell Tables'!$AF$242:$AF$264,MATCH(O320,('Spell Tables'!$AD$242:$AD$264),0))," "))</f>
        <v xml:space="preserve"> </v>
      </c>
    </row>
    <row r="321" spans="1:20" x14ac:dyDescent="0.3">
      <c r="B321" s="79"/>
      <c r="C321" s="33"/>
      <c r="D321" s="33"/>
      <c r="E321" s="33"/>
      <c r="F321" s="33"/>
      <c r="G321" s="33"/>
      <c r="H321" s="33"/>
      <c r="I321" s="33"/>
      <c r="J321" s="33"/>
      <c r="K321" s="33"/>
      <c r="L321" s="33"/>
      <c r="M321" s="33"/>
      <c r="N321" s="33"/>
      <c r="O321" s="34">
        <v>7</v>
      </c>
      <c r="P321" s="33" t="str">
        <f t="shared" ca="1" si="67"/>
        <v xml:space="preserve"> </v>
      </c>
      <c r="Q321" s="33" t="str">
        <f ca="1">IF(AND($O$11="wizard",$P$309&gt;=O321),INDEX('Spell Tables'!$T$242:$T$271,MATCH(O321,('Spell Tables'!$R$242:$R$271),0)),IF(AND($Q$11="wizard",$P$312&gt;=O321),INDEX('Spell Tables'!$T$242:$T$271,MATCH(O321,('Spell Tables'!$R$242:$R$271),0))," "))</f>
        <v xml:space="preserve"> </v>
      </c>
      <c r="R321" s="33" t="str">
        <f ca="1">IF($Q$309&gt;=O321,INDEX('Spell Tables'!$X$242:$X$275,MATCH(O321,('Spell Tables'!$V$242:$V$275),0)),IF(AND($Q$11="wizard",$Q$312&gt;=O321),INDEX('Spell Tables'!$X$242:$X$275,MATCH(O321,('Spell Tables'!$V$242:$V$275),0))," "))</f>
        <v xml:space="preserve"> </v>
      </c>
      <c r="S321" s="33" t="str">
        <f ca="1">IF($R$309&gt;=O321,INDEX('Spell Tables'!$AB$242:$AB$270,MATCH(O321,('Spell Tables'!$Z$242:$Z$270),0)),IF(AND($Q$11="wizard",$R$312&gt;=O321),INDEX('Spell Tables'!$AB$242:$AB$270,MATCH(O321,('Spell Tables'!$Z$242:$Z$270),0))," "))</f>
        <v xml:space="preserve"> </v>
      </c>
      <c r="T321" s="72" t="str">
        <f ca="1">IF($S$309&gt;=O321,INDEX('Spell Tables'!$AF$242:$AF$264,MATCH(O321,('Spell Tables'!$AD$242:$AD$264),0)),IF(AND($Q$11="wizard",$S$312&gt;=O321),INDEX('Spell Tables'!$AF$242:$AF$264,MATCH(O321,('Spell Tables'!$AD$242:$AD$264),0))," "))</f>
        <v xml:space="preserve"> </v>
      </c>
    </row>
    <row r="322" spans="1:20" x14ac:dyDescent="0.3">
      <c r="B322" s="79"/>
      <c r="C322" s="33"/>
      <c r="D322" s="33"/>
      <c r="E322" s="33"/>
      <c r="F322" s="33"/>
      <c r="G322" s="33"/>
      <c r="H322" s="33"/>
      <c r="I322" s="33"/>
      <c r="J322" s="33"/>
      <c r="K322" s="33"/>
      <c r="L322" s="33"/>
      <c r="M322" s="33"/>
      <c r="N322" s="33"/>
      <c r="O322" s="34">
        <v>8</v>
      </c>
      <c r="P322" s="33" t="str">
        <f t="shared" ca="1" si="67"/>
        <v xml:space="preserve"> </v>
      </c>
      <c r="Q322" s="33" t="str">
        <f ca="1">IF(AND($O$11="wizard",$P$309&gt;=O322),INDEX('Spell Tables'!$T$242:$T$271,MATCH(O322,('Spell Tables'!$R$242:$R$271),0)),IF(AND($Q$11="wizard",$P$312&gt;=O322),INDEX('Spell Tables'!$T$242:$T$271,MATCH(O322,('Spell Tables'!$R$242:$R$271),0))," "))</f>
        <v xml:space="preserve"> </v>
      </c>
      <c r="R322" s="33" t="str">
        <f ca="1">IF($Q$309&gt;=O322,INDEX('Spell Tables'!$X$242:$X$275,MATCH(O322,('Spell Tables'!$V$242:$V$275),0)),IF(AND($Q$11="wizard",$Q$312&gt;=O322),INDEX('Spell Tables'!$X$242:$X$275,MATCH(O322,('Spell Tables'!$V$242:$V$275),0))," "))</f>
        <v xml:space="preserve"> </v>
      </c>
      <c r="S322" s="33" t="str">
        <f ca="1">IF($R$309&gt;=O322,INDEX('Spell Tables'!$AB$242:$AB$270,MATCH(O322,('Spell Tables'!$Z$242:$Z$270),0)),IF(AND($Q$11="wizard",$R$312&gt;=O322),INDEX('Spell Tables'!$AB$242:$AB$270,MATCH(O322,('Spell Tables'!$Z$242:$Z$270),0))," "))</f>
        <v xml:space="preserve"> </v>
      </c>
      <c r="T322" s="72" t="str">
        <f ca="1">IF($S$309&gt;=O322,INDEX('Spell Tables'!$AF$242:$AF$264,MATCH(O322,('Spell Tables'!$AD$242:$AD$264),0)),IF(AND($Q$11="wizard",$S$312&gt;=O322),INDEX('Spell Tables'!$AF$242:$AF$264,MATCH(O322,('Spell Tables'!$AD$242:$AD$264),0))," "))</f>
        <v xml:space="preserve"> </v>
      </c>
    </row>
    <row r="323" spans="1:20" x14ac:dyDescent="0.3">
      <c r="B323" s="79"/>
      <c r="C323" s="33"/>
      <c r="D323" s="33"/>
      <c r="E323" s="33"/>
      <c r="F323" s="33"/>
      <c r="G323" s="33"/>
      <c r="H323" s="33"/>
      <c r="I323" s="33"/>
      <c r="J323" s="33"/>
      <c r="K323" s="33"/>
      <c r="L323" s="33"/>
      <c r="M323" s="33"/>
      <c r="N323" s="33"/>
      <c r="O323" s="34">
        <v>9</v>
      </c>
      <c r="P323" s="33" t="str">
        <f t="shared" ca="1" si="67"/>
        <v xml:space="preserve"> </v>
      </c>
      <c r="Q323" s="33" t="str">
        <f ca="1">IF(AND($O$11="wizard",$P$309&gt;=O323),INDEX('Spell Tables'!$T$242:$T$271,MATCH(O323,('Spell Tables'!$R$242:$R$271),0)),IF(AND($Q$11="wizard",$P$312&gt;=O323),INDEX('Spell Tables'!$T$242:$T$271,MATCH(O323,('Spell Tables'!$R$242:$R$271),0))," "))</f>
        <v xml:space="preserve"> </v>
      </c>
      <c r="R323" s="33" t="str">
        <f ca="1">IF($Q$309&gt;=O323,INDEX('Spell Tables'!$X$242:$X$275,MATCH(O323,('Spell Tables'!$V$242:$V$275),0)),IF(AND($Q$11="wizard",$Q$312&gt;=O323),INDEX('Spell Tables'!$X$242:$X$275,MATCH(O323,('Spell Tables'!$V$242:$V$275),0))," "))</f>
        <v xml:space="preserve"> </v>
      </c>
      <c r="S323" s="33" t="str">
        <f ca="1">IF($R$309&gt;=O323,INDEX('Spell Tables'!$AB$242:$AB$270,MATCH(O323,('Spell Tables'!$Z$242:$Z$270),0)),IF(AND($Q$11="wizard",$R$312&gt;=O323),INDEX('Spell Tables'!$AB$242:$AB$270,MATCH(O323,('Spell Tables'!$Z$242:$Z$270),0))," "))</f>
        <v xml:space="preserve"> </v>
      </c>
      <c r="T323" s="72" t="str">
        <f ca="1">IF($S$309&gt;=O323,INDEX('Spell Tables'!$AF$242:$AF$264,MATCH(O323,('Spell Tables'!$AD$242:$AD$264),0)),IF(AND($Q$11="wizard",$S$312&gt;=O323),INDEX('Spell Tables'!$AF$242:$AF$264,MATCH(O323,('Spell Tables'!$AD$242:$AD$264),0))," "))</f>
        <v xml:space="preserve"> </v>
      </c>
    </row>
    <row r="324" spans="1:20" ht="19.5" thickBot="1" x14ac:dyDescent="0.35">
      <c r="B324" s="80"/>
      <c r="C324" s="38"/>
      <c r="D324" s="38"/>
      <c r="E324" s="38"/>
      <c r="F324" s="38"/>
      <c r="G324" s="38"/>
      <c r="H324" s="38"/>
      <c r="I324" s="38"/>
      <c r="J324" s="38"/>
      <c r="K324" s="38"/>
      <c r="L324" s="38"/>
      <c r="M324" s="38"/>
      <c r="N324" s="38"/>
      <c r="O324" s="82">
        <v>10</v>
      </c>
      <c r="P324" s="38" t="str">
        <f t="shared" ca="1" si="67"/>
        <v xml:space="preserve"> </v>
      </c>
      <c r="Q324" s="38" t="str">
        <f ca="1">IF(AND($O$11="wizard",$P$309&gt;=O324),INDEX('Spell Tables'!$T$242:$T$271,MATCH(O324,('Spell Tables'!$R$242:$R$271),0)),IF(AND($Q$11="wizard",$P$312&gt;=O324),INDEX('Spell Tables'!$T$242:$T$271,MATCH(O324,('Spell Tables'!$R$242:$R$271),0))," "))</f>
        <v xml:space="preserve"> </v>
      </c>
      <c r="R324" s="38" t="str">
        <f ca="1">IF($Q$309&gt;=O324,INDEX('Spell Tables'!$X$242:$X$275,MATCH(O324,('Spell Tables'!$V$242:$V$275),0)),IF(AND($Q$11="wizard",$Q$312&gt;=O324),INDEX('Spell Tables'!$X$242:$X$275,MATCH(O324,('Spell Tables'!$V$242:$V$275),0))," "))</f>
        <v xml:space="preserve"> </v>
      </c>
      <c r="S324" s="38" t="str">
        <f ca="1">IF($R$309&gt;=O324,INDEX('Spell Tables'!$AB$242:$AB$270,MATCH(O324,('Spell Tables'!$Z$242:$Z$270),0)),IF(AND($Q$11="wizard",$R$312&gt;=O324),INDEX('Spell Tables'!$AB$242:$AB$270,MATCH(O324,('Spell Tables'!$Z$242:$Z$270),0))," "))</f>
        <v xml:space="preserve"> </v>
      </c>
      <c r="T324" s="73" t="str">
        <f ca="1">IF($S$309&gt;=O324,INDEX('Spell Tables'!$AF$242:$AF$264,MATCH(O324,('Spell Tables'!$AD$242:$AD$264),0)),IF(AND($Q$11="wizard",$S$312&gt;=O324),INDEX('Spell Tables'!$AF$242:$AF$264,MATCH(O324,('Spell Tables'!$AD$242:$AD$264),0))," "))</f>
        <v xml:space="preserve"> </v>
      </c>
    </row>
    <row r="325" spans="1:20" ht="19.5" thickBot="1" x14ac:dyDescent="0.35">
      <c r="K325" s="100"/>
      <c r="L325" s="60"/>
      <c r="O325" s="99"/>
    </row>
    <row r="326" spans="1:20" ht="19.5" hidden="1" thickBot="1" x14ac:dyDescent="0.35">
      <c r="K326" s="100"/>
      <c r="L326" s="60"/>
      <c r="O326" s="65" t="s">
        <v>1169</v>
      </c>
      <c r="P326" s="65" t="s">
        <v>1170</v>
      </c>
      <c r="Q326" s="65" t="s">
        <v>1171</v>
      </c>
      <c r="R326" s="65" t="s">
        <v>677</v>
      </c>
      <c r="S326" s="101" t="s">
        <v>1172</v>
      </c>
    </row>
    <row r="327" spans="1:20" ht="19.5" hidden="1" thickBot="1" x14ac:dyDescent="0.35">
      <c r="K327" s="100"/>
      <c r="L327" s="60"/>
      <c r="O327" s="60" t="str">
        <f ca="1">IF(AND(O11="wizard",O12&gt;=15),"xxxx",IF(AND(O11="wizard",O12&gt;=11),"x",IF(AND($O$11="wizard",$O$12&gt;9),"xx",IF(AND(O11="wizard",O12=9),"xxx"," "))))</f>
        <v xml:space="preserve"> </v>
      </c>
      <c r="P327" s="60" t="str">
        <f ca="1">IF(AND(O11="wizard",O12&gt;=17),"xxxx",IF(AND(O11="wizard",O12&gt;=13),"x",IF(AND($O$11="wizard",$O$12&gt;11),"xx",IF(AND(O11="wizard",O12=11),"xxx"," "))))</f>
        <v xml:space="preserve"> </v>
      </c>
      <c r="Q327" s="60" t="str">
        <f ca="1">IF(AND(O11="wizard",O12&gt;=19),"xxxx",IF(AND(O11="wizard",O12&gt;=15),"x",IF(AND($O$11="wizard",$O$12&gt;13),"xx",IF(AND(O11="wizard",O12=13),"xxx"," "))))</f>
        <v xml:space="preserve"> </v>
      </c>
      <c r="R327" s="60" t="str">
        <f ca="1">IF(AND(O11="wizard",O12&gt;=17),"x",IF(AND($O$11="wizard",$O$12&gt;15),"xx",IF(AND(O11="wizard",O12=15),"xxx"," ")))</f>
        <v xml:space="preserve"> </v>
      </c>
      <c r="S327" s="102" t="str">
        <f ca="1">IF(AND($O$11="wizard",$O$12&gt;17),"xx",IF(AND(O11="wizard",O12=17),"xxx"," "))</f>
        <v xml:space="preserve"> </v>
      </c>
    </row>
    <row r="328" spans="1:20" ht="19.5" hidden="1" thickBot="1" x14ac:dyDescent="0.35">
      <c r="K328" s="100"/>
      <c r="L328" s="60"/>
      <c r="O328" s="65">
        <f ca="1">IF($O327="xxxx",MAX(P208,(RANDBETWEEN(5,6))),IF(O327="x",MAX(P208,(RANDBETWEEN(3,6))),IF(O327="xx",MAX(P208,(RANDBETWEEN(2,4))),IF(O327="xxx",MAX(P208,(2)),0))))</f>
        <v>0</v>
      </c>
      <c r="P328" s="65">
        <f ca="1">IF($P327="xxxx",RANDBETWEEN(5,6),IF(P327="x",RANDBETWEEN(3,6),IF(P327="xx",RANDBETWEEN(2,4),IF(P327="xxx",2,0))))</f>
        <v>0</v>
      </c>
      <c r="Q328" s="65">
        <f ca="1">IF($Q327="xxxx",RANDBETWEEN(5,6),IF(Q327="x",RANDBETWEEN(3,6),IF(Q327="xx",RANDBETWEEN(2,4),IF(Q327="xxx",2,0))))</f>
        <v>0</v>
      </c>
      <c r="R328" s="65">
        <f ca="1">IF(OR(R327="x",R327="xx"),RANDBETWEEN(2,4),IF(R327="xxx",2,0))</f>
        <v>0</v>
      </c>
      <c r="S328" s="101">
        <f ca="1">IF(S327="xx",RANDBETWEEN(2,4),IF(S327="xxx",2,0))</f>
        <v>0</v>
      </c>
    </row>
    <row r="329" spans="1:20" ht="19.5" hidden="1" thickBot="1" x14ac:dyDescent="0.35">
      <c r="K329" s="100"/>
      <c r="L329" s="60"/>
      <c r="O329" s="60" t="s">
        <v>1169</v>
      </c>
      <c r="P329" s="60" t="s">
        <v>1170</v>
      </c>
      <c r="Q329" s="60" t="s">
        <v>1171</v>
      </c>
      <c r="R329" s="60" t="s">
        <v>677</v>
      </c>
      <c r="S329" s="102" t="s">
        <v>1172</v>
      </c>
    </row>
    <row r="330" spans="1:20" ht="19.5" hidden="1" thickBot="1" x14ac:dyDescent="0.35">
      <c r="K330" s="100"/>
      <c r="L330" s="60"/>
      <c r="O330" s="65" t="str">
        <f ca="1">IF(AND(Q11="wizard",Q12&gt;=15),"xxxx",IF(AND(Q11="wizard",Q12&gt;=11),"x",IF(AND($Q$11="wizard",$Q$12&gt;9),"xx",IF(AND(Q11="wizard",Q12=9),"xxx"," "))))</f>
        <v xml:space="preserve"> </v>
      </c>
      <c r="P330" s="65" t="str">
        <f ca="1">IF(AND(Q11="wizard",Q12&gt;=17),"xxxx",IF(AND(Q11="wizard",Q12&gt;=13),"x",IF(AND($Q$11="wizard",$Q$12&gt;11),"xx",IF(AND(Q11="wizard",Q12=11),"xxx"," "))))</f>
        <v xml:space="preserve"> </v>
      </c>
      <c r="Q330" s="65" t="str">
        <f ca="1">IF(AND(Q11="wizard",Q12&gt;=19),"xxxx",IF(AND(Q11="wizard",Q12&gt;=15),"x",IF(AND($Q$11="wizard",$Q$12&gt;13),"xx",IF(AND(Q11="wizard",Q12=13),"xxx"," "))))</f>
        <v xml:space="preserve"> </v>
      </c>
      <c r="R330" s="65" t="str">
        <f ca="1">IF(AND(Q11="wizard",Q12&gt;=17),"x",IF(AND($Q$11="wizard",$Q$12&gt;15),"xx",IF(AND(Q11="wizard",Q12=15),"xxx"," ")))</f>
        <v xml:space="preserve"> </v>
      </c>
      <c r="S330" s="101" t="str">
        <f ca="1">IF(AND($Q$11="wizard",$Q$12&gt;17),"xx",IF(AND(Q11="wizard",Q12=17),"xxx"," "))</f>
        <v xml:space="preserve"> </v>
      </c>
    </row>
    <row r="331" spans="1:20" ht="19.5" hidden="1" thickBot="1" x14ac:dyDescent="0.35">
      <c r="K331" s="100"/>
      <c r="L331" s="60"/>
      <c r="O331" s="60">
        <f ca="1">IF($O330="xxxx",MAX(O275,(RANDBETWEEN(5,6))),IF(O330="x",MAX(O275,(RANDBETWEEN(3,6))),IF(O330="xx",MAX(O275,(RANDBETWEEN(2,4))),IF(O330="xxx",MAX(O275,(2)),0))))</f>
        <v>0</v>
      </c>
      <c r="P331" s="60">
        <f ca="1">IF($P330="xxxx",RANDBETWEEN(5,6),IF(P330="x",RANDBETWEEN(3,6),IF(P330="xx",RANDBETWEEN(2,4),IF(P330="xxx",2,0))))</f>
        <v>0</v>
      </c>
      <c r="Q331" s="60">
        <f ca="1">IF($Q330="xxxx",RANDBETWEEN(5,6),IF(Q330="x",RANDBETWEEN(3,6),IF(Q330="xx",RANDBETWEEN(2,4),IF(Q330="xxx",2,0))))</f>
        <v>0</v>
      </c>
      <c r="R331" s="60">
        <f ca="1">IF(OR(R330="x",R330="xx"),RANDBETWEEN(2,4),IF(R330="xxx",2,0))</f>
        <v>0</v>
      </c>
      <c r="S331" s="102">
        <f ca="1">IF(S330="xx",RANDBETWEEN(2,4),IF(S330="xxx",2,0))</f>
        <v>0</v>
      </c>
    </row>
    <row r="332" spans="1:20" ht="19.5" hidden="1" thickBot="1" x14ac:dyDescent="0.35">
      <c r="K332" s="100"/>
      <c r="L332" s="60"/>
      <c r="O332" s="65"/>
      <c r="P332" s="65"/>
      <c r="Q332" s="65"/>
      <c r="R332" s="65"/>
      <c r="S332" s="101"/>
    </row>
    <row r="333" spans="1:20" x14ac:dyDescent="0.3">
      <c r="A333" s="33"/>
      <c r="B333" s="72"/>
      <c r="K333" s="100"/>
      <c r="L333" s="60"/>
      <c r="P333" s="103" t="s">
        <v>1169</v>
      </c>
      <c r="Q333" s="103" t="s">
        <v>1170</v>
      </c>
      <c r="R333" s="103" t="s">
        <v>1171</v>
      </c>
      <c r="S333" s="103" t="s">
        <v>677</v>
      </c>
      <c r="T333" s="104" t="s">
        <v>1172</v>
      </c>
    </row>
    <row r="334" spans="1:20" x14ac:dyDescent="0.3">
      <c r="A334" s="33"/>
      <c r="B334" s="72"/>
      <c r="K334" s="100"/>
      <c r="L334" s="60"/>
      <c r="O334" s="83">
        <v>1</v>
      </c>
      <c r="P334" s="65" t="str">
        <f ca="1">IF($O$328&gt;=O315,INDEX('Spell Tables'!$AJ$242:$AJ$264,MATCH(O315,('Spell Tables'!$AH$242:$AH$264),0)),IF(AND($Q$11="wizard",$O$331&gt;=O315),INDEX('Spell Tables'!$AJ$242:$AJ$264,MATCH(O315,('Spell Tables'!$AH$242:$AH$264),0))," "))</f>
        <v xml:space="preserve"> </v>
      </c>
      <c r="Q334" s="65" t="str">
        <f ca="1">IF($P$328&gt;=O$315,INDEX('Spell Tables'!$AN$242:$AN$260,MATCH(O$315,('Spell Tables'!$AL$242:$AL$260),0))," ")</f>
        <v xml:space="preserve"> </v>
      </c>
      <c r="R334" s="65" t="str">
        <f ca="1">IF($Q$328&gt;=O$315,INDEX('Spell Tables'!$AR$242:$AR$256,MATCH(O$315,('Spell Tables'!$AP$242:$AP$256),0))," ")</f>
        <v xml:space="preserve"> </v>
      </c>
      <c r="S334" s="65" t="str">
        <f ca="1">IF($R$328&gt;=O$315,INDEX('Spell Tables'!$AV$242:$AV$255,MATCH(O$315,('Spell Tables'!$AT$242:$AT$255),0))," ")</f>
        <v xml:space="preserve"> </v>
      </c>
      <c r="T334" s="66" t="str">
        <f ca="1">IF($S$328&gt;=O$315,INDEX('Spell Tables'!$AZ$242:$AZ$253,MATCH(O$315,('Spell Tables'!$AX$242:$AX$253),0))," ")</f>
        <v xml:space="preserve"> </v>
      </c>
    </row>
    <row r="335" spans="1:20" x14ac:dyDescent="0.3">
      <c r="A335" s="33"/>
      <c r="B335" s="72"/>
      <c r="O335" s="84">
        <v>2</v>
      </c>
      <c r="P335" s="60" t="str">
        <f ca="1">IF($O$328&gt;=O316,INDEX('Spell Tables'!$AJ$242:$AJ$264,MATCH(O316,('Spell Tables'!$AH$242:$AH$264),0)),IF(AND($Q$11="wizard",$O$331&gt;=O316),INDEX('Spell Tables'!$AJ$242:$AJ$264,MATCH(O316,('Spell Tables'!$AH$242:$AH$264),0))," "))</f>
        <v xml:space="preserve"> </v>
      </c>
      <c r="Q335" s="60" t="str">
        <f ca="1">IF($P$328&gt;=O$316,INDEX('Spell Tables'!$AN$242:$AN$260,MATCH(O$316,('Spell Tables'!$AL$242:$AL$260),0))," ")</f>
        <v xml:space="preserve"> </v>
      </c>
      <c r="R335" s="60" t="str">
        <f ca="1">IF($Q$328&gt;=O$316,INDEX('Spell Tables'!$AR$242:$AR$256,MATCH(O$316,('Spell Tables'!$AP$242:$AP$256),0))," ")</f>
        <v xml:space="preserve"> </v>
      </c>
      <c r="S335" s="60" t="str">
        <f ca="1">IF($R$328&gt;=O$316,INDEX('Spell Tables'!$AV$242:$AV$255,MATCH(O$316,('Spell Tables'!$AT$242:$AT$255),0))," ")</f>
        <v xml:space="preserve"> </v>
      </c>
      <c r="T335" s="63" t="str">
        <f ca="1">IF($S$328&gt;=O$316,INDEX('Spell Tables'!$AZ$242:$AZ$253,MATCH(O$316,('Spell Tables'!$AX$242:$AX$253),0))," ")</f>
        <v xml:space="preserve"> </v>
      </c>
    </row>
    <row r="336" spans="1:20" x14ac:dyDescent="0.3">
      <c r="A336" s="33"/>
      <c r="B336" s="72"/>
      <c r="O336" s="83">
        <v>3</v>
      </c>
      <c r="P336" s="65" t="str">
        <f ca="1">IF($O$328&gt;=O317,INDEX('Spell Tables'!$AJ$242:$AJ$264,MATCH(O317,('Spell Tables'!$AH$242:$AH$264),0)),IF(AND($Q$11="wizard",$O$331&gt;=O317),INDEX('Spell Tables'!$AJ$242:$AJ$264,MATCH(O317,('Spell Tables'!$AH$242:$AH$264),0))," "))</f>
        <v xml:space="preserve"> </v>
      </c>
      <c r="Q336" s="65" t="str">
        <f ca="1">IF($P$328&gt;=O$317,INDEX('Spell Tables'!$AN$242:$AN$260,MATCH(O$317,('Spell Tables'!$AL$242:$AL$260),0))," ")</f>
        <v xml:space="preserve"> </v>
      </c>
      <c r="R336" s="65" t="str">
        <f ca="1">IF($Q$328&gt;=O$317,INDEX('Spell Tables'!$AR$242:$AR$256,MATCH(O$317,('Spell Tables'!$AP$242:$AP$256),0))," ")</f>
        <v xml:space="preserve"> </v>
      </c>
      <c r="S336" s="65" t="str">
        <f ca="1">IF($R$328&gt;=O$317,INDEX('Spell Tables'!$AV$242:$AV$255,MATCH(O$317,('Spell Tables'!$AT$242:$AT$255),0))," ")</f>
        <v xml:space="preserve"> </v>
      </c>
      <c r="T336" s="66" t="str">
        <f ca="1">IF($S$328&gt;=O$317,INDEX('Spell Tables'!$AZ$242:$AZ$253,MATCH(O$317,('Spell Tables'!$AX$242:$AX$253),0))," ")</f>
        <v xml:space="preserve"> </v>
      </c>
    </row>
    <row r="337" spans="1:20" x14ac:dyDescent="0.3">
      <c r="A337" s="33"/>
      <c r="B337" s="72"/>
      <c r="O337" s="84">
        <v>4</v>
      </c>
      <c r="P337" s="60" t="str">
        <f ca="1">IF($O$328&gt;=O318,INDEX('Spell Tables'!$AJ$242:$AJ$264,MATCH(O318,('Spell Tables'!$AH$242:$AH$264),0)),IF(AND($Q$11="wizard",$O$331&gt;=O318),INDEX('Spell Tables'!$AJ$242:$AJ$264,MATCH(O318,('Spell Tables'!$AH$242:$AH$264),0))," "))</f>
        <v xml:space="preserve"> </v>
      </c>
      <c r="Q337" s="60" t="str">
        <f ca="1">IF($P$328&gt;=O$318,INDEX('Spell Tables'!$AN$242:$AN$260,MATCH(O$318,('Spell Tables'!$AL$242:$AL$260),0))," ")</f>
        <v xml:space="preserve"> </v>
      </c>
      <c r="R337" s="60" t="str">
        <f ca="1">IF($Q$328&gt;=O$318,INDEX('Spell Tables'!$AR$242:$AR$256,MATCH(O$318,('Spell Tables'!$AP$242:$AP$256),0))," ")</f>
        <v xml:space="preserve"> </v>
      </c>
      <c r="S337" s="60" t="str">
        <f ca="1">IF($R$328&gt;=O$318,INDEX('Spell Tables'!$AV$242:$AV$255,MATCH(O$318,('Spell Tables'!$AT$242:$AT$255),0))," ")</f>
        <v xml:space="preserve"> </v>
      </c>
      <c r="T337" s="63" t="str">
        <f ca="1">IF($S$328&gt;=O$318,INDEX('Spell Tables'!$AZ$242:$AZ$253,MATCH(O$318,('Spell Tables'!$AX$242:$AX$253),0))," ")</f>
        <v xml:space="preserve"> </v>
      </c>
    </row>
    <row r="338" spans="1:20" x14ac:dyDescent="0.3">
      <c r="A338" s="33"/>
      <c r="B338" s="72"/>
      <c r="O338" s="83">
        <v>5</v>
      </c>
      <c r="P338" s="65" t="str">
        <f ca="1">IF($O$328&gt;=O319,INDEX('Spell Tables'!$AJ$242:$AJ$264,MATCH(O319,('Spell Tables'!$AH$242:$AH$264),0)),IF(AND($Q$11="wizard",$O$331&gt;=O319),INDEX('Spell Tables'!$AJ$242:$AJ$264,MATCH(O319,('Spell Tables'!$AH$242:$AH$264),0))," "))</f>
        <v xml:space="preserve"> </v>
      </c>
      <c r="Q338" s="65" t="str">
        <f ca="1">IF($P$328&gt;=O$319,INDEX('Spell Tables'!$AN$242:$AN$260,MATCH(O$319,('Spell Tables'!$AL$242:$AL$260),0))," ")</f>
        <v xml:space="preserve"> </v>
      </c>
      <c r="R338" s="65" t="str">
        <f ca="1">IF($Q$328&gt;=O$319,INDEX('Spell Tables'!$AR$242:$AR$256,MATCH(O$319,('Spell Tables'!$AP$242:$AP$256),0))," ")</f>
        <v xml:space="preserve"> </v>
      </c>
      <c r="S338" s="65" t="str">
        <f ca="1">IF($R$328&gt;=O$319,INDEX('Spell Tables'!$AV$242:$AV$255,MATCH(O$319,('Spell Tables'!$AT$242:$AT$255),0))," ")</f>
        <v xml:space="preserve"> </v>
      </c>
      <c r="T338" s="66" t="str">
        <f ca="1">IF($S$328&gt;=O$319,INDEX('Spell Tables'!$AZ$242:$AZ$253,MATCH(O$319,('Spell Tables'!$AX$242:$AX$253),0))," ")</f>
        <v xml:space="preserve"> </v>
      </c>
    </row>
    <row r="339" spans="1:20" x14ac:dyDescent="0.3">
      <c r="A339" s="33"/>
      <c r="B339" s="72"/>
      <c r="K339" s="100"/>
      <c r="L339" s="60"/>
      <c r="O339" s="84">
        <v>6</v>
      </c>
      <c r="P339" s="60" t="str">
        <f ca="1">IF($O$328&gt;=O320,INDEX('Spell Tables'!$AJ$242:$AJ$264,MATCH(O320,('Spell Tables'!$AH$242:$AH$264),0)),IF(AND($Q$11="wizard",$O$331&gt;=O320),INDEX('Spell Tables'!$AJ$242:$AJ$264,MATCH(O320,('Spell Tables'!$AH$242:$AH$264),0))," "))</f>
        <v xml:space="preserve"> </v>
      </c>
      <c r="Q339" s="60" t="str">
        <f ca="1">IF($P$328&gt;=O$320,INDEX('Spell Tables'!$AN$242:$AN$260,MATCH(O$320,('Spell Tables'!$AL$242:$AL$260),0))," ")</f>
        <v xml:space="preserve"> </v>
      </c>
      <c r="R339" s="60" t="str">
        <f ca="1">IF($Q$328&gt;=O$320,INDEX('Spell Tables'!$AR$242:$AR$256,MATCH(O$320,('Spell Tables'!$AP$242:$AP$256),0))," ")</f>
        <v xml:space="preserve"> </v>
      </c>
      <c r="S339" s="60" t="str">
        <f ca="1">IF($R$328&gt;=O$320,INDEX('Spell Tables'!$AV$242:$AV$255,MATCH(O$320,('Spell Tables'!$AT$242:$AT$255),0))," ")</f>
        <v xml:space="preserve"> </v>
      </c>
      <c r="T339" s="63" t="str">
        <f ca="1">IF($S$328&gt;=O$320,INDEX('Spell Tables'!$AZ$242:$AZ$253,MATCH(O$320,('Spell Tables'!$AX$242:$AX$253),0))," ")</f>
        <v xml:space="preserve"> </v>
      </c>
    </row>
    <row r="340" spans="1:20" x14ac:dyDescent="0.3">
      <c r="A340" s="33"/>
      <c r="B340" s="72"/>
      <c r="K340" s="100"/>
      <c r="L340" s="60"/>
      <c r="O340" s="83">
        <v>7</v>
      </c>
      <c r="P340" s="65" t="str">
        <f ca="1">IF($O$328&gt;=O321,INDEX('Spell Tables'!$AJ$242:$AJ$264,MATCH(O321,('Spell Tables'!$AH$242:$AH$264),0)),IF(AND($Q$11="wizard",$O$331&gt;=O321),INDEX('Spell Tables'!$AJ$242:$AJ$264,MATCH(O321,('Spell Tables'!$AH$242:$AH$264),0))," "))</f>
        <v xml:space="preserve"> </v>
      </c>
      <c r="Q340" s="65" t="str">
        <f ca="1">IF($P$328&gt;=O$321,INDEX('Spell Tables'!$AN$242:$AN$260,MATCH(O$321,('Spell Tables'!$AL$242:$AL$260),0))," ")</f>
        <v xml:space="preserve"> </v>
      </c>
      <c r="R340" s="65" t="str">
        <f ca="1">IF($Q$328&gt;=O$321,INDEX('Spell Tables'!$AR$242:$AR$256,MATCH(O$321,('Spell Tables'!$AP$242:$AP$256),0))," ")</f>
        <v xml:space="preserve"> </v>
      </c>
      <c r="S340" s="65" t="str">
        <f ca="1">IF($R$328&gt;=O$321,INDEX('Spell Tables'!$AV$242:$AV$255,MATCH(O$321,('Spell Tables'!$AT$242:$AT$255),0))," ")</f>
        <v xml:space="preserve"> </v>
      </c>
      <c r="T340" s="66" t="str">
        <f ca="1">IF($S$328&gt;=O$321,INDEX('Spell Tables'!$AZ$242:$AZ$253,MATCH(O$321,('Spell Tables'!$AX$242:$AX$253),0))," ")</f>
        <v xml:space="preserve"> </v>
      </c>
    </row>
    <row r="341" spans="1:20" x14ac:dyDescent="0.3">
      <c r="A341" s="33"/>
      <c r="B341" s="72"/>
      <c r="K341" s="100"/>
      <c r="L341" s="60"/>
      <c r="O341" s="84">
        <v>8</v>
      </c>
      <c r="P341" s="60" t="str">
        <f ca="1">IF($O$328&gt;=O322,INDEX('Spell Tables'!$AJ$242:$AJ$264,MATCH(O322,('Spell Tables'!$AH$242:$AH$264),0)),IF(AND($Q$11="wizard",$O$331&gt;=O322),INDEX('Spell Tables'!$AJ$242:$AJ$264,MATCH(O322,('Spell Tables'!$AH$242:$AH$264),0))," "))</f>
        <v xml:space="preserve"> </v>
      </c>
      <c r="Q341" s="60" t="str">
        <f ca="1">IF($P$328&gt;=O$322,INDEX('Spell Tables'!$AN$242:$AN$260,MATCH(O$322,('Spell Tables'!$AL$242:$AL$260),0))," ")</f>
        <v xml:space="preserve"> </v>
      </c>
      <c r="R341" s="60" t="str">
        <f ca="1">IF($Q$328&gt;=O$322,INDEX('Spell Tables'!$AR$242:$AR$256,MATCH(O$322,('Spell Tables'!$AP$242:$AP$256),0))," ")</f>
        <v xml:space="preserve"> </v>
      </c>
      <c r="S341" s="60" t="str">
        <f ca="1">IF($R$328&gt;=O$322,INDEX('Spell Tables'!$AV$242:$AV$255,MATCH(O$322,('Spell Tables'!$AT$242:$AT$255),0))," ")</f>
        <v xml:space="preserve"> </v>
      </c>
      <c r="T341" s="63" t="str">
        <f ca="1">IF($S$328&gt;=O$322,INDEX('Spell Tables'!$AZ$242:$AZ$253,MATCH(O$322,('Spell Tables'!$AX$242:$AX$253),0))," ")</f>
        <v xml:space="preserve"> </v>
      </c>
    </row>
    <row r="342" spans="1:20" x14ac:dyDescent="0.3">
      <c r="A342" s="33"/>
      <c r="B342" s="72"/>
      <c r="O342" s="83">
        <v>9</v>
      </c>
      <c r="P342" s="65" t="str">
        <f ca="1">IF($O$328&gt;=O323,INDEX('Spell Tables'!$AJ$242:$AJ$264,MATCH(O323,('Spell Tables'!$AH$242:$AH$264),0)),IF(AND($Q$11="wizard",$O$331&gt;=O323),INDEX('Spell Tables'!$AJ$242:$AJ$264,MATCH(O323,('Spell Tables'!$AH$242:$AH$264),0))," "))</f>
        <v xml:space="preserve"> </v>
      </c>
      <c r="Q342" s="65" t="str">
        <f ca="1">IF($P$328&gt;=O$323,INDEX('Spell Tables'!$AN$242:$AN$260,MATCH(O$323,('Spell Tables'!$AL$242:$AL$260),0))," ")</f>
        <v xml:space="preserve"> </v>
      </c>
      <c r="R342" s="65" t="str">
        <f ca="1">IF($Q$328&gt;=O$323,INDEX('Spell Tables'!$AR$242:$AR$256,MATCH(O$323,('Spell Tables'!$AP$242:$AP$256),0))," ")</f>
        <v xml:space="preserve"> </v>
      </c>
      <c r="S342" s="65" t="str">
        <f ca="1">IF($R$328&gt;=O$323,INDEX('Spell Tables'!$AV$242:$AV$255,MATCH(O$323,('Spell Tables'!$AT$242:$AT$255),0))," ")</f>
        <v xml:space="preserve"> </v>
      </c>
      <c r="T342" s="66" t="str">
        <f ca="1">IF($S$328&gt;=O$323,INDEX('Spell Tables'!$AZ$242:$AZ$253,MATCH(O$323,('Spell Tables'!$AX$242:$AX$253),0))," ")</f>
        <v xml:space="preserve"> </v>
      </c>
    </row>
    <row r="343" spans="1:20" ht="19.5" thickBot="1" x14ac:dyDescent="0.35">
      <c r="A343" s="33"/>
      <c r="B343" s="72"/>
      <c r="K343" s="31"/>
      <c r="O343" s="85">
        <v>10</v>
      </c>
      <c r="P343" s="67" t="str">
        <f ca="1">IF($O$328&gt;=O324,INDEX('Spell Tables'!$AJ$242:$AJ$264,MATCH(O324,('Spell Tables'!$AH$242:$AH$264),0)),IF(AND($Q$11="wizard",$O$331&gt;=O324),INDEX('Spell Tables'!$AJ$242:$AJ$264,MATCH(O324,('Spell Tables'!$AH$242:$AH$264),0))," "))</f>
        <v xml:space="preserve"> </v>
      </c>
      <c r="Q343" s="67" t="str">
        <f ca="1">IF($P$328&gt;=O$324,INDEX('Spell Tables'!$AN$242:$AN$260,MATCH(O$324,('Spell Tables'!$AL$242:$AL$260),0))," ")</f>
        <v xml:space="preserve"> </v>
      </c>
      <c r="R343" s="67" t="str">
        <f ca="1">IF($Q$328&gt;=O$324,INDEX('Spell Tables'!$AR$242:$AR$256,MATCH(O$324,('Spell Tables'!$AP$242:$AP$256),0))," ")</f>
        <v xml:space="preserve"> </v>
      </c>
      <c r="S343" s="67" t="str">
        <f ca="1">IF($R$328&gt;=O$324,INDEX('Spell Tables'!$AV$242:$AV$255,MATCH(O$324,('Spell Tables'!$AT$242:$AT$255),0))," ")</f>
        <v xml:space="preserve"> </v>
      </c>
      <c r="T343" s="68" t="str">
        <f ca="1">IF($S$328&gt;=O$324,INDEX('Spell Tables'!$AZ$242:$AZ$253,MATCH(O$324,('Spell Tables'!$AX$242:$AX$253),0))," ")</f>
        <v xml:space="preserve"> </v>
      </c>
    </row>
  </sheetData>
  <sheetProtection sheet="1" objects="1" scenarios="1"/>
  <hyperlinks>
    <hyperlink ref="A1" location="'Character Overview'!A1" display="Back to Overview" xr:uid="{789C6030-69D4-4D6A-9DB3-54AB27F660BA}"/>
  </hyperlinks>
  <pageMargins left="0.25" right="0.25" top="0.75" bottom="0.75" header="0.3" footer="0.3"/>
  <pageSetup scale="34" orientation="landscape" horizontalDpi="4294967293" r:id="rId1"/>
  <drawing r:id="rId2"/>
  <tableParts count="56">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 r:id="rId50"/>
    <tablePart r:id="rId51"/>
    <tablePart r:id="rId52"/>
    <tablePart r:id="rId53"/>
    <tablePart r:id="rId54"/>
    <tablePart r:id="rId55"/>
    <tablePart r:id="rId56"/>
    <tablePart r:id="rId57"/>
    <tablePart r:id="rId58"/>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9F4B8-2B66-4704-9C67-043C4B212C94}">
  <sheetPr codeName="Аркуш7">
    <pageSetUpPr fitToPage="1"/>
  </sheetPr>
  <dimension ref="A1:CJ343"/>
  <sheetViews>
    <sheetView showGridLines="0" showRowColHeaders="0" zoomScale="54" zoomScaleNormal="54" workbookViewId="0"/>
  </sheetViews>
  <sheetFormatPr defaultColWidth="8.85546875" defaultRowHeight="18.75" x14ac:dyDescent="0.3"/>
  <cols>
    <col min="1" max="1" width="23.140625" style="29" customWidth="1"/>
    <col min="2" max="2" width="62.7109375" style="29" customWidth="1"/>
    <col min="3" max="3" width="13.7109375" style="29" hidden="1" customWidth="1"/>
    <col min="4" max="5" width="3.85546875" style="29" hidden="1" customWidth="1"/>
    <col min="6" max="8" width="5" style="29" hidden="1" customWidth="1"/>
    <col min="9" max="9" width="11.7109375" style="29" hidden="1" customWidth="1"/>
    <col min="10" max="10" width="2.28515625" style="29" hidden="1" customWidth="1"/>
    <col min="11" max="11" width="14.7109375" style="29" hidden="1" customWidth="1"/>
    <col min="12" max="12" width="13.28515625" style="29" hidden="1" customWidth="1"/>
    <col min="13" max="13" width="7.28515625" style="29" hidden="1" customWidth="1"/>
    <col min="14" max="14" width="2.140625" style="29" hidden="1" customWidth="1"/>
    <col min="15" max="19" width="50.7109375" style="29" customWidth="1"/>
    <col min="20" max="20" width="34" style="29" customWidth="1"/>
    <col min="21" max="21" width="34.28515625" style="29" customWidth="1"/>
    <col min="22" max="22" width="34.140625" style="29" customWidth="1"/>
    <col min="23" max="23" width="29.85546875" style="29" customWidth="1"/>
    <col min="24" max="24" width="18.5703125" style="29" customWidth="1"/>
    <col min="25" max="25" width="34.28515625" style="29" bestFit="1" customWidth="1"/>
    <col min="26" max="26" width="32.7109375" style="29" customWidth="1"/>
    <col min="27" max="27" width="9.7109375" style="29" bestFit="1" customWidth="1"/>
    <col min="28" max="28" width="12.140625" style="29" bestFit="1" customWidth="1"/>
    <col min="29" max="29" width="8.85546875" style="29"/>
    <col min="30" max="30" width="0" style="29" hidden="1" customWidth="1"/>
    <col min="31" max="31" width="10.28515625" style="29" hidden="1" customWidth="1"/>
    <col min="32" max="32" width="23.5703125" style="29" hidden="1" customWidth="1"/>
    <col min="33" max="33" width="8.85546875" style="29" hidden="1" customWidth="1"/>
    <col min="34" max="34" width="17.85546875" style="29" hidden="1" customWidth="1"/>
    <col min="35" max="35" width="3.5703125" style="29" hidden="1" customWidth="1"/>
    <col min="36" max="36" width="21.85546875" style="29" hidden="1" customWidth="1"/>
    <col min="37" max="37" width="14.140625" style="29" hidden="1" customWidth="1"/>
    <col min="38" max="38" width="21.85546875" style="29" hidden="1" customWidth="1"/>
    <col min="39" max="39" width="5.7109375" style="29" hidden="1" customWidth="1"/>
    <col min="40" max="40" width="27.7109375" style="29" hidden="1" customWidth="1"/>
    <col min="41" max="41" width="10.7109375" style="29" hidden="1" customWidth="1"/>
    <col min="42" max="42" width="13.28515625" style="29" hidden="1" customWidth="1"/>
    <col min="43" max="43" width="13" style="29" hidden="1" customWidth="1"/>
    <col min="44" max="44" width="8.85546875" style="29" hidden="1" customWidth="1"/>
    <col min="45" max="45" width="11.7109375" style="29" hidden="1" customWidth="1"/>
    <col min="46" max="47" width="8.85546875" style="29" hidden="1" customWidth="1"/>
    <col min="48" max="49" width="15.28515625" style="29" hidden="1" customWidth="1"/>
    <col min="50" max="50" width="14.140625" style="29" hidden="1" customWidth="1"/>
    <col min="51" max="51" width="9.85546875" style="29" hidden="1" customWidth="1"/>
    <col min="52" max="52" width="12.140625" style="29" hidden="1" customWidth="1"/>
    <col min="53" max="53" width="15.28515625" style="29" hidden="1" customWidth="1"/>
    <col min="54" max="54" width="12.140625" style="29" hidden="1" customWidth="1"/>
    <col min="55" max="55" width="9" style="29" hidden="1" customWidth="1"/>
    <col min="56" max="57" width="10.42578125" style="29" hidden="1" customWidth="1"/>
    <col min="58" max="58" width="9.7109375" style="29" hidden="1" customWidth="1"/>
    <col min="59" max="59" width="10.42578125" style="29" hidden="1" customWidth="1"/>
    <col min="60" max="60" width="7.140625" style="29" hidden="1" customWidth="1"/>
    <col min="61" max="61" width="10.42578125" style="29" hidden="1" customWidth="1"/>
    <col min="62" max="62" width="11.7109375" style="29" hidden="1" customWidth="1"/>
    <col min="63" max="63" width="14.140625" style="29" hidden="1" customWidth="1"/>
    <col min="64" max="64" width="8.85546875" style="29" hidden="1" customWidth="1"/>
    <col min="65" max="65" width="15.7109375" style="29" hidden="1" customWidth="1"/>
    <col min="66" max="66" width="10" style="29" hidden="1" customWidth="1"/>
    <col min="67" max="67" width="13.42578125" style="29" hidden="1" customWidth="1"/>
    <col min="68" max="68" width="15.28515625" style="29" hidden="1" customWidth="1"/>
    <col min="69" max="69" width="15" style="29" hidden="1" customWidth="1"/>
    <col min="70" max="70" width="7.28515625" style="29" hidden="1" customWidth="1"/>
    <col min="71" max="71" width="17.85546875" style="29" hidden="1" customWidth="1"/>
    <col min="72" max="72" width="14.140625" style="29" hidden="1" customWidth="1"/>
    <col min="73" max="73" width="8.28515625" style="29" hidden="1" customWidth="1"/>
    <col min="74" max="74" width="15.28515625" style="29" hidden="1" customWidth="1"/>
    <col min="75" max="79" width="8.85546875" style="29" hidden="1" customWidth="1"/>
    <col min="80" max="80" width="21.140625" style="29" hidden="1" customWidth="1"/>
    <col min="81" max="81" width="12" style="29" hidden="1" customWidth="1"/>
    <col min="82" max="82" width="15.28515625" style="29" hidden="1" customWidth="1"/>
    <col min="83" max="88" width="8.85546875" style="29" hidden="1" customWidth="1"/>
    <col min="89" max="115" width="8.85546875" style="29" customWidth="1"/>
    <col min="116" max="16384" width="8.85546875" style="29"/>
  </cols>
  <sheetData>
    <row r="1" spans="1:83" ht="26.25" thickBot="1" x14ac:dyDescent="0.4">
      <c r="A1" s="153" t="s">
        <v>2755</v>
      </c>
      <c r="B1" s="30"/>
      <c r="C1" s="99"/>
      <c r="D1" s="99"/>
      <c r="E1" s="99"/>
      <c r="F1" s="99"/>
      <c r="G1" s="99"/>
      <c r="H1" s="99"/>
      <c r="I1" s="99"/>
      <c r="J1" s="99"/>
      <c r="K1" s="99"/>
      <c r="L1" s="99"/>
      <c r="M1" s="99"/>
      <c r="N1" s="99"/>
      <c r="O1" s="125" t="s">
        <v>0</v>
      </c>
      <c r="P1" s="126" t="str">
        <f ca="1">IF(AND(Q2="dwarf",O2="male"),VLOOKUP(RANDBETWEEN(1,30),Table4[],2),IF(AND(Q2="dwarf",O2="female"),VLOOKUP(RANDBETWEEN(1,23),Table13[],2),IF(AND(Q2="elf",O2="male"),VLOOKUP(RANDBETWEEN(1,38),Table6[],2),IF(AND(Q2="elf",O2="female"),VLOOKUP(RANDBETWEEN(1,36),Table15[],2),IF(AND(Q2="halfling",O2="male"),VLOOKUP(RANDBETWEEN(1,17),Table10[],2),IF(AND(Q2="halfling",O2="female"),VLOOKUP(RANDBETWEEN(1,18),Table16[],2),IF(AND(Q2="human",O2="male"),VLOOKUP(RANDBETWEEN(1,70),Table17[],2),IF(AND(Q2="human",O2="female"),VLOOKUP(RANDBETWEEN(1,67),Table19[],2),IF(AND(Q2="dragonborn",O2="male"),VLOOKUP(RANDBETWEEN(1,17),Table21[],2),IF(AND(Q2="dragonborn",O2="female"),VLOOKUP(RANDBETWEEN(1,17),Table22[],2),IF(AND(Q2="gnome",O2="male"),VLOOKUP(RANDBETWEEN(1,23),Table28[],2),IF(AND(Q2="gnome",O2="female"),VLOOKUP(RANDBETWEEN(1,22),Table29[],2),IF(AND(Q2="half-elf",O2="male"),VLOOKUP(RANDBETWEEN(1,108),Table31[],2),IF(AND(Q2="half-elf",O2="female"),VLOOKUP(RANDBETWEEN(1,103),Table32[],2),IF(AND(Q2="half-orc",O2="male"),VLOOKUP(RANDBETWEEN(1,10),Table35[],2),IF(AND(Q2="half-orc",O2="female"),VLOOKUP(RANDBETWEEN(1,13),Table36[],2),IF(AND(Q2="tiefling",O2="male"),VLOOKUP(RANDBETWEEN(1,33),Table37[],2),IF(AND(Q2="tiefling",O2="female"),VLOOKUP(RANDBETWEEN(1,34),Table38[],2)," "))))))))))))))))))</f>
        <v>Chant</v>
      </c>
      <c r="Q1" s="127" t="str">
        <f ca="1">IF(Q2="dwarf",VLOOKUP(RANDBETWEEN(1,53),Table5[],2),IF(Q2="elf",VLOOKUP(RANDBETWEEN(1,73),Table7[],2),IF(Q2="halfling",VLOOKUP(RANDBETWEEN(1,20),Table11[],2),IF(Q2="human",VLOOKUP(RANDBETWEEN(1,52),Table18[],2),IF(Q2="dragonborn",VLOOKUP(RANDBETWEEN(1,18),Table24[],2),IF(Q2="gnome",VLOOKUP(RANDBETWEEN(1,13),Table27[],2),IF(Q2="half-elf",VLOOKUP(RANDBETWEEN(1,62),Table33[],2)," ")))))))</f>
        <v xml:space="preserve"> </v>
      </c>
      <c r="R1" s="30"/>
      <c r="S1" s="30"/>
      <c r="AF1" s="29" t="s">
        <v>674</v>
      </c>
      <c r="AH1" s="29" t="s">
        <v>711</v>
      </c>
      <c r="AI1" s="29">
        <f ca="1">IF(O11="non-classed",RANDBETWEEN(1,10),IF(O11="wizard",SUM(6,4*O12,-4),IF(O11="warlock",SUM(8,5*O12,-5),IF(O11="sorcerer",SUM(6,4*O12,-6),IF(O11="rogue",SUM(8,5*O12,-5),IF(O11="ranger",SUM(10,6*O12,-6),IF(O11="paladin",SUM(10,6*O12,-6),IF(O11="barbarian",SUM(12,7*O12,-7),IF(O11="bard",SUM(8,5*O12,-5),IF(O11="cleric",SUM(8,5*O12,-5),IF(O11="druid",SUM(8,5*O12,-5),IF(O11="fighter",SUM(10,6*O12,-6),IF(O11="monk",SUM(8,5*O12,-5)," ")))))))))))))</f>
        <v>32</v>
      </c>
      <c r="AJ1" s="29" t="s">
        <v>714</v>
      </c>
      <c r="AK1" s="29">
        <f ca="1">(P40*P6)</f>
        <v>-11</v>
      </c>
      <c r="CB1" s="31" t="s">
        <v>670</v>
      </c>
      <c r="CE1" s="31"/>
    </row>
    <row r="2" spans="1:83" x14ac:dyDescent="0.3">
      <c r="A2" s="30"/>
      <c r="B2" s="30"/>
      <c r="C2" s="33"/>
      <c r="D2" s="33"/>
      <c r="E2" s="33"/>
      <c r="F2" s="33"/>
      <c r="G2" s="33"/>
      <c r="H2" s="33"/>
      <c r="I2" s="33"/>
      <c r="J2" s="33"/>
      <c r="K2" s="33"/>
      <c r="L2" s="33"/>
      <c r="M2" s="33"/>
      <c r="N2" s="33"/>
      <c r="O2" s="110" t="str">
        <f ca="1">VLOOKUP(RANDBETWEEN(1,2),Table14[],2)</f>
        <v>Female</v>
      </c>
      <c r="P2" s="33" t="str">
        <f ca="1">IF(Q2="dwarf",VLOOKUP(RANDBETWEEN(1,2),Table8[],2),IF(Q2="elf",VLOOKUP(RANDBETWEEN(1,3),Table9[],2),IF(Q2="halfling",VLOOKUP(RANDBETWEEN(1,2),Table12[],2),IF(Q2="Dragonborn",VLOOKUP(RANDBETWEEN(1,10),Table25[],2),IF(Q2="Gnome",VLOOKUP(RANDBETWEEN(1,2),Table30[],2)," ")))))</f>
        <v xml:space="preserve"> </v>
      </c>
      <c r="Q2" s="72" t="str">
        <f ca="1">VLOOKUP(RANDBETWEEN(1,9),Table2[],2)</f>
        <v>Tiefling</v>
      </c>
      <c r="R2" s="30"/>
      <c r="S2" s="30"/>
      <c r="AE2" s="29" t="s">
        <v>676</v>
      </c>
      <c r="AF2" s="29" t="str">
        <f ca="1">IF($P$6&gt;=4,VLOOKUP(RANDBETWEEN(1,6),Table41[],2)," ")</f>
        <v>Wisdom</v>
      </c>
      <c r="AH2" s="29" t="s">
        <v>712</v>
      </c>
      <c r="AI2" s="29">
        <f ca="1">IF(Q11="wizard",4*Q12,IF(Q11="warlock",5*Q12,IF(Q11="sorcerer",4*Q12,IF(Q11="rogue",5*Q12,IF(Q11="ranger",6*Q12,IF(Q11="paladin",6*Q12,IF(Q11="barbarian",7*Q12,IF(Q11="bard",5*Q12,IF(Q11="cleric",5*Q12,IF(Q11="druid",5*Q12,IF(Q11="fighter",6*Q12,IF(Q11="monk",5*Q12," "))))))))))))</f>
        <v>18</v>
      </c>
      <c r="CB2" s="35">
        <f t="shared" ref="CB2:CB7" ca="1" si="0">_xlfn.RANK.EQ(CC2,$CC$2:$CC$7)</f>
        <v>1</v>
      </c>
      <c r="CC2" s="36">
        <f ca="1">IF(BM7&gt;0,0,RAND())</f>
        <v>0.83360535279714665</v>
      </c>
      <c r="CD2" s="29" t="s">
        <v>29</v>
      </c>
    </row>
    <row r="3" spans="1:83" ht="19.5" thickBot="1" x14ac:dyDescent="0.35">
      <c r="A3" s="30"/>
      <c r="B3" s="30"/>
      <c r="C3" s="38"/>
      <c r="D3" s="38"/>
      <c r="E3" s="38"/>
      <c r="F3" s="38"/>
      <c r="G3" s="38"/>
      <c r="H3" s="38"/>
      <c r="I3" s="38"/>
      <c r="J3" s="38"/>
      <c r="K3" s="38"/>
      <c r="L3" s="38"/>
      <c r="M3" s="38"/>
      <c r="N3" s="38"/>
      <c r="O3" s="37" t="str">
        <f ca="1">VLOOKUP(RANDBETWEEN(1,20),Table253[],2)</f>
        <v>Adult</v>
      </c>
      <c r="P3" s="38" t="str">
        <f ca="1">IF(AND(Q2="tiefling",O3="young adult"),SUM(17,RANDBETWEEN(1,23))&amp;" years old",IF(AND(Q2="tiefling",O3="adult"),SUM(40,RANDBETWEEN(1,30))&amp;" years old",IF(AND(Q2="tiefling",O3="elderly"),SUM(70,RANDBETWEEN(1,30))&amp;" years old",IF(AND(Q2="half-orc",O3="young adult"),SUM(13,RANDBETWEEN(1,32))&amp;" years old",IF(AND(Q2="half-orc",O3="adult"),SUM(45,RANDBETWEEN(1,15))&amp;" years old",IF(AND(Q2="half-orc",O3="elderly"),SUM(60,RANDBETWEEN(1,15))&amp;" years old",IF(AND(Q2="half-elf",O3="young adult"),SUM(19,RANDBETWEEN(1,30))&amp;" years old",IF(AND(Q2="half-elf",O3="adult"),SUM(50,RANDBETWEEN(1,100))&amp;" years old",IF(AND(Q2="half-elf",O3="elderly"),SUM(150,RANDBETWEEN(1,30))&amp;" years old",IF(AND(Q2="gnome",O3="young adult"),SUM(19,RANDBETWEEN(1,20))&amp;" years old",IF(AND(Q2="gnome",O3="adult"),SUM(40,RANDBETWEEN(1,160))&amp;" years old",IF(AND(Q2="gnome",O3="elderly"),SUM(200,RANDBETWEEN(1,200))&amp;" years old",IF(AND(Q2="dragonborn",O3="young adult"),SUM(14,RANDBETWEEN(1,5))&amp;" years old",IF(AND(Q2="dragonborn",O3="adult"),SUM(20,RANDBETWEEN(1,30))&amp;" years old",IF(AND(Q2="dragonborn",O3="elderly"),SUM(50,RANDBETWEEN(1,30))&amp;" years old",IF(AND(Q2="halfling",O3="young adult"),SUM(19,RANDBETWEEN(1,20))&amp;" years old",IF(AND(Q2="halfling",O3="adult"),SUM(40,RANDBETWEEN(1,110))&amp;" years old",IF(AND(Q2="halfling",O3="elderly"),SUM(150,RANDBETWEEN(1,100))&amp;" years old",IF(AND(Q2="elf",O3="young adult"),SUM(99,RANDBETWEEN(1,350))&amp;" years old",IF(AND(Q2="elf",O3="adult"),SUM(450,RANDBETWEEN(1,200))&amp;" years old",IF(AND(Q2="elf",O3="elderly"),SUM(650,RANDBETWEEN(1,100))&amp;" years old",IF(AND(Q2="dwarf",O3="young adult"),SUM(17,RANDBETWEEN(1,32))&amp;" years old",IF(AND(Q2="dwarf",O3="adult"),SUM(50,RANDBETWEEN(1,150))&amp;" years old",IF(AND(Q2="dwarf",O3="elderly"),SUM(200,RANDBETWEEN(1,150))&amp;" years old",IF(AND(Q2="human",O3="young adult"),SUM(17,RANDBETWEEN(1,12))&amp;" years old",IF(AND(Q2="human",O3="adult"),SUM(30,RANDBETWEEN(1,35))&amp;" years old",IF(AND(Q2="human",O3="elderly"),SUM(65,RANDBETWEEN(1,25))&amp;" years old"," ")))))))))))))))))))))))))))</f>
        <v>67 years old</v>
      </c>
      <c r="Q3" s="113"/>
      <c r="R3" s="30"/>
      <c r="AE3" s="29" t="s">
        <v>676</v>
      </c>
      <c r="AF3" s="29" t="str">
        <f ca="1">IF($P$6&gt;=4,VLOOKUP(RANDBETWEEN(1,6),Table41[],2)," ")</f>
        <v>Intelligence</v>
      </c>
      <c r="AH3" s="29" t="s">
        <v>713</v>
      </c>
      <c r="AI3" s="29" t="str">
        <f ca="1">IF(P2="hill",(P6)," ")</f>
        <v xml:space="preserve"> </v>
      </c>
      <c r="CB3" s="35">
        <f t="shared" ca="1" si="0"/>
        <v>5</v>
      </c>
      <c r="CC3" s="36">
        <f ca="1">IF(BM9&gt;0,0,RAND())</f>
        <v>0</v>
      </c>
      <c r="CD3" s="29" t="s">
        <v>14</v>
      </c>
    </row>
    <row r="4" spans="1:83" ht="19.5" thickBot="1" x14ac:dyDescent="0.35">
      <c r="A4" s="33"/>
      <c r="B4" s="30"/>
      <c r="C4" s="39"/>
      <c r="D4" s="39"/>
      <c r="E4" s="39"/>
      <c r="F4" s="39"/>
      <c r="G4" s="39"/>
      <c r="H4" s="39"/>
      <c r="I4" s="39"/>
      <c r="J4" s="39"/>
      <c r="K4" s="39"/>
      <c r="L4" s="39"/>
      <c r="M4" s="39"/>
      <c r="N4" s="39"/>
      <c r="O4" s="40"/>
      <c r="Q4" s="41"/>
      <c r="R4" s="41"/>
      <c r="AE4" s="29" t="s">
        <v>677</v>
      </c>
      <c r="AF4" s="29" t="str">
        <f ca="1">IF($P$6&gt;=8,VLOOKUP(RANDBETWEEN(1,6),Table41[],2)," ")</f>
        <v>Charisma</v>
      </c>
      <c r="AH4" s="29" t="s">
        <v>1592</v>
      </c>
      <c r="AI4" s="29">
        <f ca="1">IF(OR(P15="draconic bloodline",R15="draconic bloodline"),O12," ")</f>
        <v>8</v>
      </c>
      <c r="CB4" s="35">
        <f t="shared" ca="1" si="0"/>
        <v>5</v>
      </c>
      <c r="CC4" s="36">
        <f ca="1">IF(BM13&gt;0,0,RAND())</f>
        <v>0</v>
      </c>
      <c r="CD4" s="29" t="s">
        <v>18</v>
      </c>
    </row>
    <row r="5" spans="1:83" ht="19.5" thickBot="1" x14ac:dyDescent="0.35">
      <c r="B5" s="42" t="s">
        <v>35</v>
      </c>
      <c r="O5" s="43" t="s">
        <v>41</v>
      </c>
      <c r="P5" s="43" t="s">
        <v>1881</v>
      </c>
      <c r="Q5" s="44" t="str">
        <f ca="1">"Max. HP: "&amp;SUM(AI1,AI2,AI3,AK1,AI4)</f>
        <v>Max. HP: 47</v>
      </c>
      <c r="R5" s="45" t="s">
        <v>33</v>
      </c>
      <c r="AE5" s="29" t="s">
        <v>677</v>
      </c>
      <c r="AF5" s="29" t="str">
        <f ca="1">IF($P$6&gt;=8,VLOOKUP(RANDBETWEEN(1,6),Table41[],2)," ")</f>
        <v>Constitution</v>
      </c>
      <c r="AV5" s="29" t="s">
        <v>744</v>
      </c>
      <c r="BM5" s="29" t="s">
        <v>1825</v>
      </c>
      <c r="BN5" s="29" t="s">
        <v>744</v>
      </c>
      <c r="BO5" s="29" t="s">
        <v>728</v>
      </c>
      <c r="BP5" s="29" t="s">
        <v>745</v>
      </c>
      <c r="BQ5" s="29" t="s">
        <v>1569</v>
      </c>
      <c r="BR5" s="29" t="s">
        <v>211</v>
      </c>
      <c r="BS5" s="29" t="s">
        <v>1343</v>
      </c>
      <c r="BT5" s="29" t="s">
        <v>1344</v>
      </c>
      <c r="BU5" s="29" t="s">
        <v>739</v>
      </c>
      <c r="CB5" s="35">
        <f t="shared" ca="1" si="0"/>
        <v>2</v>
      </c>
      <c r="CC5" s="36">
        <f ca="1">IF(BM16&gt;0,0,RAND())</f>
        <v>0.8039148273572686</v>
      </c>
      <c r="CD5" s="29" t="s">
        <v>21</v>
      </c>
    </row>
    <row r="6" spans="1:83" ht="20.25" thickTop="1" thickBot="1" x14ac:dyDescent="0.35">
      <c r="B6" s="32">
        <f ca="1">P39</f>
        <v>1</v>
      </c>
      <c r="O6" s="46" t="str">
        <f ca="1">IF(OR(Q2="dwarf",Q2="elf",Q2="human",Q2="dragonborn",Q2="half-elf",Q2="half-orc",Q2="tiefling"),"Medium",IF(OR(Q2="gnome",Q2="halfling"),"Small"," "))</f>
        <v>Medium</v>
      </c>
      <c r="P6" s="47">
        <f ca="1">IF(AF14=1,O12,IF(AF14=2,SUM(O12,Q12)))</f>
        <v>11</v>
      </c>
      <c r="Q6" s="48" t="s">
        <v>1882</v>
      </c>
      <c r="R6" s="47" t="str">
        <f ca="1">VLOOKUP(RANDBETWEEN(1,100),Table92[],2)</f>
        <v>Lawful good</v>
      </c>
      <c r="U6" s="49"/>
      <c r="AE6" s="29" t="s">
        <v>678</v>
      </c>
      <c r="AF6" s="29" t="str">
        <f ca="1">IF($P$6&gt;=12,VLOOKUP(RANDBETWEEN(1,6),Table41[],2)," ")</f>
        <v xml:space="preserve"> </v>
      </c>
      <c r="AH6" s="29" t="s">
        <v>12</v>
      </c>
      <c r="AI6" s="29">
        <f ca="1">$P$39</f>
        <v>1</v>
      </c>
      <c r="AJ6" s="29" t="str">
        <f t="shared" ref="AJ6:AU6" ca="1" si="1">IF(COUNTIF(AJ$27:AJ$33,$AH$6),$P$8," ")</f>
        <v xml:space="preserve"> </v>
      </c>
      <c r="AK6" s="29" t="str">
        <f t="shared" ca="1" si="1"/>
        <v xml:space="preserve"> </v>
      </c>
      <c r="AL6" s="29" t="str">
        <f t="shared" ca="1" si="1"/>
        <v xml:space="preserve"> </v>
      </c>
      <c r="AM6" s="29" t="str">
        <f t="shared" ca="1" si="1"/>
        <v xml:space="preserve"> </v>
      </c>
      <c r="AN6" s="29" t="str">
        <f t="shared" ca="1" si="1"/>
        <v xml:space="preserve"> </v>
      </c>
      <c r="AO6" s="29" t="str">
        <f t="shared" ca="1" si="1"/>
        <v xml:space="preserve"> </v>
      </c>
      <c r="AP6" s="29" t="str">
        <f t="shared" ca="1" si="1"/>
        <v xml:space="preserve"> </v>
      </c>
      <c r="AQ6" s="29" t="str">
        <f t="shared" ca="1" si="1"/>
        <v xml:space="preserve"> </v>
      </c>
      <c r="AR6" s="29" t="str">
        <f t="shared" ca="1" si="1"/>
        <v xml:space="preserve"> </v>
      </c>
      <c r="AS6" s="29" t="str">
        <f t="shared" ca="1" si="1"/>
        <v xml:space="preserve"> </v>
      </c>
      <c r="AT6" s="29" t="str">
        <f t="shared" ca="1" si="1"/>
        <v xml:space="preserve"> </v>
      </c>
      <c r="AU6" s="29" t="str">
        <f t="shared" ca="1" si="1"/>
        <v xml:space="preserve"> </v>
      </c>
      <c r="AV6" s="29">
        <f ca="1">SUM(AJ6:AU6)</f>
        <v>0</v>
      </c>
      <c r="AW6" s="29" t="s">
        <v>12</v>
      </c>
      <c r="BA6" s="29" t="str">
        <f ca="1">IF(S11="Entertainer",P8," ")</f>
        <v xml:space="preserve"> </v>
      </c>
      <c r="BM6" s="29">
        <f t="shared" ref="BM6:BM23" ca="1" si="2">SUM(AX6:BL6)</f>
        <v>0</v>
      </c>
      <c r="BN6" s="29">
        <f ca="1">AV6</f>
        <v>0</v>
      </c>
      <c r="BO6" s="29" t="str">
        <f t="shared" ref="BO6:BO23" ca="1" si="3">IF(AND($O$11="bard",$O$12&gt;=3,BN26=1),$P$8,IF(AND($O$11="bard",$O$12&gt;=3,BN26=2),$P$8,IF(AND($O$11="bard",$O$12&gt;=10,BN26=3,$P$15="college of lore"),$P$8,IF(AND($O$11="bard",$O$12&gt;=10,BN26=4,$P$15="college of lore"),$P$8,IF(AND($Q$11="bard",$Q$12&gt;=3,BN26=1),$P$8,IF(AND($Q$11="bard",$Q$12&gt;=3,BN26=2),$P$8,IF(AND($Q$11="bard",$Q$12&gt;=10,BN26=3,$P$15="college of lore"),$P$8,IF(AND($Q$11="bard",$Q$12&gt;=10,BN26=4,$P$15="college of lore"),$P$8," "))))))))</f>
        <v xml:space="preserve"> </v>
      </c>
      <c r="BP6" s="29" t="str">
        <f t="shared" ref="BP6:BP23" ca="1" si="4">IF(AND($O$11="bard",$O$12&gt;=2,AV6&lt;=0),ROUNDDOWN($P$8*0.5,0),IF(AND($Q$11="bard",$Q$12&gt;=2,AV6&lt;=0),ROUNDDOWN($P$8*0.5,0)," "))</f>
        <v xml:space="preserve"> </v>
      </c>
      <c r="BQ6" s="29" t="str">
        <f t="shared" ref="BQ6:BQ23" ca="1" si="5">IF(AND($O$11="rogue",BN26=1),$P$8,IF(AND($O$11="rogue",BN26=2,$AF$25=1),$P$8,IF(AND($O$11="rogue",$O$12&gt;6,BN26=3),$P$8,IF(AND($O$11="rogue",$O$12&gt;6,BN26=4),$P$8," "))))</f>
        <v xml:space="preserve"> </v>
      </c>
      <c r="BR6" s="29">
        <f t="shared" ref="BR6:BR23" ca="1" si="6">IF(AND($Q$2="half-elf",BR26=1),$P$8,IF(AND($Q$2="half-elf",BR26=2),$P$8,0))</f>
        <v>0</v>
      </c>
      <c r="BU6" s="29">
        <f ca="1">SUM(BM6:BT6,AI6)</f>
        <v>1</v>
      </c>
      <c r="BV6" s="29" t="s">
        <v>12</v>
      </c>
      <c r="CB6" s="35">
        <f t="shared" ca="1" si="0"/>
        <v>4</v>
      </c>
      <c r="CC6" s="36">
        <f ca="1">IF(BM17&gt;0,0,RAND())</f>
        <v>0.11510489610583519</v>
      </c>
      <c r="CD6" s="29" t="s">
        <v>22</v>
      </c>
      <c r="CE6" s="31"/>
    </row>
    <row r="7" spans="1:83" ht="19.5" thickBot="1" x14ac:dyDescent="0.35">
      <c r="B7" s="42" t="s">
        <v>36</v>
      </c>
      <c r="O7" s="50" t="str">
        <f ca="1">IF(Q2="Tiefling","Height: "&amp;SUM(57,AE31)&amp;" inches",IF(Q2="half-orc","Height: "&amp;SUM(58,AE32)&amp;" inches",IF(Q2="Half-elf","Height: "&amp;SUM(57,AE31)&amp;" inches",IF(Q2="Gnome","Height: "&amp;SUM(35,AE29)&amp;" inches",IF(Q2="Dragonborn","Height: "&amp;SUM(66,AE31)&amp;" inches",IF(Q2="Halfling","Height: "&amp;SUM(31,AE29)&amp;" inches",IF(P2="dark","Height: "&amp;SUM(53,AE30)&amp;" inches",IF(P2="wood","Height: "&amp;SUM(54,AE32)&amp;" inches",IF(P2="high","Height: "&amp;SUM(54,AE32)&amp;" inches",IF(P2="mountain","Height: "&amp;SUM(48,AE29)&amp;" inches",IF(P2="hill","Height: "&amp;SUM(44,AE29)&amp;" inches",IF(Q2="human","Height: "&amp;SUM(56,AE32)&amp;" inches"," "))))))))))))</f>
        <v>Height: 72 inches</v>
      </c>
      <c r="P7" s="43" t="s">
        <v>34</v>
      </c>
      <c r="AE7" s="29" t="s">
        <v>678</v>
      </c>
      <c r="AF7" s="29" t="str">
        <f ca="1">IF($P$6&gt;=12,VLOOKUP(RANDBETWEEN(1,6),Table41[],2)," ")</f>
        <v xml:space="preserve"> </v>
      </c>
      <c r="AH7" s="29" t="s">
        <v>29</v>
      </c>
      <c r="AI7" s="29">
        <f ca="1">$P$42</f>
        <v>1</v>
      </c>
      <c r="AJ7" s="29" t="str">
        <f t="shared" ref="AJ7:AU7" ca="1" si="7">IF(COUNTIF(AJ$27:AJ$33,$AH$7),$P$8," ")</f>
        <v xml:space="preserve"> </v>
      </c>
      <c r="AK7" s="29" t="str">
        <f t="shared" ca="1" si="7"/>
        <v xml:space="preserve"> </v>
      </c>
      <c r="AL7" s="29" t="str">
        <f t="shared" ca="1" si="7"/>
        <v xml:space="preserve"> </v>
      </c>
      <c r="AM7" s="29" t="str">
        <f t="shared" ca="1" si="7"/>
        <v xml:space="preserve"> </v>
      </c>
      <c r="AN7" s="29" t="str">
        <f t="shared" ca="1" si="7"/>
        <v xml:space="preserve"> </v>
      </c>
      <c r="AO7" s="29" t="str">
        <f t="shared" ca="1" si="7"/>
        <v xml:space="preserve"> </v>
      </c>
      <c r="AP7" s="29" t="str">
        <f t="shared" ca="1" si="7"/>
        <v xml:space="preserve"> </v>
      </c>
      <c r="AQ7" s="29" t="str">
        <f t="shared" ca="1" si="7"/>
        <v xml:space="preserve"> </v>
      </c>
      <c r="AR7" s="29" t="str">
        <f t="shared" ca="1" si="7"/>
        <v xml:space="preserve"> </v>
      </c>
      <c r="AS7" s="29" t="str">
        <f t="shared" ca="1" si="7"/>
        <v xml:space="preserve"> </v>
      </c>
      <c r="AT7" s="29" t="str">
        <f t="shared" ca="1" si="7"/>
        <v xml:space="preserve"> </v>
      </c>
      <c r="AU7" s="29" t="str">
        <f t="shared" ca="1" si="7"/>
        <v xml:space="preserve"> </v>
      </c>
      <c r="AV7" s="29">
        <f t="shared" ref="AV7:AV23" ca="1" si="8">SUM(AJ7:AU7)</f>
        <v>0</v>
      </c>
      <c r="AW7" s="29" t="s">
        <v>29</v>
      </c>
      <c r="BB7" s="29" t="str">
        <f ca="1">IF(S11="Folk Hero",P8," ")</f>
        <v xml:space="preserve"> </v>
      </c>
      <c r="BM7" s="29">
        <f t="shared" ca="1" si="2"/>
        <v>0</v>
      </c>
      <c r="BN7" s="29">
        <f t="shared" ref="BN7:BN23" ca="1" si="9">AV7</f>
        <v>0</v>
      </c>
      <c r="BO7" s="29" t="str">
        <f t="shared" ca="1" si="3"/>
        <v xml:space="preserve"> </v>
      </c>
      <c r="BP7" s="29" t="str">
        <f t="shared" ca="1" si="4"/>
        <v xml:space="preserve"> </v>
      </c>
      <c r="BQ7" s="29" t="str">
        <f t="shared" ca="1" si="5"/>
        <v xml:space="preserve"> </v>
      </c>
      <c r="BR7" s="29">
        <f t="shared" ca="1" si="6"/>
        <v>0</v>
      </c>
      <c r="BT7" s="29">
        <f ca="1">IF(AND(BY30=1,OR($P$15="nature",$R$15="nature")),$P$8,0)</f>
        <v>0</v>
      </c>
      <c r="BU7" s="29">
        <f t="shared" ref="BU7:BU23" ca="1" si="10">SUM(BM7:BT7)</f>
        <v>0</v>
      </c>
      <c r="BV7" s="29" t="s">
        <v>29</v>
      </c>
      <c r="CB7" s="35">
        <f t="shared" ca="1" si="0"/>
        <v>3</v>
      </c>
      <c r="CC7" s="36">
        <f ca="1">IF(BM23&gt;0,0,RAND())</f>
        <v>0.57817333174084617</v>
      </c>
      <c r="CD7" s="29" t="s">
        <v>28</v>
      </c>
    </row>
    <row r="8" spans="1:83" ht="20.25" thickTop="1" thickBot="1" x14ac:dyDescent="0.35">
      <c r="B8" s="51" t="str">
        <f ca="1">IF(AND(B89="unarmored defense",B90&lt;&gt;"shield",Q12&gt;=2,Q11="monk",OR(Q2="dwarf",Q2="halfling",Q2="gnome")),SUM(15,INDEX('Class Tables'!L98:L117,MATCH(O12,('Class Tables'!I98:I117),0)))&amp;" ft.",IF(AND(B89="unarmored defense",B90&lt;&gt;"Shield",Q12&gt;=2,Q11="monk",P2="wood"),SUM(25,INDEX('Class Tables'!L98:L117,MATCH(O12,('Class Tables'!I98:I117),0)))&amp;" ft.",IF(AND(B89="unarmored defense",B90&lt;&gt;"shield",Q12&gt;=2,Q11="monk",OR(Q2="human",Q2="elf",Q2="dragonborn",Q2="half-elf",Q2="half-orc",Q2="tiefling")),SUM(20,INDEX('Class Tables'!L98:L117,MATCH(O12,('Class Tables'!I98:I117),0)))&amp;" ft.",IF(AND(B89="unarmored defense",B90&lt;&gt;"shield",O12&gt;=2,O11="monk",OR(Q2="dwarf",Q2="halfling",Q2="gnome")),SUM(25,INDEX('Class Tables'!L98:L117,MATCH(O12,('Class Tables'!I98:I117),0)))&amp;" ft.",IF(AND(B89="unarmored defense",B90&lt;&gt;"Shield",O12&gt;=2,O11="monk",P2="wood"),SUM(35,INDEX('Class Tables'!L98:L117,MATCH(O12,('Class Tables'!I98:I117),0)))&amp;" ft.",IF(AND(B89="unarmored defense",B90&lt;&gt;"shield",O12&gt;=2,O11="monk",OR(Q2="human",Q2="elf",Q2="dragonborn",Q2="half-elf",Q2="half-orc",Q2="tiefling")),SUM(30,INDEX('Class Tables'!L98:L117,MATCH(O12,('Class Tables'!I98:I117),0)))&amp;" ft.",IF(AND(B89="unarmored defense",Q12&gt;=5,Q11="barbarian",OR(Q2="dwarf",Q2="halfling",Q2="gnome")),"35 ft.",IF(AND(B89="unarmored defense",Q12&gt;=5,Q11="barbarian",P2="wood"),"45 ft.",IF(AND(B89="unarmored defense",Q12&gt;=5,Q11="barbarian",OR(Q2="human",Q2="elf",Q2="dragonborn",Q2="half-elf",Q2="half-orc",Q2="tiefling")),"40 ft.",IF(AND(B89="unarmored defense",O12&gt;=5,O11="barbarian",OR(Q2="dwarf",Q2="halfling",Q2="gnome")),"35 ft.",IF(AND(B89="unarmored defense",O12&gt;=O11="barbarian",P2="wood"),"45 ft.",IF(AND(B89="unarmored defense",O12&gt;=5,O11="barbarian",OR(Q2="human",Q2="elf",Q2="dragonborn",Q2="half-elf",Q2="half-orc",Q2="tiefling")),"40 ft.",IF(OR(Q2="dwarf",Q2="halfling",Q2="gnome"),"25 ft.",IF(P2="wood","35 ft.",IF(OR(Q2="human",Q2="elf",Q2="dragonborn",Q2="half-elf",Q2="half-orc",Q2="tiefling"),"30 ft."," ")))))))))))))))</f>
        <v>30 ft.</v>
      </c>
      <c r="O8" s="47" t="str">
        <f ca="1">IF(P2="dark","Weight: "&amp;SUM(AE30*RANDBETWEEN(1,6),75)&amp;" lbs.",IF(P2="wood","Weight: "&amp;SUM(AE32*RANDBETWEEN(1,4),100)&amp;" lbs.",IF(P2="high","Weight: "&amp;SUM(AE32*RANDBETWEEN(1,4),90)&amp;" lbs.",IF(P2="mountain","Weight: "&amp;SUM(AE29*RANDBETWEEN(2,12),130)&amp;" lbs.",IF(P2="hill","Weight: "&amp;SUM(AE29*RANDBETWEEN(2,12),115)&amp;" lbs.",IF(Q2="tiefling","Weight: "&amp;SUM(AE31*RANDBETWEEN(2,8),110)&amp;" lbs.",IF(Q2="Half-orc","Weight: "&amp;SUM(AE32*RANDBETWEEN(2,12),140),IF(Q2="Half-elf","Weight: "&amp;SUM(AE31*RANDBETWEEN(2,8),110),IF(Q2="Gnome","Weight: "&amp;SUM(AE29,35),IF(Q2="Dragonborn","Weight: "&amp;SUM(AE31*RANDBETWEEN(2,12),175)&amp;" lbs.",IF(Q2="Halfling","Weight: "&amp;SUM(AE29,35)&amp;" lbs.",IF(Q2="Human","Weight: "&amp;SUM(AE32*RANDBETWEEN(2,8),110)&amp;" lbs."," "))))))))))))</f>
        <v>Weight: 230 lbs.</v>
      </c>
      <c r="P8" s="111">
        <f ca="1">VLOOKUP(P6,Table26[],2)</f>
        <v>4</v>
      </c>
      <c r="Q8" s="33"/>
      <c r="R8" s="33"/>
      <c r="AE8" s="29" t="s">
        <v>679</v>
      </c>
      <c r="AF8" s="29" t="str">
        <f ca="1">IF($P$6&gt;=16,VLOOKUP(RANDBETWEEN(1,6),Table41[],2)," ")</f>
        <v xml:space="preserve"> </v>
      </c>
      <c r="AH8" s="29" t="s">
        <v>13</v>
      </c>
      <c r="AI8" s="29">
        <f ca="1">$P$41</f>
        <v>2</v>
      </c>
      <c r="AJ8" s="29" t="str">
        <f t="shared" ref="AJ8:AU8" ca="1" si="11">IF(COUNTIF(AJ$27:AJ$33,$AH$8),$P$8," ")</f>
        <v xml:space="preserve"> </v>
      </c>
      <c r="AK8" s="29" t="str">
        <f t="shared" ca="1" si="11"/>
        <v xml:space="preserve"> </v>
      </c>
      <c r="AL8" s="29" t="str">
        <f t="shared" ca="1" si="11"/>
        <v xml:space="preserve"> </v>
      </c>
      <c r="AM8" s="29" t="str">
        <f t="shared" ca="1" si="11"/>
        <v xml:space="preserve"> </v>
      </c>
      <c r="AN8" s="29" t="str">
        <f t="shared" ca="1" si="11"/>
        <v xml:space="preserve"> </v>
      </c>
      <c r="AO8" s="29" t="str">
        <f t="shared" ca="1" si="11"/>
        <v xml:space="preserve"> </v>
      </c>
      <c r="AP8" s="29" t="str">
        <f t="shared" ca="1" si="11"/>
        <v xml:space="preserve"> </v>
      </c>
      <c r="AQ8" s="29" t="str">
        <f t="shared" ca="1" si="11"/>
        <v xml:space="preserve"> </v>
      </c>
      <c r="AR8" s="29" t="str">
        <f t="shared" ca="1" si="11"/>
        <v xml:space="preserve"> </v>
      </c>
      <c r="AS8" s="29" t="str">
        <f t="shared" ca="1" si="11"/>
        <v xml:space="preserve"> </v>
      </c>
      <c r="AT8" s="29" t="str">
        <f t="shared" ca="1" si="11"/>
        <v xml:space="preserve"> </v>
      </c>
      <c r="AU8" s="29" t="str">
        <f t="shared" ca="1" si="11"/>
        <v xml:space="preserve"> </v>
      </c>
      <c r="AV8" s="29">
        <f t="shared" ca="1" si="8"/>
        <v>0</v>
      </c>
      <c r="AW8" s="29" t="s">
        <v>13</v>
      </c>
      <c r="BI8" s="29" t="str">
        <f ca="1">IF(S11="Sage",P8," ")</f>
        <v xml:space="preserve"> </v>
      </c>
      <c r="BM8" s="29">
        <f t="shared" ca="1" si="2"/>
        <v>0</v>
      </c>
      <c r="BN8" s="29">
        <f t="shared" ca="1" si="9"/>
        <v>0</v>
      </c>
      <c r="BO8" s="29" t="str">
        <f t="shared" ca="1" si="3"/>
        <v xml:space="preserve"> </v>
      </c>
      <c r="BP8" s="29" t="str">
        <f t="shared" ca="1" si="4"/>
        <v xml:space="preserve"> </v>
      </c>
      <c r="BQ8" s="29" t="str">
        <f t="shared" ca="1" si="5"/>
        <v xml:space="preserve"> </v>
      </c>
      <c r="BR8" s="29">
        <f t="shared" ca="1" si="6"/>
        <v>0</v>
      </c>
      <c r="BS8" s="29">
        <f ca="1">IF(AND($BY$26=1,OR($P$15="knowledge",$R$15="knowledge")),$P$8*2,IF(AND($BY$26=2,OR($P$15="knowledge",$R$15="knowledge")),$P$8*2,0))</f>
        <v>0</v>
      </c>
      <c r="BU8" s="29">
        <f t="shared" ca="1" si="10"/>
        <v>0</v>
      </c>
      <c r="BV8" s="29" t="s">
        <v>13</v>
      </c>
      <c r="CB8" s="52"/>
      <c r="CC8" s="52"/>
    </row>
    <row r="9" spans="1:83" ht="19.5" thickBot="1" x14ac:dyDescent="0.35">
      <c r="AE9" s="29" t="s">
        <v>679</v>
      </c>
      <c r="AF9" s="29" t="str">
        <f ca="1">IF($P$6&gt;=16,VLOOKUP(RANDBETWEEN(1,6),Table41[],2)," ")</f>
        <v xml:space="preserve"> </v>
      </c>
      <c r="AH9" s="29" t="s">
        <v>14</v>
      </c>
      <c r="AI9" s="29">
        <f ca="1">$P$38</f>
        <v>-1</v>
      </c>
      <c r="AJ9" s="29" t="str">
        <f t="shared" ref="AJ9:AU9" ca="1" si="12">IF(COUNTIF(AJ$27:AJ$33,$AH$9),$P$8," ")</f>
        <v xml:space="preserve"> </v>
      </c>
      <c r="AK9" s="29" t="str">
        <f t="shared" ca="1" si="12"/>
        <v xml:space="preserve"> </v>
      </c>
      <c r="AL9" s="29" t="str">
        <f t="shared" ca="1" si="12"/>
        <v xml:space="preserve"> </v>
      </c>
      <c r="AM9" s="29" t="str">
        <f t="shared" ca="1" si="12"/>
        <v xml:space="preserve"> </v>
      </c>
      <c r="AN9" s="29" t="str">
        <f t="shared" ca="1" si="12"/>
        <v xml:space="preserve"> </v>
      </c>
      <c r="AO9" s="29" t="str">
        <f t="shared" ca="1" si="12"/>
        <v xml:space="preserve"> </v>
      </c>
      <c r="AP9" s="29" t="str">
        <f t="shared" ca="1" si="12"/>
        <v xml:space="preserve"> </v>
      </c>
      <c r="AQ9" s="29" t="str">
        <f t="shared" ca="1" si="12"/>
        <v xml:space="preserve"> </v>
      </c>
      <c r="AR9" s="29" t="str">
        <f t="shared" ca="1" si="12"/>
        <v xml:space="preserve"> </v>
      </c>
      <c r="AS9" s="29" t="str">
        <f t="shared" ca="1" si="12"/>
        <v xml:space="preserve"> </v>
      </c>
      <c r="AT9" s="29" t="str">
        <f t="shared" ca="1" si="12"/>
        <v xml:space="preserve"> </v>
      </c>
      <c r="AU9" s="29" t="str">
        <f t="shared" ca="1" si="12"/>
        <v xml:space="preserve"> </v>
      </c>
      <c r="AV9" s="29">
        <f t="shared" ca="1" si="8"/>
        <v>0</v>
      </c>
      <c r="AW9" s="29" t="s">
        <v>14</v>
      </c>
      <c r="BG9" s="29" t="str">
        <f ca="1">IF(S11="Outlander",P8," ")</f>
        <v xml:space="preserve"> </v>
      </c>
      <c r="BH9" s="29" t="str">
        <f ca="1">IF(S11="Pirate",P8," ")</f>
        <v xml:space="preserve"> </v>
      </c>
      <c r="BJ9" s="29" t="str">
        <f ca="1">IF(S11="Sailor",P8," ")</f>
        <v xml:space="preserve"> </v>
      </c>
      <c r="BK9" s="29">
        <f ca="1">IF(S11="Soldier",P8," ")</f>
        <v>4</v>
      </c>
      <c r="BM9" s="29">
        <f t="shared" ca="1" si="2"/>
        <v>4</v>
      </c>
      <c r="BN9" s="29">
        <f t="shared" ca="1" si="9"/>
        <v>0</v>
      </c>
      <c r="BO9" s="29" t="str">
        <f t="shared" ca="1" si="3"/>
        <v xml:space="preserve"> </v>
      </c>
      <c r="BP9" s="29" t="str">
        <f t="shared" ca="1" si="4"/>
        <v xml:space="preserve"> </v>
      </c>
      <c r="BQ9" s="29" t="str">
        <f t="shared" ca="1" si="5"/>
        <v xml:space="preserve"> </v>
      </c>
      <c r="BR9" s="29">
        <f t="shared" ca="1" si="6"/>
        <v>0</v>
      </c>
      <c r="BU9" s="29">
        <f t="shared" ca="1" si="10"/>
        <v>4</v>
      </c>
      <c r="BV9" s="29" t="s">
        <v>14</v>
      </c>
      <c r="CB9" s="31" t="s">
        <v>740</v>
      </c>
      <c r="CC9" s="31" t="s">
        <v>742</v>
      </c>
      <c r="CD9" s="31"/>
    </row>
    <row r="10" spans="1:83" ht="26.25" thickBot="1" x14ac:dyDescent="0.4">
      <c r="O10" s="124" t="s">
        <v>681</v>
      </c>
      <c r="Q10" s="124" t="s">
        <v>682</v>
      </c>
      <c r="R10" s="49"/>
      <c r="S10" s="123" t="s">
        <v>32</v>
      </c>
      <c r="AE10" s="29" t="s">
        <v>680</v>
      </c>
      <c r="AF10" s="29" t="str">
        <f ca="1">IF($P$6&gt;=19,VLOOKUP(RANDBETWEEN(1,6),Table41[],2)," ")</f>
        <v xml:space="preserve"> </v>
      </c>
      <c r="AH10" s="29" t="s">
        <v>15</v>
      </c>
      <c r="AI10" s="29">
        <f ca="1">$P$43</f>
        <v>3</v>
      </c>
      <c r="AJ10" s="29" t="str">
        <f t="shared" ref="AJ10:AU10" ca="1" si="13">IF(COUNTIF(AJ$27:AJ$33,$AH$10),$P$8," ")</f>
        <v xml:space="preserve"> </v>
      </c>
      <c r="AK10" s="29" t="str">
        <f t="shared" ca="1" si="13"/>
        <v xml:space="preserve"> </v>
      </c>
      <c r="AL10" s="29" t="str">
        <f t="shared" ca="1" si="13"/>
        <v xml:space="preserve"> </v>
      </c>
      <c r="AM10" s="29" t="str">
        <f t="shared" ca="1" si="13"/>
        <v xml:space="preserve"> </v>
      </c>
      <c r="AN10" s="29" t="str">
        <f t="shared" ca="1" si="13"/>
        <v xml:space="preserve"> </v>
      </c>
      <c r="AO10" s="29" t="str">
        <f t="shared" ca="1" si="13"/>
        <v xml:space="preserve"> </v>
      </c>
      <c r="AP10" s="29" t="str">
        <f t="shared" ca="1" si="13"/>
        <v xml:space="preserve"> </v>
      </c>
      <c r="AQ10" s="29" t="str">
        <f t="shared" ca="1" si="13"/>
        <v xml:space="preserve"> </v>
      </c>
      <c r="AR10" s="29" t="str">
        <f t="shared" ca="1" si="13"/>
        <v xml:space="preserve"> </v>
      </c>
      <c r="AS10" s="29" t="str">
        <f t="shared" ca="1" si="13"/>
        <v xml:space="preserve"> </v>
      </c>
      <c r="AT10" s="29" t="str">
        <f t="shared" ca="1" si="13"/>
        <v xml:space="preserve"> </v>
      </c>
      <c r="AU10" s="29" t="str">
        <f t="shared" ca="1" si="13"/>
        <v xml:space="preserve"> </v>
      </c>
      <c r="AV10" s="29">
        <f t="shared" ca="1" si="8"/>
        <v>0</v>
      </c>
      <c r="AW10" s="29" t="s">
        <v>15</v>
      </c>
      <c r="AY10" s="29" t="str">
        <f ca="1">IF(S11="Charlatan",P8," ")</f>
        <v xml:space="preserve"> </v>
      </c>
      <c r="AZ10" s="29" t="str">
        <f ca="1">IF(S11="Criminal",P8," ")</f>
        <v xml:space="preserve"> </v>
      </c>
      <c r="BE10" s="29" t="str">
        <f ca="1">IF(S11="Knight",P8," ")</f>
        <v xml:space="preserve"> </v>
      </c>
      <c r="BF10" s="29" t="str">
        <f ca="1">IF(S11="Noble",P8," ")</f>
        <v xml:space="preserve"> </v>
      </c>
      <c r="BM10" s="29">
        <f t="shared" ca="1" si="2"/>
        <v>0</v>
      </c>
      <c r="BN10" s="29">
        <f t="shared" ca="1" si="9"/>
        <v>0</v>
      </c>
      <c r="BO10" s="29" t="str">
        <f t="shared" ca="1" si="3"/>
        <v xml:space="preserve"> </v>
      </c>
      <c r="BP10" s="29" t="str">
        <f t="shared" ca="1" si="4"/>
        <v xml:space="preserve"> </v>
      </c>
      <c r="BQ10" s="29" t="str">
        <f t="shared" ca="1" si="5"/>
        <v xml:space="preserve"> </v>
      </c>
      <c r="BR10" s="29">
        <f t="shared" ca="1" si="6"/>
        <v>0</v>
      </c>
      <c r="BU10" s="29">
        <f t="shared" ca="1" si="10"/>
        <v>0</v>
      </c>
      <c r="BV10" s="29" t="s">
        <v>15</v>
      </c>
      <c r="CB10" s="35">
        <f t="shared" ref="CB10:CB27" ca="1" si="14">_xlfn.RANK.EQ(CC10,$CC$10:$CC$27)</f>
        <v>12</v>
      </c>
      <c r="CC10" s="36">
        <f t="shared" ref="CC10:CC27" ca="1" si="15">IF(BM6&gt;0,0,RAND())</f>
        <v>0.19485517801541885</v>
      </c>
      <c r="CD10" s="29" t="s">
        <v>12</v>
      </c>
    </row>
    <row r="11" spans="1:83" ht="19.5" thickTop="1" x14ac:dyDescent="0.3">
      <c r="O11" s="46" t="str">
        <f ca="1">VLOOKUP(RANDBETWEEN(1,16),Table43[],2)</f>
        <v>Sorcerer</v>
      </c>
      <c r="Q11" s="139" t="str">
        <f ca="1">IF(O11="non-classed",VLOOKUP(RANDBETWEEN(1,124),Table252[],2),IF(AND(O11="barbarian",AF14=2),VLOOKUP(RANDBETWEEN(1,11),Table43[],3),IF(AND(O11="bard",AF14=2),VLOOKUP(RANDBETWEEN(1,11),Table43[],4),IF(AND(O11="cleric",AF14=2),VLOOKUP(RANDBETWEEN(1,11),Table43[],5),IF(AND(O11="druid",AF14=2),VLOOKUP(RANDBETWEEN(1,11),Table43[],6),IF(AND(O11="fighter",AF14=2),VLOOKUP(RANDBETWEEN(1,11),Table43[],7),IF(AND(O11="Monk",AF14=2),VLOOKUP(RANDBETWEEN(1,11),Table43[],8),IF(AND(O11="Paladin",AF14=2),VLOOKUP(RANDBETWEEN(1,11),Table43[],9),IF(AND(O11="Ranger",AF14=2),VLOOKUP(RANDBETWEEN(1,11),Table43[],10),IF(AND(O11="Rogue",AF14=2),VLOOKUP(RANDBETWEEN(1,11),Table43[],11),IF(AND(O11="sorcerer",AF14=2),VLOOKUP(RANDBETWEEN(1,11),Table43[],12),IF(AND(O11="warlock",AF14=2),VLOOKUP(RANDBETWEEN(1,11),Table43[],13),IF(AND(O11="wizard",AF14=2),VLOOKUP(RANDBETWEEN(1,11),Table43[],14)," ")))))))))))))</f>
        <v>Ranger</v>
      </c>
      <c r="R11" s="49"/>
      <c r="S11" s="33" t="str">
        <f ca="1">IF(O11&lt;&gt;"non-classed",VLOOKUP(RANDBETWEEN(1,15),Table254[],2)," ")</f>
        <v>Soldier</v>
      </c>
      <c r="AE11" s="29" t="s">
        <v>680</v>
      </c>
      <c r="AF11" s="29" t="str">
        <f ca="1">IF($P$6&gt;=19,VLOOKUP(RANDBETWEEN(1,6),Table41[],2)," ")</f>
        <v xml:space="preserve"> </v>
      </c>
      <c r="AH11" s="29" t="s">
        <v>16</v>
      </c>
      <c r="AI11" s="29">
        <f ca="1">$P$41</f>
        <v>2</v>
      </c>
      <c r="AJ11" s="29" t="str">
        <f t="shared" ref="AJ11:AU11" ca="1" si="16">IF(COUNTIF(AJ$27:AJ$33,$AH$11),$P$8," ")</f>
        <v xml:space="preserve"> </v>
      </c>
      <c r="AK11" s="29" t="str">
        <f t="shared" ca="1" si="16"/>
        <v xml:space="preserve"> </v>
      </c>
      <c r="AL11" s="29" t="str">
        <f t="shared" ca="1" si="16"/>
        <v xml:space="preserve"> </v>
      </c>
      <c r="AM11" s="29" t="str">
        <f t="shared" ca="1" si="16"/>
        <v xml:space="preserve"> </v>
      </c>
      <c r="AN11" s="29" t="str">
        <f t="shared" ca="1" si="16"/>
        <v xml:space="preserve"> </v>
      </c>
      <c r="AO11" s="29" t="str">
        <f t="shared" ca="1" si="16"/>
        <v xml:space="preserve"> </v>
      </c>
      <c r="AP11" s="29" t="str">
        <f t="shared" ca="1" si="16"/>
        <v xml:space="preserve"> </v>
      </c>
      <c r="AQ11" s="29" t="str">
        <f t="shared" ca="1" si="16"/>
        <v xml:space="preserve"> </v>
      </c>
      <c r="AR11" s="29" t="str">
        <f t="shared" ca="1" si="16"/>
        <v xml:space="preserve"> </v>
      </c>
      <c r="AS11" s="29" t="str">
        <f t="shared" ca="1" si="16"/>
        <v xml:space="preserve"> </v>
      </c>
      <c r="AT11" s="29" t="str">
        <f t="shared" ca="1" si="16"/>
        <v xml:space="preserve"> </v>
      </c>
      <c r="AU11" s="29" t="str">
        <f t="shared" ca="1" si="16"/>
        <v xml:space="preserve"> </v>
      </c>
      <c r="AV11" s="29">
        <f t="shared" ca="1" si="8"/>
        <v>0</v>
      </c>
      <c r="AW11" s="29" t="s">
        <v>16</v>
      </c>
      <c r="BI11" s="29" t="str">
        <f ca="1">IF(S11="Sage",P8," ")</f>
        <v xml:space="preserve"> </v>
      </c>
      <c r="BM11" s="29">
        <f t="shared" ca="1" si="2"/>
        <v>0</v>
      </c>
      <c r="BN11" s="29">
        <f t="shared" ca="1" si="9"/>
        <v>0</v>
      </c>
      <c r="BO11" s="29" t="str">
        <f t="shared" ca="1" si="3"/>
        <v xml:space="preserve"> </v>
      </c>
      <c r="BP11" s="29" t="str">
        <f t="shared" ca="1" si="4"/>
        <v xml:space="preserve"> </v>
      </c>
      <c r="BQ11" s="29" t="str">
        <f t="shared" ca="1" si="5"/>
        <v xml:space="preserve"> </v>
      </c>
      <c r="BR11" s="29">
        <f t="shared" ca="1" si="6"/>
        <v>0</v>
      </c>
      <c r="BS11" s="29">
        <f ca="1">IF(AND($BY$27=1,OR($P$15="knowledge",$R$15="knowledge")),$P$8*2,IF(AND($BY$27=2,OR($P$15="knowledge",$R$15="knowledge")),$P$8*2,0))</f>
        <v>0</v>
      </c>
      <c r="BU11" s="29">
        <f t="shared" ca="1" si="10"/>
        <v>0</v>
      </c>
      <c r="BV11" s="29" t="s">
        <v>16</v>
      </c>
      <c r="CB11" s="35">
        <f t="shared" ca="1" si="14"/>
        <v>14</v>
      </c>
      <c r="CC11" s="36">
        <f t="shared" ca="1" si="15"/>
        <v>4.2743512323735744E-2</v>
      </c>
      <c r="CD11" s="29" t="s">
        <v>29</v>
      </c>
    </row>
    <row r="12" spans="1:83" ht="19.5" thickBot="1" x14ac:dyDescent="0.35">
      <c r="O12" s="24">
        <f ca="1">IF($AF$14=1,RANDBETWEEN(1,20),IF(Q12=1,RANDBETWEEN(1,19),IF(Q12=2,RANDBETWEEN(2,18),IF(Q12=3,RANDBETWEEN(3,17),IF(Q12=4,RANDBETWEEN(4,16),IF(Q12=5,RANDBETWEEN(5,15),IF(Q12=6,RANDBETWEEN(6,14),IF(Q12=7,RANDBETWEEN(7,13),IF(Q12=8,RANDBETWEEN(8,12),IF(Q12=9,RANDBETWEEN(9,11),IF(Q12=10,10," ")))))))))))</f>
        <v>8</v>
      </c>
      <c r="Q12" s="54">
        <f ca="1">IF(O11="non-classed"," ",IF(AF14=1," ",IF(AF14=2,RANDBETWEEN(1,10))))</f>
        <v>3</v>
      </c>
      <c r="AH12" s="29" t="s">
        <v>17</v>
      </c>
      <c r="AI12" s="29">
        <f ca="1">$P$42</f>
        <v>1</v>
      </c>
      <c r="AJ12" s="29" t="str">
        <f t="shared" ref="AJ12:AU12" ca="1" si="17">IF(COUNTIF(AJ$27:AJ$33,$AH$12),$P$8," ")</f>
        <v xml:space="preserve"> </v>
      </c>
      <c r="AK12" s="29" t="str">
        <f t="shared" ca="1" si="17"/>
        <v xml:space="preserve"> </v>
      </c>
      <c r="AL12" s="29" t="str">
        <f t="shared" ca="1" si="17"/>
        <v xml:space="preserve"> </v>
      </c>
      <c r="AM12" s="29" t="str">
        <f t="shared" ca="1" si="17"/>
        <v xml:space="preserve"> </v>
      </c>
      <c r="AN12" s="29" t="str">
        <f t="shared" ca="1" si="17"/>
        <v xml:space="preserve"> </v>
      </c>
      <c r="AO12" s="29" t="str">
        <f t="shared" ca="1" si="17"/>
        <v xml:space="preserve"> </v>
      </c>
      <c r="AP12" s="29" t="str">
        <f t="shared" ca="1" si="17"/>
        <v xml:space="preserve"> </v>
      </c>
      <c r="AQ12" s="29" t="str">
        <f t="shared" ca="1" si="17"/>
        <v xml:space="preserve"> </v>
      </c>
      <c r="AR12" s="29" t="str">
        <f t="shared" ca="1" si="17"/>
        <v xml:space="preserve"> </v>
      </c>
      <c r="AS12" s="29" t="str">
        <f t="shared" ca="1" si="17"/>
        <v xml:space="preserve"> </v>
      </c>
      <c r="AT12" s="29" t="str">
        <f t="shared" ca="1" si="17"/>
        <v xml:space="preserve"> </v>
      </c>
      <c r="AU12" s="29" t="str">
        <f t="shared" ca="1" si="17"/>
        <v xml:space="preserve"> </v>
      </c>
      <c r="AV12" s="29">
        <f t="shared" ca="1" si="8"/>
        <v>0</v>
      </c>
      <c r="AW12" s="29" t="s">
        <v>17</v>
      </c>
      <c r="AX12" s="29" t="str">
        <f ca="1">IF(S11="acolyte",P8," ")</f>
        <v xml:space="preserve"> </v>
      </c>
      <c r="BC12" s="29" t="str">
        <f ca="1">IF(S11="Guild Artisan",P8," ")</f>
        <v xml:space="preserve"> </v>
      </c>
      <c r="BM12" s="29">
        <f t="shared" ca="1" si="2"/>
        <v>0</v>
      </c>
      <c r="BN12" s="29">
        <f t="shared" ca="1" si="9"/>
        <v>0</v>
      </c>
      <c r="BO12" s="29" t="str">
        <f t="shared" ca="1" si="3"/>
        <v xml:space="preserve"> </v>
      </c>
      <c r="BP12" s="29" t="str">
        <f t="shared" ca="1" si="4"/>
        <v xml:space="preserve"> </v>
      </c>
      <c r="BQ12" s="29" t="str">
        <f t="shared" ca="1" si="5"/>
        <v xml:space="preserve"> </v>
      </c>
      <c r="BR12" s="29">
        <f t="shared" ca="1" si="6"/>
        <v>0</v>
      </c>
      <c r="BU12" s="29">
        <f t="shared" ca="1" si="10"/>
        <v>0</v>
      </c>
      <c r="BV12" s="29" t="s">
        <v>17</v>
      </c>
      <c r="CB12" s="35">
        <f t="shared" ca="1" si="14"/>
        <v>9</v>
      </c>
      <c r="CC12" s="36">
        <f t="shared" ca="1" si="15"/>
        <v>0.30229332874594605</v>
      </c>
      <c r="CD12" s="29" t="s">
        <v>13</v>
      </c>
    </row>
    <row r="13" spans="1:83" x14ac:dyDescent="0.3">
      <c r="AF13" s="29" t="s">
        <v>683</v>
      </c>
      <c r="AH13" s="29" t="s">
        <v>18</v>
      </c>
      <c r="AI13" s="29">
        <f ca="1">$P$43</f>
        <v>3</v>
      </c>
      <c r="AJ13" s="29" t="str">
        <f t="shared" ref="AJ13:AU13" ca="1" si="18">IF(COUNTIF(AJ$27:AJ$33,$AH$13),$P$8," ")</f>
        <v xml:space="preserve"> </v>
      </c>
      <c r="AK13" s="29" t="str">
        <f t="shared" ca="1" si="18"/>
        <v xml:space="preserve"> </v>
      </c>
      <c r="AL13" s="29" t="str">
        <f t="shared" ca="1" si="18"/>
        <v xml:space="preserve"> </v>
      </c>
      <c r="AM13" s="29" t="str">
        <f t="shared" ca="1" si="18"/>
        <v xml:space="preserve"> </v>
      </c>
      <c r="AN13" s="29" t="str">
        <f t="shared" ca="1" si="18"/>
        <v xml:space="preserve"> </v>
      </c>
      <c r="AO13" s="29" t="str">
        <f t="shared" ca="1" si="18"/>
        <v xml:space="preserve"> </v>
      </c>
      <c r="AP13" s="29" t="str">
        <f t="shared" ca="1" si="18"/>
        <v xml:space="preserve"> </v>
      </c>
      <c r="AQ13" s="29" t="str">
        <f t="shared" ca="1" si="18"/>
        <v xml:space="preserve"> </v>
      </c>
      <c r="AR13" s="29" t="str">
        <f t="shared" ca="1" si="18"/>
        <v xml:space="preserve"> </v>
      </c>
      <c r="AS13" s="29" t="str">
        <f t="shared" ca="1" si="18"/>
        <v xml:space="preserve"> </v>
      </c>
      <c r="AT13" s="29" t="str">
        <f t="shared" ca="1" si="18"/>
        <v xml:space="preserve"> </v>
      </c>
      <c r="AU13" s="29" t="str">
        <f t="shared" ca="1" si="18"/>
        <v xml:space="preserve"> </v>
      </c>
      <c r="AV13" s="29">
        <f t="shared" ca="1" si="8"/>
        <v>0</v>
      </c>
      <c r="AW13" s="29" t="s">
        <v>18</v>
      </c>
      <c r="BK13" s="29">
        <f ca="1">IF(S11="Soldier",P8," ")</f>
        <v>4</v>
      </c>
      <c r="BM13" s="29">
        <f t="shared" ca="1" si="2"/>
        <v>4</v>
      </c>
      <c r="BN13" s="29">
        <f t="shared" ca="1" si="9"/>
        <v>0</v>
      </c>
      <c r="BO13" s="29" t="str">
        <f t="shared" ca="1" si="3"/>
        <v xml:space="preserve"> </v>
      </c>
      <c r="BP13" s="29" t="str">
        <f t="shared" ca="1" si="4"/>
        <v xml:space="preserve"> </v>
      </c>
      <c r="BQ13" s="29" t="str">
        <f t="shared" ca="1" si="5"/>
        <v xml:space="preserve"> </v>
      </c>
      <c r="BR13" s="29">
        <f t="shared" ca="1" si="6"/>
        <v>0</v>
      </c>
      <c r="BU13" s="29">
        <f t="shared" ca="1" si="10"/>
        <v>4</v>
      </c>
      <c r="BV13" s="29" t="s">
        <v>18</v>
      </c>
      <c r="CB13" s="35">
        <f t="shared" ca="1" si="14"/>
        <v>17</v>
      </c>
      <c r="CC13" s="36">
        <f t="shared" ca="1" si="15"/>
        <v>0</v>
      </c>
      <c r="CD13" s="29" t="s">
        <v>14</v>
      </c>
    </row>
    <row r="14" spans="1:83" ht="26.25" thickBot="1" x14ac:dyDescent="0.4">
      <c r="B14" s="123" t="s">
        <v>45</v>
      </c>
      <c r="O14" s="123" t="s">
        <v>709</v>
      </c>
      <c r="P14" s="123" t="s">
        <v>743</v>
      </c>
      <c r="Q14" s="123" t="s">
        <v>698</v>
      </c>
      <c r="R14" s="123" t="s">
        <v>743</v>
      </c>
      <c r="S14" s="123" t="s">
        <v>1826</v>
      </c>
      <c r="AF14" s="29">
        <f ca="1">IF(O11="non-classed",1,VLOOKUP(RANDBETWEEN(1,10),Table42[],2))</f>
        <v>2</v>
      </c>
      <c r="AH14" s="29" t="s">
        <v>19</v>
      </c>
      <c r="AI14" s="29">
        <f ca="1">$P$41</f>
        <v>2</v>
      </c>
      <c r="AJ14" s="29" t="str">
        <f t="shared" ref="AJ14:AU14" ca="1" si="19">IF(COUNTIF(AJ$27:AJ$33,$AH$14),$P$8," ")</f>
        <v xml:space="preserve"> </v>
      </c>
      <c r="AK14" s="29" t="str">
        <f t="shared" ca="1" si="19"/>
        <v xml:space="preserve"> </v>
      </c>
      <c r="AL14" s="29" t="str">
        <f t="shared" ca="1" si="19"/>
        <v xml:space="preserve"> </v>
      </c>
      <c r="AM14" s="29" t="str">
        <f t="shared" ca="1" si="19"/>
        <v xml:space="preserve"> </v>
      </c>
      <c r="AN14" s="29" t="str">
        <f t="shared" ca="1" si="19"/>
        <v xml:space="preserve"> </v>
      </c>
      <c r="AO14" s="29" t="str">
        <f t="shared" ca="1" si="19"/>
        <v xml:space="preserve"> </v>
      </c>
      <c r="AP14" s="29" t="str">
        <f t="shared" ca="1" si="19"/>
        <v xml:space="preserve"> </v>
      </c>
      <c r="AQ14" s="29" t="str">
        <f t="shared" ca="1" si="19"/>
        <v xml:space="preserve"> </v>
      </c>
      <c r="AR14" s="29" t="str">
        <f t="shared" ca="1" si="19"/>
        <v xml:space="preserve"> </v>
      </c>
      <c r="AS14" s="29" t="str">
        <f t="shared" ca="1" si="19"/>
        <v xml:space="preserve"> </v>
      </c>
      <c r="AT14" s="29" t="str">
        <f t="shared" ca="1" si="19"/>
        <v xml:space="preserve"> </v>
      </c>
      <c r="AU14" s="29" t="str">
        <f t="shared" ca="1" si="19"/>
        <v xml:space="preserve"> </v>
      </c>
      <c r="AV14" s="29">
        <f t="shared" ca="1" si="8"/>
        <v>0</v>
      </c>
      <c r="AW14" s="29" t="s">
        <v>19</v>
      </c>
      <c r="BM14" s="29">
        <f t="shared" si="2"/>
        <v>0</v>
      </c>
      <c r="BN14" s="29">
        <f t="shared" ca="1" si="9"/>
        <v>0</v>
      </c>
      <c r="BO14" s="29" t="str">
        <f t="shared" ca="1" si="3"/>
        <v xml:space="preserve"> </v>
      </c>
      <c r="BP14" s="29" t="str">
        <f t="shared" ca="1" si="4"/>
        <v xml:space="preserve"> </v>
      </c>
      <c r="BQ14" s="29" t="str">
        <f t="shared" ca="1" si="5"/>
        <v xml:space="preserve"> </v>
      </c>
      <c r="BR14" s="29">
        <f t="shared" ca="1" si="6"/>
        <v>0</v>
      </c>
      <c r="BU14" s="29">
        <f t="shared" ca="1" si="10"/>
        <v>0</v>
      </c>
      <c r="BV14" s="29" t="s">
        <v>19</v>
      </c>
      <c r="CB14" s="35">
        <f t="shared" ca="1" si="14"/>
        <v>8</v>
      </c>
      <c r="CC14" s="36">
        <f t="shared" ca="1" si="15"/>
        <v>0.33438610919972156</v>
      </c>
      <c r="CD14" s="29" t="s">
        <v>15</v>
      </c>
      <c r="CE14" s="31"/>
    </row>
    <row r="15" spans="1:83" ht="19.5" thickTop="1" x14ac:dyDescent="0.3">
      <c r="B15" s="33" t="str">
        <f ca="1">IF(P2="dark","Darkvision 120 ft.",IF(OR(Q2="dwarf",Q2="elf",Q2="gnome",Q2="half-elf",Q2="half-orc",Q2="tiefling"),"Darkvision 60 ft.",IF(Q2="halfling","Lucky",IF(Q2="dragonborn","Breath Weapon"," "))))</f>
        <v>Darkvision 60 ft.</v>
      </c>
      <c r="O15" s="33" t="str">
        <f ca="1">IF(O11="wizard","Ritual Casting",IF(O11="warlock","Otherworldly Patron - "&amp;VLOOKUP(RANDBETWEEN(1,2),Table226[],2),IF(O11="sorcerer","Spellcasting Focus",IF(O11="rogue","Sneak Attack - "&amp;INDEX('Class Tables'!E56:E75,MATCH(O12,('Class Tables'!D56:D75),0)),IF(AND(O11="ranger",AF24=2),"Favored Enemy - "&amp;INDEX('Class Tables'!S177:S220,MATCH(1,('Class Tables'!Q177:Q220),0)),IF(AND(O11="ranger",AF24=1),"Favored Enemy - "&amp;INDEX('Class Tables'!R162:R174,MATCH(1,('Class Tables'!Q162:Q174),0)),IF(O11="paladin","Divine Sense - "&amp;SUM(1,P43)&amp;" Uses",IF(O11="monk","Unarmored Defense",IF(O11="fighter",INDEX('Class Tables'!F48:F53,MATCH(1,('Class Tables'!D48:D53),0)),IF(O11="barbarian","Rage "&amp;INDEX('Class Tables'!J141:J160,MATCH(O12,('Class Tables'!I141:I160),0))&amp; " times, "&amp;INDEX('Class Tables'!K141:K160,MATCH(O12,('Class Tables'!I141:I160),0)),IF(O11="bard","Bardic Inspiration "&amp;P43&amp;" uses at "&amp;INDEX('Class Tables'!M58:M77,MATCH(O12,('Class Tables'!L58:L77),0)),IF(OR(O11="cleric",O11="druid"),"Ritual Casting"," "))))))))))))</f>
        <v>Spellcasting Focus</v>
      </c>
      <c r="P15" s="33" t="str">
        <f ca="1">IF(AND(O11="wizard",O12&gt;=2),VLOOKUP(RANDBETWEEN(1,8),Table251[],2),IF(O11="warlock",O15,IF(O11="sorcerer",VLOOKUP(RANDBETWEEN(1,2),Table224[],2),IF(AND(O11="ranger",O12&gt;=3),VLOOKUP(RANDBETWEEN(1,2),Table97[],2),IF(AND(O11="paladin",O12&gt;=3),VLOOKUP(RANDBETWEEN(1,3),Table90[],2),IF(AND(O11="monk",O12&gt;=3),VLOOKUP(RANDBETWEEN(1,3),Table82[],2),IF(AND(O11="druid",O12&gt;=2),VLOOKUP(RANDBETWEEN(1,2),Table73[],2),IF(O11="cleric",VLOOKUP(RANDBETWEEN(1,7),Table65[],2),IF(AND($O$11="barbarian",$O$12&gt;=3),VLOOKUP(RANDBETWEEN(1,2),Table40[],2),IF(AND(O11="bard",O12&gt;=3),VLOOKUP(RANDBETWEEN(1,2),Table47[],2),IF(AND(O11="fighter",O12&gt;=3),VLOOKUP(RANDBETWEEN(1,3),Table178[],2),IF(AND(O11="rogue",O12&gt;=3),VLOOKUP(RANDBETWEEN(1,3),Table189[],2)," "))))))))))))</f>
        <v>Draconic Bloodline</v>
      </c>
      <c r="Q15" s="33" t="str">
        <f ca="1">IF(Q11="wizard","Ritual Casting",IF(Q11="warlock","Otherworldly Patron - "&amp;VLOOKUP(RANDBETWEEN(1,2),Table226[],2),IF(Q11="sorcerer","Spellcasting Focus",IF(Q11="rogue","Sneak Attack - "&amp;INDEX('Class Tables'!E56:E75,MATCH(Q12,('Class Tables'!D56:D75),0)),IF(AND(Q11="ranger",AF24=2),"Favored Enemy - "&amp;INDEX('Class Tables'!S177:S220,MATCH(1,('Class Tables'!Q177:Q220),0)),IF(AND(Q11="ranger",AF24=1),"Favored Enemy - "&amp;INDEX('Class Tables'!R162:R174,MATCH(1,('Class Tables'!Q162:Q174),0)),IF(Q11="paladin","Divine Sense - "&amp;SUM(1,P43)&amp;" Uses",IF(Q11="monk","Unarmored Defense",IF(Q11="fighter",INDEX('Class Tables'!F48:F53,MATCH(1,('Class Tables'!D48:D53),0)),IF(Q11="barbarian","Rage "&amp;INDEX('Class Tables'!J141:J160,MATCH(Q12,('Class Tables'!I141:I160),0))&amp; " times, "&amp;INDEX('Class Tables'!K141:K160,MATCH(Q12,('Class Tables'!I141:I160),0)),IF(Q11="bard","Bardic Inspiration - "&amp;P43&amp;" uses at "&amp;INDEX('Class Tables'!M58:M77,MATCH(Q12,('Class Tables'!L58:L77),0)),IF(OR(Q11="cleric",Q11="druid"),"Ritual Casting"," "))))))))))))</f>
        <v>Favored Enemy - Aberrations</v>
      </c>
      <c r="R15" s="33" t="str">
        <f ca="1">IF(Q11="warlock",O15,IF(Q11="sorcerer",VLOOKUP(RANDBETWEEN(1,2),Table224[],2),IF(AND(Q11="ranger",Q12&gt;=3),VLOOKUP(RANDBETWEEN(1,2),Table97[],2),IF(AND(Q11="paladin",Q12&gt;=3),VLOOKUP(RANDBETWEEN(1,3),Table90[],2),IF(AND(Q11="monk",Q12&gt;=3),VLOOKUP(RANDBETWEEN(1,3),Table82[],2),IF(AND(Q11="druid",Q12&gt;=2),VLOOKUP(RANDBETWEEN(1,2),Table73[],2),IF(Q11="cleric",VLOOKUP(RANDBETWEEN(1,7),Table65[],2),IF(AND($Q$11="barbarian",$Q$12&gt;=3),VLOOKUP(RANDBETWEEN(1,2),Table40[],2),IF(AND(Q11="bard",Q12&gt;=3),VLOOKUP(RANDBETWEEN(1,2),Table47[],2),IF(AND($Q$11="fighter",$Q$12&gt;=3),VLOOKUP(RANDBETWEEN(1,3),Table178[],2),IF(AND(Q11="rogue",Q12&gt;=3),VLOOKUP(RANDBETWEEN(1,3),Table189[],2)," ")))))))))))</f>
        <v>Beastmaster</v>
      </c>
      <c r="S15" s="33" t="str">
        <f ca="1">IF(S11="urchin","City Secrets",IF(S11="soldier",VLOOKUP(RANDBETWEEN(1,8),Table263[],2),IF(S11="pirate","Bad Reputation",IF(S11="Sailor","Ship's Passage",IF(S11="sage",VLOOKUP(RANDBETWEEN(1,8),Table262[],2),IF(S11="outlander",VLOOKUP(RANDBETWEEN(1,10),Table261[],2),IF(S11="knight","Retainers",IF(S11="noble","Position of Privlege",IF(S11="hermit","Discovery",IF(S11="guild artisan",VLOOKUP(RANDBETWEEN(1,20),Table260[],2),IF(S11="folk hero","Rustic Hospitality",IF(S11="entertainer",VLOOKUP(RANDBETWEEN(1,10),Table259[],2),IF(S11="Criminal","Criminal Contact",IF(S11="Charlatan","False Identity",IF(S11="acolyte","Shelter of the Faithful"," ")))))))))))))))</f>
        <v>Healer</v>
      </c>
      <c r="AF15" s="29" t="s">
        <v>1336</v>
      </c>
      <c r="AH15" s="29" t="s">
        <v>20</v>
      </c>
      <c r="AI15" s="29">
        <f ca="1">$P$42</f>
        <v>1</v>
      </c>
      <c r="AJ15" s="29" t="str">
        <f t="shared" ref="AJ15:AU15" ca="1" si="20">IF(COUNTIF(AJ$27:AJ$33,$AH$15),$P$8," ")</f>
        <v xml:space="preserve"> </v>
      </c>
      <c r="AK15" s="29" t="str">
        <f t="shared" ca="1" si="20"/>
        <v xml:space="preserve"> </v>
      </c>
      <c r="AL15" s="29" t="str">
        <f t="shared" ca="1" si="20"/>
        <v xml:space="preserve"> </v>
      </c>
      <c r="AM15" s="29" t="str">
        <f t="shared" ca="1" si="20"/>
        <v xml:space="preserve"> </v>
      </c>
      <c r="AN15" s="29" t="str">
        <f t="shared" ca="1" si="20"/>
        <v xml:space="preserve"> </v>
      </c>
      <c r="AO15" s="29" t="str">
        <f t="shared" ca="1" si="20"/>
        <v xml:space="preserve"> </v>
      </c>
      <c r="AP15" s="29" t="str">
        <f t="shared" ca="1" si="20"/>
        <v xml:space="preserve"> </v>
      </c>
      <c r="AQ15" s="29" t="str">
        <f t="shared" ca="1" si="20"/>
        <v xml:space="preserve"> </v>
      </c>
      <c r="AR15" s="29" t="str">
        <f t="shared" ca="1" si="20"/>
        <v xml:space="preserve"> </v>
      </c>
      <c r="AS15" s="29" t="str">
        <f t="shared" ca="1" si="20"/>
        <v xml:space="preserve"> </v>
      </c>
      <c r="AT15" s="29" t="str">
        <f t="shared" ca="1" si="20"/>
        <v xml:space="preserve"> </v>
      </c>
      <c r="AU15" s="29" t="str">
        <f t="shared" ca="1" si="20"/>
        <v xml:space="preserve"> </v>
      </c>
      <c r="AV15" s="29">
        <f t="shared" ca="1" si="8"/>
        <v>0</v>
      </c>
      <c r="AW15" s="29" t="s">
        <v>20</v>
      </c>
      <c r="BD15" s="29" t="str">
        <f ca="1">IF(S11="Hermit",P8," ")</f>
        <v xml:space="preserve"> </v>
      </c>
      <c r="BM15" s="29">
        <f t="shared" ca="1" si="2"/>
        <v>0</v>
      </c>
      <c r="BN15" s="29">
        <f t="shared" ca="1" si="9"/>
        <v>0</v>
      </c>
      <c r="BO15" s="29" t="str">
        <f t="shared" ca="1" si="3"/>
        <v xml:space="preserve"> </v>
      </c>
      <c r="BP15" s="29" t="str">
        <f t="shared" ca="1" si="4"/>
        <v xml:space="preserve"> </v>
      </c>
      <c r="BQ15" s="29" t="str">
        <f t="shared" ca="1" si="5"/>
        <v xml:space="preserve"> </v>
      </c>
      <c r="BR15" s="29">
        <f t="shared" ca="1" si="6"/>
        <v>0</v>
      </c>
      <c r="BU15" s="29">
        <f t="shared" ca="1" si="10"/>
        <v>0</v>
      </c>
      <c r="BV15" s="29" t="s">
        <v>20</v>
      </c>
      <c r="CB15" s="35">
        <f t="shared" ca="1" si="14"/>
        <v>2</v>
      </c>
      <c r="CC15" s="36">
        <f t="shared" ca="1" si="15"/>
        <v>0.76826128822731443</v>
      </c>
      <c r="CD15" s="29" t="s">
        <v>16</v>
      </c>
    </row>
    <row r="16" spans="1:83" x14ac:dyDescent="0.3">
      <c r="B16" s="33" t="str">
        <f ca="1">IF(Q2="dwarf","Dwarven Resilience",IF(OR(Q2="half-elf",Q2="elf"),"Fey Ancestry",IF(Q2="halfling","Brave",IF(Q2="dragonborn","Damage Resistance",IF(Q2="gnome","Gnome Cunning",IF(Q2="half-orc","Menacing",IF(Q2="tiefling","Hellish Resistance"," ")))))))</f>
        <v>Hellish Resistance</v>
      </c>
      <c r="O16" s="33" t="str">
        <f ca="1">IF(O11="wizard","Spellcasting Focus",IF(AND(O11="warlock",O12&gt;=3),VLOOKUP(RANDBETWEEN(1,3),Table227[],2),IF(AND(O11="sorcerer",O12&gt;=2),"Sorcery Points - "&amp;O12,IF(AND(O11="rogue",O12&gt;=2),"Cunning Action",IF(AND(O11="ranger",AF24=2),"Favored Enemy - "&amp;INDEX('Class Tables'!S177:S220,MATCH(2,('Class Tables'!Q177:Q220),0)),IF(O11="paladin","Lay On Hands "&amp;O12*5&amp;" HP",IF(O11="monk","Martial Arts - "&amp;INDEX('Class Tables'!J98:J117,MATCH(O12,('Class Tables'!I98:I117),0)),IF(O11="fighter","Second Wind - 1d10+"&amp;O12&amp;" hp",IF(O11="barbarian","Unarmored Defense",IF(AND(O11="bard",O12&gt;=2),"Jack of All Trades",IF(OR(O11="cleric",O11="druid"),"Spellcasting Focus"," ")))))))))))</f>
        <v>Sorcery Points - 8</v>
      </c>
      <c r="P16" s="33" t="str">
        <f ca="1">IF(AND(P15="school of transmutation",O12&gt;=2),"Transmutation Savant",IF(AND(P15="school of necromancy",O12&gt;=2),"Necromancy Savant",IF(AND(P15="school of illusion",O12&gt;=2),"Illusion Savant",IF(AND(P15="school of evocation",O12&gt;=2),"Evocation Savant",IF(AND(P15="school of enchantment",O12&gt;=2),"Enchantment Savant",IF(AND(P15="school of divination",O12&gt;=2),"Divination Savant",IF(AND(P15="school of conjuration",O12&gt;=2),"Conjuration Savant",IF(P15="school of abjuration","Abjuration Savant",IF(AND(P15="otherworldly patron - great old one",O12&gt;=1),"Awakened Mind",IF(AND(P15="otherworldly patron - fiend",O12&gt;=3),"Dark One's Blessing - "&amp;SUM(O12,P43)&amp;" hp",IF(P15="otherworldly patron - Archfey","Fey Presence",IF(P15="wild magic","Wild Magic Surge",IF(P15="draconic bloodline",VLOOKUP(RANDBETWEEN(1,10),Table25[],2)&amp;" Dragon Ancestry",IF(P15="arcane trickster","Mage Hand Legerdemain",IF(P15="assassin","Assassinate",IF(P15="thief","Fast Hands",IF(P15="beastmaster","Companion - "&amp;VLOOKUP(RANDBETWEEN(1,39),Table218[],2),IF(P15="hunter",VLOOKUP(RANDBETWEEN(1,3),Table108[],2),IF(P15="oath of vengeance","Channel Divinity: Abjure Enemy",IF(P15="oath of the ancients","Channel Divinity: Nature's Wrath",IF(P15="Oath of Devotion","Channel Divinity: Sacred Weapon",IF(AND(P15="way of the four elements",O12&gt;=5),"Max. Ki Point for Spell - "&amp;INDEX('Class Tables'!N120:N137,MATCH(O12,('Class Tables'!M120:M137),0)),IF(AND(P15="way of the shadow",O12&gt;=6),"Shadow Step",IF(P15="way of the open hand","Open Hand Technique",IF(P15="eldritch Knight","Weapon Bond",IF(AND(P15="battle master",O12&gt;=7),"Know Your Enemy",IF(P15="champion","Improved Critical",IF(P15="moon","Combat Wild Shape",IF(P15="land","Natural Recovery - "&amp;ROUNDUP(O12*0.5,0)&amp;" slots",IF(AND(P15="war",O12&gt;=1),"War Priest",IF(AND(P15="trickery",O12&gt;=1),"Blessing of the Trickster",IF(AND(P15="tempest",O12&gt;=1),"Wrath of the Storm",IF(AND(P15="nature",O12&gt;=2),"Channel Divinity: Charm Animals and Plants",IF(AND(P15="light",O12&gt;=1),"Warding Flare",IF(P15="life","Disciple of Life",IF(AND(P15="knowledge",O12&gt;=2),"Channel Divinity: Knowledge of the Ages",IF(P15="path of the berserker","Frenzy",IF(P15="path of the totem warrior","Spirit Seeker",IF(P15="college of lore","Cutting Words",IF(P15="college of valor","Combat Inspiration"," "))))))))))))))))))))))))))))))))))))))))</f>
        <v>Silver (Cold) Dragon Ancestry</v>
      </c>
      <c r="Q16" s="33" t="str">
        <f ca="1">IF(Q11="wizard","Spellcasting Focus",IF(AND(Q11="warlock",Q12&gt;=3),VLOOKUP(RANDBETWEEN(1,3),Table227[],2),IF(AND(Q11="sorcerer",Q12&gt;=2),"Sorcery Points - "&amp;Q12,IF(AND(Q11="rogue",Q12&gt;=2),"Cunning Action",IF(AND(Q11="ranger",AF24=2),"Favored Enemy - "&amp;INDEX('Class Tables'!S177:S220,MATCH(2,('Class Tables'!Q177:Q220),0)),IF(Q11="paladin","Lay On Hands "&amp;Q12*5&amp;" HP",IF(Q11="monk","Martial Arts - "&amp;INDEX('Class Tables'!J98:J117,MATCH(Q12,('Class Tables'!I98:I117),0)),IF(Q11="fighter","Second Wind - 1d10+"&amp;Q12&amp;" hp",IF(Q11="barbarian","Unarmored Defense AC "&amp;SUM(10,P39,P40),IF(AND(Q11="bard",Q12&gt;=2),"Jack of All Trades",IF(OR(Q11="cleric",Q11="druid"),"Spellcasting Focus"," ")))))))))))</f>
        <v xml:space="preserve"> </v>
      </c>
      <c r="R16" s="33" t="str">
        <f ca="1">IF(AND(R15="otherworldly patron - great old one",Q12&gt;=1),"Awakened Mind",IF(AND(R15="otherworldly patron - fiend",Q12&gt;=3),"Dark One's Blessing - "&amp;SUM(O12,P43)&amp;" hp",IF(R15="otherworldly patron - Archfey","Fey Presence",IF(R15="wild magic","Wild Magic Surge",IF(R15="draconic bloodline",VLOOKUP(RANDBETWEEN(1,10),Table25[],2)&amp;" Dragon Ancestry",IF(R15="arcane trickster","Mage Hand Legerdemain",IF(R15="assassin","Assassinate",IF(R15="thief","Fast Hands",IF(R15="beastmaster","Companion - "&amp;VLOOKUP(RANDBETWEEN(1,39),Table218[],2),IF(R15="hunter",VLOOKUP(RANDBETWEEN(1,3),Table108[],2),IF(R15="oath of vengeance","Channel Divinity: Abjure Enemy",IF(R15="oath of the ancients","Channel Divinity: Nature's Wrath",IF(R15="Oath of Devotion","Channel Divinity: Sacred Weapon",IF(AND(R15="way of the four elements",Q12&gt;=5),"Max. Ki Point for Spell - "&amp;INDEX('Class Tables'!N120:N137,MATCH(Q12,('Class Tables'!M120:M137),0)),IF(AND(R15="way of the shadow",Q12&gt;=6),"Shadow Step",IF(R15="way of the open hand","Open Hand Technique",IF(R15="eldritch knight","Weapon Bond",IF(AND(R15="battle master",Q12&gt;=7),"Know Your Enemy",IF(R15="champion","Improved Critical",IF(R15="moon","Combat Wild Shape",IF(R15="land","Natural Recovery",IF(AND(R15="war",Q12&gt;=1),"War Priest",IF(AND(R15="trickery",Q12&gt;=1),"Blessing of the Trickster",IF(AND(R15="nature",Q12&gt;=1),"Wrath of the Storm",IF(AND(R15="Nature",Q12&gt;=2),"Channel Divinity: Charm Animals and Plants",IF(AND(R15="light",Q12&gt;=1),"Warding Flare",IF(R15="life","Disciple of Life",IF(AND(R15="knowledge",Q12&gt;=2),"Channel Divinity: Knowledge of the Ages",IF(R15="path of the berserker","Frenzy",IF(R15="path of the totem warrior","Spirit Seeker",IF(R15="college of lore","Cutting Words",IF(R15="college of valor","Combat Inspiration"," "))))))))))))))))))))))))))))))))</f>
        <v>Companion - Mule</v>
      </c>
      <c r="S16" s="33" t="str">
        <f ca="1">IF(S11="soldier","Military Rank",IF(S11="sage","Researcher",IF(S11="outlander","Wanderer",IF(S11="guild artisan","Guild Membership",IF(S11="entertainer","By Popular Demand",IF(S11="criminal",VLOOKUP(RANDBETWEEN(1,8),Table256[],2)," "))))))</f>
        <v>Military Rank</v>
      </c>
      <c r="AE16" s="29" t="s">
        <v>1339</v>
      </c>
      <c r="AF16" s="29">
        <f ca="1">IF(AND(AF14=2,OR(Q11="monk",Q11="barbarian",Q11="warlock"),OR(O11="paladin",O11="ranger",P15="arcane trickster",P15="eldritch knight")),Q12,IF(AND($AF$14=2,OR(O11="bard",O11="druid",O11="cleric",O11="sorcerer",O11="wizard")),O12,IF(AND($AF$14=2,OR(O11="paladin",O11="ranger")),O12*0.5,IF(AND($AF$14=2,OR($P$15="arcane trickster",$P$15="eldritch knight")),O12*0.33,0))))</f>
        <v>8</v>
      </c>
      <c r="AH16" s="29" t="s">
        <v>21</v>
      </c>
      <c r="AI16" s="29">
        <f ca="1">$P$41</f>
        <v>2</v>
      </c>
      <c r="AJ16" s="29" t="str">
        <f t="shared" ref="AJ16:AU16" ca="1" si="21">IF(COUNTIF(AJ$27:AJ$33,$AH$16),$P$8," ")</f>
        <v xml:space="preserve"> </v>
      </c>
      <c r="AK16" s="29" t="str">
        <f t="shared" ca="1" si="21"/>
        <v xml:space="preserve"> </v>
      </c>
      <c r="AL16" s="29" t="str">
        <f t="shared" ca="1" si="21"/>
        <v xml:space="preserve"> </v>
      </c>
      <c r="AM16" s="29" t="str">
        <f t="shared" ca="1" si="21"/>
        <v xml:space="preserve"> </v>
      </c>
      <c r="AN16" s="29" t="str">
        <f t="shared" ca="1" si="21"/>
        <v xml:space="preserve"> </v>
      </c>
      <c r="AO16" s="29" t="str">
        <f t="shared" ca="1" si="21"/>
        <v xml:space="preserve"> </v>
      </c>
      <c r="AP16" s="29" t="str">
        <f t="shared" ca="1" si="21"/>
        <v xml:space="preserve"> </v>
      </c>
      <c r="AQ16" s="29" t="str">
        <f t="shared" ca="1" si="21"/>
        <v xml:space="preserve"> </v>
      </c>
      <c r="AR16" s="29" t="str">
        <f t="shared" ca="1" si="21"/>
        <v xml:space="preserve"> </v>
      </c>
      <c r="AS16" s="29" t="str">
        <f t="shared" ca="1" si="21"/>
        <v xml:space="preserve"> </v>
      </c>
      <c r="AT16" s="29" t="str">
        <f t="shared" ca="1" si="21"/>
        <v xml:space="preserve"> </v>
      </c>
      <c r="AU16" s="29" t="str">
        <f t="shared" ca="1" si="21"/>
        <v xml:space="preserve"> </v>
      </c>
      <c r="AV16" s="29">
        <f t="shared" ca="1" si="8"/>
        <v>0</v>
      </c>
      <c r="AW16" s="29" t="s">
        <v>21</v>
      </c>
      <c r="BM16" s="29">
        <f t="shared" si="2"/>
        <v>0</v>
      </c>
      <c r="BN16" s="29">
        <f t="shared" ca="1" si="9"/>
        <v>0</v>
      </c>
      <c r="BO16" s="29" t="str">
        <f t="shared" ca="1" si="3"/>
        <v xml:space="preserve"> </v>
      </c>
      <c r="BP16" s="29" t="str">
        <f t="shared" ca="1" si="4"/>
        <v xml:space="preserve"> </v>
      </c>
      <c r="BQ16" s="29" t="str">
        <f t="shared" ca="1" si="5"/>
        <v xml:space="preserve"> </v>
      </c>
      <c r="BR16" s="29">
        <f t="shared" ca="1" si="6"/>
        <v>0</v>
      </c>
      <c r="BS16" s="29">
        <f ca="1">IF(AND($BY$28=1,OR($P$15="knowledge",$R$15="knowledge")),$P$8*2,IF(AND($BY$28=2,OR($P$15="knowledge",$R$15="knowledge")),$P$8*2,0))</f>
        <v>0</v>
      </c>
      <c r="BT16" s="29">
        <f ca="1">IF(AND(BY31=1,OR($P$15="nature",$R$15="nature")),$P$8,0)</f>
        <v>0</v>
      </c>
      <c r="BU16" s="29">
        <f t="shared" ca="1" si="10"/>
        <v>0</v>
      </c>
      <c r="BV16" s="29" t="s">
        <v>21</v>
      </c>
      <c r="CB16" s="35">
        <f t="shared" ca="1" si="14"/>
        <v>13</v>
      </c>
      <c r="CC16" s="36">
        <f t="shared" ca="1" si="15"/>
        <v>0.15755011536832952</v>
      </c>
      <c r="CD16" s="29" t="s">
        <v>17</v>
      </c>
    </row>
    <row r="17" spans="2:83" ht="26.25" thickBot="1" x14ac:dyDescent="0.4">
      <c r="B17" s="33" t="str">
        <f ca="1">IF(Q2="dwarf","Stonecunning",IF(Q2="elf","Trance",IF(Q2="halfling","Halfling Nimbleness",IF(P2="forest","Speak with Small Beasts",IF(P2="rock","Artificer's Lore",IF(Q2="half-orc","Relentless Endurance",IF(Q2="tiefling","Infernal Legacy"," ")))))))</f>
        <v>Infernal Legacy</v>
      </c>
      <c r="O17" s="33" t="str">
        <f ca="1">IF(O11="wizard","Arcane Recovery - "&amp;ROUNDDOWN(O12*0.5,0)&amp;" slots",IF(AND(O11="warlock",O12&gt;=20),"Eldritch Master",IF(AND(O11="sorcerer",O12&gt;=2),"Flexible Casting",IF(AND(O11="rogue",O12&gt;=5),"Uncanny Dodge",IF(O11="ranger","Natural Explorer: "&amp;INDEX('Class Tables'!F212:F219,MATCH(1,('Class Tables'!D212:D219),0)),IF(AND(O11="paladin",O12&gt;=2),VLOOKUP(RANDBETWEEN(1,4),Table89[],2),IF(AND(O11="monk",O12&gt;=2),"Ki Points - "&amp;INDEX('Class Tables'!K98:K117,MATCH(O12,('Class Tables'!I98:I117),0)),IF(AND(O11="fighter",O12&gt;=2),"Action Surge",IF(AND($O$11="barbarian",$O$12&gt;=2),"Reckless Attack",IF(AND(O11="bard",O12&gt;=2),"Song of Rest - "&amp;INDEX('Class Tables'!N58:N77,MATCH(O12,('Class Tables'!L58:L77),0))&amp;" hp",IF(AND(O11="druid",O12&gt;=2),"Wild Shape - "&amp;INDEX('Class Tables'!R140:R159,MATCH(O12,('Class Tables'!Q140:Q159),0)),IF(AND(O11="cleric",O12&gt;=2),"Channel Divinity - "&amp;INDEX('Class Tables'!N140:N159,MATCH(O12,('Class Tables'!M140:M159),0))&amp;" uses"," "))))))))))))</f>
        <v>Flexible Casting</v>
      </c>
      <c r="P17" s="33" t="str">
        <f ca="1">IF(AND(P15="school of transmutation",O12&gt;=2),"Minor Alchemy",IF(AND(P15="school of necromancy",O12&gt;=2),"Grim Harvest",IF(AND(P15="school of illusion",O12&gt;=2),"Improved Minor Illusion",IF(AND(P15="school of evocation",O12&gt;=2),"Sculpt Spells",IF(AND(P15="school of enchantment",O12&gt;=2),"Hypnotic Gaze",IF(AND(P15="school of divination",O12&gt;=2),"Portent",IF(AND(P15="school of conjuration",O12&gt;=2),"Minor Conjuration",IF(P15="school of abjuration","Arcane Ward - "&amp;SUM(O12,P41)&amp;" hp",IF(AND(P15="otherworldly patron - great old one",O12&gt;=6),"Entropic Ward",IF(AND(P15="otherworldly patron - fiend",O12&gt;=10),"Fiendish Resilience",IF(AND(P15="otherworldly patron - Archfey",O12&gt;=6),"Misty Escape",IF(P15="wild magic","Tides of Chaos",IF(P15="draconic bloodline","Draconic Resilience - AC "&amp;SUM(13+P39),IF(AND(P15="arcane trickster",O12&gt;=9),"Magical Ambush",IF(AND(P15="assassin",O12&gt;=9),"Infiltration Expertise",IF(P15="thief","Second-Story Work",IF(AND(P15="beastmaster",O12&gt;=7),"Exceptional Training",IF(AND(P15="hunter",O12&gt;=7),VLOOKUP(RANDBETWEEN(1,3),Table126[],2),IF(P15="oath of vengeance","Channel Divinity: Vow of Enmity",IF(P15="oath of the ancients","Channel Divinity: Turn the Faithless",IF(P15="oath of devotion","Channel Divinity: Turn the Unholy",IF(P15="way of the four elements","Elemental Attunement",IF(AND(P15="way of the shadow",O12&gt;=11),"Cloak of Shadows",IF(AND(P15="way of the open hand",O12&gt;=6),"Wholeness of Body "&amp;O12*3&amp;" hp",IF(AND(P15="eldritch knight",O12&gt;=7),"War Magic",IF(AND(P15="battle master",O12&gt;=15),"Relentless",IF(AND(P15="champion",O12&gt;=7),"Remarkable Athlete",IF(P15="moon","Circle Forms - CR: "&amp;ROUNDDOWN(O12*0.33,0),IF(AND(P15="land",O12&gt;=6),"Land's Stride",IF(AND(P15="war",O12&gt;=2),"Channel Divinity: Guided Strike",IF(AND(P15="trickery",O12&gt;=2),"Channel Divinity: Invoke Duplicity",IF(AND(P15="tempest",O12&gt;=2),"Channel Divinity: Destructive Wrath",IF(AND(P15="nature",O12&gt;=6),"Dampen Elements",IF(AND(P15="light",O12&gt;=2),"Channel Divinity: Radiance of the Dawn",IF(AND(P15="life",O12&gt;=2),"Channel Divinity: Preserve Life - "&amp;O12*5&amp;" hp",IF(AND(P15="knowledge",O12&gt;=6),"Channel Divinity: Read Thoughts",IF($P$15="path of the totem warrior",VLOOKUP(RANDBETWEEN(1,3),Table44[],2),IF(AND(P15="college of lore",O12&gt;=14),"Peerless Skill",IF(AND(P15="college of valor",O12&gt;=6),"Extra Attack"," ")))))))))))))))))))))))))))))))))))))))</f>
        <v>Draconic Resilience - AC 14</v>
      </c>
      <c r="Q17" s="33" t="str">
        <f ca="1">IF(Q11="wizard","Arcane Recovery - "&amp;ROUNDDOWN(Q12*0.5,0)&amp;" slots",IF(AND(Q11="sorcerer",Q12&gt;=2),"Flexible Casting",IF(AND(Q11="rogue",Q12&gt;=5),"Uncanny Dodge",IF(Q11="ranger","Natural Explorer: "&amp;INDEX('Class Tables'!F212:F219,MATCH(1,('Class Tables'!D212:D219),0)),IF(AND(Q11="paladin",Q12&gt;=2),VLOOKUP(RANDBETWEEN(1,4),Table89[],2),IF(AND(Q11="monk",Q12&gt;=2),"Ki Points - "&amp;INDEX('Class Tables'!K98:K117,MATCH(Q12,('Class Tables'!I98:I117),0)),IF(AND(Q11="fighter",Q12&gt;=2),"Action Surge",IF(AND($Q$11="barbarian",$Q$12&gt;=2),"Reckless Attack",IF(AND(Q11="bard",Q12&gt;=2),"Song of Rest - "&amp;INDEX('Class Tables'!N58:N77,MATCH(Q12,('Class Tables'!L58:L77),0))&amp;" hp",IF(AND(Q11="cleric",Q12&gt;=2),"Channel Divinity - "&amp;INDEX('Class Tables'!N140:N159,MATCH(Q12,('Class Tables'!M140:M159),0))&amp;" uses",IF(AND(Q11="druid",Q12&gt;=2),"Wild Shape - "&amp;INDEX('Class Tables'!R140:R159,MATCH(Q12,('Class Tables'!Q140:Q159),0))," ")))))))))))</f>
        <v>Natural Explorer: Forest</v>
      </c>
      <c r="R17" s="33" t="str">
        <f ca="1">IF(AND(R15="otherworldly patron - great old one",Q12&gt;=6),"Entropic Ward",IF(AND(R15="otherworldly patron - fiend",Q12&gt;=10),"Fiendish Resilience",IF(AND(R15="otherworldly patron - Archfey",Q12&gt;=6),"Misty Escape",IF(R15="wild magic","Tides of Chaos",IF(R15="draconic bloodline","Draconic Resilience - AC "&amp;SUM(13+P39),IF(AND(R15="arcane trickster",Q12&gt;=9),"Magical Ambush",IF(AND(R15="assassin",Q12&gt;=9),"Infiltration Expertise",IF(R15="thief","Second-Story Work",IF(AND(R15="beastmaster",Q12&gt;=7),"Exceptional Training",IF(AND(R15="hunter",Q12&gt;=7),VLOOKUP(RANDBETWEEN(1,3),Table126[],2),IF(R15="oath of vengeance","Channel Divinity: Vow of Enmity",IF(R15="oath of the ancients","Channel Divinity: Turn the Faithless",IF(R15="oath of devotion","Channel Divinity: Turn the Unholy",IF(R15="way of the four elements","Elemental Attunement",IF(AND(R15="way of the open hand",Q12&gt;=6),"Wholeness of Body "&amp;Q12*3&amp;" hp",IF(AND(R15="eldritch knight",Q12&gt;=7),"War Magic",IF(AND(R15="champion",Q12&gt;=7),"Remarkable Athlete",IF(R15="moon","Circle Forms",IF(AND(R15="land",Q12&gt;=6),"Land's Stride",IF(AND(R15="war",Q12&gt;=2),"Channel Divinity: Guided Strike",IF(AND(R15="trickery",Q12&gt;=2),"Channel Divinity: Invoke Duplicity",IF(AND(R15="nature",Q12&gt;=2),"Channel Divinity: Destructive Wrath",IF(AND(R15="nature",Q12&gt;=6),"Dampen Elements",IF(AND(R15="light",Q12&gt;=2),"Channel Divinity: Radiance of the Dawn",IF(AND(R15="life",Q12&gt;=2),"Channel Divinity: Preserve Life - "&amp;Q12*5&amp;" hp",IF(AND(R15="knowledge",Q12&gt;=6),"Channel Divinity: Read Thoughts",IF($R$15="path of the totem warrior",VLOOKUP(RANDBETWEEN(1,3),Table44[],2),IF(AND(Q12&gt;=14,R15="college of lore"),"Peerless Skill",IF(AND(Q12&gt;=6,R15="College of Valor"),"Extra Attack"," ")))))))))))))))))))))))))))))</f>
        <v xml:space="preserve"> </v>
      </c>
      <c r="S17" s="123" t="s">
        <v>40</v>
      </c>
      <c r="AE17" s="29" t="s">
        <v>1337</v>
      </c>
      <c r="AF17" s="29">
        <f ca="1">IF(AND(AF14=2,OR(O11="monk",O11="barbarian",O11="warlock"),OR(Q11="paladin",Q11="ranger",R15="arcane trickster",R15="eldritch knight")),Q12,IF(AND($AF$14=2,OR(Q11="bard",Q11="druid",Q11="cleric",Q11="sorcerer",Q11="wizard")),Q12,IF(AND($AF$14=2,OR(Q11="paladin",Q11="ranger")),Q12*0.5,IF(AND($AF$14=2,OR($R$15="arcane trickster",$R$15="eldritch knight")),Q12*0.33,0))))</f>
        <v>1.5</v>
      </c>
      <c r="AH17" s="29" t="s">
        <v>22</v>
      </c>
      <c r="AI17" s="29">
        <f ca="1">$P$42</f>
        <v>1</v>
      </c>
      <c r="AJ17" s="29" t="str">
        <f t="shared" ref="AJ17:AU17" ca="1" si="22">IF(COUNTIF(AJ$27:AJ$33,$AH$17),$P$8," ")</f>
        <v xml:space="preserve"> </v>
      </c>
      <c r="AK17" s="29" t="str">
        <f t="shared" ca="1" si="22"/>
        <v xml:space="preserve"> </v>
      </c>
      <c r="AL17" s="29" t="str">
        <f t="shared" ca="1" si="22"/>
        <v xml:space="preserve"> </v>
      </c>
      <c r="AM17" s="29" t="str">
        <f t="shared" ca="1" si="22"/>
        <v xml:space="preserve"> </v>
      </c>
      <c r="AN17" s="29" t="str">
        <f t="shared" ca="1" si="22"/>
        <v xml:space="preserve"> </v>
      </c>
      <c r="AO17" s="29" t="str">
        <f t="shared" ca="1" si="22"/>
        <v xml:space="preserve"> </v>
      </c>
      <c r="AP17" s="29" t="str">
        <f t="shared" ca="1" si="22"/>
        <v xml:space="preserve"> </v>
      </c>
      <c r="AQ17" s="29" t="str">
        <f t="shared" ca="1" si="22"/>
        <v xml:space="preserve"> </v>
      </c>
      <c r="AR17" s="29" t="str">
        <f t="shared" ca="1" si="22"/>
        <v xml:space="preserve"> </v>
      </c>
      <c r="AS17" s="29" t="str">
        <f t="shared" ca="1" si="22"/>
        <v xml:space="preserve"> </v>
      </c>
      <c r="AT17" s="29" t="str">
        <f t="shared" ca="1" si="22"/>
        <v xml:space="preserve"> </v>
      </c>
      <c r="AU17" s="29" t="str">
        <f t="shared" ca="1" si="22"/>
        <v xml:space="preserve"> </v>
      </c>
      <c r="AV17" s="29">
        <f t="shared" ca="1" si="8"/>
        <v>0</v>
      </c>
      <c r="AW17" s="29" t="s">
        <v>22</v>
      </c>
      <c r="BH17" s="29" t="str">
        <f ca="1">IF(S11="Pirate",P8," ")</f>
        <v xml:space="preserve"> </v>
      </c>
      <c r="BJ17" s="29" t="str">
        <f ca="1">IF(S11="Sailor",P8," ")</f>
        <v xml:space="preserve"> </v>
      </c>
      <c r="BM17" s="29">
        <f t="shared" ca="1" si="2"/>
        <v>0</v>
      </c>
      <c r="BN17" s="29">
        <f t="shared" ca="1" si="9"/>
        <v>0</v>
      </c>
      <c r="BO17" s="29" t="str">
        <f t="shared" ca="1" si="3"/>
        <v xml:space="preserve"> </v>
      </c>
      <c r="BP17" s="29" t="str">
        <f t="shared" ca="1" si="4"/>
        <v xml:space="preserve"> </v>
      </c>
      <c r="BQ17" s="29" t="str">
        <f t="shared" ca="1" si="5"/>
        <v xml:space="preserve"> </v>
      </c>
      <c r="BR17" s="29">
        <f t="shared" ca="1" si="6"/>
        <v>0</v>
      </c>
      <c r="BU17" s="29">
        <f t="shared" ca="1" si="10"/>
        <v>0</v>
      </c>
      <c r="BV17" s="29" t="s">
        <v>22</v>
      </c>
      <c r="CB17" s="35">
        <f t="shared" ca="1" si="14"/>
        <v>17</v>
      </c>
      <c r="CC17" s="36">
        <f t="shared" ca="1" si="15"/>
        <v>0</v>
      </c>
      <c r="CD17" s="29" t="s">
        <v>18</v>
      </c>
    </row>
    <row r="18" spans="2:83" ht="19.5" thickTop="1" x14ac:dyDescent="0.3">
      <c r="B18" s="33" t="str">
        <f ca="1">IF(P2="wood","Mask of the Wild",IF(P2="dark","Sunlight Sensitivity",IF(P2="lightfoot","Naturally Stealthy",IF(P2="stout","Stout Resilience",IF(P2="rock","Tinker",IF(Q2="half-orc","Savage Attacks"," "))))))</f>
        <v xml:space="preserve"> </v>
      </c>
      <c r="O18" s="33" t="str">
        <f ca="1">IF(AND(O11="wizard",O12&gt;=18),"Spell Mastery - "&amp;INDEX(Q193:Q202,MATCH(1,(O193:O202),0)),IF(AND(AF26=2,O11="warlock",O12&gt;=2,COUNTIF(P193:P202,"*"&amp;"eldritch blast"&amp;"*")),"Invocation - Agonizing Blast",IF(AND(O11="warlock",O12&gt;=15),"Invocation - "&amp;INDEX('Class Tables'!F164:F187,MATCH(1,('Class Tables'!D164:D187),0)),IF(AND(O11="warlock",O12&gt;=9),"Invocation - "&amp;INDEX('Class Tables'!F141:F161,MATCH(1,('Class Tables'!D141:D161),0)),IF(AND(O11="warlock",O12&gt;=7),"Invocation - "&amp;INDEX('Class Tables'!F122:F138,MATCH(1,('Class Tables'!D122:D138),0)),IF(AND(O11="warlock",O12&gt;=5),"Invocation - "&amp;INDEX('Class Tables'!F106:F119,MATCH(1,('Class Tables'!D106:D119),0)),IF(AND(O11="warlock",O12&gt;=2),"Invocation - "&amp;INDEX('Class Tables'!F93:F103,MATCH(1,('Class Tables'!D93:D103),0)),IF(AND(O11="sorcerer",O12&gt;=3),"MM - "&amp;INDEX('Class Tables'!F78:F85,MATCH(1,('Class Tables'!D78:D85),0)),IF(AND(O11="rogue",O12&gt;=7),"Evasion",IF(AND(O11="ranger",O12&gt;=2),VLOOKUP(RANDBETWEEN(1,4),Table96[],2),IF(AND(O11="paladin",O12&gt;=2),"Spellcasting Focus",IF(AND(O11="monk",O12&gt;=2),"Ki DC - "&amp;SUM(8,P8,P42),IF(AND(O11="fighter",O12&gt;=5),"Extra Attack -"&amp;INDEX('Class Tables'!U140:U159,MATCH(O12,('Class Tables'!T140:T159),0)),IF(AND($O$11="barbarian",$O$12&gt;=2),"Danger Sense",IF(AND(O11="bard",O12&gt;=5),"Font of Inspiration",IF(AND(O11="druid",O12&gt;=18),"Timeless Body",IF(AND(O11="cleric",O12&gt;=2),"Channel Divinity: Turn Undead"," ")))))))))))))))))</f>
        <v>MM - Distant Spell</v>
      </c>
      <c r="P18" s="33" t="str">
        <f ca="1">IF(AND(P15="school of transmutation",O12&gt;=6),"Transmuter's Stone",IF(AND(P15="school of necromancy",O12&gt;=6),"Undead Thralls",IF(AND(P15="school of illusion",O12&gt;=6),"Malleable Illusions",IF(AND(P15="school of evocation",O12&gt;=6),"Potent Cantrip",IF(AND(P15="school of enchantment",O12&gt;=6),"Instinctive Charm",IF(AND(P15="school of divination",O12&gt;=6),"Expert Divination",IF(AND(P15="school of conjuration",O12&gt;=6),"Benign Transposition",IF(AND(P15="school of abjuration",O12&gt;=6),"Projected Ward",IF(AND(P15="otherworldly patron - great old one",O12&gt;=10),"Thought Shield",IF(AND(P15="otherworldly patron - fiend",O12&gt;=14),"Hurl Through Hell",IF(AND(P15="otherworldly patron - Archfey",O12&gt;=10),"Beguiling Defenses",IF(AND(P15="wild magic",O12&gt;=6),"Bend Luck",IF(AND(P15="draconic bloodline",O12&gt;=6),"Elemental Affinity",IF(AND(P15="arcane trickster",O12&gt;=13),"Versatile Trickster",IF(AND(P15="assassin",O12&gt;=13),"Imposter",IF(AND(P15="thief",O12&gt;=9),"Supreme Sneak",IF(AND(P15="beastmaster",O12&gt;=11),"Beastial Fury",IF(AND(P15="hunter",O12&gt;=11),VLOOKUP(RANDBETWEEN(1,2),Table179[],2),IF(AND(P15="oath of vengeance",O12&gt;=7),"Relentless Avenger",IF(AND(P15="oath of the ancients",O12&gt;=7),"Aura of Warding",IF(AND(P15="oath of devotion",O12&gt;=7),"Aura of Devotion",IF(P15="way of the four elements",INDEX('Class Tables'!K120:K126,MATCH(1,('Class Tables'!I120:I126),0)),IF(AND(P15="way of the shadow",O12&gt;=17),"Opportunist",IF(AND(P15="way of the open hand",O12&gt;=11),"Tranquility DC "&amp;SUM(8,P42,P8),IF(AND(P15="eldritch knight",O12&gt;=10),"Eldritch Strike",IF(P15="battle Master",INDEX('Class Tables'!J58:J77,MATCH(O12,('Class Tables'!I58:I77),0)),IF(AND(P15="champion",O12&gt;=10),INDEX('Class Tables'!F48:F53,MATCH(2,('Class Tables'!D48:D53),0)),IF(AND(P15="moon",O12&gt;=6),"Primal Strike",IF(AND(P15="land",O12&gt;=10),"Nature's Ward",IF(AND(P15="war",O12&gt;=6),"Channel Divinity: War God's Blessing",IF(AND(P15="trickery",O12&gt;=6),"Channel Divinity: Cloak of Shadows",IF(AND(P15="nature",O12&gt;=6),"Thunderbolt Strike",IF(AND(P15="nature",O12&gt;=8),"Divine Strike",IF(AND(P15="light",O12&gt;=6),"Improved Flare",IF(AND(P15="life",O12&gt;=6),"Blessed Healer",IF(AND(P15="knowledge",O12&gt;=8),"Potent Spellcasting",IF(AND(P15="path of the berserker",O12&gt;=6,O11="barbarian"),"Mindless Rage",IF(AND(P15="path of the totem warrior",O12&gt;=6,O11="barbarian"),VLOOKUP(RANDBETWEEN(1,3),Table44[],3),IF(AND(P15="college of valor",O12&gt;=14),"Battle Magic"," ")))))))))))))))))))))))))))))))))))))))</f>
        <v>Elemental Affinity</v>
      </c>
      <c r="Q18" s="33" t="str">
        <f ca="1">IF(AND(Q11="warlock",Q12&gt;=9),"Invocation - "&amp;INDEX('Class Tables'!F141:F161,MATCH(1,('Class Tables'!D141:D161),0)),IF(AND(Q11="warlock",Q12&gt;=7),"Invocation - "&amp;INDEX('Class Tables'!F122:F138,MATCH(1,('Class Tables'!D122:D138),0)),IF(AND(Q11="warlock",Q12&gt;=5),"Invocation - "&amp;INDEX('Class Tables'!F106:F119,MATCH(1,('Class Tables'!D106:D119),0)),IF(AND(Q11="warlock",Q12&gt;=2),"Invocation - "&amp;INDEX('Class Tables'!F93:F103,MATCH(1,('Class Tables'!D93:D103),0)),IF(AND(Q11="sorcerer",Q12&gt;=3),"MM - "&amp;INDEX('Class Tables'!F78:F85,MATCH(1,('Class Tables'!D78:D85),0)),IF(AND(Q11="rogue",Q12&gt;=7),"Evasion",IF(AND(Q11="ranger",Q12&gt;=2),VLOOKUP(RANDBETWEEN(1,4),Table96[],2),IF(AND(Q11="paladin",Q12&gt;=2),"Spellcasting Focus",IF(AND(Q11="monk",Q12&gt;=2),"Ki DC - "&amp;SUM(8,P8,P42),IF(AND(Q11="fighter",Q12&gt;=5),"Extra Attack - "&amp;INDEX('Class Tables'!U140:U159,MATCH(Q12,('Class Tables'!T140:T159),0)),IF(AND($Q$11="barbarian",$Q$12&gt;=2),"Danger Sense",IF(AND(Q11="bard",Q12&gt;=5),"Font of Inspiration",IF(AND(Q11="cleric",Q12&gt;=2),"Channel Divinity: Turn Undead",IF(AND(Q11="druid",Q12&gt;=18),"Timeless Body"," "))))))))))))))</f>
        <v>Dueling Style</v>
      </c>
      <c r="R18" s="33" t="str">
        <f ca="1">IF(AND(R15="otherworldly patron - great old one",Q12&gt;=10),"Thought Shield",IF(AND(R15="otherworldly patron - Archfey",Q12&gt;=10),"Beguiling Defenses",IF(AND(R15="wild magic",Q12&gt;=6),"Bend Luck",IF(AND(R15="draconic bloodline",Q12&gt;=6),"Elemental Affinity",IF(AND(R15="thief",Q12&gt;=9),"Supreme Sneak",IF(AND(R15="oath of vengeance",Q12&gt;=7),"Relentless Avenger",IF(AND(R15="oath of the ancients",Q12&gt;=7),"Aura of Warding",IF(AND(R15="oath of devotion",Q12&gt;=7),"Aura of Devotion",IF(R15="way of the four elements",INDEX('Class Tables'!K120:K126,MATCH(1,('Class Tables'!I120:I126),0)),IF(AND(R15="eldritch knight",Q12&gt;=10),"Eldritch Strike",IF(R15="battle Master",INDEX('Class Tables'!J58:J77,MATCH(Q12,('Class Tables'!I58:I77),0)),IF(AND(R15="champion",Q12&gt;=10),INDEX('Class Tables'!F48:F53,MATCH(2,('Class Tables'!D48:D53),0)),IF(AND(R15="moon",Q12&gt;=6),"Primal Strike",IF(AND(R15="land",Q12&gt;=10),"Nature's Ward",IF(AND(R15="war",Q12&gt;=6),"War God's Blessing",IF(AND(R15="trickery",Q12&gt;=6),"Channel Divinity: Cloak of Shadows",IF(AND(R15="nature",Q12&gt;=6),"Thunderbolt Strike",IF(AND(R15="nature",Q12&gt;=8),"Divine Strike",IF(AND(R15="light",Q12&gt;=6),"Improved Flare",IF(AND(R15="life",Q12&gt;=6),"Blessed Healer",IF(AND(R15="knowledge",Q12&gt;=8),"Potent Spellcasting",IF(AND(R15="path of the berserker",Q12&gt;=6),"Mindless Rage",IF(AND(R15="path of the totem warrior",Q12&gt;=6),VLOOKUP(RANDBETWEEN(1,3),Table44[],3)," ")))))))))))))))))))))))</f>
        <v xml:space="preserve"> </v>
      </c>
      <c r="S18" s="33" t="s">
        <v>51</v>
      </c>
      <c r="AE18" s="29" t="s">
        <v>1338</v>
      </c>
      <c r="AF18" s="29">
        <f ca="1">ROUNDDOWN(SUM(AF16:AF17),0)</f>
        <v>9</v>
      </c>
      <c r="AH18" s="29" t="s">
        <v>23</v>
      </c>
      <c r="AI18" s="29">
        <f ca="1">$P$43</f>
        <v>3</v>
      </c>
      <c r="AJ18" s="29" t="str">
        <f t="shared" ref="AJ18:AU18" ca="1" si="23">IF(COUNTIF(AJ$27:AJ$33,$AH$18),$P$8," ")</f>
        <v xml:space="preserve"> </v>
      </c>
      <c r="AK18" s="29" t="str">
        <f t="shared" ca="1" si="23"/>
        <v xml:space="preserve"> </v>
      </c>
      <c r="AL18" s="29" t="str">
        <f t="shared" ca="1" si="23"/>
        <v xml:space="preserve"> </v>
      </c>
      <c r="AM18" s="29" t="str">
        <f t="shared" ca="1" si="23"/>
        <v xml:space="preserve"> </v>
      </c>
      <c r="AN18" s="29" t="str">
        <f t="shared" ca="1" si="23"/>
        <v xml:space="preserve"> </v>
      </c>
      <c r="AO18" s="29" t="str">
        <f t="shared" ca="1" si="23"/>
        <v xml:space="preserve"> </v>
      </c>
      <c r="AP18" s="29" t="str">
        <f t="shared" ca="1" si="23"/>
        <v xml:space="preserve"> </v>
      </c>
      <c r="AQ18" s="29" t="str">
        <f t="shared" ca="1" si="23"/>
        <v xml:space="preserve"> </v>
      </c>
      <c r="AR18" s="29" t="str">
        <f t="shared" ca="1" si="23"/>
        <v xml:space="preserve"> </v>
      </c>
      <c r="AS18" s="29" t="str">
        <f t="shared" ca="1" si="23"/>
        <v xml:space="preserve"> </v>
      </c>
      <c r="AT18" s="29" t="str">
        <f t="shared" ca="1" si="23"/>
        <v xml:space="preserve"> </v>
      </c>
      <c r="AU18" s="29" t="str">
        <f t="shared" ca="1" si="23"/>
        <v xml:space="preserve"> </v>
      </c>
      <c r="AV18" s="29">
        <f t="shared" ca="1" si="8"/>
        <v>0</v>
      </c>
      <c r="AW18" s="29" t="s">
        <v>23</v>
      </c>
      <c r="BA18" s="29" t="str">
        <f ca="1">IF(S11="Entertainer",P8," ")</f>
        <v xml:space="preserve"> </v>
      </c>
      <c r="BM18" s="29">
        <f t="shared" ca="1" si="2"/>
        <v>0</v>
      </c>
      <c r="BN18" s="29">
        <f t="shared" ca="1" si="9"/>
        <v>0</v>
      </c>
      <c r="BO18" s="29" t="str">
        <f t="shared" ca="1" si="3"/>
        <v xml:space="preserve"> </v>
      </c>
      <c r="BP18" s="29" t="str">
        <f t="shared" ca="1" si="4"/>
        <v xml:space="preserve"> </v>
      </c>
      <c r="BQ18" s="29" t="str">
        <f t="shared" ca="1" si="5"/>
        <v xml:space="preserve"> </v>
      </c>
      <c r="BR18" s="29">
        <f t="shared" ca="1" si="6"/>
        <v>0</v>
      </c>
      <c r="BU18" s="29">
        <f t="shared" ca="1" si="10"/>
        <v>0</v>
      </c>
      <c r="BV18" s="29" t="s">
        <v>23</v>
      </c>
      <c r="CB18" s="35">
        <f t="shared" ca="1" si="14"/>
        <v>10</v>
      </c>
      <c r="CC18" s="36">
        <f t="shared" ca="1" si="15"/>
        <v>0.29689409163280478</v>
      </c>
      <c r="CD18" s="29" t="s">
        <v>19</v>
      </c>
    </row>
    <row r="19" spans="2:83" x14ac:dyDescent="0.3">
      <c r="B19" s="33" t="str">
        <f ca="1">IF(P2="dark","Drow Magic"," ")</f>
        <v xml:space="preserve"> </v>
      </c>
      <c r="O19" s="33" t="str">
        <f ca="1">IF(AND(O11="wizard",O12&gt;=18),"Spell Mastery - "&amp;INDEX(R193:R202,MATCH(1,(O193:O202),0)),IF(AND(O12&gt;=2,O16="pact of the chain",AF26=1),"Invocation - Voice of the Chain Master",IF(AND(O12&gt;=5,O16="pact of the blade",AF26=1),"Invocation - Thirsting Blade",IF(AND(O11="warlock",O12&gt;=2,O16="pact of the tome",AF26=1),"Invocation - Book of Ancient Secrets",IF(AND(O11="warlock",O12&gt;=2,COUNTIF(P193:P202,"*"&amp;"Eldritch blast"&amp;"*")),"Invocation - Repelling Blast",IF(AND(O11="warlock",O12&gt;=15),"Invocation - "&amp;INDEX('Class Tables'!F164:F187,MATCH(2,('Class Tables'!D164:D187),0)),IF(AND(O11="warlock",O12&gt;=9),"Invocation - "&amp;INDEX('Class Tables'!F141:F161,MATCH(2,('Class Tables'!D141:D161),0)),IF(AND(O11="warlock",O12&gt;=7),"Invocation - "&amp;INDEX('Class Tables'!F122:F138,MATCH(2,('Class Tables'!D122:D138),0)),IF(AND(O11="warlock",O12&gt;=5),"Invocation - "&amp;INDEX('Class Tables'!F106:F119,MATCH(2,('Class Tables'!D106:D119),0)),IF(AND(O11="warlock",O12&gt;=2),"Invocation - "&amp;INDEX('Class Tables'!F93:F103,MATCH(2,('Class Tables'!D93:D103),0)),IF(AND(O11="sorcerer",O12&gt;=10),"MM - "&amp;INDEX('Class Tables'!F78:F85,MATCH(2,('Class Tables'!D78:D85),0)),IF(AND(O11="rogue",O12&gt;=11),"Reliable Talent",IF(AND(O11="ranger",O12&gt;=3),"Primeval Awareness",IF(AND(O11="paladin",O12&gt;=2),"Divine Smite",IF(AND(O11="monk",O12&gt;=2),"Flurry of Blows",IF(AND(O11="fighter",O12&gt;=9),"Indomitable",IF(AND($O$11="barbarian",$O$12&gt;=5),"Extra Attack",IF(AND(O11="bard",O12&gt;=6),"Countercharm",IF(AND(O11="cleric",O12&gt;=5),"Destroy Undead - "&amp;INDEX('Class Tables'!O140:O159,MATCH(O12,('Class Tables'!M140:M159),0)),IF(AND(O11="druid",O12&gt;=18),"Beast Spells"," "))))))))))))))))))))</f>
        <v xml:space="preserve"> </v>
      </c>
      <c r="P19" s="33" t="str">
        <f ca="1">IF(AND(P15="school of transmutation",O12&gt;=10),"Shapechanger",IF(AND(P15="school of necromancy",O12&gt;=10),"Inured to Undeath",IF(AND(P15="school of illusion",O12&gt;=10),"Illusory Self",IF(AND(P15="school of evocation",O12&gt;=10),"Empowered Evocation",IF(AND(P15="school of enchantment",O12&gt;=10),"Split Enchantment",IF(AND(P15="school of divination",O12&gt;=10),"The Third Eye",IF(AND(P15="school of conjuration",O12&gt;=10),"Focused Conjuration",IF(AND(P15="school of abjuration",O12&gt;=10),"Improved Abjuration",IF(AND(P15="otherworldly patron - great old one",O12&gt;=14),"Create Thrall",IF(AND(P15="otherworldly patron - Archfey",O12&gt;=14),"Dark Delirium",IF(AND(P15="wild magic",O12&gt;=14),"Controlled Chaos",IF(AND(P15="draconic bloodline",O12&gt;=14),"Dragon Wings",IF(AND(P15="arcane trickster",O12&gt;=17),"Spell Thief",IF(AND(P15="assassin",O12&gt;=17),"Death Strike DC"&amp;SUM(8,P8,P39),IF(AND(P15="thief",O12&gt;=13),"Use Magic Device",IF(AND(P15="beastmaster",O12&gt;=15),"Share Spells",IF(AND(P15="hunter",O12&gt;=15),VLOOKUP(RANDBETWEEN(1,3),Table199[],2),IF(AND(P15="oath of vengeance",O12&gt;=15),"Soul of Vengeance",IF(AND(P15="oath of the ancients",O12&gt;=15),"Undying Sentinel",(IF(AND(P15="oath of devotion",O12&gt;=15),"Purity of Spirit",IF(P15="way of the four elements",INDEX('Class Tables'!K120:K126,MATCH(2,('Class Tables'!I120:I126),0)),IF(AND(P15="way of the open hand",O12&gt;=17),"Quivering Palm",IF(AND(P15="eldritch Knight",O12&gt;=15),"Arcane Charge",IF(P15="battle master","Maneuver DC "&amp;SUM(P8,8,AF22),IF(AND(P15="champion",O12&gt;=15),"Superior Critcial",IF(AND(P15="moon",O12&gt;=10),"Elemental Wild Strike",IF(AND(P15="land",O12&gt;=14),"Nature's Sanctuary",IF(AND(P15="war",O12&gt;=8),"Divine Strike",IF(AND(P15="trickery",O12&gt;=8),"Divine Strike",IF(AND(P15="nature",O12&gt;=8),"Divine Strike",IF(AND(P15="nature",O12&gt;=17),"Master of Nature",IF(AND(P15="light",O12&gt;=8),"Potent Spellcasting",IF(AND(P15="life",O12&gt;=8),"Divine Strike",IF(AND(P15="knowledge",O12&gt;=17),"Visions of the Past",IF(AND(O12&gt;=10,P15="path of the berserker"),"Intimidating Presence DC "&amp;SUM(8,P8,P43),IF(AND(O12&gt;=10,P15="path of the totem warrior"),"Spirit Walker"," ")))))))))))))))))))))))))))))))))))))</f>
        <v xml:space="preserve"> </v>
      </c>
      <c r="Q19" s="33" t="str">
        <f ca="1">IF(AND(Q11="warlock",Q12&gt;=9),"Invocation - "&amp;INDEX('Class Tables'!F141:F161,MATCH(2,('Class Tables'!D141:D161),0)),IF(AND(Q11="warlock",Q12&gt;=7),"Invocation - "&amp;INDEX('Class Tables'!F122:F138,MATCH(2,('Class Tables'!D122:D138),0)),IF(AND(Q11="warlock",Q12&gt;=5),"Invocation - "&amp;INDEX('Class Tables'!F106:F119,MATCH(2,('Class Tables'!D106:D119),0)),IF(AND(Q11="warlock",Q12&gt;=2),"Invocation - "&amp;INDEX('Class Tables'!F93:F103,MATCH(2,('Class Tables'!D93:D103),0)),IF(AND(Q11="sorcerer",Q12&gt;=10),"MM - "&amp;INDEX('Class Tables'!F78:F85,MATCH(2,('Class Tables'!D78:D85),0)),IF(AND(Q11="ranger",Q12&gt;=3),"Primeval Awareness",IF(AND(Q11="paladin",Q12&gt;=2),"Divine Smite",IF(AND(Q11="monk",Q12&gt;=2),"Flurry of Blows",IF(AND(Q11="fighter",Q12&gt;=9),"Indomitable",IF(AND($Q$11="barbarian",$Q$12&gt;=5),"Extra Attack",IF(AND(Q11="bard",Q12&gt;=6),"Countercharm",IF(AND(Q11="cleric",Q12&gt;=5),"Destroy Undead - "&amp;INDEX('Class Tables'!O140:O159,MATCH(Q12,('Class Tables'!M140:M159),0)),IF(AND(Q11="druid",Q12&gt;=18),"Beast Spells"," ")))))))))))))</f>
        <v>Primeval Awareness</v>
      </c>
      <c r="R19" s="33" t="str">
        <f ca="1">IF(R15="way of the four elements",INDEX('Class Tables'!K120:K126,MATCH(2,('Class Tables'!I120:I126),0)),IF(R15="battle master","Maneuver DC "&amp;SUM(P8,8,AF22),IF(AND(R15="moon",Q12&gt;=10),"Elemental Wild Shape",IF(AND(R15="war",Q12&gt;=8),"Divine Strike",IF(AND(R15="trickery",Q12&gt;=8),"Divine Strike",IF(AND(R15="nature",Q12&gt;=8),"Divine Strike",IF(AND(R15="light",Q12&gt;=8),"Potent Spellcasting",IF(AND(R15="life",Q12&gt;=8),"Divine Strike",IF(AND(R15="knowledge",Q12&gt;=17),"Visions of the Past",IF(AND(Q12&gt;=10,R15="path of the berserker"),"Intimidating Presence DC "&amp;SUM(8,P8,P43),IF(AND(Q12&gt;=10,R15="path of the totem warrior"),"Spirit Walker"," ")))))))))))</f>
        <v xml:space="preserve"> </v>
      </c>
      <c r="S19" s="33" t="str">
        <f ca="1">IF(Q2="dwarf","Dwarvish",IF(OR(Q2="half-elf",Q2="elf"),"Elvish",IF(Q2="halfling","Halfling",IF(Q2="human",VLOOKUP(RANDBETWEEN(1,8),Table20[],2),IF(Q2="gnome","Gnomish",IF(Q2="half-orc","Orc",IF(Q2="tiefling","Infernal"," ")))))))</f>
        <v>Infernal</v>
      </c>
      <c r="AH19" s="29" t="s">
        <v>24</v>
      </c>
      <c r="AI19" s="29">
        <f ca="1">$P$43</f>
        <v>3</v>
      </c>
      <c r="AJ19" s="29" t="str">
        <f t="shared" ref="AJ19:AU19" ca="1" si="24">IF(COUNTIF(AJ$27:AJ$33,$AH$19),$P$8," ")</f>
        <v xml:space="preserve"> </v>
      </c>
      <c r="AK19" s="29" t="str">
        <f t="shared" ca="1" si="24"/>
        <v xml:space="preserve"> </v>
      </c>
      <c r="AL19" s="29" t="str">
        <f t="shared" ca="1" si="24"/>
        <v xml:space="preserve"> </v>
      </c>
      <c r="AM19" s="29" t="str">
        <f t="shared" ca="1" si="24"/>
        <v xml:space="preserve"> </v>
      </c>
      <c r="AN19" s="29" t="str">
        <f t="shared" ca="1" si="24"/>
        <v xml:space="preserve"> </v>
      </c>
      <c r="AO19" s="29" t="str">
        <f t="shared" ca="1" si="24"/>
        <v xml:space="preserve"> </v>
      </c>
      <c r="AP19" s="29" t="str">
        <f t="shared" ca="1" si="24"/>
        <v xml:space="preserve"> </v>
      </c>
      <c r="AQ19" s="29" t="str">
        <f t="shared" ca="1" si="24"/>
        <v xml:space="preserve"> </v>
      </c>
      <c r="AR19" s="29" t="str">
        <f t="shared" ca="1" si="24"/>
        <v xml:space="preserve"> </v>
      </c>
      <c r="AS19" s="29" t="str">
        <f t="shared" ca="1" si="24"/>
        <v xml:space="preserve"> </v>
      </c>
      <c r="AT19" s="29" t="str">
        <f t="shared" ca="1" si="24"/>
        <v xml:space="preserve"> </v>
      </c>
      <c r="AU19" s="29" t="str">
        <f t="shared" ca="1" si="24"/>
        <v xml:space="preserve"> </v>
      </c>
      <c r="AV19" s="29">
        <f t="shared" ca="1" si="8"/>
        <v>0</v>
      </c>
      <c r="AW19" s="29" t="s">
        <v>24</v>
      </c>
      <c r="BE19" s="29" t="str">
        <f ca="1">IF(S11="Knight",P8," ")</f>
        <v xml:space="preserve"> </v>
      </c>
      <c r="BF19" s="29" t="str">
        <f ca="1">IF(S11="Noble",P8," ")</f>
        <v xml:space="preserve"> </v>
      </c>
      <c r="BM19" s="29">
        <f t="shared" ca="1" si="2"/>
        <v>0</v>
      </c>
      <c r="BN19" s="29">
        <f t="shared" ca="1" si="9"/>
        <v>0</v>
      </c>
      <c r="BO19" s="29" t="str">
        <f t="shared" ca="1" si="3"/>
        <v xml:space="preserve"> </v>
      </c>
      <c r="BP19" s="29" t="str">
        <f t="shared" ca="1" si="4"/>
        <v xml:space="preserve"> </v>
      </c>
      <c r="BQ19" s="29" t="str">
        <f t="shared" ca="1" si="5"/>
        <v xml:space="preserve"> </v>
      </c>
      <c r="BR19" s="29">
        <f t="shared" ca="1" si="6"/>
        <v>0</v>
      </c>
      <c r="BU19" s="29">
        <f t="shared" ca="1" si="10"/>
        <v>0</v>
      </c>
      <c r="BV19" s="29" t="s">
        <v>24</v>
      </c>
      <c r="CB19" s="35">
        <f t="shared" ca="1" si="14"/>
        <v>1</v>
      </c>
      <c r="CC19" s="36">
        <f t="shared" ca="1" si="15"/>
        <v>0.86255257320129131</v>
      </c>
      <c r="CD19" s="29" t="s">
        <v>20</v>
      </c>
      <c r="CE19" s="31"/>
    </row>
    <row r="20" spans="2:83" x14ac:dyDescent="0.3">
      <c r="O20" s="33" t="str">
        <f ca="1">IF(AND(O11="warlock",O12&gt;=2,AF26=2,COUNTIF(P193:P202,"*"&amp;"Eldritch blast"&amp;"*")),"Invocation - Eldritch Spear",IF(AND(O11="warlock",O12&gt;=15),"Invocation - "&amp;INDEX('Class Tables'!F164:F187,MATCH(3,('Class Tables'!D164:D187),0)),IF(AND(O11="warlock",O12&gt;=9),"Invocation - "&amp;INDEX('Class Tables'!F141:F161,MATCH(3,('Class Tables'!D141:D161),0)),IF(AND(O11="warlock",O12&gt;=7),"Invocation - "&amp;INDEX('Class Tables'!F122:F138,MATCH(3,('Class Tables'!D122:D138),0)),IF(AND(O11="warlock",O12&gt;=5),"Invocation - "&amp;INDEX('Class Tables'!F106:F119,MATCH(3,('Class Tables'!D106:D119),0)),IF(AND(O11="sorcerer",O12&gt;=20),"Sorcerous Restoration",IF(AND(O11="sorcerer",O12&gt;=17),"MM - "&amp;INDEX('Class Tables'!F78:F85,MATCH(3,('Class Tables'!D78:D85),0)),IF(AND(O11="rogue",O12&gt;=14),"Blindsense",IF(AND(O11="ranger",O12&gt;=5),"Extra Attack",IF(AND(O11="paladin",O12&gt;=3),"Divine Health",IF(AND(O11="monk",O12&gt;=2),"Patient Defense",IF(AND(O11="barbarian",O12&gt;=5),"Fast Movement",IF(AND(O11="bard",O12&gt;=20),"Superior Inspiration",IF(AND(O11="druid",O12&gt;=20),"Archdruid",IF(AND(O11="cleric",O12&gt;=10),"Divine Intervention"," ")))))))))))))))</f>
        <v xml:space="preserve"> </v>
      </c>
      <c r="P20" s="33" t="str">
        <f ca="1">IF(AND(P15="school of transmutation",O12&gt;=14),"Master Transmuter",IF(AND(P15="school of necromancy",O12&gt;=14),"Command Undead",IF(AND(P15="school of illusion",O12&gt;=14),"Illusory Reality",IF(AND(P15="school of evocation",O12&gt;=14),"Overchannel",IF(AND(P15="school of enchantment",O12&gt;=14),"Alter Memories",IF(AND(P15="school of divination",O12&gt;=14),"Greater Portent",IF(AND(P15="school of conjuration",O12&gt;=14),"Durable Summons",IF(AND(P15="school of abjuration",O12&gt;=14),"Spell Resistance",IF(AND(P15="wild magic",O12&gt;=18),"Spell Bombardment",IF(AND(P15="Draconic Bloodline",O12&gt;=18),"Draconic Presence",IF(AND(P15="thief",O12&gt;=17),"Thief's Reflexes",IF(AND(P15="oath of vengeance",O12&gt;=20),"Avenging Angel",IF(AND(P15="oath of the ancients",O12&gt;=20),"Elder Champion",IF(AND(P15="Oath of Devotion",O12&gt;=20),"Holy Nimbus",IF(AND(P15="way of the four elements",O12&gt;=6),INDEX('Class Tables'!K128:K129,MATCH(1,('Class Tables'!I128:I129),0)),IF(AND(P15="eldritch knight",O12&gt;=18),"Improved War Magic",IF(P15="battle master",INDEX('Class Tables'!K40:K55,MATCH(1,('Class Tables'!I40:I55),0)),IF(AND(P15="champion",O12&gt;=18),"Survivor - "&amp;SUM(5+P48)&amp;" hp",IF(AND(P15="moon",O12&gt;=14),"Thousand Forms",IF(P15="land",VLOOKUP(RANDBETWEEN(1,8),Table74[],2),IF(AND(P15="war",O12&gt;=17),"Avatar of Battle",IF(AND(P15="trickery",O12&gt;=17),"Improved Duplicity",IF(AND(P15="nature",O12&gt;=17),"Stormborn",IF(AND(P15="light",O12&gt;=17),"Corona of Light",IF(AND(P15="life",O12&gt;=17),"Supreme Healing",IF(AND(P15="path of the totem warrior",O12&gt;=14),VLOOKUP(RANDBETWEEN(1,3),Table44[],4)," "))))))))))))))))))))))))))</f>
        <v xml:space="preserve"> </v>
      </c>
      <c r="Q20" s="33" t="str">
        <f ca="1">IF(AND(Q11="warlock",Q12&gt;=9),"Invocation - "&amp;INDEX('Class Tables'!F141:F161,MATCH(3,('Class Tables'!D141:D161),0)),IF(AND(Q11="warlock",Q12&gt;=7),"Invocation - "&amp;INDEX('Class Tables'!F122:F138,MATCH(3,('Class Tables'!D122:D138),0)),IF(AND(Q11="warlock",Q12&gt;=5),"Invocation - "&amp;INDEX('Class Tables'!F106:F119,MATCH(3,('Class Tables'!D106:D119),0)),IF(AND(Q11="ranger",Q12&gt;=5),"Extra Attack",IF(AND(Q11="paladin",Q12&gt;=3),"Divine Health",IF(AND(Q11="monk",Q12&gt;=2),"Patient Defense",IF(AND(Q11="barbarian",Q12&gt;=5),"Fast Movement",IF(AND(Q11="cleric",Q12&gt;=10),"Divine Intervention"," "))))))))</f>
        <v xml:space="preserve"> </v>
      </c>
      <c r="R20" s="33" t="str">
        <f ca="1">IF(AND(R15="way of the four elements",Q12&gt;=6),INDEX('Class Tables'!K128:K129,MATCH(1,('Class Tables'!I128:I129),0)),IF(R15="battle master",INDEX('Class Tables'!K40:K55,MATCH(1,('Class Tables'!I40:I55),0)),IF(R15="land",VLOOKUP(RANDBETWEEN(1,8),Table74[],2)," ")))</f>
        <v xml:space="preserve"> </v>
      </c>
      <c r="S20" s="33" t="str">
        <f ca="1">IF(P2="high",INDEX('Class Tables'!S177:S220,MATCH(1,('Class Tables'!Q177:Q220),0))," ")</f>
        <v xml:space="preserve"> </v>
      </c>
      <c r="AE20" s="29" t="s">
        <v>1990</v>
      </c>
      <c r="AF20" s="29">
        <f ca="1">RANDBETWEEN(1,3)</f>
        <v>1</v>
      </c>
      <c r="AH20" s="29" t="s">
        <v>25</v>
      </c>
      <c r="AI20" s="29">
        <f ca="1">$P$41</f>
        <v>2</v>
      </c>
      <c r="AJ20" s="29" t="str">
        <f t="shared" ref="AJ20:AU20" ca="1" si="25">IF(COUNTIF(AJ$27:AJ$33,$AH$20),$P$8," ")</f>
        <v xml:space="preserve"> </v>
      </c>
      <c r="AK20" s="29" t="str">
        <f t="shared" ca="1" si="25"/>
        <v xml:space="preserve"> </v>
      </c>
      <c r="AL20" s="29" t="str">
        <f t="shared" ca="1" si="25"/>
        <v xml:space="preserve"> </v>
      </c>
      <c r="AM20" s="29" t="str">
        <f t="shared" ca="1" si="25"/>
        <v xml:space="preserve"> </v>
      </c>
      <c r="AN20" s="29" t="str">
        <f t="shared" ca="1" si="25"/>
        <v xml:space="preserve"> </v>
      </c>
      <c r="AO20" s="29" t="str">
        <f t="shared" ca="1" si="25"/>
        <v xml:space="preserve"> </v>
      </c>
      <c r="AP20" s="29" t="str">
        <f t="shared" ca="1" si="25"/>
        <v xml:space="preserve"> </v>
      </c>
      <c r="AQ20" s="29" t="str">
        <f t="shared" ca="1" si="25"/>
        <v xml:space="preserve"> </v>
      </c>
      <c r="AR20" s="29" t="str">
        <f t="shared" ca="1" si="25"/>
        <v xml:space="preserve"> </v>
      </c>
      <c r="AS20" s="29" t="str">
        <f t="shared" ca="1" si="25"/>
        <v xml:space="preserve"> </v>
      </c>
      <c r="AT20" s="29" t="str">
        <f t="shared" ca="1" si="25"/>
        <v xml:space="preserve"> </v>
      </c>
      <c r="AU20" s="29" t="str">
        <f t="shared" ca="1" si="25"/>
        <v xml:space="preserve"> </v>
      </c>
      <c r="AV20" s="29">
        <f t="shared" ca="1" si="8"/>
        <v>0</v>
      </c>
      <c r="AW20" s="29" t="s">
        <v>25</v>
      </c>
      <c r="AX20" s="29" t="str">
        <f ca="1">IF(S11="acolyte",P8," ")</f>
        <v xml:space="preserve"> </v>
      </c>
      <c r="BC20" s="29" t="str">
        <f ca="1">IF(S11="Guild Artisan",P8," ")</f>
        <v xml:space="preserve"> </v>
      </c>
      <c r="BD20" s="29" t="str">
        <f ca="1">IF(S11="Hermit",P8," ")</f>
        <v xml:space="preserve"> </v>
      </c>
      <c r="BM20" s="29">
        <f t="shared" ca="1" si="2"/>
        <v>0</v>
      </c>
      <c r="BN20" s="29">
        <f t="shared" ca="1" si="9"/>
        <v>0</v>
      </c>
      <c r="BO20" s="29" t="str">
        <f t="shared" ca="1" si="3"/>
        <v xml:space="preserve"> </v>
      </c>
      <c r="BP20" s="29" t="str">
        <f t="shared" ca="1" si="4"/>
        <v xml:space="preserve"> </v>
      </c>
      <c r="BQ20" s="29" t="str">
        <f t="shared" ca="1" si="5"/>
        <v xml:space="preserve"> </v>
      </c>
      <c r="BR20" s="29">
        <f t="shared" ca="1" si="6"/>
        <v>0</v>
      </c>
      <c r="BS20" s="29">
        <f ca="1">IF(AND($BY$29=1,OR($P$15="knowledge",$R$15="knowledge")),$P$8*2,IF(AND($BY$29=2,OR($P$15="knowledge",$R$15="knowledge")),$P$8*2,0))</f>
        <v>0</v>
      </c>
      <c r="BU20" s="29">
        <f t="shared" ca="1" si="10"/>
        <v>0</v>
      </c>
      <c r="BV20" s="29" t="s">
        <v>25</v>
      </c>
      <c r="CB20" s="35">
        <f t="shared" ca="1" si="14"/>
        <v>7</v>
      </c>
      <c r="CC20" s="36">
        <f t="shared" ca="1" si="15"/>
        <v>0.38933298801143135</v>
      </c>
      <c r="CD20" s="29" t="s">
        <v>21</v>
      </c>
    </row>
    <row r="21" spans="2:83" x14ac:dyDescent="0.3">
      <c r="O21" s="33" t="str">
        <f ca="1">IF(AND(O11="warlock",O12&gt;=15),"Invocation - "&amp;INDEX('Class Tables'!F164:F187,MATCH(4,('Class Tables'!D164:D187),0)),IF(AND(O11="warlock",O12&gt;=9),"Invocation - "&amp;INDEX('Class Tables'!F141:F161,MATCH(4,('Class Tables'!D141:D161),0)),IF(AND(O11="warlock",O12&gt;=7),"Invocation - "&amp;INDEX('Class Tables'!F122:F138,MATCH(4,('Class Tables'!D122:D138),0)),IF(AND(O11="rogue",O12&gt;=15),"Slippery Mind",IF(AND(O11="ranger",O12&gt;=8),"Land's Stride",IF(AND(O11="paladin",O12&gt;=5),"Extra Attack",IF(AND(O11="monk",O12&gt;=2),"Step of the Wind",IF(AND($O$11="barbarian",$O$12&gt;=7),"Feral Instinct"," "))))))))</f>
        <v xml:space="preserve"> </v>
      </c>
      <c r="P21" s="33" t="str">
        <f ca="1">IF(AND(P15="way of the four elements",O12&gt;=11),INDEX('Class Tables'!K131:K134,MATCH(1,('Class Tables'!I131:I134),0)),IF(P15="battle master",INDEX('Class Tables'!K40:K55,MATCH(2,('Class Tables'!I40:I55),0))," "))</f>
        <v xml:space="preserve"> </v>
      </c>
      <c r="Q21" s="33" t="str">
        <f ca="1">IF(AND(Q11="warlock",Q12&gt;=9),"Invocation - "&amp;INDEX('Class Tables'!F141:F161,MATCH(4,('Class Tables'!D141:D161),0)),IF(AND(Q11="warlock",Q12&gt;=7),"Invocation - "&amp;INDEX('Class Tables'!F122:F138,MATCH(4,('Class Tables'!D122:D138),0)),IF(AND(Q11="ranger",Q12&gt;=8),"Land's Stride",IF(AND(Q11="paladin",Q12&gt;=5),"Extra Attack",IF(AND(Q11="monk",Q12&gt;=2),"Step of the Wind",IF(AND($Q$11="barbarian",$Q$12&gt;=7),"Feral Instinct"," "))))))</f>
        <v xml:space="preserve"> </v>
      </c>
      <c r="R21" s="33" t="str">
        <f ca="1">IF(R15="battle master",INDEX('Class Tables'!K40:K55,MATCH(2,('Class Tables'!I40:I55),0))," ")</f>
        <v xml:space="preserve"> </v>
      </c>
      <c r="S21" s="33" t="str">
        <f ca="1">IF(OR(P15="knowledge",R15="knowledge"),INDEX('Class Tables'!S177:S220,MATCH(2,('Class Tables'!Q177:Q220),0))," ")</f>
        <v xml:space="preserve"> </v>
      </c>
      <c r="AE21" s="29" t="s">
        <v>1989</v>
      </c>
      <c r="AF21" s="29">
        <f ca="1">RANDBETWEEN(1,2)</f>
        <v>2</v>
      </c>
      <c r="AH21" s="29" t="s">
        <v>26</v>
      </c>
      <c r="AI21" s="29">
        <f ca="1">$P$39</f>
        <v>1</v>
      </c>
      <c r="AJ21" s="29" t="str">
        <f t="shared" ref="AJ21:AU21" ca="1" si="26">IF(COUNTIF(AJ$27:AJ$33,$AH$21),$P$8," ")</f>
        <v xml:space="preserve"> </v>
      </c>
      <c r="AK21" s="29" t="str">
        <f t="shared" ca="1" si="26"/>
        <v xml:space="preserve"> </v>
      </c>
      <c r="AL21" s="29" t="str">
        <f t="shared" ca="1" si="26"/>
        <v xml:space="preserve"> </v>
      </c>
      <c r="AM21" s="29" t="str">
        <f t="shared" ca="1" si="26"/>
        <v xml:space="preserve"> </v>
      </c>
      <c r="AN21" s="29" t="str">
        <f t="shared" ca="1" si="26"/>
        <v xml:space="preserve"> </v>
      </c>
      <c r="AO21" s="29" t="str">
        <f t="shared" ca="1" si="26"/>
        <v xml:space="preserve"> </v>
      </c>
      <c r="AP21" s="29" t="str">
        <f t="shared" ca="1" si="26"/>
        <v xml:space="preserve"> </v>
      </c>
      <c r="AQ21" s="29" t="str">
        <f t="shared" ca="1" si="26"/>
        <v xml:space="preserve"> </v>
      </c>
      <c r="AR21" s="29" t="str">
        <f t="shared" ca="1" si="26"/>
        <v xml:space="preserve"> </v>
      </c>
      <c r="AS21" s="29" t="str">
        <f t="shared" ca="1" si="26"/>
        <v xml:space="preserve"> </v>
      </c>
      <c r="AT21" s="29" t="str">
        <f t="shared" ca="1" si="26"/>
        <v xml:space="preserve"> </v>
      </c>
      <c r="AU21" s="29" t="str">
        <f t="shared" ca="1" si="26"/>
        <v xml:space="preserve"> </v>
      </c>
      <c r="AV21" s="29">
        <f t="shared" ca="1" si="8"/>
        <v>0</v>
      </c>
      <c r="AW21" s="29" t="s">
        <v>26</v>
      </c>
      <c r="AY21" s="29" t="str">
        <f ca="1">IF(S11="Charlatan",P8," ")</f>
        <v xml:space="preserve"> </v>
      </c>
      <c r="BL21" s="29" t="str">
        <f ca="1">IF(S11="urchin",P8," ")</f>
        <v xml:space="preserve"> </v>
      </c>
      <c r="BM21" s="29">
        <f t="shared" ca="1" si="2"/>
        <v>0</v>
      </c>
      <c r="BN21" s="29">
        <f t="shared" ca="1" si="9"/>
        <v>0</v>
      </c>
      <c r="BO21" s="29" t="str">
        <f t="shared" ca="1" si="3"/>
        <v xml:space="preserve"> </v>
      </c>
      <c r="BP21" s="29" t="str">
        <f t="shared" ca="1" si="4"/>
        <v xml:space="preserve"> </v>
      </c>
      <c r="BQ21" s="29" t="str">
        <f t="shared" ca="1" si="5"/>
        <v xml:space="preserve"> </v>
      </c>
      <c r="BR21" s="29">
        <f t="shared" ca="1" si="6"/>
        <v>0</v>
      </c>
      <c r="BU21" s="29">
        <f t="shared" ca="1" si="10"/>
        <v>0</v>
      </c>
      <c r="BV21" s="29" t="s">
        <v>26</v>
      </c>
      <c r="CB21" s="35">
        <f t="shared" ca="1" si="14"/>
        <v>15</v>
      </c>
      <c r="CC21" s="36">
        <f t="shared" ca="1" si="15"/>
        <v>1.0293314671092957E-2</v>
      </c>
      <c r="CD21" s="29" t="s">
        <v>22</v>
      </c>
    </row>
    <row r="22" spans="2:83" x14ac:dyDescent="0.3">
      <c r="O22" s="33" t="str">
        <f ca="1">(IF(AND(O16="pact of the blade",O12&gt;=12,AF26=1),"Invocation - Lifedrinker",IF(AND(O11="warlock",O12&gt;=15),"Invocation - "&amp;INDEX('Class Tables'!F164:F187,MATCH(5,('Class Tables'!D164:D187),0)),IF(AND(O11="warlock",O12&gt;=9),"Invocation - "&amp;INDEX('Class Tables'!F141:F161,MATCH(5,('Class Tables'!D141:D161),0)),IF(AND(O11="rogue",O12&gt;=18),"Elusive Foe",IF(AND(O11="ranger",O12&gt;=10),"Hide in Plain Sight",IF(AND(O11="paladin",O12&gt;=6),"Aura of Protection +"&amp;MAX(P43,1),IF(AND(O11="monk",O12&gt;=2),"Unarmored Movement - "&amp;INDEX('Class Tables'!L98:L117,MATCH(O12,('Class Tables'!I98:I117),0))&amp;" ft.",IF(AND($O$11="barbarian",$O$12&gt;=9),"Brutal Critical"," ")))))))))</f>
        <v xml:space="preserve"> </v>
      </c>
      <c r="P22" s="33" t="str">
        <f ca="1">IF(AND(P15="way of the four elements",O12&gt;=17),INDEX('Class Tables'!K136:K138,MATCH(1,('Class Tables'!I136:I138),0)),IF(P15="battle master",INDEX('Class Tables'!K40:K55,MATCH(3,('Class Tables'!I40:I55),0))," "))</f>
        <v xml:space="preserve"> </v>
      </c>
      <c r="Q22" s="33" t="str">
        <f ca="1">IF(AND(Q11="warlock",Q12&gt;=9),"Invocation - "&amp;INDEX('Class Tables'!F141:F161,MATCH(5,('Class Tables'!D141:D161),0)),IF(AND(Q11="ranger",Q12&gt;=10),"Hide in Plain Sight",IF(AND(Q11="paladin",Q12&gt;=6),"Aura of Protection +"&amp;MAX(P43,1),IF(AND(Q11="monk",Q12&gt;=2),"Unarmored Movement - "&amp;INDEX('Class Tables'!L98:L117,MATCH(Q12,('Class Tables'!I98:I117),0))&amp;" ft.",IF(AND($Q$11="barbarian",$Q$12&gt;=9),"Brutal Critical"," ")))))</f>
        <v xml:space="preserve"> </v>
      </c>
      <c r="R22" s="33" t="str">
        <f ca="1">IF(R15="battle master",INDEX('Class Tables'!K40:K55,MATCH(3,('Class Tables'!I40:I55),0))," ")</f>
        <v xml:space="preserve"> </v>
      </c>
      <c r="S22" s="33" t="str">
        <f ca="1">IF(OR(P15="knowledge",R15="knowledge"),INDEX('Class Tables'!S177:S220,MATCH(3,('Class Tables'!Q177:Q220),0))," ")</f>
        <v xml:space="preserve"> </v>
      </c>
      <c r="AE22" s="29" t="s">
        <v>1387</v>
      </c>
      <c r="AF22" s="29">
        <f ca="1">SUM(P38:P39)-SMALL(P38:P39,1)</f>
        <v>1</v>
      </c>
      <c r="AH22" s="29" t="s">
        <v>27</v>
      </c>
      <c r="AI22" s="29">
        <f ca="1">$P$39</f>
        <v>1</v>
      </c>
      <c r="AJ22" s="29" t="str">
        <f t="shared" ref="AJ22:AU22" ca="1" si="27">IF(COUNTIF(AJ$27:AJ$33,$AH$22),$P$8," ")</f>
        <v xml:space="preserve"> </v>
      </c>
      <c r="AK22" s="29" t="str">
        <f t="shared" ca="1" si="27"/>
        <v xml:space="preserve"> </v>
      </c>
      <c r="AL22" s="29" t="str">
        <f t="shared" ca="1" si="27"/>
        <v xml:space="preserve"> </v>
      </c>
      <c r="AM22" s="29" t="str">
        <f t="shared" ca="1" si="27"/>
        <v xml:space="preserve"> </v>
      </c>
      <c r="AN22" s="29" t="str">
        <f t="shared" ca="1" si="27"/>
        <v xml:space="preserve"> </v>
      </c>
      <c r="AO22" s="29" t="str">
        <f t="shared" ca="1" si="27"/>
        <v xml:space="preserve"> </v>
      </c>
      <c r="AP22" s="29" t="str">
        <f t="shared" ca="1" si="27"/>
        <v xml:space="preserve"> </v>
      </c>
      <c r="AQ22" s="29" t="str">
        <f t="shared" ca="1" si="27"/>
        <v xml:space="preserve"> </v>
      </c>
      <c r="AR22" s="29" t="str">
        <f t="shared" ca="1" si="27"/>
        <v xml:space="preserve"> </v>
      </c>
      <c r="AS22" s="29" t="str">
        <f t="shared" ca="1" si="27"/>
        <v xml:space="preserve"> </v>
      </c>
      <c r="AT22" s="29" t="str">
        <f t="shared" ca="1" si="27"/>
        <v xml:space="preserve"> </v>
      </c>
      <c r="AU22" s="29" t="str">
        <f t="shared" ca="1" si="27"/>
        <v xml:space="preserve"> </v>
      </c>
      <c r="AV22" s="29">
        <f t="shared" ca="1" si="8"/>
        <v>0</v>
      </c>
      <c r="AW22" s="29" t="s">
        <v>27</v>
      </c>
      <c r="AZ22" s="29" t="str">
        <f ca="1">IF(S11="Criminal",P8," ")</f>
        <v xml:space="preserve"> </v>
      </c>
      <c r="BL22" s="29" t="str">
        <f ca="1">IF(S11="urchin",P8," ")</f>
        <v xml:space="preserve"> </v>
      </c>
      <c r="BM22" s="29">
        <f t="shared" ca="1" si="2"/>
        <v>0</v>
      </c>
      <c r="BN22" s="29">
        <f t="shared" ca="1" si="9"/>
        <v>0</v>
      </c>
      <c r="BO22" s="29" t="str">
        <f t="shared" ca="1" si="3"/>
        <v xml:space="preserve"> </v>
      </c>
      <c r="BP22" s="29" t="str">
        <f t="shared" ca="1" si="4"/>
        <v xml:space="preserve"> </v>
      </c>
      <c r="BQ22" s="29" t="str">
        <f t="shared" ca="1" si="5"/>
        <v xml:space="preserve"> </v>
      </c>
      <c r="BR22" s="29">
        <f t="shared" ca="1" si="6"/>
        <v>0</v>
      </c>
      <c r="BU22" s="29">
        <f t="shared" ca="1" si="10"/>
        <v>0</v>
      </c>
      <c r="BV22" s="29" t="s">
        <v>27</v>
      </c>
      <c r="CB22" s="35">
        <f t="shared" ca="1" si="14"/>
        <v>5</v>
      </c>
      <c r="CC22" s="36">
        <f t="shared" ca="1" si="15"/>
        <v>0.53171819257228459</v>
      </c>
      <c r="CD22" s="29" t="s">
        <v>23</v>
      </c>
    </row>
    <row r="23" spans="2:83" x14ac:dyDescent="0.3">
      <c r="O23" s="33" t="str">
        <f ca="1">IF(AND(O11="warlock",O12&gt;=15),"Invocation - "&amp;INDEX('Class Tables'!F164:F187,MATCH(6,('Class Tables'!D164:D187),0)),IF(AND(O11="warlock",O12&gt;=12),"Invocation - "&amp;INDEX('Class Tables'!F141:F161,MATCH(6,('Class Tables'!D141:D161),0)),IF(AND(O11="rogue",O12&gt;=20),"Stroke of Luck",IF(AND(O11="ranger",O12&gt;=14),"Vanish",IF(AND(O11="paladin",O12&gt;=10),"Aura of Courage",IF(AND(O11="monk",O12&gt;=3),"Deflect Missiles - 1d10+"&amp;SUM(P39,O12)&amp;" dmg.",IF(AND($O$11="barbarian",$O$12&gt;=11),"Relentless Rage"," ")))))))</f>
        <v xml:space="preserve"> </v>
      </c>
      <c r="P23" s="33" t="str">
        <f ca="1">IF(AND(P15="battle master",O12&gt;=7),INDEX('Class Tables'!K40:K55,MATCH(4,('Class Tables'!I40:I55),0))," ")</f>
        <v xml:space="preserve"> </v>
      </c>
      <c r="Q23" s="33" t="str">
        <f ca="1">IF(AND(Q11="paladin",Q12&gt;=10),"Aura of Courage",IF(AND(Q11="monk",Q12&gt;=3),"Deflect Missiles 1d10+"&amp;SUM(Q12,P39)&amp;" dmg."," "))</f>
        <v xml:space="preserve"> </v>
      </c>
      <c r="R23" s="33" t="str">
        <f ca="1">IF(AND(R15="battle master",Q12&gt;=7),INDEX('Class Tables'!K40:K55,MATCH(4,('Class Tables'!I40:I55),0))," ")</f>
        <v xml:space="preserve"> </v>
      </c>
      <c r="S23" s="33" t="str">
        <f ca="1">IF(O11="druid","Druidic",IF(O11="rogue","Thieves' Cant"," "))</f>
        <v xml:space="preserve"> </v>
      </c>
      <c r="AE23" s="29" t="s">
        <v>1402</v>
      </c>
      <c r="AF23" s="29">
        <f ca="1">RANDBETWEEN(1,2)</f>
        <v>1</v>
      </c>
      <c r="AH23" s="29" t="s">
        <v>28</v>
      </c>
      <c r="AI23" s="29">
        <f ca="1">$P$42</f>
        <v>1</v>
      </c>
      <c r="AJ23" s="29" t="str">
        <f t="shared" ref="AJ23:AU23" ca="1" si="28">IF(COUNTIF(AJ$27:AJ$33,$AH$23),$P$8," ")</f>
        <v xml:space="preserve"> </v>
      </c>
      <c r="AK23" s="29" t="str">
        <f t="shared" ca="1" si="28"/>
        <v xml:space="preserve"> </v>
      </c>
      <c r="AL23" s="29" t="str">
        <f t="shared" ca="1" si="28"/>
        <v xml:space="preserve"> </v>
      </c>
      <c r="AM23" s="29" t="str">
        <f t="shared" ca="1" si="28"/>
        <v xml:space="preserve"> </v>
      </c>
      <c r="AN23" s="29" t="str">
        <f t="shared" ca="1" si="28"/>
        <v xml:space="preserve"> </v>
      </c>
      <c r="AO23" s="29" t="str">
        <f t="shared" ca="1" si="28"/>
        <v xml:space="preserve"> </v>
      </c>
      <c r="AP23" s="29" t="str">
        <f t="shared" ca="1" si="28"/>
        <v xml:space="preserve"> </v>
      </c>
      <c r="AQ23" s="29" t="str">
        <f t="shared" ca="1" si="28"/>
        <v xml:space="preserve"> </v>
      </c>
      <c r="AR23" s="29" t="str">
        <f t="shared" ca="1" si="28"/>
        <v xml:space="preserve"> </v>
      </c>
      <c r="AS23" s="29" t="str">
        <f t="shared" ca="1" si="28"/>
        <v xml:space="preserve"> </v>
      </c>
      <c r="AT23" s="29" t="str">
        <f t="shared" ca="1" si="28"/>
        <v xml:space="preserve"> </v>
      </c>
      <c r="AU23" s="29" t="str">
        <f t="shared" ca="1" si="28"/>
        <v xml:space="preserve"> </v>
      </c>
      <c r="AV23" s="29">
        <f t="shared" ca="1" si="8"/>
        <v>0</v>
      </c>
      <c r="AW23" s="29" t="s">
        <v>28</v>
      </c>
      <c r="BB23" s="29" t="str">
        <f ca="1">IF(S11="Folk Hero",P8," ")</f>
        <v xml:space="preserve"> </v>
      </c>
      <c r="BG23" s="29" t="str">
        <f ca="1">IF(S11="Outlander",P8," ")</f>
        <v xml:space="preserve"> </v>
      </c>
      <c r="BM23" s="29">
        <f t="shared" ca="1" si="2"/>
        <v>0</v>
      </c>
      <c r="BN23" s="29">
        <f t="shared" ca="1" si="9"/>
        <v>0</v>
      </c>
      <c r="BO23" s="29" t="str">
        <f t="shared" ca="1" si="3"/>
        <v xml:space="preserve"> </v>
      </c>
      <c r="BP23" s="29" t="str">
        <f t="shared" ca="1" si="4"/>
        <v xml:space="preserve"> </v>
      </c>
      <c r="BQ23" s="29" t="str">
        <f t="shared" ca="1" si="5"/>
        <v xml:space="preserve"> </v>
      </c>
      <c r="BR23" s="29">
        <f t="shared" ca="1" si="6"/>
        <v>0</v>
      </c>
      <c r="BT23" s="29">
        <f ca="1">IF(AND(BY32=1,OR($P$15="nature",$R$15="nature")),$P$8,0)</f>
        <v>0</v>
      </c>
      <c r="BU23" s="29">
        <f t="shared" ca="1" si="10"/>
        <v>0</v>
      </c>
      <c r="BV23" s="29" t="s">
        <v>28</v>
      </c>
      <c r="CB23" s="35">
        <f t="shared" ca="1" si="14"/>
        <v>4</v>
      </c>
      <c r="CC23" s="36">
        <f t="shared" ca="1" si="15"/>
        <v>0.67639278224362787</v>
      </c>
      <c r="CD23" s="29" t="s">
        <v>24</v>
      </c>
    </row>
    <row r="24" spans="2:83" x14ac:dyDescent="0.3">
      <c r="O24" s="33" t="str">
        <f ca="1">IF(AND(O11="warlock",O12&gt;=15,AF26=2,O16="pact of the chain"),"Chains of Carceri",IF(AND(O11="warlock",O12&gt;=15),"Invocation - "&amp;INDEX('Class Tables'!F164:F187,MATCH(7,('Class Tables'!D164:D187),0)),IF(AND(O11="ranger",O12&gt;=18),"Feral Senses",IF(AND(O11="paladin",O12&gt;=11),"Improved Divine Smite",IF(AND(O11="monk",O12&gt;=4),"Slow Fall - "&amp;O12*5&amp;" dmg.",IF(AND($O$11="barbarian",$O$12&gt;=15),"Persistent Rage"," "))))))</f>
        <v xml:space="preserve"> </v>
      </c>
      <c r="P24" s="33" t="str">
        <f ca="1">IF(AND(P15="battle master",O12&gt;=7),INDEX('Class Tables'!K40:K55,MATCH(5,('Class Tables'!I40:I55),0))," ")</f>
        <v xml:space="preserve"> </v>
      </c>
      <c r="Q24" s="33" t="str">
        <f ca="1">IF(AND(Q11="paladin",Q12&gt;=11),"Improved Divine Smite",IF(AND(Q11="monk",Q12&gt;=4),"Slow Fall -"&amp;Q12*5&amp;" dmg."," "))</f>
        <v xml:space="preserve"> </v>
      </c>
      <c r="R24" s="33" t="str">
        <f ca="1">IF(AND(R15="battle master",Q12&gt;=7),INDEX('Class Tables'!K40:K55,MATCH(5,('Class Tables'!I40:I55),0))," ")</f>
        <v xml:space="preserve"> </v>
      </c>
      <c r="S24" s="33" t="str">
        <f ca="1">IF(P15="draconic bloodline","Draconic"," ")</f>
        <v>Draconic</v>
      </c>
      <c r="AE24" s="29" t="s">
        <v>1509</v>
      </c>
      <c r="AF24" s="29">
        <f ca="1">RANDBETWEEN(1,2)</f>
        <v>1</v>
      </c>
      <c r="CB24" s="35">
        <f t="shared" ca="1" si="14"/>
        <v>6</v>
      </c>
      <c r="CC24" s="36">
        <f t="shared" ca="1" si="15"/>
        <v>0.46795391771154482</v>
      </c>
      <c r="CD24" s="29" t="s">
        <v>25</v>
      </c>
    </row>
    <row r="25" spans="2:83" x14ac:dyDescent="0.3">
      <c r="O25" s="33" t="str">
        <f ca="1">IF(AND(O11="warlock",O12&gt;=18),"Invocation - "&amp;INDEX('Class Tables'!F164:F187,MATCH(8,('Class Tables'!D164:D187),0)),IF(AND(O11="ranger",O12&gt;=20),"Foe Slayer",IF(AND(O11="paladin",O12&gt;=14),"Cleansing Touch - "&amp;MAX(1,(P43))&amp;" uses",IF(AND(O11="monk",O12&gt;=5),"Extra Attack",IF(AND($O$11="barbarian",$O$12&gt;=18),"Indomitable Might"," ")))))</f>
        <v xml:space="preserve"> </v>
      </c>
      <c r="P25" s="33" t="str">
        <f ca="1">IF(AND(P15="battle master",O12&gt;=10),INDEX('Class Tables'!K40:K55,MATCH(6,('Class Tables'!I40:I55),0))," ")</f>
        <v xml:space="preserve"> </v>
      </c>
      <c r="Q25" s="33" t="str">
        <f ca="1">IF(AND(Q11="paladin",Q12&gt;=14),"Cleansing Touch - "&amp;MAX(1,(P43))&amp;" uses",IF(AND(Q11="monk",Q12&gt;=5),"Extra Attack"," "))</f>
        <v xml:space="preserve"> </v>
      </c>
      <c r="R25" s="33" t="str">
        <f ca="1">IF(AND(R15="battle master",Q12&gt;=10),INDEX('Class Tables'!K40:K55,MATCH(6,('Class Tables'!I40:I55),0))," ")</f>
        <v xml:space="preserve"> </v>
      </c>
      <c r="S25" s="33" t="str">
        <f ca="1">IF(OR(S11="acolyte",S11="Guild artisan",S11="hermit",S11="noble",S11="knight",S11="outlander",S11="sage"),INDEX('Class Tables'!S177:S220,MATCH(4,('Class Tables'!Q177:Q220),0))," ")</f>
        <v xml:space="preserve"> </v>
      </c>
      <c r="AE25" s="29" t="s">
        <v>1568</v>
      </c>
      <c r="AF25" s="29">
        <f ca="1">RANDBETWEEN(1,2)</f>
        <v>2</v>
      </c>
      <c r="CB25" s="35">
        <f t="shared" ca="1" si="14"/>
        <v>3</v>
      </c>
      <c r="CC25" s="36">
        <f t="shared" ca="1" si="15"/>
        <v>0.72430407082450254</v>
      </c>
      <c r="CD25" s="29" t="s">
        <v>26</v>
      </c>
      <c r="CE25" s="31"/>
    </row>
    <row r="26" spans="2:83" x14ac:dyDescent="0.3">
      <c r="O26" s="33" t="str">
        <f ca="1">IF(AND(O11="ranger",O12&gt;=6),"Natural Explorer: "&amp;INDEX('Class Tables'!F212:F219,MATCH(2,('Class Tables'!D212:D219),0)),IF(AND(O11="monk",O12&gt;=5),"Stunning Strike",IF(AND($O$11="barbarian",$O$12&gt;=20),"Primal Champion"," ")))</f>
        <v xml:space="preserve"> </v>
      </c>
      <c r="P26" s="33" t="str">
        <f ca="1">IF(AND(P15="battle master",O12&gt;=10),INDEX('Class Tables'!K40:K55,MATCH(7,('Class Tables'!I40:I55),0))," ")</f>
        <v xml:space="preserve"> </v>
      </c>
      <c r="Q26" s="33" t="str">
        <f ca="1">IF(AND(Q11="ranger",Q12&gt;=10),"Natural Explorer: "&amp;INDEX('Class Tables'!F212:F219,MATCH(2,('Class Tables'!D212:D219),0)),IF(AND(Q11="monk",Q12&gt;=5),"Stunning Strike"," "))</f>
        <v xml:space="preserve"> </v>
      </c>
      <c r="R26" s="33" t="str">
        <f ca="1">IF(AND(R15="battle master",Q12&gt;=10),INDEX('Class Tables'!K40:K55,MATCH(7,('Class Tables'!I40:I55),0))," ")</f>
        <v xml:space="preserve"> </v>
      </c>
      <c r="S26" s="33" t="str">
        <f ca="1">IF(OR(S11="acolyte",S11="sage"),INDEX('Class Tables'!S177:S220,MATCH(5,('Class Tables'!Q177:Q220),0))," ")</f>
        <v xml:space="preserve"> </v>
      </c>
      <c r="AE26" s="29" t="s">
        <v>693</v>
      </c>
      <c r="AF26" s="29">
        <f ca="1">RANDBETWEEN(1,2)</f>
        <v>1</v>
      </c>
      <c r="AJ26" s="29" t="s">
        <v>685</v>
      </c>
      <c r="AK26" s="29" t="s">
        <v>686</v>
      </c>
      <c r="AL26" s="29" t="s">
        <v>687</v>
      </c>
      <c r="AM26" s="29" t="s">
        <v>688</v>
      </c>
      <c r="AN26" s="29" t="s">
        <v>689</v>
      </c>
      <c r="AO26" s="29" t="s">
        <v>694</v>
      </c>
      <c r="AP26" s="29" t="s">
        <v>695</v>
      </c>
      <c r="AQ26" s="29" t="s">
        <v>690</v>
      </c>
      <c r="AR26" s="29" t="s">
        <v>691</v>
      </c>
      <c r="AS26" s="29" t="s">
        <v>692</v>
      </c>
      <c r="AT26" s="29" t="s">
        <v>693</v>
      </c>
      <c r="AU26" s="29" t="s">
        <v>696</v>
      </c>
      <c r="AX26" s="29" t="s">
        <v>1810</v>
      </c>
      <c r="AY26" s="29" t="s">
        <v>1811</v>
      </c>
      <c r="AZ26" s="29" t="s">
        <v>1812</v>
      </c>
      <c r="BA26" s="29" t="s">
        <v>1813</v>
      </c>
      <c r="BB26" s="29" t="s">
        <v>1814</v>
      </c>
      <c r="BC26" s="29" t="s">
        <v>1815</v>
      </c>
      <c r="BD26" s="29" t="s">
        <v>1816</v>
      </c>
      <c r="BE26" s="29" t="s">
        <v>1823</v>
      </c>
      <c r="BF26" s="29" t="s">
        <v>1821</v>
      </c>
      <c r="BG26" s="29" t="s">
        <v>1817</v>
      </c>
      <c r="BH26" s="29" t="s">
        <v>1822</v>
      </c>
      <c r="BI26" s="29" t="s">
        <v>1818</v>
      </c>
      <c r="BJ26" s="29" t="s">
        <v>1720</v>
      </c>
      <c r="BK26" s="29" t="s">
        <v>1819</v>
      </c>
      <c r="BL26" s="29" t="s">
        <v>1820</v>
      </c>
      <c r="BN26" s="29">
        <f t="shared" ref="BN26:BN43" ca="1" si="29">_xlfn.RANK.EQ(BO26,$BO$26:$BO$43)</f>
        <v>3</v>
      </c>
      <c r="BO26" s="29">
        <f ca="1">IF(BP26="Acrobatics",RAND(),0)</f>
        <v>0</v>
      </c>
      <c r="BP26" s="29" t="str">
        <f ca="1">IF(OR(BM6&gt;=1,AV6&gt;=1),AH6," ")</f>
        <v xml:space="preserve"> </v>
      </c>
      <c r="BR26" s="29">
        <f t="shared" ref="BR26:BR43" ca="1" si="30">_xlfn.RANK.EQ(BS26,$BS$26:$BS$43)</f>
        <v>5</v>
      </c>
      <c r="BS26" s="29">
        <f t="shared" ref="BS26:BS43" ca="1" si="31">IF(BO26=0,RAND(),0)</f>
        <v>0.73500999794419886</v>
      </c>
      <c r="BU26" s="29">
        <f ca="1">_xlfn.RANK.EQ(BV26,$BV$26:$BV$29)</f>
        <v>1</v>
      </c>
      <c r="BV26" s="29">
        <f ca="1">IF(BW26="Arcana",RAND(),0)</f>
        <v>0</v>
      </c>
      <c r="BW26" s="29" t="str">
        <f ca="1">IF(OR($AV$8&gt;=1,$BR$8&gt;=1,BM8&gt;=1),"Arcana"," ")</f>
        <v xml:space="preserve"> </v>
      </c>
      <c r="BY26" s="29">
        <f ca="1">_xlfn.RANK.EQ(BZ26,$BZ$26:$BZ$29)</f>
        <v>1</v>
      </c>
      <c r="BZ26" s="29">
        <f t="shared" ref="BZ26:BZ32" ca="1" si="32">IF(BV26=0,RAND(),0)</f>
        <v>0.96269202132032183</v>
      </c>
      <c r="CB26" s="35">
        <f t="shared" ca="1" si="14"/>
        <v>16</v>
      </c>
      <c r="CC26" s="36">
        <f t="shared" ca="1" si="15"/>
        <v>6.1185769595085704E-3</v>
      </c>
      <c r="CD26" s="29" t="s">
        <v>27</v>
      </c>
    </row>
    <row r="27" spans="2:83" x14ac:dyDescent="0.3">
      <c r="O27" s="33" t="str">
        <f ca="1">IF(AND(O11="ranger",O12&gt;=10),"Natural Explorer: "&amp;INDEX('Class Tables'!F212:F219,MATCH(3,('Class Tables'!D212:D219),0)),IF(AND(O11="monk",O12&gt;=6),"Ki-Empowered Strikes"," "))</f>
        <v xml:space="preserve"> </v>
      </c>
      <c r="P27" s="33" t="str">
        <f ca="1">IF(AND(P15="battle master",O12&gt;=15),INDEX('Class Tables'!K40:K55,MATCH(8,('Class Tables'!I40:I55),0))," ")</f>
        <v xml:space="preserve"> </v>
      </c>
      <c r="Q27" s="33" t="str">
        <f ca="1">IF(AND(Q11="ranger",Q12&gt;=10),"Natural Explorer: "&amp;INDEX('Class Tables'!F212:F219,MATCH(3,('Class Tables'!D212:D219),0)),IF(AND(Q11="monk",Q12&gt;=6),"Ki-Empowered Strikes"," "))</f>
        <v xml:space="preserve"> </v>
      </c>
      <c r="AI27" s="29">
        <v>1</v>
      </c>
      <c r="AJ27" s="29" t="str">
        <f ca="1">IF(O11="barbarian",INDEX(#REF!,MATCH($AI$27,(#REF!),0))," ")</f>
        <v xml:space="preserve"> </v>
      </c>
      <c r="AK27" s="29" t="str">
        <f ca="1">IF(OR(O11="bard",Q11="bard"),INDEX(#REF!,MATCH($AI$27,(#REF!),0))," ")</f>
        <v xml:space="preserve"> </v>
      </c>
      <c r="AL27" s="29" t="str">
        <f ca="1">IF(O11="cleric",INDEX(#REF!,MATCH(AI27,(#REF!),0))," ")</f>
        <v xml:space="preserve"> </v>
      </c>
      <c r="AM27" s="29" t="str">
        <f ca="1">IF(O11="Druid",INDEX(#REF!,MATCH(AI27,(#REF!),0))," ")</f>
        <v xml:space="preserve"> </v>
      </c>
      <c r="AN27" s="29" t="str">
        <f ca="1">IF(O11="fighter",INDEX(#REF!,MATCH(AI27,(#REF!),0))," ")</f>
        <v xml:space="preserve"> </v>
      </c>
      <c r="AO27" s="29" t="str">
        <f ca="1">IF(O11="monk",INDEX(#REF!,MATCH(AI27,(#REF!),0))," ")</f>
        <v xml:space="preserve"> </v>
      </c>
      <c r="AP27" s="29" t="str">
        <f ca="1">IF(O11="Paladin",INDEX(#REF!,MATCH(AI27,(#REF!),0))," ")</f>
        <v xml:space="preserve"> </v>
      </c>
      <c r="AQ27" s="29" t="e">
        <f ca="1">IF(OR(O11="ranger",Q11="ranger"),INDEX(#REF!,MATCH(AI27,(#REF!),0))," ")</f>
        <v>#REF!</v>
      </c>
      <c r="AR27" s="29" t="str">
        <f ca="1">IF(OR(O11="rogue",Q11="rogue"),INDEX(#REF!,MATCH(AI27,(#REF!),0))," ")</f>
        <v xml:space="preserve"> </v>
      </c>
      <c r="AS27" s="29" t="e">
        <f ca="1">IF(O11="sorcerer",INDEX(#REF!,MATCH(AI27,(#REF!),0))," ")</f>
        <v>#REF!</v>
      </c>
      <c r="AT27" s="29" t="str">
        <f ca="1">IF(O11="Warlock",INDEX(#REF!,MATCH(AI27,(#REF!),0))," ")</f>
        <v xml:space="preserve"> </v>
      </c>
      <c r="AU27" s="29" t="str">
        <f ca="1">IF(O11="wizard",INDEX(#REF!,MATCH(AI27,(#REF!),0))," ")</f>
        <v xml:space="preserve"> </v>
      </c>
      <c r="AX27" s="29" t="s">
        <v>17</v>
      </c>
      <c r="AY27" s="29" t="s">
        <v>15</v>
      </c>
      <c r="AZ27" s="29" t="s">
        <v>15</v>
      </c>
      <c r="BA27" s="29" t="s">
        <v>12</v>
      </c>
      <c r="BB27" s="29" t="s">
        <v>29</v>
      </c>
      <c r="BC27" s="29" t="s">
        <v>17</v>
      </c>
      <c r="BD27" s="29" t="s">
        <v>20</v>
      </c>
      <c r="BE27" s="29" t="s">
        <v>1824</v>
      </c>
      <c r="BF27" s="29" t="s">
        <v>16</v>
      </c>
      <c r="BG27" s="29" t="s">
        <v>14</v>
      </c>
      <c r="BH27" s="29" t="s">
        <v>14</v>
      </c>
      <c r="BI27" s="29" t="s">
        <v>13</v>
      </c>
      <c r="BJ27" s="29" t="s">
        <v>14</v>
      </c>
      <c r="BK27" s="29" t="s">
        <v>14</v>
      </c>
      <c r="BL27" s="29" t="s">
        <v>26</v>
      </c>
      <c r="BN27" s="29">
        <f t="shared" ca="1" si="29"/>
        <v>3</v>
      </c>
      <c r="BO27" s="29">
        <f ca="1">IF(BP27="Animal Handling",RAND(),0)</f>
        <v>0</v>
      </c>
      <c r="BP27" s="29" t="str">
        <f t="shared" ref="BP27:BP43" ca="1" si="33">IF(OR(BM7&gt;=1,AV7&gt;=1),AH7," ")</f>
        <v xml:space="preserve"> </v>
      </c>
      <c r="BR27" s="29">
        <f t="shared" ca="1" si="30"/>
        <v>9</v>
      </c>
      <c r="BS27" s="29">
        <f t="shared" ca="1" si="31"/>
        <v>0.44085705880152659</v>
      </c>
      <c r="BU27" s="29">
        <f ca="1">_xlfn.RANK.EQ(BV27,$BV$26:$BV$29)</f>
        <v>1</v>
      </c>
      <c r="BV27" s="29">
        <f ca="1">IF(BW27="History",RAND(),0)</f>
        <v>0</v>
      </c>
      <c r="BW27" s="29" t="str">
        <f ca="1">IF(OR($AV$11&gt;=1,$BR$11&gt;=1,BM11&gt;=1),"History"," ")</f>
        <v xml:space="preserve"> </v>
      </c>
      <c r="BY27" s="29">
        <f ca="1">_xlfn.RANK.EQ(BZ27,$BZ$26:$BZ$29)</f>
        <v>2</v>
      </c>
      <c r="BZ27" s="29">
        <f t="shared" ca="1" si="32"/>
        <v>0.23862984249430752</v>
      </c>
      <c r="CB27" s="35">
        <f t="shared" ca="1" si="14"/>
        <v>11</v>
      </c>
      <c r="CC27" s="36">
        <f t="shared" ca="1" si="15"/>
        <v>0.2838875906253443</v>
      </c>
      <c r="CD27" s="29" t="s">
        <v>28</v>
      </c>
    </row>
    <row r="28" spans="2:83" x14ac:dyDescent="0.3">
      <c r="O28" s="33" t="str">
        <f ca="1">IF(AND(O11="monk",O12&gt;=7),"Evasion"," ")</f>
        <v xml:space="preserve"> </v>
      </c>
      <c r="P28" s="33" t="str">
        <f ca="1">IF(AND(P15="battle master",O12&gt;=15),INDEX('Class Tables'!K40:K55,MATCH(9,('Class Tables'!I40:I55),0))," ")</f>
        <v xml:space="preserve"> </v>
      </c>
      <c r="Q28" s="33" t="str">
        <f ca="1">IF(AND(Q11="monk",Q12&gt;=7),"Evasion"," ")</f>
        <v xml:space="preserve"> </v>
      </c>
      <c r="AE28" s="29" t="s">
        <v>1804</v>
      </c>
      <c r="AI28" s="29">
        <v>2</v>
      </c>
      <c r="AJ28" s="29" t="str">
        <f ca="1">IF(O11="barbarian",INDEX(#REF!,MATCH($AI$28,(#REF!),0))," ")</f>
        <v xml:space="preserve"> </v>
      </c>
      <c r="AK28" s="29" t="str">
        <f ca="1">IF(O11="bard",INDEX(#REF!,MATCH(AI28,(#REF!),0))," ")</f>
        <v xml:space="preserve"> </v>
      </c>
      <c r="AL28" s="29" t="str">
        <f ca="1">IF(O11="cleric",INDEX(#REF!,MATCH(AI28,(#REF!),0))," ")</f>
        <v xml:space="preserve"> </v>
      </c>
      <c r="AM28" s="29" t="str">
        <f ca="1">IF(O11="druid",INDEX(#REF!,MATCH(AI28,(#REF!),0))," ")</f>
        <v xml:space="preserve"> </v>
      </c>
      <c r="AN28" s="29" t="str">
        <f ca="1">IF(O11="fighter",INDEX(#REF!,MATCH(AI28,(#REF!),0))," ")</f>
        <v xml:space="preserve"> </v>
      </c>
      <c r="AO28" s="29" t="str">
        <f ca="1">IF(O11="monk",INDEX(#REF!,MATCH(AI28,(#REF!),0))," ")</f>
        <v xml:space="preserve"> </v>
      </c>
      <c r="AP28" s="29" t="str">
        <f ca="1">IF(O11="paladin",INDEX(#REF!,MATCH(AI28,(#REF!),0))," ")</f>
        <v xml:space="preserve"> </v>
      </c>
      <c r="AQ28" s="29" t="str">
        <f ca="1">IF(O11="ranger",INDEX(#REF!,MATCH(AI28,(#REF!),0))," ")</f>
        <v xml:space="preserve"> </v>
      </c>
      <c r="AR28" s="29" t="str">
        <f ca="1">IF(O11="rogue",INDEX(#REF!,MATCH(AI28,(#REF!),0))," ")</f>
        <v xml:space="preserve"> </v>
      </c>
      <c r="AS28" s="29" t="e">
        <f ca="1">IF(O11="sorcerer",INDEX(#REF!,MATCH(AI28,(#REF!),0))," ")</f>
        <v>#REF!</v>
      </c>
      <c r="AT28" s="29" t="str">
        <f ca="1">IF(O11="warlock",INDEX(#REF!,MATCH(AI28,(#REF!),0))," ")</f>
        <v xml:space="preserve"> </v>
      </c>
      <c r="AU28" s="29" t="str">
        <f ca="1">IF(O11="wizard",INDEX(#REF!,MATCH(AI28,(#REF!),0))," ")</f>
        <v xml:space="preserve"> </v>
      </c>
      <c r="AX28" s="29" t="s">
        <v>25</v>
      </c>
      <c r="AY28" s="29" t="s">
        <v>26</v>
      </c>
      <c r="AZ28" s="29" t="s">
        <v>27</v>
      </c>
      <c r="BA28" s="29" t="s">
        <v>23</v>
      </c>
      <c r="BB28" s="29" t="s">
        <v>28</v>
      </c>
      <c r="BC28" s="29" t="s">
        <v>24</v>
      </c>
      <c r="BD28" s="29" t="s">
        <v>25</v>
      </c>
      <c r="BE28" s="29" t="s">
        <v>24</v>
      </c>
      <c r="BF28" s="29" t="s">
        <v>24</v>
      </c>
      <c r="BG28" s="29" t="s">
        <v>28</v>
      </c>
      <c r="BH28" s="29" t="s">
        <v>22</v>
      </c>
      <c r="BI28" s="29" t="s">
        <v>16</v>
      </c>
      <c r="BJ28" s="29" t="s">
        <v>22</v>
      </c>
      <c r="BK28" s="29" t="s">
        <v>18</v>
      </c>
      <c r="BL28" s="29" t="s">
        <v>27</v>
      </c>
      <c r="BN28" s="29">
        <f t="shared" ca="1" si="29"/>
        <v>3</v>
      </c>
      <c r="BO28" s="29">
        <f ca="1">IF(BP28="Arcana",RAND(),0)</f>
        <v>0</v>
      </c>
      <c r="BP28" s="29" t="str">
        <f t="shared" ca="1" si="33"/>
        <v xml:space="preserve"> </v>
      </c>
      <c r="BR28" s="29">
        <f t="shared" ca="1" si="30"/>
        <v>3</v>
      </c>
      <c r="BS28" s="29">
        <f t="shared" ca="1" si="31"/>
        <v>0.86769745426712308</v>
      </c>
      <c r="BU28" s="29">
        <f ca="1">_xlfn.RANK.EQ(BV28,$BV$26:$BV$29)</f>
        <v>1</v>
      </c>
      <c r="BV28" s="29">
        <f ca="1">IF(BW28="Nature",RAND(),0)</f>
        <v>0</v>
      </c>
      <c r="BW28" s="29" t="str">
        <f ca="1">IF(OR($AV$16&gt;=1,$BR$16&gt;=1,BM16&gt;=1),"Nature"," ")</f>
        <v xml:space="preserve"> </v>
      </c>
      <c r="BY28" s="29">
        <f ca="1">_xlfn.RANK.EQ(BZ28,$BZ$26:$BZ$29)</f>
        <v>3</v>
      </c>
      <c r="BZ28" s="29">
        <f t="shared" ca="1" si="32"/>
        <v>0.22535161551475014</v>
      </c>
    </row>
    <row r="29" spans="2:83" x14ac:dyDescent="0.3">
      <c r="O29" s="33" t="str">
        <f ca="1">IF(AND(O11="monk",O12&gt;=7),"Stillness of Mind"," ")</f>
        <v xml:space="preserve"> </v>
      </c>
      <c r="Q29" s="33" t="str">
        <f ca="1">IF(AND(Q11="monk",Q12&gt;=7),"Stillness of Mind"," ")</f>
        <v xml:space="preserve"> </v>
      </c>
      <c r="AE29" s="29">
        <f ca="1">RANDBETWEEN(2,8)</f>
        <v>3</v>
      </c>
      <c r="BN29" s="29">
        <f t="shared" ca="1" si="29"/>
        <v>1</v>
      </c>
      <c r="BO29" s="29">
        <f ca="1">IF(BP29="Athletics",RAND(),0)</f>
        <v>0.12142896696466077</v>
      </c>
      <c r="BP29" s="29" t="str">
        <f t="shared" ca="1" si="33"/>
        <v>Athletics</v>
      </c>
      <c r="BR29" s="29">
        <f t="shared" ca="1" si="30"/>
        <v>17</v>
      </c>
      <c r="BS29" s="29">
        <f t="shared" ca="1" si="31"/>
        <v>0</v>
      </c>
      <c r="BU29" s="29">
        <f ca="1">_xlfn.RANK.EQ(BV29,$BV$26:$BV$29)</f>
        <v>1</v>
      </c>
      <c r="BV29" s="29">
        <f ca="1">IF(BW29="Religion",RAND(),0)</f>
        <v>0</v>
      </c>
      <c r="BW29" s="29" t="str">
        <f ca="1">IF(AND($AV$20&gt;=1,$BR$20&gt;=1,BM20&gt;=1),"Religion"," ")</f>
        <v xml:space="preserve"> </v>
      </c>
      <c r="BY29" s="29">
        <f ca="1">_xlfn.RANK.EQ(BZ29,$BZ$26:$BZ$29)</f>
        <v>4</v>
      </c>
      <c r="BZ29" s="29">
        <f t="shared" ca="1" si="32"/>
        <v>0.13787599970306952</v>
      </c>
      <c r="CB29" s="31" t="s">
        <v>729</v>
      </c>
      <c r="CC29" s="36"/>
    </row>
    <row r="30" spans="2:83" x14ac:dyDescent="0.3">
      <c r="O30" s="33" t="str">
        <f ca="1">IF(AND(O11="monk",O12&gt;=10),"Purity of Body"," ")</f>
        <v xml:space="preserve"> </v>
      </c>
      <c r="Q30" s="33" t="str">
        <f ca="1">IF(AND(Q11="monk",Q12&gt;=10),"Purity of Body"," ")</f>
        <v xml:space="preserve"> </v>
      </c>
      <c r="AE30" s="29">
        <f ca="1">RANDBETWEEN(2,12)</f>
        <v>7</v>
      </c>
      <c r="AI30" s="29">
        <v>3</v>
      </c>
      <c r="AK30" s="29" t="str">
        <f ca="1">IF(O11="bard",INDEX(#REF!,MATCH(AI30,(#REF!),0))," ")</f>
        <v xml:space="preserve"> </v>
      </c>
      <c r="AP30" s="29" t="str">
        <f ca="1">IF($AG$30="druid",VLOOKUP(RANDBETWEEN(1,8),Table51350464806863920336393559[],2)," ")</f>
        <v xml:space="preserve"> </v>
      </c>
      <c r="AQ30" s="29" t="str">
        <f ca="1">IF(O11="ranger",INDEX(#REF!,MATCH(AI30,(#REF!),0))," ")</f>
        <v xml:space="preserve"> </v>
      </c>
      <c r="AR30" s="29" t="str">
        <f ca="1">IF(O11="rogue",INDEX(#REF!,MATCH(AI30,(#REF!),0))," ")</f>
        <v xml:space="preserve"> </v>
      </c>
      <c r="AT30" s="29" t="str">
        <f ca="1">IF(OR(COUNTIF(O18:O25,"*"&amp;"beguiling influence"&amp;"*"),COUNTIF(O13:O13,"*"&amp;"beguiling influence"&amp;"*")),"Deception"," ")</f>
        <v xml:space="preserve"> </v>
      </c>
      <c r="BN30" s="29">
        <f t="shared" ca="1" si="29"/>
        <v>3</v>
      </c>
      <c r="BO30" s="29">
        <f ca="1">IF(BP30="Deception",RAND(),0)</f>
        <v>0</v>
      </c>
      <c r="BP30" s="29" t="str">
        <f t="shared" ca="1" si="33"/>
        <v xml:space="preserve"> </v>
      </c>
      <c r="BR30" s="29">
        <f t="shared" ca="1" si="30"/>
        <v>7</v>
      </c>
      <c r="BS30" s="29">
        <f t="shared" ca="1" si="31"/>
        <v>0.54646826682646399</v>
      </c>
      <c r="BU30" s="29">
        <f ca="1">_xlfn.RANK.EQ(BV30,$BV$30:$BV$32)</f>
        <v>1</v>
      </c>
      <c r="BV30" s="29">
        <f ca="1">IF(BW30="Animal Handling",RAND(),0)</f>
        <v>0</v>
      </c>
      <c r="BW30" s="29" t="str">
        <f ca="1">IF(OR($AV$7&gt;=1,$BR$7&gt;=1,BM7&gt;=1),"Animal Handling"," ")</f>
        <v xml:space="preserve"> </v>
      </c>
      <c r="BY30" s="29">
        <f ca="1">_xlfn.RANK.EQ(BZ30,$BZ$30:$BZ$32)</f>
        <v>2</v>
      </c>
      <c r="BZ30" s="29">
        <f t="shared" ca="1" si="32"/>
        <v>0.19612267517332793</v>
      </c>
      <c r="CB30" s="35">
        <f ca="1">_xlfn.RANK.EQ(CC30,$CC$30:$CC$34)</f>
        <v>2</v>
      </c>
      <c r="CC30" s="36">
        <f ca="1">IF(BM11&gt;0,0,RAND())</f>
        <v>0.41556266556962307</v>
      </c>
      <c r="CD30" s="29" t="s">
        <v>16</v>
      </c>
    </row>
    <row r="31" spans="2:83" x14ac:dyDescent="0.3">
      <c r="O31" s="33" t="str">
        <f ca="1">IF(AND(O11="monk",O12&gt;=13),"Tongue of the Sun and Moon"," ")</f>
        <v xml:space="preserve"> </v>
      </c>
      <c r="AE31" s="29">
        <f ca="1">RANDBETWEEN(2,16)</f>
        <v>15</v>
      </c>
      <c r="AI31" s="29">
        <v>4</v>
      </c>
      <c r="AK31" s="29" t="str">
        <f ca="1">IF(P15="college of lore",INDEX(#REF!,MATCH(AI31,(#REF!),0))," ")</f>
        <v xml:space="preserve"> </v>
      </c>
      <c r="AR31" s="29" t="str">
        <f ca="1">IF(O11="rogue",INDEX(#REF!,MATCH(AI31,(#REF!),0))," ")</f>
        <v xml:space="preserve"> </v>
      </c>
      <c r="AT31" s="29" t="str">
        <f ca="1">IF(OR(COUNTIF(O18:O25,"*"&amp;"beguiling influence"&amp;"*"),COUNTIF(O13:O13,"*"&amp;"beguiling influence"&amp;"*")),"Persuasion"," ")</f>
        <v xml:space="preserve"> </v>
      </c>
      <c r="BN31" s="29">
        <f t="shared" ca="1" si="29"/>
        <v>3</v>
      </c>
      <c r="BO31" s="29">
        <f ca="1">IF(BP31="History",RAND(),0)</f>
        <v>0</v>
      </c>
      <c r="BP31" s="29" t="str">
        <f t="shared" ca="1" si="33"/>
        <v xml:space="preserve"> </v>
      </c>
      <c r="BR31" s="29">
        <f t="shared" ca="1" si="30"/>
        <v>11</v>
      </c>
      <c r="BS31" s="29">
        <f t="shared" ca="1" si="31"/>
        <v>0.36951320598094251</v>
      </c>
      <c r="BU31" s="29">
        <f ca="1">_xlfn.RANK.EQ(BV31,$BV$30:$BV$32)</f>
        <v>1</v>
      </c>
      <c r="BV31" s="29">
        <f ca="1">IF(BW31="Nature",RAND(),0)</f>
        <v>0</v>
      </c>
      <c r="BW31" s="29" t="str">
        <f ca="1">IF(OR($AV$16&gt;=1,$BR$16&gt;=1,BM16&gt;=1),"Nature"," ")</f>
        <v xml:space="preserve"> </v>
      </c>
      <c r="BY31" s="29">
        <f ca="1">_xlfn.RANK.EQ(BZ31,$BZ$30:$BZ$32)</f>
        <v>1</v>
      </c>
      <c r="BZ31" s="29">
        <f t="shared" ca="1" si="32"/>
        <v>0.34486171123585396</v>
      </c>
      <c r="CB31" s="35">
        <f ca="1">_xlfn.RANK.EQ(CC31,$CC$30:$CC$34)</f>
        <v>4</v>
      </c>
      <c r="CC31" s="36">
        <f ca="1">IF(BM12&gt;0,0,RAND())</f>
        <v>9.5991761715518042E-2</v>
      </c>
      <c r="CD31" s="29" t="s">
        <v>17</v>
      </c>
      <c r="CE31" s="31"/>
    </row>
    <row r="32" spans="2:83" x14ac:dyDescent="0.3">
      <c r="O32" s="33" t="str">
        <f ca="1">IF(AND(O11="monk",O12&gt;=14),"Diamond Soul"," ")</f>
        <v xml:space="preserve"> </v>
      </c>
      <c r="AE32" s="29">
        <f ca="1">RANDBETWEEN(2,20)</f>
        <v>20</v>
      </c>
      <c r="AI32" s="29">
        <v>5</v>
      </c>
      <c r="AK32" s="29" t="str">
        <f ca="1">IF(P15="college of lore",INDEX(#REF!,MATCH(AI32,(#REF!),0))," ")</f>
        <v xml:space="preserve"> </v>
      </c>
      <c r="BN32" s="29">
        <f t="shared" ca="1" si="29"/>
        <v>3</v>
      </c>
      <c r="BO32" s="29">
        <f ca="1">IF(BP32="Insight",RAND(),0)</f>
        <v>0</v>
      </c>
      <c r="BP32" s="29" t="str">
        <f t="shared" ca="1" si="33"/>
        <v xml:space="preserve"> </v>
      </c>
      <c r="BR32" s="29">
        <f t="shared" ca="1" si="30"/>
        <v>13</v>
      </c>
      <c r="BS32" s="29">
        <f t="shared" ca="1" si="31"/>
        <v>0.32928989214803128</v>
      </c>
      <c r="BU32" s="29">
        <f ca="1">_xlfn.RANK.EQ(BV32,$BV$30:$BV$32)</f>
        <v>1</v>
      </c>
      <c r="BV32" s="29">
        <f ca="1">IF(BW32="Survival",RAND(),0)</f>
        <v>0</v>
      </c>
      <c r="BW32" s="29" t="str">
        <f ca="1">IF(OR($AV$23&gt;=1,$BR$23&gt;=1,BM23&gt;=1),"Survival"," ")</f>
        <v xml:space="preserve"> </v>
      </c>
      <c r="BY32" s="29">
        <f ca="1">_xlfn.RANK.EQ(BZ32,$BZ$30:$BZ$32)</f>
        <v>3</v>
      </c>
      <c r="BZ32" s="29">
        <f t="shared" ca="1" si="32"/>
        <v>0.12312401678871998</v>
      </c>
      <c r="CB32" s="35">
        <f ca="1">_xlfn.RANK.EQ(CC32,$CC$30:$CC$34)</f>
        <v>5</v>
      </c>
      <c r="CC32" s="36">
        <f ca="1">IF(BM15&gt;0,0,RAND())</f>
        <v>1.9500544240671158E-2</v>
      </c>
      <c r="CD32" s="29" t="s">
        <v>20</v>
      </c>
    </row>
    <row r="33" spans="1:83" x14ac:dyDescent="0.3">
      <c r="O33" s="33" t="str">
        <f ca="1">IF(AND(O11="monk",O12&gt;=15),"Timeless Body"," ")</f>
        <v xml:space="preserve"> </v>
      </c>
      <c r="AI33" s="29">
        <v>6</v>
      </c>
      <c r="AK33" s="29" t="str">
        <f ca="1">IF(P15="college of lore",INDEX(#REF!,MATCH(AI33,(#REF!),0))," ")</f>
        <v xml:space="preserve"> </v>
      </c>
      <c r="BN33" s="29">
        <f t="shared" ca="1" si="29"/>
        <v>2</v>
      </c>
      <c r="BO33" s="29">
        <f ca="1">IF(BP33="Intimidation",RAND(),0)</f>
        <v>8.152620926546339E-2</v>
      </c>
      <c r="BP33" s="29" t="str">
        <f t="shared" ca="1" si="33"/>
        <v>Intimidation</v>
      </c>
      <c r="BR33" s="29">
        <f t="shared" ca="1" si="30"/>
        <v>17</v>
      </c>
      <c r="BS33" s="29">
        <f t="shared" ca="1" si="31"/>
        <v>0</v>
      </c>
      <c r="CB33" s="35">
        <f ca="1">_xlfn.RANK.EQ(CC33,$CC$30:$CC$34)</f>
        <v>1</v>
      </c>
      <c r="CC33" s="36">
        <f ca="1">IF(BM19&gt;0,0,RAND())</f>
        <v>0.77874572211549042</v>
      </c>
      <c r="CD33" s="29" t="s">
        <v>24</v>
      </c>
    </row>
    <row r="34" spans="1:83" x14ac:dyDescent="0.3">
      <c r="O34" s="33" t="str">
        <f ca="1">IF(AND(O11="Monk",O12&gt;=18),"Empty Body"," ")</f>
        <v xml:space="preserve"> </v>
      </c>
      <c r="BN34" s="29">
        <f t="shared" ca="1" si="29"/>
        <v>3</v>
      </c>
      <c r="BO34" s="29">
        <f ca="1">IF(BP34="Investigation",RAND(),0)</f>
        <v>0</v>
      </c>
      <c r="BP34" s="29" t="str">
        <f t="shared" ca="1" si="33"/>
        <v xml:space="preserve"> </v>
      </c>
      <c r="BR34" s="29">
        <f t="shared" ca="1" si="30"/>
        <v>8</v>
      </c>
      <c r="BS34" s="29">
        <f t="shared" ca="1" si="31"/>
        <v>0.53177988106384311</v>
      </c>
      <c r="CB34" s="35">
        <f ca="1">_xlfn.RANK.EQ(CC34,$CC$30:$CC$34)</f>
        <v>3</v>
      </c>
      <c r="CC34" s="36">
        <f ca="1">IF(BM20&gt;0,0,RAND())</f>
        <v>0.3173604462921471</v>
      </c>
      <c r="CD34" s="29" t="s">
        <v>25</v>
      </c>
    </row>
    <row r="35" spans="1:83" x14ac:dyDescent="0.3">
      <c r="O35" s="33" t="str">
        <f ca="1">IF(AND(O11="monk",O12&gt;=20),"Perfect Body"," ")</f>
        <v xml:space="preserve"> </v>
      </c>
      <c r="AE35" s="29" t="s">
        <v>2255</v>
      </c>
      <c r="AF35" s="29">
        <f ca="1">RANDBETWEEN(1,3)</f>
        <v>1</v>
      </c>
      <c r="BN35" s="29">
        <f t="shared" ca="1" si="29"/>
        <v>3</v>
      </c>
      <c r="BO35" s="29">
        <f ca="1">IF(BP35="Medicine",RAND(),0)</f>
        <v>0</v>
      </c>
      <c r="BP35" s="29" t="str">
        <f t="shared" ca="1" si="33"/>
        <v xml:space="preserve"> </v>
      </c>
      <c r="BR35" s="29">
        <f t="shared" ca="1" si="30"/>
        <v>10</v>
      </c>
      <c r="BS35" s="29">
        <f t="shared" ca="1" si="31"/>
        <v>0.44008274530512526</v>
      </c>
    </row>
    <row r="36" spans="1:83" ht="19.5" thickBot="1" x14ac:dyDescent="0.35">
      <c r="A36" s="33"/>
      <c r="B36" s="38"/>
      <c r="C36" s="38"/>
      <c r="D36" s="38"/>
      <c r="E36" s="38"/>
      <c r="F36" s="38"/>
      <c r="G36" s="38"/>
      <c r="H36" s="38"/>
      <c r="I36" s="38"/>
      <c r="J36" s="38"/>
      <c r="K36" s="38"/>
      <c r="L36" s="38"/>
      <c r="M36" s="38"/>
      <c r="N36" s="38"/>
      <c r="O36" s="38"/>
      <c r="P36" s="38"/>
      <c r="AE36" s="29" t="s">
        <v>2256</v>
      </c>
      <c r="AF36" s="29">
        <f ca="1">RANDBETWEEN(1,2)</f>
        <v>2</v>
      </c>
      <c r="BN36" s="29">
        <f t="shared" ca="1" si="29"/>
        <v>3</v>
      </c>
      <c r="BO36" s="29">
        <f ca="1">IF(BP36="Nature",RAND(),0)</f>
        <v>0</v>
      </c>
      <c r="BP36" s="29" t="str">
        <f t="shared" ca="1" si="33"/>
        <v xml:space="preserve"> </v>
      </c>
      <c r="BR36" s="29">
        <f t="shared" ca="1" si="30"/>
        <v>15</v>
      </c>
      <c r="BS36" s="29">
        <f t="shared" ca="1" si="31"/>
        <v>0.25876711495534854</v>
      </c>
      <c r="CB36" s="31" t="s">
        <v>730</v>
      </c>
      <c r="CE36" s="31"/>
    </row>
    <row r="37" spans="1:83" ht="30.75" thickBot="1" x14ac:dyDescent="0.45">
      <c r="A37" s="137"/>
      <c r="B37" s="122" t="s">
        <v>10</v>
      </c>
      <c r="C37" s="53" t="s">
        <v>710</v>
      </c>
      <c r="D37" s="53" t="s">
        <v>676</v>
      </c>
      <c r="E37" s="53" t="s">
        <v>677</v>
      </c>
      <c r="F37" s="53" t="s">
        <v>678</v>
      </c>
      <c r="G37" s="53" t="s">
        <v>679</v>
      </c>
      <c r="H37" s="53" t="s">
        <v>680</v>
      </c>
      <c r="I37" s="53" t="s">
        <v>675</v>
      </c>
      <c r="J37" s="53"/>
      <c r="K37" s="53"/>
      <c r="L37" s="53"/>
      <c r="M37" s="53"/>
      <c r="N37" s="53"/>
      <c r="O37" s="53" t="s">
        <v>8</v>
      </c>
      <c r="P37" s="116" t="s">
        <v>9</v>
      </c>
      <c r="BN37" s="29">
        <f t="shared" ca="1" si="29"/>
        <v>3</v>
      </c>
      <c r="BO37" s="29">
        <f ca="1">IF(BP37="Perception",RAND(),0)</f>
        <v>0</v>
      </c>
      <c r="BP37" s="29" t="str">
        <f t="shared" ca="1" si="33"/>
        <v xml:space="preserve"> </v>
      </c>
      <c r="BR37" s="29">
        <f t="shared" ca="1" si="30"/>
        <v>14</v>
      </c>
      <c r="BS37" s="29">
        <f t="shared" ca="1" si="31"/>
        <v>0.2659974796447826</v>
      </c>
      <c r="CB37" s="35">
        <f t="shared" ref="CB37:CB44" ca="1" si="34">_xlfn.RANK.EQ(CC37,$CC$37:$CC$44)</f>
        <v>4</v>
      </c>
      <c r="CC37" s="36">
        <f ca="1">IF(BM8&gt;0,0,RAND())</f>
        <v>0.55005636623332599</v>
      </c>
      <c r="CD37" s="29" t="s">
        <v>13</v>
      </c>
    </row>
    <row r="38" spans="1:83" ht="19.5" thickTop="1" x14ac:dyDescent="0.3">
      <c r="A38" s="137"/>
      <c r="B38" s="33" t="s">
        <v>1</v>
      </c>
      <c r="C38" s="33" t="str">
        <f ca="1">IF(O26="Primal Champion",4," ")</f>
        <v xml:space="preserve"> </v>
      </c>
      <c r="D38" s="33" t="str">
        <f ca="1">IF(AND($AF$2="strength",$AF$3="strength"),2,IF(OR($AF$2="strength",$AF$3="strength"),1," "))</f>
        <v xml:space="preserve"> </v>
      </c>
      <c r="E38" s="33" t="str">
        <f ca="1">IF(AND($AF$4="strength",$AF$5="strength"),2,IF(OR($AF$4="strength",$AF$5="strength"),1," "))</f>
        <v xml:space="preserve"> </v>
      </c>
      <c r="F38" s="33" t="str">
        <f ca="1">IF(AND($AF$6="strength",$AF$7="strength"),2,IF(OR($AF$6="strength",$AF$7="strength"),1," "))</f>
        <v xml:space="preserve"> </v>
      </c>
      <c r="G38" s="33" t="str">
        <f ca="1">IF(AND($AF$8="strength",$AF$9="strength"),2,IF(OR($AF$8="strength",$AF$9="strength"),1," "))</f>
        <v xml:space="preserve"> </v>
      </c>
      <c r="H38" s="33" t="str">
        <f ca="1">IF(AND($AF$10="strength",$AF$11="strength"),2,IF(OR($AF$10="strength",$AF$11="strength"),1," "))</f>
        <v xml:space="preserve"> </v>
      </c>
      <c r="I38" s="33">
        <f ca="1">IF(OR(Q2="dragonborn",P2="mountain",Q2="Half-orc"),SUM(J38:M38)-SMALL(J38:M38,1)+2,IF(Q2="human",(SUM(J38:M38)-SMALL(J38:M38,1)+1),(SUM(J38:M38)-SMALL(J38:M38,1))))</f>
        <v>8</v>
      </c>
      <c r="J38" s="33">
        <f t="shared" ref="J38:M43" ca="1" si="35">RANDBETWEEN(1,6)</f>
        <v>2</v>
      </c>
      <c r="K38" s="33">
        <f t="shared" ca="1" si="35"/>
        <v>4</v>
      </c>
      <c r="L38" s="33">
        <f t="shared" ca="1" si="35"/>
        <v>1</v>
      </c>
      <c r="M38" s="33">
        <f t="shared" ca="1" si="35"/>
        <v>2</v>
      </c>
      <c r="N38" s="33"/>
      <c r="O38" s="33">
        <f ca="1">IF(OR(O11="barbarian",O11="fighter",O11="paladin"),MAX(13,(SUM(C38:I38))),IF(OR(Q11="barbarian",Q11="fighter",Q11="paladin"),MAX(13,(SUM(C38:I38))),SUM(C38:I38)))</f>
        <v>8</v>
      </c>
      <c r="P38" s="117">
        <f ca="1">VLOOKUP(O38,Table1[],2)</f>
        <v>-1</v>
      </c>
      <c r="BN38" s="29">
        <f t="shared" ca="1" si="29"/>
        <v>3</v>
      </c>
      <c r="BO38" s="29">
        <f ca="1">IF(BP38="Performance",RAND(),0)</f>
        <v>0</v>
      </c>
      <c r="BP38" s="29" t="str">
        <f t="shared" ca="1" si="33"/>
        <v xml:space="preserve"> </v>
      </c>
      <c r="BR38" s="29">
        <f t="shared" ca="1" si="30"/>
        <v>12</v>
      </c>
      <c r="BS38" s="29">
        <f t="shared" ca="1" si="31"/>
        <v>0.3662440981601699</v>
      </c>
      <c r="CB38" s="35">
        <f t="shared" ca="1" si="34"/>
        <v>6</v>
      </c>
      <c r="CC38" s="36">
        <f ca="1">IF(BM7&gt;0,0,RAND())</f>
        <v>0.39188189567583032</v>
      </c>
      <c r="CD38" s="29" t="s">
        <v>29</v>
      </c>
    </row>
    <row r="39" spans="1:83" x14ac:dyDescent="0.3">
      <c r="A39" s="137"/>
      <c r="B39" s="33" t="s">
        <v>2</v>
      </c>
      <c r="C39" s="33"/>
      <c r="D39" s="33" t="str">
        <f ca="1">IF(AND($AF$2="dexterity",$AF$3="dexterity"),2,IF(OR($AF$2="dexterity",$AF$3="dexterity"),1," "))</f>
        <v xml:space="preserve"> </v>
      </c>
      <c r="E39" s="33" t="str">
        <f ca="1">IF(AND($AF$4="dexterity",$AF$5="dexterity"),2,IF(OR($AF$4="dexterity",$AF$5="dexterity"),1," "))</f>
        <v xml:space="preserve"> </v>
      </c>
      <c r="F39" s="33" t="str">
        <f ca="1">IF(AND($AF$6="dexterity",$AF$7="dexterity"),2,IF(OR($AF$6="dexterity",$AF$7="dexterity"),1," "))</f>
        <v xml:space="preserve"> </v>
      </c>
      <c r="G39" s="33" t="str">
        <f ca="1">IF(AND($AF$8="dexterity",$AF$9="dexterity"),2,IF(OR($AF$8="dexterity",$AF$9="dexterity"),1," "))</f>
        <v xml:space="preserve"> </v>
      </c>
      <c r="H39" s="33" t="str">
        <f ca="1">IF(AND($AF$10="dexterity",$AF$11="dexterity"),2,IF(OR($AF$10="dexterity",$AF$11="dexterity"),1," "))</f>
        <v xml:space="preserve"> </v>
      </c>
      <c r="I39" s="33">
        <f ca="1">IF(OR(Q2="elf",Q2="halfling"),SUM(J39:M39)-SMALL(J39:M39,1)+2,IF(OR(Q2="human",P2="forest",Q2="half-elf"),SUM(J39:M39)-SMALL(J39:M39,1)+1,SUM(J39:M39)-SMALL(J39:M39,1)))</f>
        <v>8</v>
      </c>
      <c r="J39" s="33">
        <f t="shared" ca="1" si="35"/>
        <v>1</v>
      </c>
      <c r="K39" s="33">
        <f t="shared" ca="1" si="35"/>
        <v>1</v>
      </c>
      <c r="L39" s="33">
        <f t="shared" ca="1" si="35"/>
        <v>3</v>
      </c>
      <c r="M39" s="33">
        <f t="shared" ca="1" si="35"/>
        <v>4</v>
      </c>
      <c r="N39" s="33"/>
      <c r="O39" s="33">
        <f ca="1">IF(OR(O11="fighter",O11="ranger",O11="rogue"),MAX(13,(SUM(C39:I39))),IF(OR(Q11="fighter",Q11="ranger",Q11="rogue"),MAX(13,(SUM(C39:I39))),SUM(C39:I39)))</f>
        <v>13</v>
      </c>
      <c r="P39" s="117">
        <f ca="1">VLOOKUP(O39,Table1[],2)</f>
        <v>1</v>
      </c>
      <c r="BN39" s="29">
        <f t="shared" ca="1" si="29"/>
        <v>3</v>
      </c>
      <c r="BO39" s="29">
        <f ca="1">IF(BP39="Persuasion",RAND(),0)</f>
        <v>0</v>
      </c>
      <c r="BP39" s="29" t="str">
        <f t="shared" ca="1" si="33"/>
        <v xml:space="preserve"> </v>
      </c>
      <c r="BR39" s="29">
        <f t="shared" ca="1" si="30"/>
        <v>2</v>
      </c>
      <c r="BS39" s="29">
        <f t="shared" ca="1" si="31"/>
        <v>0.95559715336194817</v>
      </c>
      <c r="CB39" s="35">
        <f t="shared" ca="1" si="34"/>
        <v>3</v>
      </c>
      <c r="CC39" s="36">
        <f ca="1">IF(BM12&gt;0,0,RAND())</f>
        <v>0.76526629425841619</v>
      </c>
      <c r="CD39" s="29" t="s">
        <v>17</v>
      </c>
    </row>
    <row r="40" spans="1:83" x14ac:dyDescent="0.3">
      <c r="A40" s="137"/>
      <c r="B40" s="33" t="s">
        <v>3</v>
      </c>
      <c r="C40" s="33" t="str">
        <f ca="1">IF(O26="primal Champion",4," ")</f>
        <v xml:space="preserve"> </v>
      </c>
      <c r="D40" s="33" t="str">
        <f ca="1">IF(AND($AF$2="constitution",$AF$3="constitution"),2,IF(OR($AF$2="constitution",$AF$3="constitution"),1," "))</f>
        <v xml:space="preserve"> </v>
      </c>
      <c r="E40" s="33">
        <f ca="1">IF(AND($AF$4="constitution",$AF$5="constitution"),2,IF(OR($AF$4="constitution",$AF$5="constitution"),1," "))</f>
        <v>1</v>
      </c>
      <c r="F40" s="33" t="str">
        <f ca="1">IF(AND($AF$6="constitution",$AF$7="constitution"),2,IF(OR($AF$6="constitution",$AF$7="constitution"),1," "))</f>
        <v xml:space="preserve"> </v>
      </c>
      <c r="G40" s="33" t="str">
        <f ca="1">IF(AND($AF$8="constitution",$AF$9="constitution"),2,IF(OR($AF$8="constitution",$AF$9="constitution"),1," "))</f>
        <v xml:space="preserve"> </v>
      </c>
      <c r="H40" s="33" t="str">
        <f ca="1">IF(AND($AF$10="constitution",$AF$11="constitution"),2,IF(OR($AF$10="constitution",$AF$11="constitution"),1," "))</f>
        <v xml:space="preserve"> </v>
      </c>
      <c r="I40" s="33">
        <f ca="1">IF(Q2="dwarf",SUM(J40:M40)-SMALL(J40:M40,1)+2,IF(OR(P2="stout",Q2="human",P2="rock",Q2="half-elf",Q2="half-orc"),SUM(J40:M40)-SMALL(J40:M40,1)+1,SUM(J40:M40)-SMALL(J40:M40,1)))</f>
        <v>8</v>
      </c>
      <c r="J40" s="33">
        <f t="shared" ca="1" si="35"/>
        <v>1</v>
      </c>
      <c r="K40" s="33">
        <f t="shared" ca="1" si="35"/>
        <v>4</v>
      </c>
      <c r="L40" s="33">
        <f t="shared" ca="1" si="35"/>
        <v>2</v>
      </c>
      <c r="M40" s="33">
        <f t="shared" ca="1" si="35"/>
        <v>2</v>
      </c>
      <c r="N40" s="33"/>
      <c r="O40" s="33">
        <f ca="1">SUM(C40:I40)</f>
        <v>9</v>
      </c>
      <c r="P40" s="117">
        <f ca="1">IF(P2="hill",VLOOKUP(O40,Table1[],2)+1,VLOOKUP(O40,Table1[],2))</f>
        <v>-1</v>
      </c>
      <c r="AJ40" s="29" t="s">
        <v>1650</v>
      </c>
      <c r="AK40" s="29" t="s">
        <v>530</v>
      </c>
      <c r="BN40" s="29">
        <f t="shared" ca="1" si="29"/>
        <v>3</v>
      </c>
      <c r="BO40" s="29">
        <f ca="1">IF(BP40="Religion",RAND(),0)</f>
        <v>0</v>
      </c>
      <c r="BP40" s="29" t="str">
        <f t="shared" ca="1" si="33"/>
        <v xml:space="preserve"> </v>
      </c>
      <c r="BR40" s="29">
        <f t="shared" ca="1" si="30"/>
        <v>16</v>
      </c>
      <c r="BS40" s="29">
        <f t="shared" ca="1" si="31"/>
        <v>1.6151867389849417E-2</v>
      </c>
      <c r="CB40" s="35">
        <f t="shared" ca="1" si="34"/>
        <v>1</v>
      </c>
      <c r="CC40" s="36">
        <f ca="1">IF(BM15&gt;0,0,RAND())</f>
        <v>0.96814973558441297</v>
      </c>
      <c r="CD40" s="29" t="s">
        <v>20</v>
      </c>
    </row>
    <row r="41" spans="1:83" x14ac:dyDescent="0.3">
      <c r="A41" s="137"/>
      <c r="B41" s="33" t="s">
        <v>4</v>
      </c>
      <c r="C41" s="33"/>
      <c r="D41" s="33">
        <f ca="1">IF(AND($AF$2="intelligence",$AF$3="intelligence"),2,IF(OR($AF$2="Intelligence",$AF$3="intelligence"),1," "))</f>
        <v>1</v>
      </c>
      <c r="E41" s="33" t="str">
        <f ca="1">IF(AND($AF$4="intelligence",$AF$5="intelligence"),2,IF(OR($AF$4="Intelligence",$AF$5="intelligence"),1," "))</f>
        <v xml:space="preserve"> </v>
      </c>
      <c r="F41" s="33" t="str">
        <f ca="1">IF(AND($AF$6="intelligence",$AF$7="intelligence"),2,IF(OR($AF$6="Intelligence",$AF$7="intelligence"),1," "))</f>
        <v xml:space="preserve"> </v>
      </c>
      <c r="G41" s="33" t="str">
        <f ca="1">IF(AND($AF$8="intelligence",$AF$9="intelligence"),2,IF(OR($AF$8="Intelligence",$AF$9="intelligence"),1," "))</f>
        <v xml:space="preserve"> </v>
      </c>
      <c r="H41" s="33" t="str">
        <f ca="1">IF(AND($AF$10="intelligence",$AF$11="intelligence"),2,IF(OR($AF$10="Intelligence",$AF$11="intelligence"),1," "))</f>
        <v xml:space="preserve"> </v>
      </c>
      <c r="I41" s="33">
        <f ca="1">IF(OR(P2="high",Q2="human",Q2="tiefling"),SUM(J41:M41)-SMALL(J41:M41,1)+1,IF(Q2="gnome",SUM(J41:M41)-SMALL(J41:M41,1)+2,SUM(J41:M41)-SMALL(J41:M41,1)))</f>
        <v>14</v>
      </c>
      <c r="J41" s="33">
        <f t="shared" ca="1" si="35"/>
        <v>6</v>
      </c>
      <c r="K41" s="33">
        <f t="shared" ca="1" si="35"/>
        <v>3</v>
      </c>
      <c r="L41" s="33">
        <f t="shared" ca="1" si="35"/>
        <v>4</v>
      </c>
      <c r="M41" s="33">
        <f t="shared" ca="1" si="35"/>
        <v>2</v>
      </c>
      <c r="N41" s="33"/>
      <c r="O41" s="33">
        <f ca="1">IF(O11="wizard",MAX(13,(SUM(C41:I41))),IF(Q11="wizard",MAX(13,(SUM(C41:I41))),SUM(C41:I41)))</f>
        <v>15</v>
      </c>
      <c r="P41" s="117">
        <f ca="1">VLOOKUP(O41,Table1[],2)</f>
        <v>2</v>
      </c>
      <c r="AJ41" s="29" t="s">
        <v>1649</v>
      </c>
      <c r="AK41" s="29" t="str">
        <f ca="1">IF(Q11="wizard",((Q12-1)*2)+6," ")</f>
        <v xml:space="preserve"> </v>
      </c>
      <c r="BN41" s="29">
        <f t="shared" ca="1" si="29"/>
        <v>3</v>
      </c>
      <c r="BO41" s="29">
        <f ca="1">IF(BP41="Sleight of Hand",RAND(),0)</f>
        <v>0</v>
      </c>
      <c r="BP41" s="29" t="str">
        <f t="shared" ca="1" si="33"/>
        <v xml:space="preserve"> </v>
      </c>
      <c r="BR41" s="29">
        <f t="shared" ca="1" si="30"/>
        <v>6</v>
      </c>
      <c r="BS41" s="29">
        <f t="shared" ca="1" si="31"/>
        <v>0.6026997049425431</v>
      </c>
      <c r="CB41" s="35">
        <f t="shared" ca="1" si="34"/>
        <v>8</v>
      </c>
      <c r="CC41" s="36">
        <f ca="1">IF(BM16&gt;0,0,RAND())</f>
        <v>3.3416433302820625E-2</v>
      </c>
      <c r="CD41" s="29" t="s">
        <v>21</v>
      </c>
      <c r="CE41" s="31"/>
    </row>
    <row r="42" spans="1:83" x14ac:dyDescent="0.3">
      <c r="A42" s="137"/>
      <c r="B42" s="33" t="s">
        <v>5</v>
      </c>
      <c r="C42" s="33"/>
      <c r="D42" s="33">
        <f ca="1">IF(AND($AF$2="wisdom",$AF$3="wisdom"),2,IF(OR($AF$2="wisdom",$AF$3="wisdom"),1," "))</f>
        <v>1</v>
      </c>
      <c r="E42" s="33" t="str">
        <f ca="1">IF(AND($AF$4="wisdom",$AF$5="wisdom"),2,IF(OR($AF$4="wisdom",$AF$5="wisdom"),1," "))</f>
        <v xml:space="preserve"> </v>
      </c>
      <c r="F42" s="33" t="str">
        <f ca="1">IF(AND($AF$6="wisdom",$AF$7="wisdom"),2,IF(OR($AF$6="wisdom",$AF$7="wisdom"),1," "))</f>
        <v xml:space="preserve"> </v>
      </c>
      <c r="G42" s="33" t="str">
        <f ca="1">IF(AND($AF$8="wisdom",$AF$9="wisdom"),2,IF(OR($AF$8="wisdom",$AF$9="wisdom"),1," "))</f>
        <v xml:space="preserve"> </v>
      </c>
      <c r="H42" s="33" t="str">
        <f ca="1">IF(AND($AF$10="wisdom",$AF$11="wisdom"),2,IF(OR($AF$10="wisdom",$AF$11="wisdom"),1," "))</f>
        <v xml:space="preserve"> </v>
      </c>
      <c r="I42" s="33">
        <f ca="1">IF(OR(P2="hill",P2="wood",Q2="human"),SUM(J42:M42)-SMALL(J42:M42,1)+1,SUM(J42:M42)-SMALL(J42:M42,1))</f>
        <v>11</v>
      </c>
      <c r="J42" s="33">
        <f t="shared" ca="1" si="35"/>
        <v>3</v>
      </c>
      <c r="K42" s="33">
        <f t="shared" ca="1" si="35"/>
        <v>2</v>
      </c>
      <c r="L42" s="33">
        <f t="shared" ca="1" si="35"/>
        <v>6</v>
      </c>
      <c r="M42" s="33">
        <f t="shared" ca="1" si="35"/>
        <v>2</v>
      </c>
      <c r="N42" s="33"/>
      <c r="O42" s="33">
        <f ca="1">IF(OR(O11="cleric",O11="druid",O11="monk",O11="ranger"),MAX(13,(SUM(C42:I42))),IF(OR(Q11="cleric",Q11="druid",Q11="monk",Q11="ranger"),MAX(13,(SUM(C42:I42))),SUM(C42:I42)))</f>
        <v>13</v>
      </c>
      <c r="P42" s="117">
        <f ca="1">VLOOKUP(O42,Table1[],2)</f>
        <v>1</v>
      </c>
      <c r="BN42" s="29">
        <f t="shared" ca="1" si="29"/>
        <v>3</v>
      </c>
      <c r="BO42" s="29">
        <f ca="1">IF(BP42="Stealth",RAND(),0)</f>
        <v>0</v>
      </c>
      <c r="BP42" s="29" t="str">
        <f t="shared" ca="1" si="33"/>
        <v xml:space="preserve"> </v>
      </c>
      <c r="BR42" s="29">
        <f t="shared" ca="1" si="30"/>
        <v>4</v>
      </c>
      <c r="BS42" s="29">
        <f t="shared" ca="1" si="31"/>
        <v>0.76827231514526495</v>
      </c>
      <c r="CB42" s="35">
        <f t="shared" ca="1" si="34"/>
        <v>5</v>
      </c>
      <c r="CC42" s="36">
        <f ca="1">IF(BM17&gt;0,0,RAND())</f>
        <v>0.47240524767908065</v>
      </c>
      <c r="CD42" s="29" t="s">
        <v>22</v>
      </c>
    </row>
    <row r="43" spans="1:83" ht="19.5" thickBot="1" x14ac:dyDescent="0.35">
      <c r="A43" s="137"/>
      <c r="B43" s="38" t="s">
        <v>6</v>
      </c>
      <c r="C43" s="38"/>
      <c r="D43" s="38" t="str">
        <f ca="1">IF(AND($AF$2="charisma",$AF$3="charisma"),2,IF(OR($AF$2="charisma",$AF$3="charisma"),1," "))</f>
        <v xml:space="preserve"> </v>
      </c>
      <c r="E43" s="38">
        <f ca="1">IF(AND($AF$4="charisma",$AF$5="charisma"),2,IF(OR($AF$4="charisma",$AF$5="charisma"),1," "))</f>
        <v>1</v>
      </c>
      <c r="F43" s="38" t="str">
        <f ca="1">IF(AND($AF$6="charisma",$AF$7="charisma"),2,IF(OR($AF$6="charisma",$AF$7="charisma"),1," "))</f>
        <v xml:space="preserve"> </v>
      </c>
      <c r="G43" s="38" t="str">
        <f ca="1">IF(AND($AF$8="charisma",$AF$9="charisma"),2,IF(OR($AF$8="charisma",$AF$9="charisma"),1," "))</f>
        <v xml:space="preserve"> </v>
      </c>
      <c r="H43" s="38" t="str">
        <f ca="1">IF(AND($AF$10="charisma",$AF$11="charisma"),2,IF(OR($AF$10="charisma",$AF$11="charisma"),1," "))</f>
        <v xml:space="preserve"> </v>
      </c>
      <c r="I43" s="38">
        <f ca="1">IF(OR(P2="dark",P2="lightfoot",Q2="human",Q2="dragonborn"),SUM(J43:M43)-SMALL(J43:M43,1)+1,IF(OR(Q2="half-elf",Q2="tiefling"),SUM(J43:M43)-SMALL(J43:M43,1)+2,SUM(J43:M43)-SMALL(J43:M43,1)))</f>
        <v>16</v>
      </c>
      <c r="J43" s="38">
        <f t="shared" ca="1" si="35"/>
        <v>5</v>
      </c>
      <c r="K43" s="38">
        <f t="shared" ca="1" si="35"/>
        <v>2</v>
      </c>
      <c r="L43" s="38">
        <f t="shared" ca="1" si="35"/>
        <v>3</v>
      </c>
      <c r="M43" s="38">
        <f t="shared" ca="1" si="35"/>
        <v>6</v>
      </c>
      <c r="N43" s="38"/>
      <c r="O43" s="38">
        <f ca="1">IF(OR(O11="bard",O11="paladin",O11="sorcerer",O11="warlock"),MAX(13,(SUM(C43:I43))),IF(OR(Q11="bard",Q11="paladin",Q11="sorcerer",Q11="warlock"),MAX(13,(SUM(C43:I43))),SUM(C43:I43)))</f>
        <v>17</v>
      </c>
      <c r="P43" s="118">
        <f ca="1">VLOOKUP(O43,Table1[],2)</f>
        <v>3</v>
      </c>
      <c r="AJ43" s="31" t="s">
        <v>1166</v>
      </c>
      <c r="AO43" s="57"/>
      <c r="AP43" s="57"/>
      <c r="AQ43" s="57"/>
      <c r="BN43" s="29">
        <f t="shared" ca="1" si="29"/>
        <v>3</v>
      </c>
      <c r="BO43" s="29">
        <f ca="1">IF(BP43="Survival",RAND(),0)</f>
        <v>0</v>
      </c>
      <c r="BP43" s="29" t="str">
        <f t="shared" ca="1" si="33"/>
        <v xml:space="preserve"> </v>
      </c>
      <c r="BR43" s="29">
        <f t="shared" ca="1" si="30"/>
        <v>1</v>
      </c>
      <c r="BS43" s="29">
        <f t="shared" ca="1" si="31"/>
        <v>0.97860815269665724</v>
      </c>
      <c r="CB43" s="35">
        <f t="shared" ca="1" si="34"/>
        <v>2</v>
      </c>
      <c r="CC43" s="36">
        <f ca="1">IF(BM20&gt;0,0,RAND())</f>
        <v>0.94834799309231144</v>
      </c>
      <c r="CD43" s="29" t="s">
        <v>25</v>
      </c>
    </row>
    <row r="44" spans="1:83" ht="19.5" thickBot="1" x14ac:dyDescent="0.35">
      <c r="A44" s="33"/>
      <c r="B44" s="38"/>
      <c r="C44" s="38"/>
      <c r="D44" s="38"/>
      <c r="E44" s="38"/>
      <c r="F44" s="38"/>
      <c r="G44" s="38"/>
      <c r="H44" s="38"/>
      <c r="I44" s="38"/>
      <c r="J44" s="38"/>
      <c r="K44" s="38"/>
      <c r="L44" s="38"/>
      <c r="M44" s="38"/>
      <c r="N44" s="38"/>
      <c r="O44" s="38"/>
      <c r="P44" s="38"/>
      <c r="AJ44" s="58" t="str">
        <f ca="1">IF(Table200335449791848905314378544[[#This Row],[Column2]]=0," ",_xlfn.RANK.EQ(AK44,$AK$44:$AK$53))</f>
        <v xml:space="preserve"> </v>
      </c>
      <c r="AK44" s="29">
        <f ca="1">IF(Table200335449791848905314378544[[#This Row],[Column3]]=" ", 0,RAND())</f>
        <v>0</v>
      </c>
      <c r="AL44" s="29" t="str">
        <f t="shared" ref="AL44:AL53" ca="1" si="36">Q315</f>
        <v xml:space="preserve"> </v>
      </c>
      <c r="AO44" s="29" t="s">
        <v>1962</v>
      </c>
      <c r="CB44" s="35">
        <f t="shared" ca="1" si="34"/>
        <v>7</v>
      </c>
      <c r="CC44" s="36">
        <f ca="1">IF(BM23&gt;0,0,RAND())</f>
        <v>0.29963738283600994</v>
      </c>
      <c r="CD44" s="29" t="s">
        <v>28</v>
      </c>
    </row>
    <row r="45" spans="1:83" ht="30.75" thickBot="1" x14ac:dyDescent="0.45">
      <c r="A45" s="115"/>
      <c r="B45" s="122" t="s">
        <v>37</v>
      </c>
      <c r="C45" s="53"/>
      <c r="D45" s="53"/>
      <c r="E45" s="53"/>
      <c r="F45" s="53"/>
      <c r="G45" s="53"/>
      <c r="H45" s="53"/>
      <c r="I45" s="53"/>
      <c r="J45" s="53"/>
      <c r="K45" s="53"/>
      <c r="L45" s="53"/>
      <c r="M45" s="53"/>
      <c r="N45" s="53"/>
      <c r="O45" s="53" t="s">
        <v>30</v>
      </c>
      <c r="P45" s="116" t="s">
        <v>38</v>
      </c>
      <c r="AJ45" s="58" t="str">
        <f ca="1">IF(Table200335449791848905314378544[[#This Row],[Column2]]=0," ",_xlfn.RANK.EQ(AK45,$AK$44:$AK$53))</f>
        <v xml:space="preserve"> </v>
      </c>
      <c r="AK45" s="29">
        <f ca="1">IF(Table200335449791848905314378544[[#This Row],[Column3]]=" ", 0,RAND())</f>
        <v>0</v>
      </c>
      <c r="AL45" s="29" t="str">
        <f t="shared" ca="1" si="36"/>
        <v xml:space="preserve"> </v>
      </c>
      <c r="AO45" s="29" t="str">
        <f ca="1">IF(Table293375489831888945361417583[[#This Row],[Column2]]=0," ",_xlfn.RANK.EQ(Table293375489831888945361417583[[#This Row],[Column2]],$AP$45:$AP$59))</f>
        <v xml:space="preserve"> </v>
      </c>
      <c r="AP45" s="29">
        <f ca="1">IF(OR(Table293375489831888945361417583[[#This Row],[Column3]]=" ",Table293375489831888945361417583[[#This Row],[Column3]]="simple weapons"), 0,RAND())</f>
        <v>0</v>
      </c>
      <c r="AQ45" s="29" t="str">
        <f ca="1">P76</f>
        <v>Simple Weapons</v>
      </c>
    </row>
    <row r="46" spans="1:83" ht="19.5" thickTop="1" x14ac:dyDescent="0.3">
      <c r="A46" s="137"/>
      <c r="B46" s="33" t="s">
        <v>1</v>
      </c>
      <c r="C46" s="33"/>
      <c r="D46" s="33"/>
      <c r="E46" s="33"/>
      <c r="F46" s="33"/>
      <c r="G46" s="33"/>
      <c r="H46" s="33"/>
      <c r="I46" s="33"/>
      <c r="J46" s="33"/>
      <c r="K46" s="33"/>
      <c r="L46" s="33"/>
      <c r="M46" s="33"/>
      <c r="N46" s="33"/>
      <c r="O46" s="33" t="str">
        <f ca="1">IF(OR($O$11="barbarian",O11="fighter",O11="monk",O11="ranger"),"x"," ")</f>
        <v xml:space="preserve"> </v>
      </c>
      <c r="P46" s="72">
        <f t="shared" ref="P46:P51" ca="1" si="37">IF(O46="x",SUM(P38,$P$8),P38)</f>
        <v>-1</v>
      </c>
      <c r="T46" s="49"/>
      <c r="U46" s="49"/>
      <c r="AJ46" s="58" t="str">
        <f ca="1">IF(Table200335449791848905314378544[[#This Row],[Column2]]=0," ",_xlfn.RANK.EQ(AK46,$AK$44:$AK$53))</f>
        <v xml:space="preserve"> </v>
      </c>
      <c r="AK46" s="29">
        <f ca="1">IF(Table200335449791848905314378544[[#This Row],[Column3]]=" ", 0,RAND())</f>
        <v>0</v>
      </c>
      <c r="AL46" s="29" t="str">
        <f t="shared" ca="1" si="36"/>
        <v xml:space="preserve"> </v>
      </c>
      <c r="AO46" s="29" t="str">
        <f ca="1">IF(Table293375489831888945361417583[[#This Row],[Column2]]=0," ",_xlfn.RANK.EQ(Table293375489831888945361417583[[#This Row],[Column2]],$AP$45:$AP$59))</f>
        <v xml:space="preserve"> </v>
      </c>
      <c r="AP46" s="29">
        <f ca="1">IF(OR(Table293375489831888945361417583[[#This Row],[Column3]]=" ",Table293375489831888945361417583[[#This Row],[Column3]]="martial weapons"), 0,RAND())</f>
        <v>0</v>
      </c>
      <c r="AQ46" s="29" t="str">
        <f ca="1">P77</f>
        <v>Martial Weapons</v>
      </c>
      <c r="CB46" s="31" t="s">
        <v>731</v>
      </c>
      <c r="CE46" s="31"/>
    </row>
    <row r="47" spans="1:83" x14ac:dyDescent="0.3">
      <c r="A47" s="137"/>
      <c r="B47" s="33" t="s">
        <v>2</v>
      </c>
      <c r="C47" s="33"/>
      <c r="D47" s="33"/>
      <c r="E47" s="33"/>
      <c r="F47" s="33"/>
      <c r="G47" s="33"/>
      <c r="H47" s="33"/>
      <c r="I47" s="33"/>
      <c r="J47" s="33"/>
      <c r="K47" s="33"/>
      <c r="L47" s="33"/>
      <c r="M47" s="33"/>
      <c r="N47" s="33"/>
      <c r="O47" s="33" t="str">
        <f ca="1">IF(OR($O$11="bard",O11="monk",O11="ranger",O11="rogue"),"x"," ")</f>
        <v xml:space="preserve"> </v>
      </c>
      <c r="P47" s="72">
        <f t="shared" ca="1" si="37"/>
        <v>1</v>
      </c>
      <c r="T47" s="49"/>
      <c r="U47" s="49"/>
      <c r="AJ47" s="58" t="str">
        <f ca="1">IF(Table200335449791848905314378544[[#This Row],[Column2]]=0," ",_xlfn.RANK.EQ(AK47,$AK$44:$AK$53))</f>
        <v xml:space="preserve"> </v>
      </c>
      <c r="AK47" s="29">
        <f ca="1">IF(Table200335449791848905314378544[[#This Row],[Column3]]=" ", 0,RAND())</f>
        <v>0</v>
      </c>
      <c r="AL47" s="29" t="str">
        <f t="shared" ca="1" si="36"/>
        <v xml:space="preserve"> </v>
      </c>
      <c r="AO47" s="29" t="str">
        <f ca="1">IF(Table293375489831888945361417583[[#This Row],[Column2]]=0," ",_xlfn.RANK.EQ(Table293375489831888945361417583[[#This Row],[Column2]],$AP$45:$AP$59))</f>
        <v xml:space="preserve"> </v>
      </c>
      <c r="AP47" s="29">
        <f ca="1">IF(Table293375489831888945361417583[[#This Row],[Column3]]=" ", 0,RAND())</f>
        <v>0</v>
      </c>
      <c r="AQ47" s="29" t="str">
        <f ca="1">P78</f>
        <v xml:space="preserve"> </v>
      </c>
      <c r="CB47" s="35">
        <f t="shared" ref="CB47:CB54" ca="1" si="38">_xlfn.RANK.EQ(CC47,$CC$47:$CC$54)</f>
        <v>3</v>
      </c>
      <c r="CC47" s="36">
        <f ca="1">IF(BM6&gt;0,0,RAND())</f>
        <v>0.3644084758645586</v>
      </c>
      <c r="CD47" s="29" t="s">
        <v>12</v>
      </c>
    </row>
    <row r="48" spans="1:83" x14ac:dyDescent="0.3">
      <c r="A48" s="137"/>
      <c r="B48" s="33" t="s">
        <v>3</v>
      </c>
      <c r="C48" s="33"/>
      <c r="D48" s="33"/>
      <c r="E48" s="33"/>
      <c r="F48" s="33"/>
      <c r="G48" s="33"/>
      <c r="H48" s="33"/>
      <c r="I48" s="33"/>
      <c r="J48" s="33"/>
      <c r="K48" s="33"/>
      <c r="L48" s="33"/>
      <c r="M48" s="33"/>
      <c r="N48" s="33"/>
      <c r="O48" s="33" t="str">
        <f ca="1">IF(OR(O11="barbarian",O11="fighter",O11="sorcerer"),"x"," ")</f>
        <v>x</v>
      </c>
      <c r="P48" s="72">
        <f t="shared" ca="1" si="37"/>
        <v>3</v>
      </c>
      <c r="T48" s="49"/>
      <c r="U48" s="49"/>
      <c r="AJ48" s="58" t="str">
        <f ca="1">IF(Table200335449791848905314378544[[#This Row],[Column2]]=0," ",_xlfn.RANK.EQ(AK48,$AK$44:$AK$53))</f>
        <v xml:space="preserve"> </v>
      </c>
      <c r="AK48" s="29">
        <f ca="1">IF(Table200335449791848905314378544[[#This Row],[Column3]]=" ", 0,RAND())</f>
        <v>0</v>
      </c>
      <c r="AL48" s="29" t="str">
        <f t="shared" ca="1" si="36"/>
        <v xml:space="preserve"> </v>
      </c>
      <c r="AO48" s="29" t="str">
        <f ca="1">IF(Table293375489831888945361417583[[#This Row],[Column2]]=0," ",_xlfn.RANK.EQ(Table293375489831888945361417583[[#This Row],[Column2]],$AP$45:$AP$59))</f>
        <v xml:space="preserve"> </v>
      </c>
      <c r="AP48" s="29">
        <f ca="1">IF(Table293375489831888945361417583[[#This Row],[Column3]]=" ", 0,RAND())</f>
        <v>0</v>
      </c>
      <c r="AQ48" s="29" t="str">
        <f ca="1">P79</f>
        <v xml:space="preserve"> </v>
      </c>
      <c r="CB48" s="35">
        <f t="shared" ca="1" si="38"/>
        <v>4</v>
      </c>
      <c r="CC48" s="36">
        <f ca="1">IF(BM7&gt;0,0,RAND())</f>
        <v>0.32587880062162877</v>
      </c>
      <c r="CD48" s="29" t="s">
        <v>29</v>
      </c>
    </row>
    <row r="49" spans="1:83" x14ac:dyDescent="0.3">
      <c r="A49" s="137"/>
      <c r="B49" s="33" t="s">
        <v>4</v>
      </c>
      <c r="C49" s="33"/>
      <c r="D49" s="33"/>
      <c r="E49" s="33"/>
      <c r="F49" s="33"/>
      <c r="G49" s="33"/>
      <c r="H49" s="33"/>
      <c r="I49" s="33"/>
      <c r="J49" s="33"/>
      <c r="K49" s="33"/>
      <c r="L49" s="33"/>
      <c r="M49" s="33"/>
      <c r="N49" s="33"/>
      <c r="O49" s="33" t="str">
        <f ca="1">IF(OR(O11="rogue",O11="druid",O11="wizard"),"x"," ")</f>
        <v xml:space="preserve"> </v>
      </c>
      <c r="P49" s="72">
        <f t="shared" ca="1" si="37"/>
        <v>2</v>
      </c>
      <c r="T49" s="49"/>
      <c r="U49" s="49"/>
      <c r="AJ49" s="58" t="str">
        <f ca="1">IF(Table200335449791848905314378544[[#This Row],[Column2]]=0," ",_xlfn.RANK.EQ(AK49,$AK$44:$AK$53))</f>
        <v xml:space="preserve"> </v>
      </c>
      <c r="AK49" s="29">
        <f ca="1">IF(Table200335449791848905314378544[[#This Row],[Column3]]=" ", 0,RAND())</f>
        <v>0</v>
      </c>
      <c r="AL49" s="29" t="str">
        <f t="shared" ca="1" si="36"/>
        <v xml:space="preserve"> </v>
      </c>
      <c r="AO49" s="29" t="str">
        <f ca="1">IF(Table293375489831888945361417583[[#This Row],[Column2]]=0," ",_xlfn.RANK.EQ(Table293375489831888945361417583[[#This Row],[Column2]],$AP$45:$AP$59))</f>
        <v xml:space="preserve"> </v>
      </c>
      <c r="AP49" s="29">
        <f ca="1">IF(Table293375489831888945361417583[[#This Row],[Column3]]=" ", 0,RAND())</f>
        <v>0</v>
      </c>
      <c r="AQ49" s="29" t="str">
        <f ca="1">P80</f>
        <v xml:space="preserve"> </v>
      </c>
      <c r="CB49" s="35">
        <f t="shared" ca="1" si="38"/>
        <v>7</v>
      </c>
      <c r="CC49" s="36">
        <f ca="1">IF(BM9&gt;0,0,RAND())</f>
        <v>0</v>
      </c>
      <c r="CD49" s="29" t="s">
        <v>14</v>
      </c>
    </row>
    <row r="50" spans="1:83" x14ac:dyDescent="0.3">
      <c r="A50" s="137"/>
      <c r="B50" s="33" t="s">
        <v>39</v>
      </c>
      <c r="C50" s="33"/>
      <c r="D50" s="33"/>
      <c r="E50" s="33"/>
      <c r="F50" s="33"/>
      <c r="G50" s="33"/>
      <c r="H50" s="33"/>
      <c r="I50" s="33"/>
      <c r="J50" s="33"/>
      <c r="K50" s="33"/>
      <c r="L50" s="33"/>
      <c r="M50" s="33"/>
      <c r="N50" s="33"/>
      <c r="O50" s="33" t="str">
        <f ca="1">IF(OR(O11="cleric",O11="druid",O11="paladin",O11="warlock",O11="wizard"),"x",IF(AND(O11="rogue",O12&gt;=15),"x"," "))</f>
        <v xml:space="preserve"> </v>
      </c>
      <c r="P50" s="72">
        <f t="shared" ca="1" si="37"/>
        <v>1</v>
      </c>
      <c r="T50" s="49"/>
      <c r="U50" s="49"/>
      <c r="AJ50" s="58" t="str">
        <f ca="1">IF(Table200335449791848905314378544[[#This Row],[Column2]]=0," ",_xlfn.RANK.EQ(AK50,$AK$44:$AK$53))</f>
        <v xml:space="preserve"> </v>
      </c>
      <c r="AK50" s="29">
        <f ca="1">IF(Table200335449791848905314378544[[#This Row],[Column3]]=" ", 0,RAND())</f>
        <v>0</v>
      </c>
      <c r="AL50" s="29" t="str">
        <f t="shared" ca="1" si="36"/>
        <v xml:space="preserve"> </v>
      </c>
      <c r="AO50" s="29" t="str">
        <f ca="1">IF(Table293375489831888945361417583[[#This Row],[Column2]]=0," ",_xlfn.RANK.EQ(Table293375489831888945361417583[[#This Row],[Column2]],$AP$45:$AP$59))</f>
        <v xml:space="preserve"> </v>
      </c>
      <c r="AP50" s="29">
        <f ca="1">IF(Table293375489831888945361417583[[#This Row],[Column3]]=" ", 0,RAND())</f>
        <v>0</v>
      </c>
      <c r="AQ50" s="29" t="str">
        <f ca="1">Q76</f>
        <v xml:space="preserve"> </v>
      </c>
      <c r="CB50" s="35">
        <f t="shared" ca="1" si="38"/>
        <v>1</v>
      </c>
      <c r="CC50" s="36">
        <f ca="1">IF(BM11&gt;0,0,RAND())</f>
        <v>0.72078289615654068</v>
      </c>
      <c r="CD50" s="29" t="s">
        <v>16</v>
      </c>
    </row>
    <row r="51" spans="1:83" ht="19.5" thickBot="1" x14ac:dyDescent="0.35">
      <c r="A51" s="137"/>
      <c r="B51" s="38" t="s">
        <v>6</v>
      </c>
      <c r="C51" s="38"/>
      <c r="D51" s="38"/>
      <c r="E51" s="38"/>
      <c r="F51" s="38"/>
      <c r="G51" s="38"/>
      <c r="H51" s="38"/>
      <c r="I51" s="38"/>
      <c r="J51" s="38"/>
      <c r="K51" s="38"/>
      <c r="L51" s="38"/>
      <c r="M51" s="38"/>
      <c r="N51" s="38"/>
      <c r="O51" s="38" t="str">
        <f ca="1">IF(OR($O$11="bard",O11="cleric",O11="paladin",O11="sorcerer",O11="warlock"),"x"," ")</f>
        <v>x</v>
      </c>
      <c r="P51" s="73">
        <f t="shared" ca="1" si="37"/>
        <v>7</v>
      </c>
      <c r="AJ51" s="58" t="str">
        <f ca="1">IF(Table200335449791848905314378544[[#This Row],[Column2]]=0," ",_xlfn.RANK.EQ(AK51,$AK$44:$AK$53))</f>
        <v xml:space="preserve"> </v>
      </c>
      <c r="AK51" s="29">
        <f ca="1">IF(Table200335449791848905314378544[[#This Row],[Column3]]=" ", 0,RAND())</f>
        <v>0</v>
      </c>
      <c r="AL51" s="29" t="str">
        <f t="shared" ca="1" si="36"/>
        <v xml:space="preserve"> </v>
      </c>
      <c r="AO51" s="29" t="str">
        <f ca="1">IF(Table293375489831888945361417583[[#This Row],[Column2]]=0," ",_xlfn.RANK.EQ(Table293375489831888945361417583[[#This Row],[Column2]],$AP$45:$AP$59))</f>
        <v xml:space="preserve"> </v>
      </c>
      <c r="AP51" s="29">
        <f ca="1">IF(Table293375489831888945361417583[[#This Row],[Column3]]=" ", 0,RAND())</f>
        <v>0</v>
      </c>
      <c r="AQ51" s="29" t="str">
        <f ca="1">Q77</f>
        <v xml:space="preserve"> </v>
      </c>
      <c r="CB51" s="35">
        <f t="shared" ca="1" si="38"/>
        <v>2</v>
      </c>
      <c r="CC51" s="36">
        <f ca="1">IF(BM12&gt;0,0,RAND())</f>
        <v>0.48826009950081872</v>
      </c>
      <c r="CD51" s="29" t="s">
        <v>17</v>
      </c>
      <c r="CE51" s="31"/>
    </row>
    <row r="52" spans="1:83" ht="19.5" thickBot="1" x14ac:dyDescent="0.35">
      <c r="A52" s="138"/>
      <c r="B52" s="99"/>
      <c r="C52" s="99"/>
      <c r="D52" s="99"/>
      <c r="E52" s="99"/>
      <c r="F52" s="99"/>
      <c r="G52" s="99"/>
      <c r="H52" s="99"/>
      <c r="I52" s="99"/>
      <c r="J52" s="99"/>
      <c r="K52" s="99"/>
      <c r="L52" s="99"/>
      <c r="M52" s="99"/>
      <c r="N52" s="99"/>
      <c r="O52" s="99"/>
      <c r="P52" s="99"/>
      <c r="AJ52" s="58" t="str">
        <f ca="1">IF(Table200335449791848905314378544[[#This Row],[Column2]]=0," ",_xlfn.RANK.EQ(AK52,$AK$44:$AK$53))</f>
        <v xml:space="preserve"> </v>
      </c>
      <c r="AK52" s="29">
        <f ca="1">IF(Table200335449791848905314378544[[#This Row],[Column3]]=" ", 0,RAND())</f>
        <v>0</v>
      </c>
      <c r="AL52" s="29" t="str">
        <f t="shared" ca="1" si="36"/>
        <v xml:space="preserve"> </v>
      </c>
      <c r="AO52" s="29" t="str">
        <f ca="1">IF(Table293375489831888945361417583[[#This Row],[Column2]]=0," ",_xlfn.RANK.EQ(Table293375489831888945361417583[[#This Row],[Column2]],$AP$45:$AP$59))</f>
        <v xml:space="preserve"> </v>
      </c>
      <c r="AP52" s="29">
        <f ca="1">IF(Table293375489831888945361417583[[#This Row],[Column3]]=" ", 0,RAND())</f>
        <v>0</v>
      </c>
      <c r="AQ52" s="29" t="str">
        <f ca="1">Q78</f>
        <v xml:space="preserve"> </v>
      </c>
      <c r="CB52" s="35">
        <f t="shared" ca="1" si="38"/>
        <v>7</v>
      </c>
      <c r="CC52" s="36">
        <f ca="1">IF(BM13&gt;0,0,RAND())</f>
        <v>0</v>
      </c>
      <c r="CD52" s="29" t="s">
        <v>18</v>
      </c>
    </row>
    <row r="53" spans="1:83" ht="30.75" thickBot="1" x14ac:dyDescent="0.45">
      <c r="A53" s="137"/>
      <c r="B53" s="122" t="s">
        <v>11</v>
      </c>
      <c r="C53" s="33"/>
      <c r="D53" s="33"/>
      <c r="E53" s="33"/>
      <c r="F53" s="33"/>
      <c r="G53" s="33"/>
      <c r="H53" s="33"/>
      <c r="I53" s="33"/>
      <c r="J53" s="33"/>
      <c r="K53" s="33"/>
      <c r="L53" s="33"/>
      <c r="M53" s="33"/>
      <c r="N53" s="33"/>
      <c r="O53" s="53" t="s">
        <v>30</v>
      </c>
      <c r="P53" s="119" t="s">
        <v>529</v>
      </c>
      <c r="AJ53" s="58" t="str">
        <f ca="1">IF(Table200335449791848905314378544[[#This Row],[Column2]]=0," ",_xlfn.RANK.EQ(AK53,$AK$44:$AK$53))</f>
        <v xml:space="preserve"> </v>
      </c>
      <c r="AK53" s="29">
        <f ca="1">IF(Table200335449791848905314378544[[#This Row],[Column3]]=" ", 0,RAND())</f>
        <v>0</v>
      </c>
      <c r="AL53" s="29" t="str">
        <f t="shared" ca="1" si="36"/>
        <v xml:space="preserve"> </v>
      </c>
      <c r="AO53" s="29" t="str">
        <f ca="1">IF(Table293375489831888945361417583[[#This Row],[Column2]]=0," ",_xlfn.RANK.EQ(Table293375489831888945361417583[[#This Row],[Column2]],$AP$45:$AP$59))</f>
        <v xml:space="preserve"> </v>
      </c>
      <c r="AP53" s="29">
        <f ca="1">IF(Table293375489831888945361417583[[#This Row],[Column3]]=" ", 0,RAND())</f>
        <v>0</v>
      </c>
      <c r="AQ53" s="29" t="str">
        <f ca="1">Q79</f>
        <v xml:space="preserve"> </v>
      </c>
      <c r="CB53" s="35">
        <f t="shared" ca="1" si="38"/>
        <v>5</v>
      </c>
      <c r="CC53" s="36">
        <f ca="1">IF(BM17&gt;0,0,RAND())</f>
        <v>0.17965615178096828</v>
      </c>
      <c r="CD53" s="29" t="s">
        <v>22</v>
      </c>
    </row>
    <row r="54" spans="1:83" ht="19.5" thickTop="1" x14ac:dyDescent="0.3">
      <c r="A54" s="137"/>
      <c r="B54" s="33" t="s">
        <v>12</v>
      </c>
      <c r="C54" s="59"/>
      <c r="D54" s="33"/>
      <c r="E54" s="33"/>
      <c r="F54" s="33"/>
      <c r="G54" s="33"/>
      <c r="H54" s="33"/>
      <c r="I54" s="33"/>
      <c r="J54" s="33"/>
      <c r="K54" s="33"/>
      <c r="L54" s="33"/>
      <c r="M54" s="33"/>
      <c r="N54" s="33"/>
      <c r="O54" s="33" t="str">
        <f t="shared" ref="O54:O71" ca="1" si="39">IF(BU6&gt;0,"x"," ")</f>
        <v>x</v>
      </c>
      <c r="P54" s="120">
        <f ca="1">SUM(BU6,P39)</f>
        <v>2</v>
      </c>
      <c r="AO54" s="29" t="str">
        <f ca="1">IF(Table293375489831888945361417583[[#This Row],[Column2]]=0," ",_xlfn.RANK.EQ(Table293375489831888945361417583[[#This Row],[Column2]],$AP$45:$AP$59))</f>
        <v xml:space="preserve"> </v>
      </c>
      <c r="AP54" s="29">
        <f ca="1">IF(Table293375489831888945361417583[[#This Row],[Column3]]=" ", 0,RAND())</f>
        <v>0</v>
      </c>
      <c r="AQ54" s="29" t="str">
        <f ca="1">Q80</f>
        <v xml:space="preserve"> </v>
      </c>
      <c r="CB54" s="35">
        <f t="shared" ca="1" si="38"/>
        <v>6</v>
      </c>
      <c r="CC54" s="36">
        <f ca="1">IF(BM23&gt;0,0,RAND())</f>
        <v>0.11819450840308643</v>
      </c>
      <c r="CD54" s="29" t="s">
        <v>28</v>
      </c>
    </row>
    <row r="55" spans="1:83" x14ac:dyDescent="0.3">
      <c r="A55" s="137"/>
      <c r="B55" s="33" t="s">
        <v>29</v>
      </c>
      <c r="C55" s="59"/>
      <c r="D55" s="33"/>
      <c r="E55" s="33"/>
      <c r="F55" s="33"/>
      <c r="G55" s="33"/>
      <c r="H55" s="33"/>
      <c r="I55" s="33"/>
      <c r="J55" s="33"/>
      <c r="K55" s="33"/>
      <c r="L55" s="33"/>
      <c r="M55" s="33"/>
      <c r="N55" s="33"/>
      <c r="O55" s="33" t="str">
        <f t="shared" ca="1" si="39"/>
        <v xml:space="preserve"> </v>
      </c>
      <c r="P55" s="120">
        <f ca="1">SUM(BU7,P42)</f>
        <v>1</v>
      </c>
      <c r="AJ55" s="31" t="s">
        <v>1167</v>
      </c>
      <c r="AO55" s="29" t="str">
        <f ca="1">IF(Table293375489831888945361417583[[#This Row],[Column2]]=0," ",_xlfn.RANK.EQ(Table293375489831888945361417583[[#This Row],[Column2]],$AP$45:$AP$59))</f>
        <v xml:space="preserve"> </v>
      </c>
      <c r="AP55" s="29">
        <f ca="1">IF(Table293375489831888945361417583[[#This Row],[Column3]]=" ", 0,RAND())</f>
        <v>0</v>
      </c>
      <c r="AQ55" s="29" t="str">
        <f ca="1">R76</f>
        <v xml:space="preserve"> </v>
      </c>
    </row>
    <row r="56" spans="1:83" x14ac:dyDescent="0.3">
      <c r="A56" s="137"/>
      <c r="B56" s="33" t="s">
        <v>13</v>
      </c>
      <c r="C56" s="33"/>
      <c r="D56" s="33"/>
      <c r="E56" s="33"/>
      <c r="F56" s="33"/>
      <c r="G56" s="33"/>
      <c r="H56" s="33"/>
      <c r="I56" s="33"/>
      <c r="J56" s="33"/>
      <c r="K56" s="33"/>
      <c r="L56" s="33"/>
      <c r="M56" s="33"/>
      <c r="N56" s="33"/>
      <c r="O56" s="33" t="str">
        <f t="shared" ca="1" si="39"/>
        <v xml:space="preserve"> </v>
      </c>
      <c r="P56" s="120">
        <f ca="1">SUM(BU8,P41)</f>
        <v>2</v>
      </c>
      <c r="AJ56" s="58" t="str">
        <f ca="1">IF(Table201336450792849906315379545[[#This Row],[Column2]]=0," ",_xlfn.RANK.EQ(AK56,$AK$56:$AK$65))</f>
        <v xml:space="preserve"> </v>
      </c>
      <c r="AK56" s="29">
        <f ca="1">IF(AL56=" ", 0,RAND())</f>
        <v>0</v>
      </c>
      <c r="AL56" s="29" t="str">
        <f t="shared" ref="AL56:AL65" ca="1" si="40">R315</f>
        <v xml:space="preserve"> </v>
      </c>
      <c r="AO56" s="29" t="str">
        <f ca="1">IF(Table293375489831888945361417583[[#This Row],[Column2]]=0," ",_xlfn.RANK.EQ(Table293375489831888945361417583[[#This Row],[Column2]],$AP$45:$AP$59))</f>
        <v xml:space="preserve"> </v>
      </c>
      <c r="AP56" s="29">
        <f ca="1">IF(Table293375489831888945361417583[[#This Row],[Column3]]=" ", 0,RAND())</f>
        <v>0</v>
      </c>
      <c r="AQ56" s="29" t="str">
        <f ca="1">R77</f>
        <v xml:space="preserve"> </v>
      </c>
      <c r="CB56" s="31" t="s">
        <v>732</v>
      </c>
      <c r="CE56" s="31"/>
    </row>
    <row r="57" spans="1:83" x14ac:dyDescent="0.3">
      <c r="A57" s="137"/>
      <c r="B57" s="33" t="s">
        <v>14</v>
      </c>
      <c r="C57" s="33"/>
      <c r="D57" s="33"/>
      <c r="E57" s="33"/>
      <c r="F57" s="33"/>
      <c r="G57" s="33"/>
      <c r="H57" s="33"/>
      <c r="I57" s="33"/>
      <c r="J57" s="33"/>
      <c r="K57" s="33"/>
      <c r="L57" s="33"/>
      <c r="M57" s="33"/>
      <c r="N57" s="33"/>
      <c r="O57" s="33" t="str">
        <f t="shared" ca="1" si="39"/>
        <v>x</v>
      </c>
      <c r="P57" s="120">
        <f ca="1">SUM(BU9,P38)</f>
        <v>3</v>
      </c>
      <c r="AJ57" s="58" t="str">
        <f ca="1">IF(Table201336450792849906315379545[[#This Row],[Column2]]=0," ",_xlfn.RANK.EQ(AK57,$AK$56:$AK$65))</f>
        <v xml:space="preserve"> </v>
      </c>
      <c r="AK57" s="29">
        <f t="shared" ref="AK57:AK65" ca="1" si="41">IF(AL57=" ", 0,RAND())</f>
        <v>0</v>
      </c>
      <c r="AL57" s="29" t="str">
        <f t="shared" ca="1" si="40"/>
        <v xml:space="preserve"> </v>
      </c>
      <c r="AO57" s="29" t="str">
        <f ca="1">IF(Table293375489831888945361417583[[#This Row],[Column2]]=0," ",_xlfn.RANK.EQ(Table293375489831888945361417583[[#This Row],[Column2]],$AP$45:$AP$59))</f>
        <v xml:space="preserve"> </v>
      </c>
      <c r="AP57" s="29">
        <f ca="1">IF(Table293375489831888945361417583[[#This Row],[Column3]]=" ", 0,RAND())</f>
        <v>0</v>
      </c>
      <c r="AQ57" s="29" t="str">
        <f ca="1">R78</f>
        <v xml:space="preserve"> </v>
      </c>
      <c r="CB57" s="35">
        <f t="shared" ref="CB57:CB62" ca="1" si="42">_xlfn.RANK.EQ(CC57,$CC$57:$CC$62)</f>
        <v>5</v>
      </c>
      <c r="CC57" s="36">
        <f ca="1">IF(BM6&gt;0,0,RAND())</f>
        <v>0.19124958020794514</v>
      </c>
      <c r="CD57" s="29" t="s">
        <v>12</v>
      </c>
    </row>
    <row r="58" spans="1:83" x14ac:dyDescent="0.3">
      <c r="A58" s="137"/>
      <c r="B58" s="33" t="s">
        <v>15</v>
      </c>
      <c r="C58" s="33"/>
      <c r="D58" s="33"/>
      <c r="E58" s="33"/>
      <c r="F58" s="33"/>
      <c r="G58" s="33"/>
      <c r="H58" s="33"/>
      <c r="I58" s="33"/>
      <c r="J58" s="33"/>
      <c r="K58" s="33"/>
      <c r="L58" s="33"/>
      <c r="M58" s="33"/>
      <c r="N58" s="33"/>
      <c r="O58" s="33" t="str">
        <f t="shared" ca="1" si="39"/>
        <v xml:space="preserve"> </v>
      </c>
      <c r="P58" s="120">
        <f ca="1">SUM(BU10,P43)</f>
        <v>3</v>
      </c>
      <c r="AJ58" s="58" t="str">
        <f ca="1">IF(Table201336450792849906315379545[[#This Row],[Column2]]=0," ",_xlfn.RANK.EQ(AK58,$AK$56:$AK$65))</f>
        <v xml:space="preserve"> </v>
      </c>
      <c r="AK58" s="29">
        <f t="shared" ca="1" si="41"/>
        <v>0</v>
      </c>
      <c r="AL58" s="29" t="str">
        <f t="shared" ca="1" si="40"/>
        <v xml:space="preserve"> </v>
      </c>
      <c r="AO58" s="29" t="str">
        <f ca="1">IF(Table293375489831888945361417583[[#This Row],[Column2]]=0," ",_xlfn.RANK.EQ(Table293375489831888945361417583[[#This Row],[Column2]],$AP$45:$AP$59))</f>
        <v xml:space="preserve"> </v>
      </c>
      <c r="AP58" s="29">
        <f ca="1">IF(Table293375489831888945361417583[[#This Row],[Column3]]=" ", 0,RAND())</f>
        <v>0</v>
      </c>
      <c r="AQ58" s="29" t="str">
        <f ca="1">R79</f>
        <v xml:space="preserve"> </v>
      </c>
      <c r="CB58" s="35">
        <f t="shared" ca="1" si="42"/>
        <v>6</v>
      </c>
      <c r="CC58" s="36">
        <f ca="1">IF(BM9&gt;0,0,RAND())</f>
        <v>0</v>
      </c>
      <c r="CD58" s="29" t="s">
        <v>14</v>
      </c>
    </row>
    <row r="59" spans="1:83" x14ac:dyDescent="0.3">
      <c r="A59" s="137"/>
      <c r="B59" s="33" t="s">
        <v>16</v>
      </c>
      <c r="C59" s="33"/>
      <c r="D59" s="33"/>
      <c r="E59" s="33"/>
      <c r="F59" s="33"/>
      <c r="G59" s="33"/>
      <c r="H59" s="33"/>
      <c r="I59" s="33"/>
      <c r="J59" s="33"/>
      <c r="K59" s="33"/>
      <c r="L59" s="33"/>
      <c r="M59" s="33"/>
      <c r="N59" s="33"/>
      <c r="O59" s="33" t="str">
        <f t="shared" ca="1" si="39"/>
        <v xml:space="preserve"> </v>
      </c>
      <c r="P59" s="120">
        <f ca="1">SUM(P41,BU11)</f>
        <v>2</v>
      </c>
      <c r="AJ59" s="58" t="str">
        <f ca="1">IF(Table201336450792849906315379545[[#This Row],[Column2]]=0," ",_xlfn.RANK.EQ(AK59,$AK$56:$AK$65))</f>
        <v xml:space="preserve"> </v>
      </c>
      <c r="AK59" s="29">
        <f t="shared" ca="1" si="41"/>
        <v>0</v>
      </c>
      <c r="AL59" s="29" t="str">
        <f t="shared" ca="1" si="40"/>
        <v xml:space="preserve"> </v>
      </c>
      <c r="AO59" s="29" t="str">
        <f ca="1">IF(Table293375489831888945361417583[[#This Row],[Column2]]=0," ",_xlfn.RANK.EQ(Table293375489831888945361417583[[#This Row],[Column2]],$AP$45:$AP$59))</f>
        <v xml:space="preserve"> </v>
      </c>
      <c r="AP59" s="29">
        <f ca="1">IF(Table293375489831888945361417583[[#This Row],[Column3]]=" ", 0,RAND())</f>
        <v>0</v>
      </c>
      <c r="AQ59" s="29" t="str">
        <f ca="1">R80</f>
        <v xml:space="preserve"> </v>
      </c>
      <c r="CB59" s="35">
        <f t="shared" ca="1" si="42"/>
        <v>4</v>
      </c>
      <c r="CC59" s="36">
        <f ca="1">IF(BM11&gt;0,0,RAND())</f>
        <v>0.2278060514021959</v>
      </c>
      <c r="CD59" s="29" t="s">
        <v>16</v>
      </c>
    </row>
    <row r="60" spans="1:83" x14ac:dyDescent="0.3">
      <c r="A60" s="137"/>
      <c r="B60" s="33" t="s">
        <v>17</v>
      </c>
      <c r="C60" s="33"/>
      <c r="D60" s="33"/>
      <c r="E60" s="33"/>
      <c r="F60" s="33"/>
      <c r="G60" s="33"/>
      <c r="H60" s="33"/>
      <c r="I60" s="33"/>
      <c r="J60" s="33"/>
      <c r="K60" s="33"/>
      <c r="L60" s="33"/>
      <c r="M60" s="33"/>
      <c r="N60" s="33"/>
      <c r="O60" s="33" t="str">
        <f t="shared" ca="1" si="39"/>
        <v xml:space="preserve"> </v>
      </c>
      <c r="P60" s="120">
        <f ca="1">SUM(BU12,P42)</f>
        <v>1</v>
      </c>
      <c r="AJ60" s="58" t="str">
        <f ca="1">IF(Table201336450792849906315379545[[#This Row],[Column2]]=0," ",_xlfn.RANK.EQ(AK60,$AK$56:$AK$65))</f>
        <v xml:space="preserve"> </v>
      </c>
      <c r="AK60" s="29">
        <f t="shared" ca="1" si="41"/>
        <v>0</v>
      </c>
      <c r="AL60" s="29" t="str">
        <f t="shared" ca="1" si="40"/>
        <v xml:space="preserve"> </v>
      </c>
      <c r="CB60" s="35">
        <f t="shared" ca="1" si="42"/>
        <v>1</v>
      </c>
      <c r="CC60" s="36">
        <f ca="1">IF(BM12&gt;0,0,RAND())</f>
        <v>0.92953802094869931</v>
      </c>
      <c r="CD60" s="29" t="s">
        <v>17</v>
      </c>
    </row>
    <row r="61" spans="1:83" x14ac:dyDescent="0.3">
      <c r="A61" s="137"/>
      <c r="B61" s="33" t="s">
        <v>18</v>
      </c>
      <c r="C61" s="33"/>
      <c r="D61" s="33"/>
      <c r="E61" s="33"/>
      <c r="F61" s="33"/>
      <c r="G61" s="33"/>
      <c r="H61" s="33"/>
      <c r="I61" s="33"/>
      <c r="J61" s="33"/>
      <c r="K61" s="33"/>
      <c r="L61" s="33"/>
      <c r="M61" s="33"/>
      <c r="N61" s="33"/>
      <c r="O61" s="33" t="str">
        <f t="shared" ca="1" si="39"/>
        <v>x</v>
      </c>
      <c r="P61" s="120">
        <f ca="1">SUM(BU13,P43)</f>
        <v>7</v>
      </c>
      <c r="AJ61" s="58" t="str">
        <f ca="1">IF(Table201336450792849906315379545[[#This Row],[Column2]]=0," ",_xlfn.RANK.EQ(AK61,$AK$56:$AK$65))</f>
        <v xml:space="preserve"> </v>
      </c>
      <c r="AK61" s="29">
        <f t="shared" ca="1" si="41"/>
        <v>0</v>
      </c>
      <c r="AL61" s="29" t="str">
        <f t="shared" ca="1" si="40"/>
        <v xml:space="preserve"> </v>
      </c>
      <c r="CB61" s="35">
        <f t="shared" ca="1" si="42"/>
        <v>3</v>
      </c>
      <c r="CC61" s="36">
        <f ca="1">IF(BM20&gt;0,0,RAND())</f>
        <v>0.57802174309699839</v>
      </c>
      <c r="CD61" s="29" t="s">
        <v>25</v>
      </c>
    </row>
    <row r="62" spans="1:83" x14ac:dyDescent="0.3">
      <c r="A62" s="137"/>
      <c r="B62" s="33" t="s">
        <v>19</v>
      </c>
      <c r="C62" s="33"/>
      <c r="D62" s="33"/>
      <c r="E62" s="33"/>
      <c r="F62" s="33"/>
      <c r="G62" s="33"/>
      <c r="H62" s="33"/>
      <c r="I62" s="33"/>
      <c r="J62" s="33"/>
      <c r="K62" s="33"/>
      <c r="L62" s="33"/>
      <c r="M62" s="33"/>
      <c r="N62" s="33"/>
      <c r="O62" s="33" t="str">
        <f t="shared" ca="1" si="39"/>
        <v xml:space="preserve"> </v>
      </c>
      <c r="P62" s="120">
        <f ca="1">SUM(BU14,P41)</f>
        <v>2</v>
      </c>
      <c r="AJ62" s="58" t="str">
        <f ca="1">IF(Table201336450792849906315379545[[#This Row],[Column2]]=0," ",_xlfn.RANK.EQ(AK62,$AK$56:$AK$65))</f>
        <v xml:space="preserve"> </v>
      </c>
      <c r="AK62" s="29">
        <f t="shared" ca="1" si="41"/>
        <v>0</v>
      </c>
      <c r="AL62" s="29" t="str">
        <f t="shared" ca="1" si="40"/>
        <v xml:space="preserve"> </v>
      </c>
      <c r="CB62" s="35">
        <f t="shared" ca="1" si="42"/>
        <v>2</v>
      </c>
      <c r="CC62" s="36">
        <f ca="1">IF(BM22&gt;0,0,RAND())</f>
        <v>0.77759357173452459</v>
      </c>
      <c r="CD62" s="29" t="s">
        <v>27</v>
      </c>
      <c r="CE62" s="31"/>
    </row>
    <row r="63" spans="1:83" x14ac:dyDescent="0.3">
      <c r="A63" s="137"/>
      <c r="B63" s="33" t="s">
        <v>20</v>
      </c>
      <c r="C63" s="33"/>
      <c r="D63" s="33"/>
      <c r="E63" s="33"/>
      <c r="F63" s="33"/>
      <c r="G63" s="33"/>
      <c r="H63" s="33"/>
      <c r="I63" s="33"/>
      <c r="J63" s="33"/>
      <c r="K63" s="33"/>
      <c r="L63" s="33"/>
      <c r="M63" s="33"/>
      <c r="N63" s="33"/>
      <c r="O63" s="33" t="str">
        <f t="shared" ca="1" si="39"/>
        <v xml:space="preserve"> </v>
      </c>
      <c r="P63" s="120">
        <f ca="1">SUM(BU15,P42)</f>
        <v>1</v>
      </c>
      <c r="AJ63" s="58" t="str">
        <f ca="1">IF(Table201336450792849906315379545[[#This Row],[Column2]]=0," ",_xlfn.RANK.EQ(AK63,$AK$56:$AK$65))</f>
        <v xml:space="preserve"> </v>
      </c>
      <c r="AK63" s="29">
        <f t="shared" ca="1" si="41"/>
        <v>0</v>
      </c>
      <c r="AL63" s="29" t="str">
        <f t="shared" ca="1" si="40"/>
        <v xml:space="preserve"> </v>
      </c>
    </row>
    <row r="64" spans="1:83" x14ac:dyDescent="0.3">
      <c r="A64" s="137"/>
      <c r="B64" s="33" t="s">
        <v>21</v>
      </c>
      <c r="C64" s="33"/>
      <c r="D64" s="33"/>
      <c r="E64" s="33"/>
      <c r="F64" s="33"/>
      <c r="G64" s="33"/>
      <c r="H64" s="33"/>
      <c r="I64" s="33"/>
      <c r="J64" s="33"/>
      <c r="K64" s="33"/>
      <c r="L64" s="33"/>
      <c r="M64" s="33"/>
      <c r="N64" s="33"/>
      <c r="O64" s="33" t="str">
        <f t="shared" ca="1" si="39"/>
        <v xml:space="preserve"> </v>
      </c>
      <c r="P64" s="120">
        <f ca="1">SUM(BU16,P41)</f>
        <v>2</v>
      </c>
      <c r="AJ64" s="58" t="str">
        <f ca="1">IF(Table201336450792849906315379545[[#This Row],[Column2]]=0," ",_xlfn.RANK.EQ(AK64,$AK$56:$AK$65))</f>
        <v xml:space="preserve"> </v>
      </c>
      <c r="AK64" s="29">
        <f t="shared" ca="1" si="41"/>
        <v>0</v>
      </c>
      <c r="AL64" s="29" t="str">
        <f t="shared" ca="1" si="40"/>
        <v xml:space="preserve"> </v>
      </c>
      <c r="CB64" s="31" t="s">
        <v>733</v>
      </c>
    </row>
    <row r="65" spans="1:82" x14ac:dyDescent="0.3">
      <c r="A65" s="137"/>
      <c r="B65" s="33" t="s">
        <v>22</v>
      </c>
      <c r="C65" s="33"/>
      <c r="D65" s="33"/>
      <c r="E65" s="33"/>
      <c r="F65" s="33"/>
      <c r="G65" s="33"/>
      <c r="H65" s="33"/>
      <c r="I65" s="33"/>
      <c r="J65" s="33"/>
      <c r="K65" s="33"/>
      <c r="L65" s="33"/>
      <c r="M65" s="33"/>
      <c r="N65" s="33"/>
      <c r="O65" s="33" t="str">
        <f t="shared" ca="1" si="39"/>
        <v xml:space="preserve"> </v>
      </c>
      <c r="P65" s="120">
        <f ca="1">SUM(BU17,P42)</f>
        <v>1</v>
      </c>
      <c r="AJ65" s="58" t="str">
        <f ca="1">IF(Table201336450792849906315379545[[#This Row],[Column2]]=0," ",_xlfn.RANK.EQ(AK65,$AK$56:$AK$65))</f>
        <v xml:space="preserve"> </v>
      </c>
      <c r="AK65" s="29">
        <f t="shared" ca="1" si="41"/>
        <v>0</v>
      </c>
      <c r="AL65" s="29" t="str">
        <f t="shared" ca="1" si="40"/>
        <v xml:space="preserve"> </v>
      </c>
      <c r="CB65" s="35">
        <f t="shared" ref="CB65:CB70" ca="1" si="43">_xlfn.RANK.EQ(CC65,$CC$65:$CC$70)</f>
        <v>5</v>
      </c>
      <c r="CC65" s="36">
        <f ca="1">IF(BM9&gt;0,0,RAND())</f>
        <v>0</v>
      </c>
      <c r="CD65" s="29" t="s">
        <v>14</v>
      </c>
    </row>
    <row r="66" spans="1:82" x14ac:dyDescent="0.3">
      <c r="A66" s="137"/>
      <c r="B66" s="33" t="s">
        <v>23</v>
      </c>
      <c r="C66" s="33"/>
      <c r="D66" s="33"/>
      <c r="E66" s="33"/>
      <c r="F66" s="33"/>
      <c r="G66" s="33"/>
      <c r="H66" s="33"/>
      <c r="I66" s="33"/>
      <c r="J66" s="33"/>
      <c r="K66" s="33"/>
      <c r="L66" s="33"/>
      <c r="M66" s="33"/>
      <c r="N66" s="33"/>
      <c r="O66" s="33" t="str">
        <f t="shared" ca="1" si="39"/>
        <v xml:space="preserve"> </v>
      </c>
      <c r="P66" s="120">
        <f ca="1">SUM(BU18,P43)</f>
        <v>3</v>
      </c>
      <c r="CB66" s="35">
        <f t="shared" ca="1" si="43"/>
        <v>1</v>
      </c>
      <c r="CC66" s="36">
        <f ca="1">IF(BM12&gt;0,0,RAND())</f>
        <v>0.37636113429814533</v>
      </c>
      <c r="CD66" s="29" t="s">
        <v>17</v>
      </c>
    </row>
    <row r="67" spans="1:82" x14ac:dyDescent="0.3">
      <c r="A67" s="137"/>
      <c r="B67" s="33" t="s">
        <v>24</v>
      </c>
      <c r="C67" s="33"/>
      <c r="D67" s="33"/>
      <c r="E67" s="33"/>
      <c r="F67" s="33"/>
      <c r="G67" s="33"/>
      <c r="H67" s="33"/>
      <c r="I67" s="33"/>
      <c r="J67" s="33"/>
      <c r="K67" s="33"/>
      <c r="L67" s="33"/>
      <c r="M67" s="33"/>
      <c r="N67" s="33"/>
      <c r="O67" s="33" t="str">
        <f t="shared" ca="1" si="39"/>
        <v xml:space="preserve"> </v>
      </c>
      <c r="P67" s="120">
        <f ca="1">SUM(BU19,P43)</f>
        <v>3</v>
      </c>
      <c r="AJ67" s="31" t="s">
        <v>1168</v>
      </c>
      <c r="CB67" s="35">
        <f t="shared" ca="1" si="43"/>
        <v>5</v>
      </c>
      <c r="CC67" s="36">
        <f ca="1">IF(BM13&gt;0,0,RAND())</f>
        <v>0</v>
      </c>
      <c r="CD67" s="29" t="s">
        <v>18</v>
      </c>
    </row>
    <row r="68" spans="1:82" x14ac:dyDescent="0.3">
      <c r="A68" s="137"/>
      <c r="B68" s="33" t="s">
        <v>25</v>
      </c>
      <c r="C68" s="33"/>
      <c r="D68" s="33"/>
      <c r="E68" s="33"/>
      <c r="F68" s="33"/>
      <c r="G68" s="33"/>
      <c r="H68" s="33"/>
      <c r="I68" s="33"/>
      <c r="J68" s="33"/>
      <c r="K68" s="33"/>
      <c r="L68" s="33"/>
      <c r="M68" s="33"/>
      <c r="N68" s="33"/>
      <c r="O68" s="33" t="str">
        <f t="shared" ca="1" si="39"/>
        <v xml:space="preserve"> </v>
      </c>
      <c r="P68" s="120">
        <f ca="1">SUM(BU20,P41)</f>
        <v>2</v>
      </c>
      <c r="AJ68" s="58" t="str">
        <f ca="1">IF(Table202337451793850907320380546[[#This Row],[Column2]]=0," ",_xlfn.RANK.EQ(AK68,$AK$68:$AK$77))</f>
        <v xml:space="preserve"> </v>
      </c>
      <c r="AK68" s="60">
        <f t="shared" ref="AK68:AK77" ca="1" si="44">IF(AL68=" ", 0,RAND())</f>
        <v>0</v>
      </c>
      <c r="AL68" s="29" t="str">
        <f t="shared" ref="AL68:AL77" ca="1" si="45">S315</f>
        <v xml:space="preserve"> </v>
      </c>
      <c r="CB68" s="35">
        <f t="shared" ca="1" si="43"/>
        <v>4</v>
      </c>
      <c r="CC68" s="36">
        <f ca="1">IF(BM15&gt;0,0,RAND())</f>
        <v>0.12955642237918685</v>
      </c>
      <c r="CD68" s="29" t="s">
        <v>20</v>
      </c>
    </row>
    <row r="69" spans="1:82" x14ac:dyDescent="0.3">
      <c r="A69" s="137"/>
      <c r="B69" s="33" t="s">
        <v>26</v>
      </c>
      <c r="C69" s="33"/>
      <c r="D69" s="33"/>
      <c r="E69" s="33"/>
      <c r="F69" s="33"/>
      <c r="G69" s="33"/>
      <c r="H69" s="33"/>
      <c r="I69" s="33"/>
      <c r="J69" s="33"/>
      <c r="K69" s="33"/>
      <c r="L69" s="33"/>
      <c r="M69" s="33"/>
      <c r="N69" s="33"/>
      <c r="O69" s="33" t="str">
        <f t="shared" ca="1" si="39"/>
        <v xml:space="preserve"> </v>
      </c>
      <c r="P69" s="120">
        <f ca="1">SUM(BU21,P39)</f>
        <v>1</v>
      </c>
      <c r="AJ69" s="58" t="str">
        <f ca="1">IF(Table202337451793850907320380546[[#This Row],[Column2]]=0," ",_xlfn.RANK.EQ(AK69,$AK$68:$AK$77))</f>
        <v xml:space="preserve"> </v>
      </c>
      <c r="AK69" s="60">
        <f t="shared" ca="1" si="44"/>
        <v>0</v>
      </c>
      <c r="AL69" s="29" t="str">
        <f t="shared" ca="1" si="45"/>
        <v xml:space="preserve"> </v>
      </c>
      <c r="CB69" s="35">
        <f t="shared" ca="1" si="43"/>
        <v>2</v>
      </c>
      <c r="CC69" s="36">
        <f ca="1">IF(BM19&gt;0,0,RAND())</f>
        <v>0.31143969491477996</v>
      </c>
      <c r="CD69" s="29" t="s">
        <v>24</v>
      </c>
    </row>
    <row r="70" spans="1:82" x14ac:dyDescent="0.3">
      <c r="A70" s="137"/>
      <c r="B70" s="33" t="s">
        <v>27</v>
      </c>
      <c r="C70" s="33"/>
      <c r="D70" s="33"/>
      <c r="E70" s="33"/>
      <c r="F70" s="33"/>
      <c r="G70" s="33"/>
      <c r="H70" s="33"/>
      <c r="I70" s="33"/>
      <c r="J70" s="33"/>
      <c r="K70" s="33"/>
      <c r="L70" s="33"/>
      <c r="M70" s="33"/>
      <c r="N70" s="33"/>
      <c r="O70" s="33" t="str">
        <f t="shared" ca="1" si="39"/>
        <v xml:space="preserve"> </v>
      </c>
      <c r="P70" s="120">
        <f ca="1">SUM(BU22,P39)</f>
        <v>1</v>
      </c>
      <c r="AJ70" s="58" t="str">
        <f ca="1">IF(Table202337451793850907320380546[[#This Row],[Column2]]=0," ",_xlfn.RANK.EQ(AK70,$AK$68:$AK$77))</f>
        <v xml:space="preserve"> </v>
      </c>
      <c r="AK70" s="60">
        <f t="shared" ca="1" si="44"/>
        <v>0</v>
      </c>
      <c r="AL70" s="29" t="str">
        <f t="shared" ca="1" si="45"/>
        <v xml:space="preserve"> </v>
      </c>
      <c r="CB70" s="35">
        <f t="shared" ca="1" si="43"/>
        <v>3</v>
      </c>
      <c r="CC70" s="36">
        <f ca="1">IF(BM20&gt;0,0,RAND())</f>
        <v>0.14966611418779563</v>
      </c>
      <c r="CD70" s="29" t="s">
        <v>25</v>
      </c>
    </row>
    <row r="71" spans="1:82" x14ac:dyDescent="0.3">
      <c r="A71" s="137"/>
      <c r="B71" s="33" t="s">
        <v>28</v>
      </c>
      <c r="C71" s="33"/>
      <c r="D71" s="33"/>
      <c r="E71" s="33"/>
      <c r="F71" s="33"/>
      <c r="G71" s="33"/>
      <c r="H71" s="33"/>
      <c r="I71" s="33"/>
      <c r="J71" s="33"/>
      <c r="K71" s="33"/>
      <c r="L71" s="33"/>
      <c r="M71" s="33"/>
      <c r="N71" s="33"/>
      <c r="O71" s="33" t="str">
        <f t="shared" ca="1" si="39"/>
        <v xml:space="preserve"> </v>
      </c>
      <c r="P71" s="120">
        <f ca="1">SUM(BU23,P42)</f>
        <v>1</v>
      </c>
      <c r="AJ71" s="58" t="str">
        <f ca="1">IF(Table202337451793850907320380546[[#This Row],[Column2]]=0," ",_xlfn.RANK.EQ(AK71,$AK$68:$AK$77))</f>
        <v xml:space="preserve"> </v>
      </c>
      <c r="AK71" s="60">
        <f t="shared" ca="1" si="44"/>
        <v>0</v>
      </c>
      <c r="AL71" s="29" t="str">
        <f t="shared" ca="1" si="45"/>
        <v xml:space="preserve"> </v>
      </c>
    </row>
    <row r="72" spans="1:82" ht="19.5" thickBot="1" x14ac:dyDescent="0.35">
      <c r="A72" s="137"/>
      <c r="B72" s="38" t="str">
        <f ca="1">IF(O11="non-classed","Profession"," ")</f>
        <v xml:space="preserve"> </v>
      </c>
      <c r="C72" s="38"/>
      <c r="D72" s="38"/>
      <c r="E72" s="38"/>
      <c r="F72" s="38"/>
      <c r="G72" s="38"/>
      <c r="H72" s="38"/>
      <c r="I72" s="38"/>
      <c r="J72" s="38"/>
      <c r="K72" s="38"/>
      <c r="L72" s="38"/>
      <c r="M72" s="38"/>
      <c r="N72" s="38"/>
      <c r="O72" s="38" t="str">
        <f ca="1">IF(O11="non-classed","x"," ")</f>
        <v xml:space="preserve"> </v>
      </c>
      <c r="P72" s="121" t="str">
        <f ca="1">IF(O11="non-classed",P8*2," ")</f>
        <v xml:space="preserve"> </v>
      </c>
      <c r="AJ72" s="58" t="str">
        <f ca="1">IF(Table202337451793850907320380546[[#This Row],[Column2]]=0," ",_xlfn.RANK.EQ(AK72,$AK$68:$AK$77))</f>
        <v xml:space="preserve"> </v>
      </c>
      <c r="AK72" s="60">
        <f t="shared" ca="1" si="44"/>
        <v>0</v>
      </c>
      <c r="AL72" s="29" t="str">
        <f t="shared" ca="1" si="45"/>
        <v xml:space="preserve"> </v>
      </c>
      <c r="CB72" s="31" t="s">
        <v>734</v>
      </c>
    </row>
    <row r="73" spans="1:82" ht="19.5" thickBot="1" x14ac:dyDescent="0.35">
      <c r="AJ73" s="58" t="str">
        <f ca="1">IF(Table202337451793850907320380546[[#This Row],[Column2]]=0," ",_xlfn.RANK.EQ(AK73,$AK$68:$AK$77))</f>
        <v xml:space="preserve"> </v>
      </c>
      <c r="AK73" s="60">
        <f t="shared" ca="1" si="44"/>
        <v>0</v>
      </c>
      <c r="AL73" s="29" t="str">
        <f t="shared" ca="1" si="45"/>
        <v xml:space="preserve"> </v>
      </c>
      <c r="CB73" s="35">
        <f t="shared" ref="CB73:CB81" ca="1" si="46">_xlfn.RANK.EQ(CC73,$CC$73:$CC$81)</f>
        <v>1</v>
      </c>
      <c r="CC73" s="36">
        <f ca="1">IF(BM7&gt;0,0,RAND())</f>
        <v>0.88011891888383176</v>
      </c>
      <c r="CD73" s="29" t="s">
        <v>29</v>
      </c>
    </row>
    <row r="74" spans="1:82" ht="30.75" thickBot="1" x14ac:dyDescent="0.45">
      <c r="B74" s="106" t="s">
        <v>2716</v>
      </c>
      <c r="AJ74" s="58" t="str">
        <f ca="1">IF(Table202337451793850907320380546[[#This Row],[Column2]]=0," ",_xlfn.RANK.EQ(AK74,$AK$68:$AK$77))</f>
        <v xml:space="preserve"> </v>
      </c>
      <c r="AK74" s="60">
        <f t="shared" ca="1" si="44"/>
        <v>0</v>
      </c>
      <c r="AL74" s="29" t="str">
        <f t="shared" ca="1" si="45"/>
        <v xml:space="preserve"> </v>
      </c>
      <c r="CB74" s="35">
        <f t="shared" ca="1" si="46"/>
        <v>8</v>
      </c>
      <c r="CC74" s="36">
        <f ca="1">IF(BM9&gt;0,0,RAND())</f>
        <v>0</v>
      </c>
      <c r="CD74" s="29" t="s">
        <v>14</v>
      </c>
    </row>
    <row r="75" spans="1:82" ht="19.5" thickBot="1" x14ac:dyDescent="0.35">
      <c r="B75" s="55" t="s">
        <v>52</v>
      </c>
      <c r="O75" s="53" t="s">
        <v>121</v>
      </c>
      <c r="P75" s="26" t="s">
        <v>46</v>
      </c>
      <c r="Q75" s="61"/>
      <c r="R75" s="28"/>
      <c r="AJ75" s="58" t="str">
        <f ca="1">IF(Table202337451793850907320380546[[#This Row],[Column2]]=0," ",_xlfn.RANK.EQ(AK75,$AK$68:$AK$77))</f>
        <v xml:space="preserve"> </v>
      </c>
      <c r="AK75" s="60">
        <f t="shared" ca="1" si="44"/>
        <v>0</v>
      </c>
      <c r="AL75" s="29" t="str">
        <f t="shared" ca="1" si="45"/>
        <v xml:space="preserve"> </v>
      </c>
      <c r="CB75" s="35">
        <f t="shared" ca="1" si="46"/>
        <v>5</v>
      </c>
      <c r="CC75" s="36">
        <f ca="1">IF(BM12&gt;0,0,RAND())</f>
        <v>0.14466729590669392</v>
      </c>
      <c r="CD75" s="29" t="s">
        <v>17</v>
      </c>
    </row>
    <row r="76" spans="1:82" ht="19.5" thickTop="1" x14ac:dyDescent="0.3">
      <c r="B76" s="56" t="str">
        <f ca="1">IF(OR(O11="warlock",Q11="warlock",P2="mountain",O11="barbarian",O11="bard",Q11="barbarian",O11="cleric",Q11="bard",Q11="cleric",O11="druid",Q11="druid",O11="fighter",Q11="fighter",O11="paladin",Q11="paladin",O11="ranger",Q11="ranger",O11="rogue",Q11="rogue"),"Light Armor"," ")</f>
        <v>Light Armor</v>
      </c>
      <c r="O76" s="33" t="str">
        <f ca="1">IF(Q2="dwarf",VLOOKUP(RANDBETWEEN(1,3),Table3[],2),IF(P2="rock","Artisan's Tools"," "))</f>
        <v xml:space="preserve"> </v>
      </c>
      <c r="P76" s="62" t="str">
        <f ca="1">IF(OR(O11="warlock",Q11="warlock",O11="barbarian",O11="bard",Q11="barbarian",Q11="bard",O11="cleric",O11="fighter",Q11="fighter",O11="monk",Q11="monk",O11="paladin",Q11="paladin",O11="ranger",Q11="ranger",O11="rogue"),"Simple Weapons",IF(Q2="dwarf","Handaxe"," "))</f>
        <v>Simple Weapons</v>
      </c>
      <c r="Q76" s="60" t="str">
        <f ca="1">IF(AND(P76&lt;&gt;"simple weapons",OR($O$11="druid",O11="non-classed")),"Club",IF(P80="shortsword"," ",IF(AND(P77&lt;&gt;"martial weapons",OR(O11="monk",O11="bard",Q11="monk",O11="rogue")),"Shortsword"," ")))</f>
        <v xml:space="preserve"> </v>
      </c>
      <c r="R76" s="63" t="str">
        <f ca="1">IF(AND(P76&lt;&gt;"simple weapons",OR($O$11="druid",O11="sorcerer",O11="wizard",O11="non-classed")),"Quarterstaff"," ")</f>
        <v xml:space="preserve"> </v>
      </c>
      <c r="AJ76" s="58" t="str">
        <f ca="1">IF(Table202337451793850907320380546[[#This Row],[Column2]]=0," ",_xlfn.RANK.EQ(AK76,$AK$68:$AK$77))</f>
        <v xml:space="preserve"> </v>
      </c>
      <c r="AK76" s="60">
        <f t="shared" ca="1" si="44"/>
        <v>0</v>
      </c>
      <c r="AL76" s="29" t="str">
        <f t="shared" ca="1" si="45"/>
        <v xml:space="preserve"> </v>
      </c>
      <c r="CB76" s="35">
        <f t="shared" ca="1" si="46"/>
        <v>8</v>
      </c>
      <c r="CC76" s="36">
        <f ca="1">IF(BM13&gt;0,0,RAND())</f>
        <v>0</v>
      </c>
      <c r="CD76" s="29" t="s">
        <v>18</v>
      </c>
    </row>
    <row r="77" spans="1:82" x14ac:dyDescent="0.3">
      <c r="B77" s="56" t="str">
        <f ca="1">IF(OR(P2="mountain",O11="barbarian",Q11="barbarian",P15="college of valor",R15="college of valor",O11="cleric",Q11="cleric",O11="druid",Q11="druid",O11="fighter",Q11="fighter",O11="paladin",Q11="paladin",O11="ranger",Q11="ranger"),"Medium Armor"," ")</f>
        <v>Medium Armor</v>
      </c>
      <c r="O77" s="33" t="str">
        <f ca="1">IF(AND(O11="monk",AF23=2),INDEX('Class Tables'!F25:F34,MATCH(1,('Class Tables'!D25:D34),0)),IF(AND(O11="monk",AF23=1),INDEX('Class Tables'!J80:J95,MATCH(1,('Class Tables'!I80:I95),0)),IF(P15="battle master",VLOOKUP(RANDBETWEEN(1,16),Table79[],2),IF(OR($O$11="bard"),INDEX('Class Tables'!$F$25:$F$34,MATCH(1,('Class Tables'!$D$25:$D$34),0))," "))))</f>
        <v xml:space="preserve"> </v>
      </c>
      <c r="P77" s="64" t="str">
        <f ca="1">IF(OR($O$11="barbarian",Q11="barbarian",P15="college of valor",R15="college of valor",R15="tempest",P15="tempest",P15="war",R15="war",O11="fighter",Q11="fighter",O11="paladin",Q11="paladin",O11="ranger",Q11="ranger"),"Martial Weapons",IF($Q$2="dwarf","Battleaxe",IF(OR($P$2="high",$P$2="wood"),"Longsword",IF($P$2="dark","Rapier"," "))))</f>
        <v>Martial Weapons</v>
      </c>
      <c r="Q77" s="65" t="str">
        <f ca="1">IF(AND(OR($O$11="druid",O11="sorcerer",O11="wizard",O11="non-classed"),P76&lt;&gt;"Simple weapons"),"Dagger",IF(AND(O11="bard",P77&lt;&gt;"Martial Weapons"),"Hand Crossbow",IF(AND(O11="rogue",P77&lt;&gt;"martial weapons"),"Hand Crossbow"," ")))</f>
        <v xml:space="preserve"> </v>
      </c>
      <c r="R77" s="66" t="str">
        <f ca="1">IF(AND(P77&lt;&gt;"martial weapons",$O$11="druid"),"Scimitar"," ")</f>
        <v xml:space="preserve"> </v>
      </c>
      <c r="AJ77" s="58" t="str">
        <f ca="1">IF(Table202337451793850907320380546[[#This Row],[Column2]]=0," ",_xlfn.RANK.EQ(AK77,$AK$68:$AK$77))</f>
        <v xml:space="preserve"> </v>
      </c>
      <c r="AK77" s="60">
        <f t="shared" ca="1" si="44"/>
        <v>0</v>
      </c>
      <c r="AL77" s="29" t="str">
        <f t="shared" ca="1" si="45"/>
        <v xml:space="preserve"> </v>
      </c>
      <c r="CB77" s="35">
        <f t="shared" ca="1" si="46"/>
        <v>2</v>
      </c>
      <c r="CC77" s="36">
        <f ca="1">IF(BM14&gt;0,0,RAND())</f>
        <v>0.75094925895193376</v>
      </c>
      <c r="CD77" s="29" t="s">
        <v>19</v>
      </c>
    </row>
    <row r="78" spans="1:82" x14ac:dyDescent="0.3">
      <c r="B78" s="56" t="str">
        <f ca="1">IF(OR(O11="barbarian",Q11="barbarian",R15="college of valor",P15="college of valor",O11="cleric",Q11="cleric",O11="druid",Q11="Druid",O11="fighter",Q11="fighter",O11="paladin",Q11="paladin",O11="ranger",Q11="ranger"),"Shields"," ")</f>
        <v>Shields</v>
      </c>
      <c r="O78" s="33" t="str">
        <f ca="1">IF(OR($O$11="bard"),INDEX('Class Tables'!$F$25:$F$34,MATCH(2,('Class Tables'!$D$25:$D$34),0))," ")</f>
        <v xml:space="preserve"> </v>
      </c>
      <c r="P78" s="62" t="str">
        <f ca="1">IF(AND(P76&lt;&gt;"Simple Weapons",Q2="dwarf"),"Light Hammer",IF(AND(P2="high",P76&lt;&gt;"Simple Weapons"),"Shortbow",IF(AND(P76&lt;&gt;"Simple Weapons",P2="wood"),"Shortbow",IF(AND(P2="dark",P77&lt;&gt;"Martial Weapons"),"Hand Crossbow"," "))))</f>
        <v xml:space="preserve"> </v>
      </c>
      <c r="Q78" s="60" t="str">
        <f ca="1">IF(AND(OR($O$11="druid",O11="sorcerer",O11="wizard"),P76&lt;&gt;"Simple weapons"),"Dart",IF(AND(P77&lt;&gt;"martial weapons",OR(O11="bard",O11="rogue")),"Longsword"," "))</f>
        <v xml:space="preserve"> </v>
      </c>
      <c r="R78" s="63" t="str">
        <f ca="1">IF(AND(P76&lt;&gt;"simple weapons",$O$11="druid"),"Sickle"," ")</f>
        <v xml:space="preserve"> </v>
      </c>
      <c r="CB78" s="35">
        <f t="shared" ca="1" si="46"/>
        <v>4</v>
      </c>
      <c r="CC78" s="36">
        <f ca="1">IF(BM16&gt;0,0,RAND())</f>
        <v>0.19364362908191157</v>
      </c>
      <c r="CD78" s="29" t="s">
        <v>21</v>
      </c>
    </row>
    <row r="79" spans="1:82" x14ac:dyDescent="0.3">
      <c r="B79" s="33" t="str">
        <f ca="1">IF(OR(P15="life",R15="life",P15="nature",R15="nature",P15="tempest",R15="tempest",P15="war",R15="war",O11="fighter",Q11="fighter",O11="paladin"),"Heavy Armor"," ")</f>
        <v xml:space="preserve"> </v>
      </c>
      <c r="O79" s="33" t="str">
        <f ca="1">IF(OR($O$11="bard",$Q$11="bard"),INDEX('Class Tables'!$F$25:$F$34,MATCH(3,('Class Tables'!$D$25:$D$34),0))," ")</f>
        <v xml:space="preserve"> </v>
      </c>
      <c r="P79" s="64" t="str">
        <f ca="1">IF(P77="martial weapons"," ",IF(Q2="dwarf","Warhammer",IF(OR(P2="high",P2="wood"),"Longbow"," ")))</f>
        <v xml:space="preserve"> </v>
      </c>
      <c r="Q79" s="65" t="str">
        <f ca="1">IF(AND($O$11="druid",P76&lt;&gt;"simple weapons"),"Javelin",IF(AND(O11="sorcerer",P76&lt;&gt;"simple weapons"),"Light Crossbow",IF(AND(O11="wizard",P76&lt;&gt;"simple weapons"),"Light Crossbow",IF(AND(OR(O11="bard",O11="rogue"),P77&lt;&gt;"martial weapons"),"Rapier"," "))))</f>
        <v xml:space="preserve"> </v>
      </c>
      <c r="R79" s="66" t="str">
        <f ca="1">IF(AND(P76&lt;&gt;"simple weapons",OR($O$11="druid",O11="sorcerer",O11="wizard")),"Sling"," ")</f>
        <v xml:space="preserve"> </v>
      </c>
      <c r="AJ79" s="31" t="s">
        <v>676</v>
      </c>
      <c r="CB79" s="35">
        <f t="shared" ca="1" si="46"/>
        <v>7</v>
      </c>
      <c r="CC79" s="36">
        <f ca="1">IF(BM17&gt;0,0,RAND())</f>
        <v>2.7720158749224733E-2</v>
      </c>
      <c r="CD79" s="29" t="s">
        <v>22</v>
      </c>
    </row>
    <row r="80" spans="1:82" ht="19.5" thickBot="1" x14ac:dyDescent="0.35">
      <c r="O80" s="33" t="str">
        <f ca="1">IF(OR(O11="druid",S11="hermit"),"Herbalism Kit"," ")</f>
        <v xml:space="preserve"> </v>
      </c>
      <c r="P80" s="51" t="str">
        <f ca="1">IF(AND(P77&lt;&gt;"martial weapons",OR(P2="high",P2="wood",P2="dark")),"Shortsword"," ")</f>
        <v xml:space="preserve"> </v>
      </c>
      <c r="Q80" s="67" t="str">
        <f ca="1">IF(AND(P76&lt;&gt;"simple weapons",$O$11="druid"),"Mace"," ")</f>
        <v xml:space="preserve"> </v>
      </c>
      <c r="R80" s="68" t="str">
        <f ca="1">IF(AND(P76&lt;&gt;"simple weapons",$O$11="druid"),"Spear"," ")</f>
        <v xml:space="preserve"> </v>
      </c>
      <c r="AJ80" s="58" t="str">
        <f ca="1">IF(Table203338452794851908321381547[[#This Row],[Column2]]=0," ",_xlfn.RANK.EQ(AK80,$AK$80:$AK$89))</f>
        <v xml:space="preserve"> </v>
      </c>
      <c r="AK80" s="60">
        <f t="shared" ref="AK80:AK89" ca="1" si="47">IF(AL80=" ", 0,RAND())</f>
        <v>0</v>
      </c>
      <c r="AL80" s="29" t="str">
        <f t="shared" ref="AL80:AL89" ca="1" si="48">T315</f>
        <v xml:space="preserve"> </v>
      </c>
      <c r="CB80" s="35">
        <f t="shared" ca="1" si="46"/>
        <v>6</v>
      </c>
      <c r="CC80" s="36">
        <f ca="1">IF(BM22&gt;0,0,RAND())</f>
        <v>9.1679016992465612E-2</v>
      </c>
      <c r="CD80" s="29" t="s">
        <v>27</v>
      </c>
    </row>
    <row r="81" spans="1:82" x14ac:dyDescent="0.3">
      <c r="O81" s="33" t="str">
        <f ca="1">IF(AND(AF25=2,OR(O11="rogue",Q11="rogue")),"Thieves' Tools - Expert",IF(OR(O11="rogue",Q11="rogue"),"Thieves' Tools"," "))</f>
        <v xml:space="preserve"> </v>
      </c>
      <c r="AJ81" s="58" t="str">
        <f ca="1">IF(Table203338452794851908321381547[[#This Row],[Column2]]=0," ",_xlfn.RANK.EQ(AK81,$AK$80:$AK$89))</f>
        <v xml:space="preserve"> </v>
      </c>
      <c r="AK81" s="60">
        <f t="shared" ca="1" si="47"/>
        <v>0</v>
      </c>
      <c r="AL81" s="29" t="str">
        <f t="shared" ca="1" si="48"/>
        <v xml:space="preserve"> </v>
      </c>
      <c r="CB81" s="35">
        <f t="shared" ca="1" si="46"/>
        <v>3</v>
      </c>
      <c r="CC81" s="36">
        <f ca="1">IF(BM23&gt;0,0,RAND())</f>
        <v>0.20099363618513244</v>
      </c>
      <c r="CD81" s="29" t="s">
        <v>28</v>
      </c>
    </row>
    <row r="82" spans="1:82" x14ac:dyDescent="0.3">
      <c r="O82" s="33" t="str">
        <f ca="1">IF(P15="assassin","Disguise Kit"," ")</f>
        <v xml:space="preserve"> </v>
      </c>
      <c r="AJ82" s="58" t="str">
        <f ca="1">IF(Table203338452794851908321381547[[#This Row],[Column2]]=0," ",_xlfn.RANK.EQ(AK82,$AK$80:$AK$89))</f>
        <v xml:space="preserve"> </v>
      </c>
      <c r="AK82" s="60">
        <f t="shared" ca="1" si="47"/>
        <v>0</v>
      </c>
      <c r="AL82" s="29" t="str">
        <f t="shared" ca="1" si="48"/>
        <v xml:space="preserve"> </v>
      </c>
    </row>
    <row r="83" spans="1:82" x14ac:dyDescent="0.3">
      <c r="O83" s="33" t="str">
        <f ca="1">IF(P15="assassin","Poisoner's Kit"," ")</f>
        <v xml:space="preserve"> </v>
      </c>
      <c r="AJ83" s="58" t="str">
        <f ca="1">IF(Table203338452794851908321381547[[#This Row],[Column2]]=0," ",_xlfn.RANK.EQ(AK83,$AK$80:$AK$89))</f>
        <v xml:space="preserve"> </v>
      </c>
      <c r="AK83" s="60">
        <f t="shared" ca="1" si="47"/>
        <v>0</v>
      </c>
      <c r="AL83" s="29" t="str">
        <f t="shared" ca="1" si="48"/>
        <v xml:space="preserve"> </v>
      </c>
      <c r="CB83" s="31" t="s">
        <v>735</v>
      </c>
    </row>
    <row r="84" spans="1:82" x14ac:dyDescent="0.3">
      <c r="O84" s="33" t="str">
        <f ca="1">IF(S11="soldier",VLOOKUP(RANDBETWEEN(1,4),Table258[],2),IF(OR(S11="sailor",S11="pirate"),"Navigator's Tools",IF(OR(S11="folk hero",S11="Guild Artisan"),VLOOKUP(RANDBETWEEN(1,16),Table79[],2),IF(AND(OR(S11="criminal",S11="urchin"),OR(O81&lt;&gt;"Thieves' Tools",O81&lt;&gt;"Thieves' Tools - Expert")),"Thieves' Tools",IF(AND(OR(S11="charlatan",S11="entertainer"),O82&lt;&gt;"Disguise Kit"),"Disguise Kit"," ")))))</f>
        <v>Dice Set</v>
      </c>
      <c r="AJ84" s="58" t="str">
        <f ca="1">IF(Table203338452794851908321381547[[#This Row],[Column2]]=0," ",_xlfn.RANK.EQ(AK84,$AK$80:$AK$89))</f>
        <v xml:space="preserve"> </v>
      </c>
      <c r="AK84" s="60">
        <f t="shared" ca="1" si="47"/>
        <v>0</v>
      </c>
      <c r="AL84" s="29" t="str">
        <f t="shared" ca="1" si="48"/>
        <v xml:space="preserve"> </v>
      </c>
      <c r="CB84" s="35">
        <f t="shared" ref="CB84:CB94" ca="1" si="49">_xlfn.RANK.EQ(CC84,$CC$84:$CC$94)</f>
        <v>9</v>
      </c>
      <c r="CC84" s="36">
        <f ca="1">IF(BM6&gt;0,0,RAND())</f>
        <v>3.4624134626370928E-2</v>
      </c>
      <c r="CD84" s="29" t="s">
        <v>12</v>
      </c>
    </row>
    <row r="85" spans="1:82" x14ac:dyDescent="0.3">
      <c r="O85" s="33" t="str">
        <f ca="1">IF(AND(S11="urchin",O82&lt;&gt;"Disguise Kit"),"Disguise Kit",IF(OR(S11="Sailor",S11="pirate"),"Vehicles (Water)",IF(OR(S11="folk hero",S11="Soldier"),"Vehicles (Land)",IF(OR(S11="entertainer",S11="outlander"),INDEX('Class Tables'!$F$25:$F$34,MATCH(4,('Class Tables'!$D$25:$D$34),0)),IF(OR(S11="criminal",S11="noble",S11="knight"),VLOOKUP(RANDBETWEEN(1,4),Table258[],2),IF(S11="charlatan","Forgery Kit"," "))))))</f>
        <v>Vehicles (Land)</v>
      </c>
      <c r="AJ85" s="58" t="str">
        <f ca="1">IF(Table203338452794851908321381547[[#This Row],[Column2]]=0," ",_xlfn.RANK.EQ(AK85,$AK$80:$AK$89))</f>
        <v xml:space="preserve"> </v>
      </c>
      <c r="AK85" s="60">
        <f t="shared" ca="1" si="47"/>
        <v>0</v>
      </c>
      <c r="AL85" s="29" t="str">
        <f t="shared" ca="1" si="48"/>
        <v xml:space="preserve"> </v>
      </c>
      <c r="CB85" s="35">
        <f t="shared" ca="1" si="49"/>
        <v>10</v>
      </c>
      <c r="CC85" s="36">
        <f ca="1">IF(BM9&gt;0,0,RAND())</f>
        <v>0</v>
      </c>
      <c r="CD85" s="29" t="s">
        <v>14</v>
      </c>
    </row>
    <row r="86" spans="1:82" ht="19.5" thickBot="1" x14ac:dyDescent="0.35">
      <c r="AJ86" s="58" t="str">
        <f ca="1">IF(Table203338452794851908321381547[[#This Row],[Column2]]=0," ",_xlfn.RANK.EQ(AK86,$AK$80:$AK$89))</f>
        <v xml:space="preserve"> </v>
      </c>
      <c r="AK86" s="60">
        <f t="shared" ca="1" si="47"/>
        <v>0</v>
      </c>
      <c r="AL86" s="29" t="str">
        <f t="shared" ca="1" si="48"/>
        <v xml:space="preserve"> </v>
      </c>
      <c r="CB86" s="35">
        <f t="shared" ca="1" si="49"/>
        <v>3</v>
      </c>
      <c r="CC86" s="36">
        <f ca="1">IF(BM10&gt;0,0,RAND())</f>
        <v>0.57608176710516079</v>
      </c>
      <c r="CD86" s="29" t="s">
        <v>15</v>
      </c>
    </row>
    <row r="87" spans="1:82" ht="30.75" thickBot="1" x14ac:dyDescent="0.45">
      <c r="A87" s="72"/>
      <c r="B87" s="128" t="s">
        <v>1953</v>
      </c>
      <c r="AJ87" s="58" t="str">
        <f ca="1">IF(Table203338452794851908321381547[[#This Row],[Column2]]=0," ",_xlfn.RANK.EQ(AK87,$AK$80:$AK$89))</f>
        <v xml:space="preserve"> </v>
      </c>
      <c r="AK87" s="60">
        <f t="shared" ca="1" si="47"/>
        <v>0</v>
      </c>
      <c r="AL87" s="29" t="str">
        <f t="shared" ca="1" si="48"/>
        <v xml:space="preserve"> </v>
      </c>
      <c r="CB87" s="35">
        <f t="shared" ca="1" si="49"/>
        <v>7</v>
      </c>
      <c r="CC87" s="36">
        <f ca="1">IF(BM12&gt;0,0,RAND())</f>
        <v>0.17813546412494208</v>
      </c>
      <c r="CD87" s="29" t="s">
        <v>17</v>
      </c>
    </row>
    <row r="88" spans="1:82" x14ac:dyDescent="0.3">
      <c r="A88" s="115"/>
      <c r="B88" s="130" t="s">
        <v>1952</v>
      </c>
      <c r="C88" s="130"/>
      <c r="D88" s="130"/>
      <c r="E88" s="130"/>
      <c r="F88" s="130"/>
      <c r="G88" s="130"/>
      <c r="H88" s="130"/>
      <c r="I88" s="130"/>
      <c r="J88" s="130"/>
      <c r="K88" s="130"/>
      <c r="L88" s="130"/>
      <c r="M88" s="130"/>
      <c r="N88" s="130"/>
      <c r="O88" s="130" t="s">
        <v>1954</v>
      </c>
      <c r="P88" s="130" t="s">
        <v>1955</v>
      </c>
      <c r="Q88" s="130" t="s">
        <v>1956</v>
      </c>
      <c r="R88" s="130" t="s">
        <v>1088</v>
      </c>
      <c r="S88" s="130" t="s">
        <v>2480</v>
      </c>
      <c r="T88" s="130" t="s">
        <v>1957</v>
      </c>
      <c r="AJ88" s="58" t="str">
        <f ca="1">IF(Table203338452794851908321381547[[#This Row],[Column2]]=0," ",_xlfn.RANK.EQ(AK88,$AK$80:$AK$89))</f>
        <v xml:space="preserve"> </v>
      </c>
      <c r="AK88" s="60">
        <f t="shared" ca="1" si="47"/>
        <v>0</v>
      </c>
      <c r="AL88" s="29" t="str">
        <f t="shared" ca="1" si="48"/>
        <v xml:space="preserve"> </v>
      </c>
      <c r="CB88" s="35">
        <f t="shared" ca="1" si="49"/>
        <v>10</v>
      </c>
      <c r="CC88" s="36">
        <f ca="1">IF(BM13&gt;0,0,RAND())</f>
        <v>0</v>
      </c>
      <c r="CD88" s="29" t="s">
        <v>18</v>
      </c>
    </row>
    <row r="89" spans="1:82" x14ac:dyDescent="0.3">
      <c r="A89" s="137"/>
      <c r="B89" s="33" t="str">
        <f ca="1">IF(OR(O15="unarmored defense",O16="unarmored defense",Q15="unarmored defense",Q16="unarmored defense"),"Unarmored Defense",IF(B79="heavy armor",VLOOKUP(RANDBETWEEN(1,4),Table286[],2),IF(B77="medium armor",VLOOKUP(RANDBETWEEN(1,5),Table285[],2),IF(B76="light armor",VLOOKUP(RANDBETWEEN(1,3),Table284[],2),VLOOKUP(RANDBETWEEN(1,3),Table291[],2)))))</f>
        <v>Half Plate Armor</v>
      </c>
      <c r="C89" s="33"/>
      <c r="D89" s="33"/>
      <c r="E89" s="33"/>
      <c r="F89" s="33"/>
      <c r="G89" s="33"/>
      <c r="H89" s="33"/>
      <c r="I89" s="33"/>
      <c r="J89" s="33"/>
      <c r="K89" s="33"/>
      <c r="L89" s="33"/>
      <c r="M89" s="33"/>
      <c r="N89" s="33"/>
      <c r="O89" s="33">
        <f ca="1">IF(B89="unarmored Defense",10,INDEX(Items!C2:C22,MATCH(B89,(Items!B2:B22),0)))</f>
        <v>15</v>
      </c>
      <c r="P89" s="33">
        <f ca="1">IF(OR(B89="ring mail",B89="chain mail",B89="splint",B89="plate"),0,IF(B89="fine clothes",P39,IF(B89="common clothes",P39,IF(B89="traveler's clothes",P39,IF(B89="unarmored defense",P39,IF(B89="padded",P39,IF(B89="leather",P39,IF(B89="Studded Leather",P39,IF(B89="Hide",MIN(2,(P39)),IF(B89="chain shirt",MIN(2,(P39)),IF(B89="scale mail",MIN(2,(P39)),IF(B89="breastplate",MIN(2,(P39)),IF(B89="half plate",MIN(2,(Q2)),0)))))))))))))</f>
        <v>0</v>
      </c>
      <c r="Q89" s="33">
        <f ca="1">IF(AND(B89="unarmored defense",OR(O11="barbarian",Q11="barbarian")),P40,IF(AND(B89="unarmored defense",OR(O11="monk",Q11="monk")),P42,IF(AND(OR(O17="defense style",Q17="defense style",P18="defense style",O15="defense style",S18="defense style",Q15="defense style"),B89&lt;&gt;"unarmored defense"),2,0)))</f>
        <v>0</v>
      </c>
      <c r="R89" s="33">
        <f ca="1">IF(AND(B90="shield",COUNTIF(B109:P109,"*"&amp;"Shield +3"&amp;"*")),5,IF(AND(B90="shield",COUNTIF(B109:P109,"*"&amp;"Shield +2"&amp;"*")),4,IF(AND(B90="shield",COUNTIF(B109:P109,"*"&amp;"Shield +1"&amp;"*")),3,IF(B90="shield",2,0))))</f>
        <v>2</v>
      </c>
      <c r="S89" s="29">
        <f ca="1">IF(COUNTIF(B109:P109,"*"&amp;"Armor +3"&amp;"*"),3,IF(COUNTIF(B109:P109,"*"&amp;"Armor +2"&amp;"*"),2,IF(COUNTIF(B109:P109,"*"&amp;"Armor +1"&amp;"*"),1," ")))</f>
        <v>2</v>
      </c>
      <c r="T89" s="33">
        <f ca="1">SUM(C89:S89)</f>
        <v>19</v>
      </c>
      <c r="AJ89" s="58" t="str">
        <f ca="1">IF(Table203338452794851908321381547[[#This Row],[Column2]]=0," ",_xlfn.RANK.EQ(AK89,$AK$80:$AK$89))</f>
        <v xml:space="preserve"> </v>
      </c>
      <c r="AK89" s="60">
        <f t="shared" ca="1" si="47"/>
        <v>0</v>
      </c>
      <c r="AL89" s="29" t="str">
        <f t="shared" ca="1" si="48"/>
        <v xml:space="preserve"> </v>
      </c>
      <c r="CB89" s="35">
        <f t="shared" ca="1" si="49"/>
        <v>8</v>
      </c>
      <c r="CC89" s="36">
        <f ca="1">IF(BM14&gt;0,0,RAND())</f>
        <v>0.15534609711523995</v>
      </c>
      <c r="CD89" s="29" t="s">
        <v>19</v>
      </c>
    </row>
    <row r="90" spans="1:82" x14ac:dyDescent="0.3">
      <c r="A90" s="137"/>
      <c r="B90" s="33" t="str">
        <f ca="1">IF(B78="shields","Shield"," ")</f>
        <v>Shield</v>
      </c>
      <c r="C90" s="33"/>
      <c r="D90" s="33"/>
      <c r="E90" s="33"/>
      <c r="F90" s="33"/>
      <c r="G90" s="33"/>
      <c r="H90" s="33"/>
      <c r="I90" s="33"/>
      <c r="J90" s="33"/>
      <c r="K90" s="33"/>
      <c r="L90" s="33"/>
      <c r="M90" s="33"/>
      <c r="N90" s="33"/>
      <c r="O90" s="33"/>
      <c r="P90" s="33"/>
      <c r="Q90" s="33"/>
      <c r="R90" s="33"/>
      <c r="S90" s="33"/>
      <c r="CB90" s="35">
        <f t="shared" ca="1" si="49"/>
        <v>5</v>
      </c>
      <c r="CC90" s="36">
        <f ca="1">IF(BM17&gt;0,0,RAND())</f>
        <v>0.52475231086719254</v>
      </c>
      <c r="CD90" s="29" t="s">
        <v>22</v>
      </c>
    </row>
    <row r="91" spans="1:82" x14ac:dyDescent="0.3">
      <c r="A91" s="137"/>
      <c r="B91" s="69" t="s">
        <v>1962</v>
      </c>
      <c r="C91" s="69"/>
      <c r="D91" s="69"/>
      <c r="E91" s="69"/>
      <c r="F91" s="69"/>
      <c r="G91" s="69"/>
      <c r="H91" s="69"/>
      <c r="I91" s="69"/>
      <c r="J91" s="69"/>
      <c r="K91" s="69"/>
      <c r="L91" s="69"/>
      <c r="M91" s="69"/>
      <c r="N91" s="69"/>
      <c r="O91" s="69" t="s">
        <v>1963</v>
      </c>
      <c r="P91" s="69" t="s">
        <v>1982</v>
      </c>
      <c r="Q91" s="70" t="s">
        <v>1983</v>
      </c>
      <c r="R91" s="71" t="s">
        <v>2715</v>
      </c>
      <c r="S91" s="30"/>
      <c r="AJ91" s="31" t="s">
        <v>1169</v>
      </c>
      <c r="CB91" s="35">
        <f t="shared" ca="1" si="49"/>
        <v>1</v>
      </c>
      <c r="CC91" s="36">
        <f ca="1">IF(BM18&gt;0,0,RAND())</f>
        <v>0.95646638875840906</v>
      </c>
      <c r="CD91" s="29" t="s">
        <v>23</v>
      </c>
    </row>
    <row r="92" spans="1:82" x14ac:dyDescent="0.3">
      <c r="A92" s="137"/>
      <c r="B92" s="33" t="str">
        <f ca="1">IF(P77="martial weapons",VLOOKUP(RANDBETWEEN(1,18),Table289[],2),IF(P76="simple weapons",VLOOKUP(RANDBETWEEN(1,10),Table287[],2),INDEX(AQ45:AQ59,MATCH(1,(AO45:AO59),0))))</f>
        <v>Maul</v>
      </c>
      <c r="C92" s="33"/>
      <c r="D92" s="33"/>
      <c r="E92" s="33"/>
      <c r="F92" s="33"/>
      <c r="G92" s="33"/>
      <c r="H92" s="33"/>
      <c r="I92" s="33"/>
      <c r="J92" s="33"/>
      <c r="K92" s="33"/>
      <c r="L92" s="33"/>
      <c r="M92" s="33"/>
      <c r="N92" s="33"/>
      <c r="O92" s="33" t="str">
        <f ca="1">INDEX(Items!$G$2:$G$44,MATCH(B92,(Items!$F$2:$F$44),0))</f>
        <v>2d6b</v>
      </c>
      <c r="P92" s="33" t="str">
        <f ca="1">INDEX(Items!$I$2:$I$44,MATCH(B92,(Items!$F$2:$F$44),0))</f>
        <v>n/a</v>
      </c>
      <c r="Q92" s="72" t="str">
        <f ca="1">INDEX(Items!$H$2:$H$44,MATCH(B92,(Items!$F$2:$F$44),0))</f>
        <v>2H, Heavy</v>
      </c>
      <c r="R92" s="30"/>
      <c r="S92" s="30"/>
      <c r="AJ92" s="58" t="str">
        <f ca="1">IF(Table204339453795852909322382548[[#This Row],[Column2]]=0," ",_xlfn.RANK.EQ(AK92,$AK$92:$AK$101))</f>
        <v xml:space="preserve"> </v>
      </c>
      <c r="AK92" s="60">
        <f t="shared" ref="AK92:AK101" ca="1" si="50">IF(AL92=" ", 0,RAND())</f>
        <v>0</v>
      </c>
      <c r="AL92" s="29" t="str">
        <f t="shared" ref="AL92:AL101" ca="1" si="51">P334</f>
        <v xml:space="preserve"> </v>
      </c>
      <c r="CB92" s="35">
        <f t="shared" ca="1" si="49"/>
        <v>2</v>
      </c>
      <c r="CC92" s="36">
        <f ca="1">IF(BM19&gt;0,0,RAND())</f>
        <v>0.6857924921126558</v>
      </c>
      <c r="CD92" s="29" t="s">
        <v>24</v>
      </c>
    </row>
    <row r="93" spans="1:82" x14ac:dyDescent="0.3">
      <c r="A93" s="137"/>
      <c r="B93" s="33" t="str">
        <f ca="1">IF(P77="martial weapons",VLOOKUP(RANDBETWEEN(1,18),Table289[],2),IF(P76="simple weapons",VLOOKUP(RANDBETWEEN(1,10),Table287[],2),INDEX(AQ45:AQ59,MATCH(2,(AO45:AO59),0))))</f>
        <v>Rapier</v>
      </c>
      <c r="C93" s="33"/>
      <c r="D93" s="33"/>
      <c r="E93" s="33"/>
      <c r="F93" s="33"/>
      <c r="G93" s="33"/>
      <c r="H93" s="33"/>
      <c r="I93" s="33"/>
      <c r="J93" s="33"/>
      <c r="K93" s="33"/>
      <c r="L93" s="33"/>
      <c r="M93" s="33"/>
      <c r="N93" s="33"/>
      <c r="O93" s="33" t="str">
        <f ca="1">INDEX(Items!$G$2:$G$44,MATCH(B93,(Items!$F$2:$F$44),0))</f>
        <v>1d8p</v>
      </c>
      <c r="P93" s="33" t="str">
        <f ca="1">INDEX(Items!$I$2:$I$44,MATCH(B93,(Items!$F$2:$F$44),0))</f>
        <v>n/a</v>
      </c>
      <c r="Q93" s="72" t="str">
        <f ca="1">INDEX(Items!$H$2:$H$44,MATCH(B93,(Items!$F$2:$F$44),0))</f>
        <v>Finesse</v>
      </c>
      <c r="R93" s="30"/>
      <c r="S93" s="30"/>
      <c r="AJ93" s="58" t="str">
        <f ca="1">IF(Table204339453795852909322382548[[#This Row],[Column2]]=0," ",_xlfn.RANK.EQ(AK93,$AK$92:$AK$101))</f>
        <v xml:space="preserve"> </v>
      </c>
      <c r="AK93" s="60">
        <f t="shared" ca="1" si="50"/>
        <v>0</v>
      </c>
      <c r="AL93" s="29" t="str">
        <f t="shared" ca="1" si="51"/>
        <v xml:space="preserve"> </v>
      </c>
      <c r="CB93" s="35">
        <f t="shared" ca="1" si="49"/>
        <v>4</v>
      </c>
      <c r="CC93" s="36">
        <f ca="1">IF(BM21&gt;0,0,RAND())</f>
        <v>0.53247800488145003</v>
      </c>
      <c r="CD93" s="29" t="s">
        <v>26</v>
      </c>
    </row>
    <row r="94" spans="1:82" x14ac:dyDescent="0.3">
      <c r="A94" s="137"/>
      <c r="B94" s="33" t="str">
        <f ca="1">IF(P77="martial weapons",VLOOKUP(RANDBETWEEN(1,5),Table290[],2),IF(P76="simple weapons",VLOOKUP(RANDBETWEEN(1,4),Table288[],2,),INDEX(AQ45:AQ59,MATCH(3,(AO45:AO59),0))))</f>
        <v>Net</v>
      </c>
      <c r="C94" s="33"/>
      <c r="D94" s="33"/>
      <c r="E94" s="33"/>
      <c r="F94" s="33"/>
      <c r="G94" s="33"/>
      <c r="H94" s="33"/>
      <c r="I94" s="33"/>
      <c r="J94" s="33"/>
      <c r="K94" s="33"/>
      <c r="L94" s="33"/>
      <c r="M94" s="33"/>
      <c r="N94" s="33"/>
      <c r="O94" s="33" t="str">
        <f ca="1">IF(B94=" "," ",INDEX(Items!$G$2:$G$44,MATCH(B94,(Items!$F$2:$F$44),0)))</f>
        <v>n/a</v>
      </c>
      <c r="P94" s="33" t="str">
        <f ca="1">IF(B94=" "," ",INDEX(Items!$I$2:$I$44,MATCH(B94,(Items!$F$2:$F$44),0)))</f>
        <v>n/a</v>
      </c>
      <c r="Q94" s="72" t="str">
        <f ca="1">IF(B94=" "," ",INDEX(Items!$H$2:$H$44,MATCH(B94,(Items!$F$2:$F$44),0)))</f>
        <v>Special,Thrown (5/15)</v>
      </c>
      <c r="R94" s="30"/>
      <c r="S94" s="30"/>
      <c r="AJ94" s="58" t="str">
        <f ca="1">IF(Table204339453795852909322382548[[#This Row],[Column2]]=0," ",_xlfn.RANK.EQ(AK94,$AK$92:$AK$101))</f>
        <v xml:space="preserve"> </v>
      </c>
      <c r="AK94" s="60">
        <f t="shared" ca="1" si="50"/>
        <v>0</v>
      </c>
      <c r="AL94" s="29" t="str">
        <f t="shared" ca="1" si="51"/>
        <v xml:space="preserve"> </v>
      </c>
      <c r="CB94" s="35">
        <f t="shared" ca="1" si="49"/>
        <v>6</v>
      </c>
      <c r="CC94" s="36">
        <f ca="1">IF(BM22&gt;0,0,RAND())</f>
        <v>0.32179498394936989</v>
      </c>
      <c r="CD94" s="29" t="s">
        <v>27</v>
      </c>
    </row>
    <row r="95" spans="1:82" ht="19.5" thickBot="1" x14ac:dyDescent="0.35">
      <c r="A95" s="137"/>
      <c r="B95" s="38" t="str">
        <f ca="1">IF(O11="monk","Martial Arts"," ")</f>
        <v xml:space="preserve"> </v>
      </c>
      <c r="C95" s="33"/>
      <c r="D95" s="33"/>
      <c r="E95" s="33"/>
      <c r="F95" s="33"/>
      <c r="G95" s="33"/>
      <c r="H95" s="33"/>
      <c r="I95" s="33"/>
      <c r="J95" s="33"/>
      <c r="K95" s="33"/>
      <c r="L95" s="33"/>
      <c r="M95" s="33"/>
      <c r="N95" s="33"/>
      <c r="O95" s="38" t="str">
        <f ca="1">IF(B95="martial arts",INDEX('Class Tables'!J98:J117,MATCH(O12,('Class Tables'!I98:I117),0))," ")</f>
        <v xml:space="preserve"> </v>
      </c>
      <c r="P95" s="38" t="str">
        <f ca="1">IF(B95=" "," ",IF(B95="martial arts", " ",INDEX(Items!$I$2:$I$44,MATCH(B95,(Items!$F$2:$F$44),0))))</f>
        <v xml:space="preserve"> </v>
      </c>
      <c r="Q95" s="73" t="str">
        <f ca="1">IF(B95=" "," ",IF(B95="martial arts"," ",INDEX(Items!$H$2:$H$44,MATCH(B95,(Items!$F$2:$F$44),0))))</f>
        <v xml:space="preserve"> </v>
      </c>
      <c r="R95" s="41"/>
      <c r="S95" s="41"/>
      <c r="AJ95" s="58" t="str">
        <f ca="1">IF(Table204339453795852909322382548[[#This Row],[Column2]]=0," ",_xlfn.RANK.EQ(AK95,$AK$92:$AK$101))</f>
        <v xml:space="preserve"> </v>
      </c>
      <c r="AK95" s="60">
        <f t="shared" ca="1" si="50"/>
        <v>0</v>
      </c>
      <c r="AL95" s="29" t="str">
        <f t="shared" ca="1" si="51"/>
        <v xml:space="preserve"> </v>
      </c>
    </row>
    <row r="96" spans="1:82" x14ac:dyDescent="0.3">
      <c r="A96" s="137"/>
      <c r="O96" s="69" t="s">
        <v>1964</v>
      </c>
      <c r="P96" s="69" t="s">
        <v>34</v>
      </c>
      <c r="Q96" s="69" t="s">
        <v>1986</v>
      </c>
      <c r="R96" s="69" t="s">
        <v>2753</v>
      </c>
      <c r="S96" s="70" t="s">
        <v>2480</v>
      </c>
      <c r="AJ96" s="58" t="str">
        <f ca="1">IF(Table204339453795852909322382548[[#This Row],[Column2]]=0," ",_xlfn.RANK.EQ(AK96,$AK$92:$AK$101))</f>
        <v xml:space="preserve"> </v>
      </c>
      <c r="AK96" s="60">
        <f t="shared" ca="1" si="50"/>
        <v>0</v>
      </c>
      <c r="AL96" s="29" t="str">
        <f t="shared" ca="1" si="51"/>
        <v xml:space="preserve"> </v>
      </c>
      <c r="CB96" s="31" t="s">
        <v>736</v>
      </c>
    </row>
    <row r="97" spans="1:82" x14ac:dyDescent="0.3">
      <c r="A97" s="137"/>
      <c r="B97" s="29" t="str">
        <f ca="1">B92</f>
        <v>Maul</v>
      </c>
      <c r="O97" s="33">
        <f ca="1">IF(VLOOKUP(B92,Items!$F$2:$J$44,5,FALSE)="fin",SUM($P$38:$P$39)-SMALL($P$38:$P$39,1),IF(VLOOKUP(B92,(Items!$F$2:$J$44),5,FALSE)="str",$P$38,IF(VLOOKUP(B92,(Items!$F$2:$J$44),5,FALSE)="dex",$P$39,0)))</f>
        <v>-1</v>
      </c>
      <c r="P97" s="33">
        <f ca="1">P8</f>
        <v>4</v>
      </c>
      <c r="Q97" s="33">
        <f ca="1">IF(AND(OR(B92&lt;&gt;"light crossbow",B92&lt;&gt;"dart",B92="shortbow",B92&lt;&gt;"Sling",B92&lt;&gt;"blowgun",B92&lt;&gt;"hand crossbow",B92&lt;&gt;"heavy crossbow",B92&lt;&gt;"longbow",B92&lt;&gt;"net",B92&lt;&gt;"greatclub",B92&lt;&gt;"glaive",B92&lt;&gt;"Greataxe",B92&lt;&gt;"Greatsword",B92&lt;&gt;"halbard",B92&lt;&gt;"maul",B92&lt;&gt;"pike"),OR($O$18="dueling style",$Q$18="dueling style",$P$18="dueling style",$S$18="dueling style",$O$15="dueling style",$Q$15="dueling style")),2,0)</f>
        <v>2</v>
      </c>
      <c r="R97" s="33">
        <f ca="1">IF(AND(OR(B92="light crossbow",B92="dart",B92="shortbow",B92="Sling",B92="blowgun",B92="hand crossbow",B92="heavy crossbow",B92="longbow",B92="net"),OR($P$18="archery style",$S$18="archery style",$O$15="archery style",$Q$15="archery style")),2,0)</f>
        <v>0</v>
      </c>
      <c r="S97" s="72" t="str">
        <f ca="1">IF(COUNTIF(B109:P109,"*"&amp;"Weapon +3"&amp;"*"),3,IF(COUNTIF(B109:P109,"*"&amp;"Weapon +2"&amp;"*"),2,IF(COUNTIF(B109:P109,"*"&amp;"Weapon +1"&amp;"*"),1," ")))</f>
        <v xml:space="preserve"> </v>
      </c>
      <c r="AJ97" s="58" t="str">
        <f ca="1">IF(Table204339453795852909322382548[[#This Row],[Column2]]=0," ",_xlfn.RANK.EQ(AK97,$AK$92:$AK$101))</f>
        <v xml:space="preserve"> </v>
      </c>
      <c r="AK97" s="60">
        <f t="shared" ca="1" si="50"/>
        <v>0</v>
      </c>
      <c r="AL97" s="29" t="str">
        <f t="shared" ca="1" si="51"/>
        <v xml:space="preserve"> </v>
      </c>
      <c r="CB97" s="35">
        <f t="shared" ref="CB97:CB102" ca="1" si="52">_xlfn.RANK.EQ(CC97,$CC$97:$CC$102)</f>
        <v>5</v>
      </c>
      <c r="CC97" s="36">
        <f ca="1">IF(BM8&gt;0,0,RAND())</f>
        <v>4.5706931945255103E-2</v>
      </c>
      <c r="CD97" s="29" t="s">
        <v>13</v>
      </c>
    </row>
    <row r="98" spans="1:82" x14ac:dyDescent="0.3">
      <c r="A98" s="137"/>
      <c r="B98" s="29" t="str">
        <f ca="1">B93</f>
        <v>Rapier</v>
      </c>
      <c r="O98" s="33">
        <f ca="1">IF(VLOOKUP(B93,Items!$F$2:$J$44,5,FALSE)="fin",SUM($P$38:$P$39)-SMALL($P$38:$P$39,1),IF(VLOOKUP(B93,(Items!$F$2:$J$44),5,FALSE)="str",$P$38,IF(VLOOKUP(B93,(Items!$F$2:$J$44),5,FALSE)="dex",$P$39,0)))</f>
        <v>1</v>
      </c>
      <c r="P98" s="33">
        <f ca="1">P8</f>
        <v>4</v>
      </c>
      <c r="Q98" s="33">
        <f ca="1">IF(AND(OR(B93&lt;&gt;"light crossbow",B93&lt;&gt;"dart",B93="shortbow",B93&lt;&gt;"Sling",B93&lt;&gt;"blowgun",B93&lt;&gt;"hand crossbow",B93&lt;&gt;"heavy crossbow",B93&lt;&gt;"longbow",B93&lt;&gt;"net",B93&lt;&gt;"greatclub",B93&lt;&gt;"glaive",B93&lt;&gt;"Greataxe",B93&lt;&gt;"Greatsword",B93&lt;&gt;"halbard",B93&lt;&gt;"maul",B93&lt;&gt;"pike"),OR($O$18="dueling style",$Q$18="dueling style",$P$18="dueling style",$S$18="dueling style",$O$15="dueling style",$Q$15="dueling style")),2,0)</f>
        <v>2</v>
      </c>
      <c r="R98" s="33">
        <f ca="1">IF(AND(OR(B93="light crossbow",B93="dart",B93="shortbow",B93="Sling",B93="blowgun",B93="hand crossbow",B93="heavy crossbow",B93="longbow",B93="net"),OR($P$18="archery style",$S$18="archery style",$O$15="archery style",$Q$15="archery style")),2,0)</f>
        <v>0</v>
      </c>
      <c r="S98" s="72" t="str">
        <f ca="1">IF(AND(S97&lt;&gt;2,COUNTIF(B109:P109,"*"&amp;"Weapon +2"&amp;"*")),2,IF(AND(S97&lt;&gt;1,COUNTIF(B109:P109,"*"&amp;"Weapon +1"&amp;"*")),1," "))</f>
        <v xml:space="preserve"> </v>
      </c>
      <c r="AJ98" s="58" t="str">
        <f ca="1">IF(Table204339453795852909322382548[[#This Row],[Column2]]=0," ",_xlfn.RANK.EQ(AK98,$AK$92:$AK$101))</f>
        <v xml:space="preserve"> </v>
      </c>
      <c r="AK98" s="60">
        <f t="shared" ca="1" si="50"/>
        <v>0</v>
      </c>
      <c r="AL98" s="29" t="str">
        <f t="shared" ca="1" si="51"/>
        <v xml:space="preserve"> </v>
      </c>
      <c r="CB98" s="35">
        <f t="shared" ca="1" si="52"/>
        <v>3</v>
      </c>
      <c r="CC98" s="36">
        <f ca="1">IF(BM10&gt;0,0,RAND())</f>
        <v>0.15799021137904745</v>
      </c>
      <c r="CD98" s="29" t="s">
        <v>15</v>
      </c>
    </row>
    <row r="99" spans="1:82" x14ac:dyDescent="0.3">
      <c r="A99" s="137"/>
      <c r="B99" s="29" t="str">
        <f ca="1">B94</f>
        <v>Net</v>
      </c>
      <c r="O99" s="33">
        <f ca="1">IF(VLOOKUP(B94,Items!$F$2:$J$44,5,FALSE)="fin",SUM($P$38:$P$39)-SMALL($P$38:$P$39,1),IF(VLOOKUP(B94,(Items!$F$2:$J$44),5,FALSE)="str",$P$38,IF(VLOOKUP(B94,(Items!$F$2:$J$44),5,FALSE)="dex",$P$39,0)))</f>
        <v>1</v>
      </c>
      <c r="P99" s="33">
        <f ca="1">IF(B94=" "," ",P8)</f>
        <v>4</v>
      </c>
      <c r="Q99" s="33">
        <f ca="1">IF(AND(OR(B94&lt;&gt;"light crossbow",B94&lt;&gt;"dart",B94="shortbow",B94&lt;&gt;"Sling",B94&lt;&gt;"blowgun",B94&lt;&gt;"hand crossbow",B94&lt;&gt;"heavy crossbow",B94&lt;&gt;"longbow",B94&lt;&gt;"net",B94&lt;&gt;"greatclub",B94&lt;&gt;"glaive",B94&lt;&gt;"Greataxe",B94&lt;&gt;"Greatsword",B94&lt;&gt;"halbard",B94&lt;&gt;"maul",B94&lt;&gt;"pike"),OR($O$18="dueling style",$Q$18="dueling style",$P$18="dueling style",$S$18="dueling style",$O$15="dueling style",$Q$15="dueling style")),2,0)</f>
        <v>2</v>
      </c>
      <c r="R99" s="33">
        <f ca="1">IF(AND(OR(B94="light crossbow",B94="dart",B94="shortbow",B94="Sling",B94="blowgun",B94="hand crossbow",B94="heavy crossbow",B94="longbow",B94="net"),OR($P$18="archery style",$S$18="archery style",$O$15="archery style",$Q$15="archery style")),2,0)</f>
        <v>0</v>
      </c>
      <c r="S99" s="72" t="str">
        <f ca="1">IF(AND(S97&lt;&gt;1,S98&lt;&gt;1,COUNTIF(B109:P109,"*"&amp;"Weapon +1"&amp;"*")),1," ")</f>
        <v xml:space="preserve"> </v>
      </c>
      <c r="AJ99" s="58" t="str">
        <f ca="1">IF(Table204339453795852909322382548[[#This Row],[Column2]]=0," ",_xlfn.RANK.EQ(AK99,$AK$92:$AK$101))</f>
        <v xml:space="preserve"> </v>
      </c>
      <c r="AK99" s="60">
        <f t="shared" ca="1" si="50"/>
        <v>0</v>
      </c>
      <c r="AL99" s="29" t="str">
        <f t="shared" ca="1" si="51"/>
        <v xml:space="preserve"> </v>
      </c>
      <c r="CB99" s="35">
        <f t="shared" ca="1" si="52"/>
        <v>1</v>
      </c>
      <c r="CC99" s="36">
        <f ca="1">IF(BM12&gt;0,0,RAND())</f>
        <v>0.9350494546340774</v>
      </c>
      <c r="CD99" s="29" t="s">
        <v>17</v>
      </c>
    </row>
    <row r="100" spans="1:82" x14ac:dyDescent="0.3">
      <c r="A100" s="138"/>
      <c r="B100" s="29" t="str">
        <f ca="1">B95</f>
        <v xml:space="preserve"> </v>
      </c>
      <c r="O100" s="33" t="str">
        <f ca="1">IF(B95="martial arts",SUM($P$38:$P$39)-SMALL($P$38:$P$39,1)," ")</f>
        <v xml:space="preserve"> </v>
      </c>
      <c r="P100" s="33" t="str">
        <f ca="1">IF(B95=" "," ",P8)</f>
        <v xml:space="preserve"> </v>
      </c>
      <c r="Q100" s="33">
        <f ca="1">IF(AND(OR(B95&lt;&gt;"light crossbow",B95&lt;&gt;"dart",B95="shortbow",B95&lt;&gt;"Sling",B95&lt;&gt;"blowgun",B95&lt;&gt;"hand crossbow",B95&lt;&gt;"heavy crossbow",B95&lt;&gt;"longbow",B95&lt;&gt;"net",B95&lt;&gt;"greatclub",B95&lt;&gt;"glaive",B95&lt;&gt;"Greataxe",B95&lt;&gt;"Greatsword",B95&lt;&gt;"halbard",B95&lt;&gt;"maul",B95&lt;&gt;"pike"),OR($O$18="dueling style",$Q$18="dueling style",$P$18="dueling style",$S$18="dueling style",$O$15="dueling style",$Q$15="dueling style")),2,0)</f>
        <v>2</v>
      </c>
      <c r="R100" s="33">
        <f ca="1">IF(AND(OR(B95="light crossbow",B95="dart",B95="shortbow",B95="Sling",B95="blowgun",B95="hand crossbow",B95="heavy crossbow",B95="longbow",B95="net"),OR($P$18="archery style",$S$18="archery style",$O$15="archery style",$Q$15="archery style")),2,0)</f>
        <v>0</v>
      </c>
      <c r="S100" s="72" t="str">
        <f ca="1">IF(AND(S98&lt;&gt;1,S99&lt;&gt;1,COUNTIF(B110:P110,"*"&amp;"Weapon +1"&amp;"*")),1," ")</f>
        <v xml:space="preserve"> </v>
      </c>
      <c r="AJ100" s="58" t="str">
        <f ca="1">IF(Table204339453795852909322382548[[#This Row],[Column2]]=0," ",_xlfn.RANK.EQ(AK100,$AK$92:$AK$101))</f>
        <v xml:space="preserve"> </v>
      </c>
      <c r="AK100" s="60">
        <f t="shared" ca="1" si="50"/>
        <v>0</v>
      </c>
      <c r="AL100" s="29" t="str">
        <f t="shared" ca="1" si="51"/>
        <v xml:space="preserve"> </v>
      </c>
      <c r="CB100" s="35">
        <f t="shared" ca="1" si="52"/>
        <v>6</v>
      </c>
      <c r="CC100" s="36">
        <f ca="1">IF(BM13&gt;0,0,RAND())</f>
        <v>0</v>
      </c>
      <c r="CD100" s="29" t="s">
        <v>18</v>
      </c>
    </row>
    <row r="101" spans="1:82" x14ac:dyDescent="0.3">
      <c r="A101" s="138"/>
      <c r="AJ101" s="58" t="str">
        <f ca="1">IF(Table204339453795852909322382548[[#This Row],[Column2]]=0," ",_xlfn.RANK.EQ(AK101,$AK$92:$AK$101))</f>
        <v xml:space="preserve"> </v>
      </c>
      <c r="AK101" s="60">
        <f t="shared" ca="1" si="50"/>
        <v>0</v>
      </c>
      <c r="AL101" s="29" t="str">
        <f t="shared" ca="1" si="51"/>
        <v xml:space="preserve"> </v>
      </c>
      <c r="CB101" s="35">
        <f t="shared" ca="1" si="52"/>
        <v>2</v>
      </c>
      <c r="CC101" s="36">
        <f ca="1">IF(BM19&gt;0,0,RAND())</f>
        <v>0.36037184379734255</v>
      </c>
      <c r="CD101" s="29" t="s">
        <v>24</v>
      </c>
    </row>
    <row r="102" spans="1:82" x14ac:dyDescent="0.3">
      <c r="A102" s="137"/>
      <c r="B102" s="69" t="str">
        <f ca="1">IF(B40="non-classed","Shoulder Bag",IF(B103="diplomat's pack","Small Chest","Backpack"))</f>
        <v>Backpack</v>
      </c>
      <c r="C102" s="33"/>
      <c r="D102" s="33"/>
      <c r="E102" s="33"/>
      <c r="F102" s="33"/>
      <c r="G102" s="33"/>
      <c r="H102" s="33"/>
      <c r="I102" s="33"/>
      <c r="J102" s="33"/>
      <c r="K102" s="33"/>
      <c r="L102" s="33"/>
      <c r="M102" s="33"/>
      <c r="N102" s="33"/>
      <c r="O102" s="33"/>
      <c r="P102" s="33"/>
      <c r="Q102" s="69" t="s">
        <v>1988</v>
      </c>
      <c r="R102" s="69" t="str">
        <f ca="1">IF(OR(P15="eldritch knight",R15="eldritch knight",P15="arcane trickster",R15="arcane trickster",O11="ranger",Q11="ranger",O11="bard",Q11="bard",O11="cleric",Q11="cleric",O11="druid",Q11="druid",O11="paladin",Q11="paladin",O11="sorcerer",Q11="sorcerer",O11="warlock",Q11="warlock",O11="wizard",Q11="wizard"),"Component Pouch"," ")</f>
        <v>Component Pouch</v>
      </c>
      <c r="CB102" s="35">
        <f t="shared" ca="1" si="52"/>
        <v>4</v>
      </c>
      <c r="CC102" s="36">
        <f ca="1">IF(BM20&gt;0,0,RAND())</f>
        <v>8.9045567968535022E-2</v>
      </c>
      <c r="CD102" s="29" t="s">
        <v>25</v>
      </c>
    </row>
    <row r="103" spans="1:82" x14ac:dyDescent="0.3">
      <c r="A103" s="137"/>
      <c r="B103" s="33" t="str">
        <f ca="1">IF(AND(AF21=2,O11="wizard"),"Explorer's Pack",IF(AND(AF21=1,OR(O11="sorcerer",O11="wizard",O11="warlock")),"Scholar's Pack",IF(AND(AF20=1,O11="rogue"),"Dungeoneer's Pack",IF(AND(AF20=2,O11="rogue"),"Explorer's Pack",IF(AND(AF20=3,O11="rogue"),"Burglar's Pack",IF(AND(AF21=1,OR(O11="monk",O11="Fighter",O11="ranger",O11="Sorcerer")),"Explorer's Pack",IF(AND(AF21=2,OR(O11="fighter",O11="monk",O11="ranger",O11="sorcerer",O11="warlock")),"Dungeoneer's Pack",IF(O11="druid","Explorer's Pack",IF(AND(AF21=2,OR(O11="cleric",O11="paladin")),"Explorer's Pack",IF(AND(AF21=1,OR(O11="cleric",O11="paladin")),"Priest's Pack",IF(AND(AF21=1,O11="bard"),"Diplomat's Pack",IF(AND(AF21=2,O11="bard"),"Entertainer's Pack",IF(O11="barbarian","Explorer's Pack"," ")))))))))))))</f>
        <v>Dungeoneer's Pack</v>
      </c>
      <c r="C103" s="33"/>
      <c r="D103" s="33"/>
      <c r="E103" s="33"/>
      <c r="F103" s="33"/>
      <c r="G103" s="33"/>
      <c r="H103" s="33"/>
      <c r="I103" s="33"/>
      <c r="J103" s="33"/>
      <c r="K103" s="33"/>
      <c r="L103" s="33"/>
      <c r="M103" s="33"/>
      <c r="N103" s="33"/>
      <c r="O103" s="33" t="str">
        <f ca="1">IF(B103="Scholar's Pack","SP - Little Bag of Sand",IF(B103="Priest's Pack","PP - 2 Blocks of Incense",IF(B103="Entertainer's Pack","EP - Waterskin",IF(B103="Dungeoneer's Pack","DP - Tinderbox",IF(B103="Diplomat's Pack","DP - Lamp",IF(B103="Burglar's Pack","BP - Hammer",IF(B103="explorer's pack","EP - 10 Days Rations"," ")))))))</f>
        <v>DP - Tinderbox</v>
      </c>
      <c r="P103" s="33" t="str">
        <f ca="1">IF(B103="Diplomat's Pack","DP - Soap",IF(B103="Burglar's Pack","BP - Tinderbox"," "))</f>
        <v xml:space="preserve"> </v>
      </c>
      <c r="Q103" s="33" t="str">
        <f ca="1">INDEX(Items!C47:C66,MATCH(P6,(Items!A47:A66),0))&amp;" CP"</f>
        <v>0 CP</v>
      </c>
      <c r="R103" s="33" t="str">
        <f ca="1">IF(OR(,O11="bard",Q11="bard",O11="cleric",Q11="cleric",O11="druid",Q11="druid",O11="paladin",Q11="paladin",O11="sorcerer",Q11="sorcerer",O11="warlock",Q11="warlock",O11="wizard",Q11="wizard"),"Arcane Focus"," ")</f>
        <v>Arcane Focus</v>
      </c>
      <c r="AJ103" s="31" t="s">
        <v>1170</v>
      </c>
    </row>
    <row r="104" spans="1:82" x14ac:dyDescent="0.3">
      <c r="A104" s="137"/>
      <c r="B104" s="33" t="str">
        <f ca="1">IF(B103="Scholar's Pack","SP - Book of Lore",IF(B103="Priest's Pack","PP - Blanket",IF(B103="Entertainer's Pack","EP - Bedroll",IF(B103="Dungeoneer's Pack","DP - Crowbar",IF(B103="Diplomat's Pack","DP - 2 Map/Scroll Cases",IF(B103="Burglar's Pack","BP - 10' of String",IF(B103="explorer's pack"," EP - Bedroll"," ")))))))</f>
        <v>DP - Crowbar</v>
      </c>
      <c r="C104" s="33"/>
      <c r="D104" s="33"/>
      <c r="E104" s="33"/>
      <c r="F104" s="33"/>
      <c r="G104" s="33"/>
      <c r="H104" s="33"/>
      <c r="I104" s="33"/>
      <c r="J104" s="33"/>
      <c r="K104" s="33"/>
      <c r="L104" s="33"/>
      <c r="M104" s="33"/>
      <c r="N104" s="33"/>
      <c r="O104" s="33" t="str">
        <f ca="1">IF(B103="Scholar's Pack","SP - Small Knife",IF(B103="Priest's Pack","PP - Censer",IF(B103="Entertainer's Pack","EP - Disguise Kit",IF(B103="Dungeoneer's Pack","DP - 10 Days Rations",IF(B103="Diplomat's Pack","DP - 2 Flasks of Oil",IF(B103="Burglar's Pack","BP - 10 Pitons",IF(B103="explorer's pack","EP - Waterskin"," ")))))))</f>
        <v>DP - 10 Days Rations</v>
      </c>
      <c r="P104" s="33" t="str">
        <f ca="1">IF(B103="Burglar's Pack","BP - Waterskin"," ")</f>
        <v xml:space="preserve"> </v>
      </c>
      <c r="Q104" s="33" t="str">
        <f ca="1">INDEX(Items!D47:D66,MATCH(P6,(Items!A47:A66),0))&amp;" SP"</f>
        <v>0 SP</v>
      </c>
      <c r="R104" s="69" t="str">
        <f ca="1">IF(COUNTIF(B92:B94,"*"&amp;"sling"&amp;"*"),"Sling Bullet Pouch"," ")</f>
        <v xml:space="preserve"> </v>
      </c>
      <c r="AJ104" s="58" t="str">
        <f ca="1">IF(AK104=0," ",_xlfn.RANK.EQ(AK104,$AK$104:$AK$113))</f>
        <v xml:space="preserve"> </v>
      </c>
      <c r="AK104" s="60">
        <f t="shared" ref="AK104:AK113" ca="1" si="53">IF(AL104=" ", 0,RAND())</f>
        <v>0</v>
      </c>
      <c r="AL104" s="29" t="str">
        <f t="shared" ref="AL104:AL113" ca="1" si="54">Q334</f>
        <v xml:space="preserve"> </v>
      </c>
      <c r="CB104" s="31" t="s">
        <v>737</v>
      </c>
    </row>
    <row r="105" spans="1:82" x14ac:dyDescent="0.3">
      <c r="A105" s="137"/>
      <c r="B105" s="33" t="str">
        <f ca="1">IF(B103="Scholar's Pack","SP - Bottle of Ink",IF(B103="Priest's Pack","PP - 10 Candles",IF(B103="Entertainer's Pack","EP - 2 Costumes",IF(B103="Dungeoneer's Pack","DP -Hammer ",IF(B103="Diplomat's Pack","DP - Set of Fine Clothes",IF(B103="Burglar's Pack","BP - Bell",IF(B103="explorer's pack","EP - Mess Kit"," ")))))))</f>
        <v xml:space="preserve">DP -Hammer </v>
      </c>
      <c r="C105" s="33"/>
      <c r="D105" s="33"/>
      <c r="E105" s="33"/>
      <c r="F105" s="33"/>
      <c r="G105" s="33"/>
      <c r="H105" s="33"/>
      <c r="I105" s="33"/>
      <c r="J105" s="33"/>
      <c r="K105" s="33"/>
      <c r="L105" s="33"/>
      <c r="M105" s="33"/>
      <c r="N105" s="33"/>
      <c r="O105" s="33" t="str">
        <f ca="1">IF(B103="Priest's Pack","PP - Vestments",IF(B103="Dungeoneer's Pack","DP - Waterskin",IF(B103="Diplomat's Pack","DP - 5 Sheets of Paper",IF(B103="Burglar's Pack","BP - Hooded Lantern",IF(B103="explorer's pack","EP - 50' Hempen Rope"," ")))))</f>
        <v>DP - Waterskin</v>
      </c>
      <c r="P105" s="33" t="str">
        <f ca="1">IF(B103="Burglar's Pack","BP - 50' Hempen Rope"," ")</f>
        <v xml:space="preserve"> </v>
      </c>
      <c r="Q105" s="33" t="str">
        <f ca="1">INDEX(Items!E47:E66,MATCH(P6,(Items!A47:A66),0))&amp;" EP"</f>
        <v>157 EP</v>
      </c>
      <c r="R105" s="33" t="str">
        <f ca="1">IF(COUNTIF(B92:B94,"*"&amp;"sling"&amp;"*"),RANDBETWEEN(6,13)&amp;" Sling Bullets"," ")</f>
        <v xml:space="preserve"> </v>
      </c>
      <c r="AJ105" s="58" t="str">
        <f t="shared" ref="AJ105:AJ113" ca="1" si="55">IF(AK105=0," ",_xlfn.RANK.EQ(AK105,$AK$104:$AK$113))</f>
        <v xml:space="preserve"> </v>
      </c>
      <c r="AK105" s="60">
        <f t="shared" ca="1" si="53"/>
        <v>0</v>
      </c>
      <c r="AL105" s="29" t="str">
        <f t="shared" ca="1" si="54"/>
        <v xml:space="preserve"> </v>
      </c>
      <c r="CB105" s="35">
        <f t="shared" ref="CB105:CB111" ca="1" si="56">_xlfn.RANK.EQ(CC105,$CC$105:$CC$111)</f>
        <v>5</v>
      </c>
      <c r="CC105" s="36">
        <f ca="1">IF(BM8&gt;0,0,RAND())</f>
        <v>3.2526054542292293E-2</v>
      </c>
      <c r="CD105" s="29" t="s">
        <v>13</v>
      </c>
    </row>
    <row r="106" spans="1:82" x14ac:dyDescent="0.3">
      <c r="A106" s="137"/>
      <c r="B106" s="33" t="str">
        <f ca="1">IF(B103="Scholar's Pack","SP - Ink Pen",IF(B103="Priest's Pack","PP - Tinderbox",IF(B103="Entertainer's Pack","EP - 5 Candles",IF(B103="Dungeoneer's Pack","DP - 10 Pitons",IF(B103="Diplomat's Pack","DP - Bottle of Ink",IF(B103="Burglar's Pack","BP - 5 Candles",IF(B103="explorer's pack","EP - Tinderbox"," ")))))))</f>
        <v>DP - 10 Pitons</v>
      </c>
      <c r="C106" s="33"/>
      <c r="D106" s="33"/>
      <c r="E106" s="33"/>
      <c r="F106" s="33"/>
      <c r="G106" s="33"/>
      <c r="H106" s="33"/>
      <c r="I106" s="33"/>
      <c r="J106" s="33"/>
      <c r="K106" s="33"/>
      <c r="L106" s="33"/>
      <c r="M106" s="33"/>
      <c r="N106" s="33"/>
      <c r="O106" s="33" t="str">
        <f ca="1">IF(B103="Priest's Pack","PP - 2 Days Rations",IF(B103="Dungeoneer's Pack","DP - 50' Hempen Rope",IF(B103="Diplomat's Pack","DP - Vial of Perfume",IF(B103="Burglar's Pack","BP - 2 Flasks of Oil"," "))))</f>
        <v>DP - 50' Hempen Rope</v>
      </c>
      <c r="P106" s="33" t="str">
        <f ca="1">VLOOKUP(RANDBETWEEN(1,58),Table296[],2)</f>
        <v>10' Chain</v>
      </c>
      <c r="Q106" s="33" t="str">
        <f ca="1">INDEX(Items!F47:F66,MATCH(P6,(Items!A47:A66),0))&amp;" GP"</f>
        <v>107 GP</v>
      </c>
      <c r="R106" s="69" t="str">
        <f ca="1">IF(COUNTIF(B92:B94,"*"&amp;"light crossbow"&amp;"*"),"Quiver",IF(COUNTIF(B92:B94,"*"&amp;"hand crossbow"&amp;"*"),"Quiver",IF(COUNTIF(B92:B94,"*"&amp;"heavy crossbow"&amp;"*"),"Quiver",IF(COUNTIF(B92:B94,"*"&amp;"longbow"&amp;"*"),"Quiver",IF(COUNTIF(B92:B94,"*"&amp;"shortbow"&amp;"*"),"Quiver"," ")))))</f>
        <v xml:space="preserve"> </v>
      </c>
      <c r="AJ106" s="58" t="str">
        <f t="shared" ca="1" si="55"/>
        <v xml:space="preserve"> </v>
      </c>
      <c r="AK106" s="60">
        <f t="shared" ca="1" si="53"/>
        <v>0</v>
      </c>
      <c r="AL106" s="29" t="str">
        <f t="shared" ca="1" si="54"/>
        <v xml:space="preserve"> </v>
      </c>
      <c r="CB106" s="35">
        <f t="shared" ca="1" si="56"/>
        <v>3</v>
      </c>
      <c r="CC106" s="36">
        <f ca="1">IF(BM10&gt;0,0,RAND())</f>
        <v>0.37020669127579642</v>
      </c>
      <c r="CD106" s="29" t="s">
        <v>15</v>
      </c>
    </row>
    <row r="107" spans="1:82" x14ac:dyDescent="0.3">
      <c r="A107" s="137"/>
      <c r="B107" s="33" t="str">
        <f ca="1">IF(B103="Scholar's Pack","SP - 10 Sheets of Parchment",IF(B103="Priest's Pack","PP - Alms Box",IF(B103="Entertainer's Pack","EP - 5 Days Rations",IF(B103="Dungeoneer's Pack","DP - 10 Torches",IF(B103="Diplomat's Pack","DP - Ink Pen",IF(B103="Burglar's Pack","BP - Crowbar",IF(B103="explorer's pack","EP - 10 Torches"," ")))))))</f>
        <v>DP - 10 Torches</v>
      </c>
      <c r="C107" s="33"/>
      <c r="D107" s="33"/>
      <c r="E107" s="33"/>
      <c r="F107" s="33"/>
      <c r="G107" s="33"/>
      <c r="H107" s="33"/>
      <c r="I107" s="33"/>
      <c r="J107" s="33"/>
      <c r="K107" s="33"/>
      <c r="L107" s="33"/>
      <c r="M107" s="33"/>
      <c r="N107" s="33"/>
      <c r="O107" s="33" t="str">
        <f ca="1">IF(B103="Priest's Pack","PP - Waterskin",IF(B103="Diplomat's Pack","DP - Sealing Wax",IF(B103="Burglar's Pack","BP - 5 Days Rations"," ")))</f>
        <v xml:space="preserve"> </v>
      </c>
      <c r="P107" s="33" t="str">
        <f ca="1">VLOOKUP(RANDBETWEEN(1,58),Table296[],2)</f>
        <v>10' Chain</v>
      </c>
      <c r="Q107" s="33" t="str">
        <f ca="1">INDEX(Items!G47:G66,MATCH(P6,(Items!A47:A66),0))&amp;" PP"</f>
        <v>0 PP</v>
      </c>
      <c r="R107" s="33" t="str">
        <f ca="1">IF(COUNTIF(B92:B94,"*"&amp;"longbow"&amp;"*"),RANDBETWEEN(10,24)&amp;" Arrows",IF(COUNTIF(B92:B94,"*"&amp;"shortbow"&amp;"*"),RANDBETWEEN(10,24)&amp;" Arrows",IF(COUNTIF(B92:B94,"*"&amp;"light crossbow"&amp;"*"),RANDBETWEEN(10,24)&amp;" Bolts",IF(COUNTIF(B92:B94,"*"&amp;"hand crossbow"&amp;"*"),RANDBETWEEN(10,24)&amp;" Bolts",IF(COUNTIF(B92:B94,"*"&amp;"heavy crossbow"&amp;"*"),RANDBETWEEN(10,24)&amp;" Bolts"," ")))))</f>
        <v xml:space="preserve"> </v>
      </c>
      <c r="AJ107" s="58" t="str">
        <f t="shared" ca="1" si="55"/>
        <v xml:space="preserve"> </v>
      </c>
      <c r="AK107" s="60">
        <f t="shared" ca="1" si="53"/>
        <v>0</v>
      </c>
      <c r="AL107" s="29" t="str">
        <f t="shared" ca="1" si="54"/>
        <v xml:space="preserve"> </v>
      </c>
      <c r="CB107" s="35">
        <f t="shared" ca="1" si="56"/>
        <v>2</v>
      </c>
      <c r="CC107" s="36">
        <f ca="1">IF(BM11&gt;0,0,RAND())</f>
        <v>0.82405462195080192</v>
      </c>
      <c r="CD107" s="29" t="s">
        <v>16</v>
      </c>
    </row>
    <row r="108" spans="1:82" x14ac:dyDescent="0.3">
      <c r="A108" s="137"/>
      <c r="B108" s="33" t="str">
        <f ca="1">IF(AF35&gt;=1,VLOOKUP(RANDBETWEEN(1,200),Table298[],2)," ")</f>
        <v>a pipe half filled with tobacco</v>
      </c>
      <c r="C108" s="33"/>
      <c r="D108" s="33"/>
      <c r="E108" s="33"/>
      <c r="F108" s="33"/>
      <c r="G108" s="33"/>
      <c r="H108" s="33"/>
      <c r="I108" s="33"/>
      <c r="J108" s="33"/>
      <c r="K108" s="33"/>
      <c r="L108" s="33"/>
      <c r="M108" s="33"/>
      <c r="N108" s="33"/>
      <c r="O108" s="33" t="str">
        <f ca="1">IF(AF35&gt;=2,VLOOKUP(RANDBETWEEN(1,200),Table298[],2)," ")</f>
        <v xml:space="preserve"> </v>
      </c>
      <c r="P108" s="33" t="str">
        <f ca="1">IF(AF35&gt;=3,VLOOKUP(RANDBETWEEN(1,200),Table298[],2)," ")</f>
        <v xml:space="preserve"> </v>
      </c>
      <c r="AJ108" s="58" t="str">
        <f t="shared" ca="1" si="55"/>
        <v xml:space="preserve"> </v>
      </c>
      <c r="AK108" s="60">
        <f t="shared" ca="1" si="53"/>
        <v>0</v>
      </c>
      <c r="AL108" s="29" t="str">
        <f t="shared" ca="1" si="54"/>
        <v xml:space="preserve"> </v>
      </c>
      <c r="CB108" s="35">
        <f t="shared" ca="1" si="56"/>
        <v>7</v>
      </c>
      <c r="CC108" s="36">
        <f ca="1">IF(BM13&gt;0,0,RAND())</f>
        <v>0</v>
      </c>
      <c r="CD108" s="29" t="s">
        <v>18</v>
      </c>
    </row>
    <row r="109" spans="1:82" ht="19.5" thickBot="1" x14ac:dyDescent="0.35">
      <c r="B109" s="38" t="str">
        <f ca="1">IF(AND(P6&gt;=5,O11&lt;&gt;"non-classed"),VLOOKUP(RANDBETWEEN(1,100),Table5764[],2)," ")</f>
        <v>Amulet of Proof Against Detection and Location</v>
      </c>
      <c r="O109" s="29" t="str">
        <f ca="1">IF(AND(P6&gt;=11,O11&lt;&gt;"non-classed"),VLOOKUP(RANDBETWEEN(1,100),Table576465[],2)," ")</f>
        <v>Armor +2 (Bonus Above)</v>
      </c>
      <c r="P109" s="29" t="str">
        <f ca="1">IF(AND(P6&gt;=17,O11&lt;&gt;"non-classed"),VLOOKUP(RANDBETWEEN(1,100),Table576466[],2)," ")</f>
        <v xml:space="preserve"> </v>
      </c>
      <c r="AJ109" s="58" t="str">
        <f t="shared" ca="1" si="55"/>
        <v xml:space="preserve"> </v>
      </c>
      <c r="AK109" s="60">
        <f t="shared" ca="1" si="53"/>
        <v>0</v>
      </c>
      <c r="AL109" s="29" t="str">
        <f t="shared" ca="1" si="54"/>
        <v xml:space="preserve"> </v>
      </c>
      <c r="CB109" s="35">
        <f t="shared" ca="1" si="56"/>
        <v>4</v>
      </c>
      <c r="CC109" s="36">
        <f ca="1">IF(BM14&gt;0,0,RAND())</f>
        <v>0.15096832797705628</v>
      </c>
      <c r="CD109" s="29" t="s">
        <v>19</v>
      </c>
    </row>
    <row r="110" spans="1:82" ht="19.5" thickBot="1" x14ac:dyDescent="0.35">
      <c r="A110" s="33"/>
      <c r="AJ110" s="58" t="str">
        <f t="shared" ca="1" si="55"/>
        <v xml:space="preserve"> </v>
      </c>
      <c r="AK110" s="60">
        <f t="shared" ca="1" si="53"/>
        <v>0</v>
      </c>
      <c r="AL110" s="29" t="str">
        <f t="shared" ca="1" si="54"/>
        <v xml:space="preserve"> </v>
      </c>
      <c r="CB110" s="35">
        <f t="shared" ca="1" si="56"/>
        <v>6</v>
      </c>
      <c r="CC110" s="36">
        <f ca="1">IF(BM16&gt;0,0,RAND())</f>
        <v>3.1739616873026733E-2</v>
      </c>
      <c r="CD110" s="29" t="s">
        <v>21</v>
      </c>
    </row>
    <row r="111" spans="1:82" ht="30.75" thickBot="1" x14ac:dyDescent="0.45">
      <c r="B111" s="105" t="s">
        <v>1327</v>
      </c>
      <c r="AJ111" s="58" t="str">
        <f t="shared" ca="1" si="55"/>
        <v xml:space="preserve"> </v>
      </c>
      <c r="AK111" s="60">
        <f t="shared" ca="1" si="53"/>
        <v>0</v>
      </c>
      <c r="AL111" s="29" t="str">
        <f t="shared" ca="1" si="54"/>
        <v xml:space="preserve"> </v>
      </c>
      <c r="CB111" s="35">
        <f t="shared" ca="1" si="56"/>
        <v>1</v>
      </c>
      <c r="CC111" s="36">
        <f ca="1">IF(BM20&gt;0,0,RAND())</f>
        <v>0.92515409322411979</v>
      </c>
      <c r="CD111" s="29" t="s">
        <v>25</v>
      </c>
    </row>
    <row r="112" spans="1:82" x14ac:dyDescent="0.3">
      <c r="B112" s="74"/>
      <c r="C112" s="75"/>
      <c r="D112" s="75"/>
      <c r="E112" s="75"/>
      <c r="F112" s="75"/>
      <c r="G112" s="75"/>
      <c r="H112" s="75"/>
      <c r="I112" s="75"/>
      <c r="J112" s="75"/>
      <c r="K112" s="75"/>
      <c r="L112" s="75"/>
      <c r="M112" s="75"/>
      <c r="N112" s="75"/>
      <c r="O112" s="75"/>
      <c r="P112" s="76" t="s">
        <v>1124</v>
      </c>
      <c r="Q112" s="76" t="s">
        <v>1166</v>
      </c>
      <c r="R112" s="77" t="s">
        <v>1167</v>
      </c>
      <c r="AJ112" s="58" t="str">
        <f t="shared" ca="1" si="55"/>
        <v xml:space="preserve"> </v>
      </c>
      <c r="AK112" s="60">
        <f t="shared" ca="1" si="53"/>
        <v>0</v>
      </c>
      <c r="AL112" s="29" t="str">
        <f t="shared" ca="1" si="54"/>
        <v xml:space="preserve"> </v>
      </c>
    </row>
    <row r="113" spans="2:82" x14ac:dyDescent="0.3">
      <c r="B113" s="78" t="s">
        <v>1122</v>
      </c>
      <c r="C113" s="33"/>
      <c r="D113" s="33"/>
      <c r="E113" s="33"/>
      <c r="F113" s="33"/>
      <c r="G113" s="33"/>
      <c r="H113" s="33"/>
      <c r="I113" s="33"/>
      <c r="J113" s="33"/>
      <c r="K113" s="33"/>
      <c r="L113" s="33"/>
      <c r="M113" s="33"/>
      <c r="N113" s="33"/>
      <c r="O113" s="34">
        <v>1</v>
      </c>
      <c r="P113" s="33" t="str">
        <f ca="1">IF(P2="forest","Minor Illusion",IF(Q2="tiefling","Thaumaturgy",IF(P2="dark","Dancing Lights",IF(P2="high",INDEX('Spell Tables'!P242:P257,MATCH(1,('Spell Tables'!N242:N257),0))," "))))</f>
        <v>Thaumaturgy</v>
      </c>
      <c r="Q113" s="33" t="str">
        <f ca="1">IF(AND($P$2="Dark",$P$6&gt;=3),"Faerie Fire (1/day)",IF(AND(Q2="tiefling",P6&gt;=3),"Hellish Rebuke (as 2nd Level - 1/day)"," "))</f>
        <v>Hellish Rebuke (as 2nd Level - 1/day)</v>
      </c>
      <c r="R113" s="72" t="str">
        <f ca="1">IF(AND($P$2="Dark",$P$6&gt;=5),"Darkness (1/day)",IF(AND(Q2="tiefling",P6&gt;=5),"Darkness (1/day)"," "))</f>
        <v>Darkness (1/day)</v>
      </c>
      <c r="AJ113" s="58" t="str">
        <f t="shared" ca="1" si="55"/>
        <v xml:space="preserve"> </v>
      </c>
      <c r="AK113" s="60">
        <f t="shared" ca="1" si="53"/>
        <v>0</v>
      </c>
      <c r="AL113" s="29" t="str">
        <f t="shared" ca="1" si="54"/>
        <v xml:space="preserve"> </v>
      </c>
      <c r="CB113" s="31" t="s">
        <v>738</v>
      </c>
    </row>
    <row r="114" spans="2:82" x14ac:dyDescent="0.3">
      <c r="B114" s="79">
        <f ca="1">IF(OR(P2="dark",Q2="tiefling"),8+$P$8+$N$43,IF(P2="Forest",8+$P$8+$N$41," "))</f>
        <v>12</v>
      </c>
      <c r="C114" s="33"/>
      <c r="D114" s="33"/>
      <c r="E114" s="33"/>
      <c r="F114" s="33"/>
      <c r="G114" s="33"/>
      <c r="H114" s="33"/>
      <c r="I114" s="33"/>
      <c r="J114" s="33"/>
      <c r="K114" s="33"/>
      <c r="L114" s="33"/>
      <c r="M114" s="33"/>
      <c r="N114" s="33"/>
      <c r="O114" s="34">
        <v>2</v>
      </c>
      <c r="P114" s="33"/>
      <c r="Q114" s="33"/>
      <c r="R114" s="72"/>
      <c r="CB114" s="35">
        <f t="shared" ref="CB114:CB119" ca="1" si="57">_xlfn.RANK.EQ(CC114,$CC$114:$CC$119)</f>
        <v>1</v>
      </c>
      <c r="CC114" s="36">
        <f ca="1">IF(BM8&gt;0,0,RAND())</f>
        <v>0.98961865147845296</v>
      </c>
      <c r="CD114" s="29" t="s">
        <v>13</v>
      </c>
    </row>
    <row r="115" spans="2:82" x14ac:dyDescent="0.3">
      <c r="B115" s="78" t="s">
        <v>1123</v>
      </c>
      <c r="C115" s="33"/>
      <c r="D115" s="33"/>
      <c r="E115" s="33"/>
      <c r="F115" s="33"/>
      <c r="G115" s="33"/>
      <c r="H115" s="33"/>
      <c r="I115" s="33"/>
      <c r="J115" s="33"/>
      <c r="K115" s="33"/>
      <c r="L115" s="33"/>
      <c r="M115" s="33"/>
      <c r="N115" s="33"/>
      <c r="O115" s="34">
        <v>3</v>
      </c>
      <c r="P115" s="33"/>
      <c r="Q115" s="33"/>
      <c r="R115" s="72"/>
      <c r="AJ115" s="31" t="s">
        <v>1171</v>
      </c>
      <c r="CB115" s="35">
        <f t="shared" ca="1" si="57"/>
        <v>3</v>
      </c>
      <c r="CC115" s="36">
        <f ca="1">IF(BM11&gt;0,0,RAND())</f>
        <v>0.60642421434453619</v>
      </c>
      <c r="CD115" s="29" t="s">
        <v>16</v>
      </c>
    </row>
    <row r="116" spans="2:82" ht="19.5" thickBot="1" x14ac:dyDescent="0.35">
      <c r="B116" s="80">
        <f ca="1">IF(OR(P2="dark",Q2="tiefling"),P8+$N$43,IF(P2="forest",P8+$N$41," "))</f>
        <v>4</v>
      </c>
      <c r="C116" s="38"/>
      <c r="D116" s="38"/>
      <c r="E116" s="38"/>
      <c r="F116" s="38"/>
      <c r="G116" s="38"/>
      <c r="H116" s="38"/>
      <c r="I116" s="38"/>
      <c r="J116" s="38"/>
      <c r="K116" s="38"/>
      <c r="L116" s="38"/>
      <c r="M116" s="38"/>
      <c r="N116" s="38"/>
      <c r="O116" s="38"/>
      <c r="P116" s="38"/>
      <c r="Q116" s="38"/>
      <c r="R116" s="73"/>
      <c r="AJ116" s="58" t="str">
        <f ca="1">IF(AK116=0," ",_xlfn.RANK.EQ(AK116,$AK$116:$AK$125))</f>
        <v xml:space="preserve"> </v>
      </c>
      <c r="AK116" s="60">
        <f t="shared" ref="AK116:AK125" ca="1" si="58">IF(AL116=" ", 0,RAND())</f>
        <v>0</v>
      </c>
      <c r="AL116" s="29" t="str">
        <f t="shared" ref="AL116:AL125" ca="1" si="59">R334</f>
        <v xml:space="preserve"> </v>
      </c>
      <c r="CB116" s="35">
        <f t="shared" ca="1" si="57"/>
        <v>4</v>
      </c>
      <c r="CC116" s="36">
        <f ca="1">IF(BM12&gt;0,0,RAND())</f>
        <v>0.56869274897565403</v>
      </c>
      <c r="CD116" s="29" t="s">
        <v>17</v>
      </c>
    </row>
    <row r="117" spans="2:82" ht="19.5" thickBot="1" x14ac:dyDescent="0.35">
      <c r="AJ117" s="58" t="str">
        <f t="shared" ref="AJ117:AJ125" ca="1" si="60">IF(AK117=0," ",_xlfn.RANK.EQ(AK117,$AK$116:$AK$125))</f>
        <v xml:space="preserve"> </v>
      </c>
      <c r="AK117" s="60">
        <f t="shared" ca="1" si="58"/>
        <v>0</v>
      </c>
      <c r="AL117" s="29" t="str">
        <f t="shared" ca="1" si="59"/>
        <v xml:space="preserve"> </v>
      </c>
      <c r="CB117" s="35">
        <f t="shared" ca="1" si="57"/>
        <v>2</v>
      </c>
      <c r="CC117" s="36">
        <f ca="1">IF(BM14&gt;0,0,RAND())</f>
        <v>0.77294933251131415</v>
      </c>
      <c r="CD117" s="29" t="s">
        <v>19</v>
      </c>
    </row>
    <row r="118" spans="2:82" ht="30.75" thickBot="1" x14ac:dyDescent="0.45">
      <c r="B118" s="105" t="s">
        <v>1334</v>
      </c>
      <c r="AJ118" s="58" t="str">
        <f t="shared" ca="1" si="60"/>
        <v xml:space="preserve"> </v>
      </c>
      <c r="AK118" s="60">
        <f t="shared" ca="1" si="58"/>
        <v>0</v>
      </c>
      <c r="AL118" s="29" t="str">
        <f t="shared" ca="1" si="59"/>
        <v xml:space="preserve"> </v>
      </c>
      <c r="CB118" s="35">
        <f t="shared" ca="1" si="57"/>
        <v>5</v>
      </c>
      <c r="CC118" s="36">
        <f ca="1">IF(BM15&gt;0,0,RAND())</f>
        <v>0.4567649700237586</v>
      </c>
      <c r="CD118" s="29" t="s">
        <v>20</v>
      </c>
    </row>
    <row r="119" spans="2:82" x14ac:dyDescent="0.3">
      <c r="B119" s="79"/>
      <c r="C119" s="27"/>
      <c r="D119" s="27"/>
      <c r="E119" s="27"/>
      <c r="F119" s="27"/>
      <c r="G119" s="27"/>
      <c r="H119" s="27"/>
      <c r="I119" s="27"/>
      <c r="J119" s="27"/>
      <c r="K119" s="27"/>
      <c r="L119" s="27"/>
      <c r="M119" s="27"/>
      <c r="N119" s="27"/>
      <c r="O119" s="27"/>
      <c r="P119" s="76" t="s">
        <v>1124</v>
      </c>
      <c r="Q119" s="76" t="s">
        <v>1166</v>
      </c>
      <c r="R119" s="76" t="s">
        <v>1167</v>
      </c>
      <c r="S119" s="76" t="s">
        <v>1168</v>
      </c>
      <c r="T119" s="77" t="s">
        <v>676</v>
      </c>
      <c r="AJ119" s="58" t="str">
        <f t="shared" ca="1" si="60"/>
        <v xml:space="preserve"> </v>
      </c>
      <c r="AK119" s="60">
        <f t="shared" ca="1" si="58"/>
        <v>0</v>
      </c>
      <c r="AL119" s="29" t="str">
        <f t="shared" ca="1" si="59"/>
        <v xml:space="preserve"> </v>
      </c>
      <c r="CB119" s="35">
        <f t="shared" ca="1" si="57"/>
        <v>6</v>
      </c>
      <c r="CC119" s="36">
        <f ca="1">IF(BM20&gt;0,0,RAND())</f>
        <v>0.19968114800276093</v>
      </c>
      <c r="CD119" s="29" t="s">
        <v>25</v>
      </c>
    </row>
    <row r="120" spans="2:82" x14ac:dyDescent="0.3">
      <c r="B120" s="78" t="str">
        <f ca="1">IF(P15="way of the four elements","Way of the Four Elements",IF(AND(O11="wizard",O12&gt;=20),"Signature Spell",IF(AND($O$11="paladin",$O$12&gt;=3),"Oath Spells",IF(AND($P$15="moon",$O$12&gt;=14),"Thousand Forms",IF($P$15="way of the shadow","Shadow Arts",IF(AND($O$11="druid",$P$15="land"),"Land Circle Spells",IF($O$11="cleric","Domain Spells",IF($O$11="bard","Magical Secrets",IF($P$15="path of the totem warrior","Totem Warrior Spells",IF(AND($O$11="warlock",$O$12&gt;=2),"Mystic Arcanum and Invocation",IF($P$15="arcane trickster","4th,8th,14th,20th non E&amp;I spells",IF($P$15="eldritch knight","4th,8th,14th,20th non A&amp;E spells"," "))))))))))))</f>
        <v xml:space="preserve"> </v>
      </c>
      <c r="C120" s="33"/>
      <c r="D120" s="33"/>
      <c r="E120" s="33"/>
      <c r="F120" s="33"/>
      <c r="G120" s="33"/>
      <c r="H120" s="33"/>
      <c r="I120" s="33"/>
      <c r="J120" s="33"/>
      <c r="K120" s="33"/>
      <c r="L120" s="33"/>
      <c r="M120" s="33"/>
      <c r="N120" s="33"/>
      <c r="O120" s="34">
        <v>1</v>
      </c>
      <c r="P120" s="33" t="str">
        <f ca="1">IF($O$16="pact of the tome",INDEX('Spell Tables'!$BD$19:$BD$37,MATCH(1,('Spell Tables'!$BB$19:$BB$37),0)),IF($P$15="way of the shadow","Minor Illusion (free)",IF($P$15="land",INDEX('Spell Tables'!P48:P55,MATCH(8,('Spell Tables'!N48:N55),0)),IF($P$15="nature",INDEX('Spell Tables'!P48:P55,MATCH(6,('Spell Tables'!N48:N55),0)),IF($P$15="light","Light",IF(AND($O$11="bard",AL191="c"),INDEX('Spell Tables'!$BD$2:$BD$16,MATCH(10,('Spell Tables'!$BB$2:$BB$16),0))," "))))))</f>
        <v xml:space="preserve"> </v>
      </c>
      <c r="Q120" s="33" t="str">
        <f ca="1">IF(COUNTIF(P18:P21,"*"&amp;"Fist of Four Thunders"&amp;"*"),"Thunderwave (2 ki)",IF(COUNTIF($O$18:$O$25,"*"&amp;"armor of shadows"&amp;"*"),"Mage Armor*",IF($P$15="oath of vengeance","Bane",IF($P$15="Oath of the Ancients","Ensnaring Strike",IF($P$15="Oath of Devotion","Protection from Good and Evil",IF(AND($P$15="war",$O$12&gt;=1),"Divine Favor",IF(AND($P$15="Trickery",$O$12&gt;=1),"Charm Person",IF(AND($P$15="tempest",$O$12&gt;=1),"Fog Cloud",IF(AND($P$15="nature",$O$12&gt;=1),"Animal Friendship",IF(AND($P$15="light",$O$12&gt;=1),"Burning Hands",IF($P$15="life","Bless",IF($P$15="knowledge","Command",IF(AND($O$11="bard",AL155=1),INDEX('Spell Tables'!$BH$2:$BH$41,MATCH($O$120,('Spell Tables'!$BF$2:$BF$41),0)),IF($P$15="arcane trickster",INDEX('Spell Tables'!$X$141:$X$163,MATCH(O120,('Spell Tables'!$V$141:$V$163),0)),IF($P$15="path of the totem warrior","Speak with Animals (as ritual)",IF($P$15="eldritch knight",INDEX('Spell Tables'!$X$70:$X$90,MATCH($O$120,('Spell Tables'!$V$70:$V$90),0))," "))))))))))))))))</f>
        <v xml:space="preserve"> </v>
      </c>
      <c r="R120" s="33" t="str">
        <f ca="1">IF(COUNTIF(P18:P21,"*"&amp;"Clench of the North Wind"&amp;"*"),"Hold Person (3 ki)",IF(COUNTIF(P18:P21,"*"&amp;"Clench of the North Wind"&amp;"*"),"Hold Person (3 ki)",IF(COUNTIF(O18:O25,"*"&amp;"ascendant step"&amp;"*"),"Levitate*",IF(AND(P15="oath of vengeance",O12&gt;=5),"Hold Person",IF(AND(P15="Oath of the Ancients",O12&gt;=5),"Moonbeam",IF(AND(P15="Oath of Devotion",O12&gt;=5),"Lesser Restoration",IF(AND(P15="moon",O12&gt;=14),"Alter Self",IF(P15="Way of the Shadow","Darkness",IF(AND($P$20="Underdark",$O$12&gt;=3),"Spider Climb",IF(AND($P$20="Swamp",$O$12&gt;=3),"Darkness",IF(AND($P$20="Mountain",$O$12&gt;=3),"Spider Climb",IF(AND($P$20="Grassland",$O$12&gt;=3),"Invisibility",IF(AND($P$20="Forest",$O$12&gt;=3),"Barkskin",IF(AND($P$20="Desert",$O$12&gt;=3),"Blur",IF(AND($P$20="Coast",$O$12&gt;=3),"Mirror Image",IF(AND($P$20="arctic",$O$12&gt;=3),"Hold Person",IF(AND(P15="war",O12&gt;=3),"Magic Weapon",IF(AND(P15="Trickery",O12&gt;=3),"Mirror Image",IF(AND(P15="tempest",O12&gt;=3),"Gust of Wind",IF(AND(P15="nature",O12&gt;=3),"Barkskin",IF(AND(P15="light",O12&gt;=3),"Flaming Sphere",IF(AND(P15="Life",O12&gt;=3),"Lesser Restoration",IF(AND(P15="knowledge",O12&gt;=3),"Augury",IF(AND(O11="bard",AL155=2),INDEX('Spell Tables'!BL2:BL37,MATCH(O120,('Spell Tables'!BJ2:BJ37),0)),IF(P15="path of the totem warrior","Beast Sense (as ritual)",IF(AND(P15="eldritch knight",O12&gt;=8),INDEX('Spell Tables'!AF70:AF94,MATCH(#REF!,('Spell Tables'!AD70:AD94),0)),IF(AND(P15="arcane trickster",O12&gt;=8),INDEX('Spell Tables'!AF141:AF165,MATCH(#REF!,('Spell Tables'!AD141:AD165),0))," ")))))))))))))))))))))))))))</f>
        <v xml:space="preserve"> </v>
      </c>
      <c r="S120" s="33" t="str">
        <f ca="1">IF(COUNTIF(P18:P21,"*"&amp;"Mist Stance"&amp;"*"),"Gaseous Form (4 ki)",IF(AND($O$11="wizard",O12&gt;=20),INDEX('Spell Tables'!$AB$242:$AB$270,MATCH(29,('Spell Tables'!$Z$242:$Z$270),0)),IF(COUNTIF(O18:O25,"*"&amp;"mire the mind"&amp;"*"),"Slow**",IF(AND(P15="oath of vengeance",O12&gt;=9),"Haste",IF(AND(P15="Oath of the Ancients",O12&gt;=9),"Plant Growth",IF(AND(P15="Oath of Devotion",O12&gt;=9),"Beacon of Hope",IF(AND($P$20="Underdark",$O$12&gt;=5),"Gaseous Form",IF(AND($P$20="Swamp",$O$12&gt;=5),"Water Walk",IF(AND($P$20="Mountain",$O$12&gt;=5),"Lightning Bolt",IF(AND($P$20="Grassland",$O$12&gt;=5),"Daylight",IF(AND($P$20="Forest",$O$12&gt;=5),"Call Lightning",IF(AND($P$20="Desert",$O$12&gt;=5),"Create Food and Water",IF(AND($P$20="Coast",$O$12&gt;=5),"Water Breathing",IF(AND($P$20="arctic",$O$12&gt;=5),"Sleet Storm",IF(AND(P15="war",O12&gt;=5),"Crusader's Mantle",IF(AND(P15="trickery",O12&gt;=5),"Blink",IF(AND(P15="tempest",O12&gt;=5),"Call Lightning",IF(AND(P15="nature",O12&gt;=5),"Plant Growth",IF(AND(P15="light",O12&gt;=5),"Daylight",IF(AND(P15="life",O12&gt;=5),"Beacon of Hope",IF(AND(P15="knowledge",O12&gt;=5),"Nondetection",IF(AND(O11="bard",AL155=3),INDEX('Spell Tables'!BP2:BP35,MATCH(O120,('Spell Tables'!BN2:BN35),0)),IF(AND(P15="arcane trickster",O12&gt;=14),INDEX('Spell Tables'!AN141:AN165,MATCH(O120,('Spell Tables'!AL141:AL165),0)),IF(AND(P15="eldritch knight",O12&gt;=14),INDEX('Spell Tables'!AN70:AN88,MATCH(O120,('Spell Tables'!AL70:AL88),0))," "))))))))))))))))))))))))</f>
        <v xml:space="preserve"> </v>
      </c>
      <c r="T120" s="72" t="str">
        <f ca="1">IF(COUNTIF(P18:P21,"*"&amp;"Eternal Mountain Defense"&amp;"*"),"Stoneskin (5 ki)",IF(COUNTIF(O18:O25,"*"&amp;"bewitching whispers"&amp;"*"),"Compulsion**",IF(AND(P15="oath of vengeance",O12&gt;=13),"Banishment",IF(AND(P15="Oath of the Ancients",O12&gt;=13),"Ice Storm",IF(AND(P15="Oath of Devotion",O12&gt;=13),"Freedom of Movement",IF(AND($P$20="Underdark",$O$12&gt;=7),"Greater Invisibility",IF(AND($P$20="Swamp",$O$12&gt;=7),"Freedom of Movement",IF(AND($P$20="Mountain",$O$12&gt;=7),"Stone Shape",IF(AND($P$20="Grassland",$O$12&gt;=7),"Divination",IF(AND($P$20="Forest",$O$12&gt;=7),"Divination",IF(AND($P$20="Desert",$O$12&gt;=7),"Blight",IF(AND($P$20="Coast",$O$12&gt;=7),"Control Water",IF(AND($P$20="arctic",$O$12&gt;=7),"Freedom of Movement",IF(AND(P15="war",O12&gt;=7),"Freedom of Movement",IF(AND(P15="trickery",O12&gt;=7),"Dimension Door",IF(AND(P15="tempest",O12&gt;=7),"Control Water",IF(AND(P15="nature",O12&gt;=7),"Dominate Beast",IF(AND(P15="light",O12&gt;=7),"Guardian of Faith",IF(AND(P15="life",O12&gt;=7),"Death Ward",IF(AND(P15="knowledge",O12&gt;=7),"Arcane Eye",IF(AND(O11="bard",AL155=4),INDEX('Spell Tables'!BT2:BT29,MATCH(O120,('Spell Tables'!BR2:BR29),0)),IF(AND(P15="arcane trickster",O12&gt;=20),INDEX('Spell Tables'!AV141:AV159,MATCH(O120,('Spell Tables'!AT141:AT159),0)),IF(AND(P15="eldritch knight",O12&gt;=20),INDEX('Spell Tables'!AV70:AV86,MATCH(O120,('Spell Tables'!AT70:AT86),0))," ")))))))))))))))))))))))</f>
        <v xml:space="preserve"> </v>
      </c>
      <c r="AJ120" s="58" t="str">
        <f t="shared" ca="1" si="60"/>
        <v xml:space="preserve"> </v>
      </c>
      <c r="AK120" s="60">
        <f t="shared" ca="1" si="58"/>
        <v>0</v>
      </c>
      <c r="AL120" s="29" t="str">
        <f t="shared" ca="1" si="59"/>
        <v xml:space="preserve"> </v>
      </c>
    </row>
    <row r="121" spans="2:82" x14ac:dyDescent="0.3">
      <c r="B121" s="79" t="str">
        <f ca="1">IF(P15="way of the four elements","Elemental Disciplines - cost Ki",IF(AND(O11="wizard",O12&gt;=20),"Always Prepared",IF(AND($O$11="warlock",$O$12&gt;=2),"* = at will - no slot use",IF($P$15="land",$P$20," "))))</f>
        <v xml:space="preserve"> </v>
      </c>
      <c r="C121" s="33"/>
      <c r="D121" s="33"/>
      <c r="E121" s="33"/>
      <c r="F121" s="33"/>
      <c r="G121" s="33"/>
      <c r="H121" s="33"/>
      <c r="I121" s="33"/>
      <c r="J121" s="33"/>
      <c r="K121" s="33"/>
      <c r="L121" s="33"/>
      <c r="M121" s="33"/>
      <c r="N121" s="33"/>
      <c r="O121" s="34">
        <v>2</v>
      </c>
      <c r="P121" s="33" t="str">
        <f ca="1">IF($O$16="pact of the tome",INDEX('Spell Tables'!$BD$19:$BD$37,MATCH(2,('Spell Tables'!$BB$19:$BB$37),0)),IF(AND($O$11="bard",AL192="c"),INDEX('Spell Tables'!$BD$2:$BD$16,MATCH(11,('Spell Tables'!$BB$2:$BB$16),0))," "))</f>
        <v xml:space="preserve"> </v>
      </c>
      <c r="Q121" s="33" t="str">
        <f ca="1">IF(COUNTIF(P18:P21,"*"&amp;"Sweeping Cinder Strike"&amp;"*"),"Burning Hands (2 ki)",IF(COUNTIF(O18:O25,"*"&amp;"beast speech"&amp;"*"),"Speak with Animals*",IF(P15="Oath of the Ancients","Speak with Animals",IF(P15="Oath of vengeance","Hunter's Mark",IF(P15="Oath of Devotion","Sanctuary",IF(AND(P15="war",O12&gt;=1),"Shield of Faith",IF(AND(P15="trickery",O12&gt;=1),"Disguise Self",IF(AND(P15="tempest",O12&gt;=1),"Thunderwave",IF(AND(P15="Nature",O12&gt;=1),"Speak with Animals",IF(AND(P15="light",O12&gt;=1),"Faerie Fire",IF(P15="life","Cure Wounds",IF(P15="knowledge","Identify",IF(AND($O$11="bard",AL156=1),INDEX('Spell Tables'!$BH$2:$BH$41,MATCH(O121,('Spell Tables'!$BF$2:$BF$41),0))," ")))))))))))))</f>
        <v xml:space="preserve"> </v>
      </c>
      <c r="R121" s="33" t="str">
        <f ca="1">IF(COUNTIF(P18:P21,"*"&amp;"Gong of the Summit"&amp;"*"),"Shatter (3 ki)",IF(COUNTIF(O18:O25,"*"&amp;"master of myriad forms"&amp;"*"),"Alter Self*",IF(AND(P15="oath of vengeance",O12&gt;=5),"Misty Step",IF(AND(P15="Oath of the Ancients",O12&gt;=5),"Misty Step",IF(AND(P15="Oath of Devotion",O12&gt;=5),"Zone of Truth",IF(P15="way of the shadow","Darkvision",IF(AND($P$20="Underdark",$O$12&gt;=3),"Web",IF(AND($P$20="Swamp",$O$12&gt;=3),"Melf's Acid Arrow",IF(AND($P$20="Mountain",$O$12&gt;=3),"Spike Growth",IF(AND($P$20="Grassland",$O$12&gt;=3),"Pass Without Trace",IF(AND($P$20="Forest",$O$12&gt;=3),"Spider Climb",IF(AND($P$20="Desert",$O$12&gt;=3),"Silence",IF(AND($P$20="Coast",$O$12&gt;=3),"Misty Step",IF(AND($P$20="arctic",$O$12&gt;=3),"Spike Growth",IF(AND(P15="war",O12&gt;=3),"Spiritual Weapon",IF(AND(P15="trickery",O12&gt;=3),"Pass Without Trace",IF(AND(P15="tempest",O12&gt;=3),"Shatter",IF(AND(P15="nature",O12&gt;=3),"Spike Growth",IF(AND(P15="light",O12&gt;=3),"Scorching Ray",IF(AND(P15="life",O12&gt;=3),"Spiritual Weapon",IF(AND(P15="knowledge",O12&gt;=3),"Suggestion",IF(AND($O$11="bard",AL156=2),INDEX('Spell Tables'!$BL$2:$BL$37,MATCH(O121,('Spell Tables'!$BJ$2:$BJ$37),0))," "))))))))))))))))))))))</f>
        <v xml:space="preserve"> </v>
      </c>
      <c r="S121" s="33" t="str">
        <f ca="1">IF(COUNTIF(P18:P21,"*"&amp;"Ride the Wind"&amp;"*"),"Fly (4 ki)",IF(AND($O$11="wizard",O12&gt;=20),INDEX('Spell Tables'!$AB$242:$AB$270,MATCH(28,('Spell Tables'!$Z$242:$Z$270),0)),IF(COUNTIF(O18:O25,"*"&amp;"sign of ill omen"&amp;"*"),"Bestow Curse**",IF(AND(P15="oath of vengeance",O12&gt;=9),"Protection from Energy",IF(AND(P15="Oath of the Ancients",O12&gt;=9),"Protection from Energy",IF(AND(P15="Oath of Devotion",O12&gt;=9),"Dispel Magic",IF(AND($P$20="Underdark",$O$12&gt;=5),"Stinking Cloud",IF(AND($P$20="Swamp",$O$12&gt;=5),"Stinking Cloud",IF(AND($P$20="Mountain",$O$12&gt;=5),"Meld Into Stone",IF(AND($P$20="Grassland",$O$12&gt;=5),"Haste",IF(AND($P$20="Forest",$O$12&gt;=5),"Plant Growth",IF(AND($P$20="Desert",$O$12&gt;=5),"Protection from Energy",IF(AND($P$20="Coast",$O$12&gt;=5),"Water Walk",IF(AND($P$20="arctic",$O$12&gt;=5),"Slow",IF(AND(P15="war",O12&gt;=5),"Spirit Guardians",IF(AND(P15="trickery",O12&gt;=5),"Dispel Magic",IF(AND(P15="Tempest",O12&gt;=5),"Sleet Storm",IF(AND(P15="nature",O12&gt;=5),"Wind Wall",IF(AND(P15="light",O12&gt;=5),"Fireball",IF(AND(P15="life",O12&gt;=5),"Revivify",IF(AND(P15="knowledge",O12&gt;=5),"Speak with Dead",IF(AND($O$11="bard",AL156=3),INDEX('Spell Tables'!$BP$2:$BP$35,MATCH(O121,('Spell Tables'!$BN$2:$BN$35),0))," "))))))))))))))))))))))</f>
        <v xml:space="preserve"> </v>
      </c>
      <c r="T121" s="72" t="str">
        <f ca="1">IF(COUNTIF(P18:P21,"*"&amp;"River of Hungry Flame"&amp;"*"),"Wall of Fire (5 ki)",IF(COUNTIF(O18:O25,"*"&amp;"Dreadful word"&amp;"*"),"Confusion**",IF(AND(P15="oath of vengeance",O12&gt;=13),"Dimension Door",IF(AND(P15="Oath of the Ancients",O12&gt;=13),"Stoneskin",IF(AND(P15="Oath of Devotion",O12&gt;=13),"Guardian of Faith",IF(AND($P$20="Underdark",$O$12&gt;=7),"Stone Shape",IF(AND($P$20="Swamp",$O$12&gt;=7),"Locate Creature",IF(AND($P$20="Mountain",$O$12&gt;=7),"Stonekin",IF(AND($P$20="Grassland",$O$12&gt;=7),"Freedom of Movement",IF(AND($P$20="Forest",$O$12&gt;=7),"Freedom of Movement",IF(AND($P$20="Desert",$O$12&gt;=7),"Hallucinatory Terrain",IF(AND($P$20="Coast",$O$12&gt;=7),"Freedom of Movement",IF(AND($P$20="arctic",$O$12&gt;=7),"Ice Storm",IF(AND(P15="war",O12&gt;=7),"Stoneskin",IF(AND(P15="trickery",O12&gt;=7),"Polymorph",IF(AND(P15="tempest",O12&gt;=7),"Ice Storm",IF(AND(P15="nature",O12&gt;=7),"Grasping Vine",IF(AND(P15="light",O12&gt;=7),"Wall of Fire",IF(AND(P15="life",O12&gt;=7),"Guardian of Faith",IF(AND(P15="knowledge",O12&gt;=7),"Confusion",IF(AND($O$11="bard",AL156=4),INDEX('Spell Tables'!$BT$2:$BT$29,MATCH(O121,('Spell Tables'!$BR$2:$BR$29),0))," ")))))))))))))))))))))</f>
        <v xml:space="preserve"> </v>
      </c>
      <c r="AJ121" s="58" t="str">
        <f t="shared" ca="1" si="60"/>
        <v xml:space="preserve"> </v>
      </c>
      <c r="AK121" s="60">
        <f t="shared" ca="1" si="58"/>
        <v>0</v>
      </c>
      <c r="AL121" s="29" t="str">
        <f t="shared" ca="1" si="59"/>
        <v xml:space="preserve"> </v>
      </c>
    </row>
    <row r="122" spans="2:82" x14ac:dyDescent="0.3">
      <c r="B122" s="79" t="str">
        <f ca="1">IF(AND(O11="wizard",O12&gt;=20),"Cast once at 3rd level - no slot use",IF(AND($O$11="warlock",$O$12&gt;=2),"** = once per long rest - uses slot",IF(AND($O$11="paladin",$O$12&gt;=3),"Free Preparation",IF(AND($P$15="moon",$O$12&gt;=14),"At Will",IF($P$15="way of the shadow","Cost 2 Ki Points",IF(OR($P$15="land",$O$11="cleric"),"Free Preparation",IF(AND($O$11="bard",$O$12&gt;=10),"Count Toward Known"," ")))))))</f>
        <v xml:space="preserve"> </v>
      </c>
      <c r="C122" s="33"/>
      <c r="D122" s="33"/>
      <c r="E122" s="33"/>
      <c r="F122" s="33"/>
      <c r="G122" s="33"/>
      <c r="H122" s="33"/>
      <c r="I122" s="33"/>
      <c r="J122" s="33"/>
      <c r="K122" s="33"/>
      <c r="L122" s="33"/>
      <c r="M122" s="33"/>
      <c r="N122" s="33"/>
      <c r="O122" s="34">
        <v>3</v>
      </c>
      <c r="P122" s="33" t="str">
        <f ca="1">IF($O$16="pact of the tome",INDEX('Spell Tables'!$BD$19:$BD$37,MATCH(3,('Spell Tables'!$BB$19:$BB$37),0))," ")</f>
        <v xml:space="preserve"> </v>
      </c>
      <c r="Q122" s="29" t="str">
        <f ca="1">IF(COUNTIF(O18:O25,"*"&amp;"eldritch sight"&amp;"*"),"Detect Magic*",IF(AND($O$11="bard",AL191=1),INDEX('Spell Tables'!$BH$2:$BH$41,MATCH(O122,('Spell Tables'!$BF$2:$BF$41),0))," "))</f>
        <v xml:space="preserve"> </v>
      </c>
      <c r="R122" s="33" t="str">
        <f ca="1">IF(COUNTIF(P18:P21,"*"&amp;"Rush of the Gale Spirits"&amp;"*"),"Gust of Wind (2 ki)",IF(P15="way of the shadow","Pass Without Trace",IF(AND($O$11="bard",AL191=2),INDEX('Spell Tables'!$BL$2:$BL$37,MATCH(O122,('Spell Tables'!$BJ$2:$BJ$37),0))," ")))</f>
        <v xml:space="preserve"> </v>
      </c>
      <c r="S122" s="33" t="str">
        <f ca="1">IF(COUNTIF(O18:O25,"*"&amp;"whispers of the grave"&amp;"*"),"Speak with Dead*",IF(AND($O$11="bard",AL191=3),INDEX('Spell Tables'!$BP$2:$BP$35,MATCH(O122,('Spell Tables'!$BN$2:$BN$35),0))," "))</f>
        <v xml:space="preserve"> </v>
      </c>
      <c r="T122" s="72" t="str">
        <f ca="1">IF(COUNTIF(O18:O25,"*"&amp;"Sculptor of Flesh"&amp;"*"),"Polymorph**"," ")</f>
        <v xml:space="preserve"> </v>
      </c>
      <c r="AJ122" s="58" t="str">
        <f t="shared" ca="1" si="60"/>
        <v xml:space="preserve"> </v>
      </c>
      <c r="AK122" s="60">
        <f t="shared" ca="1" si="58"/>
        <v>0</v>
      </c>
      <c r="AL122" s="29" t="str">
        <f t="shared" ca="1" si="59"/>
        <v xml:space="preserve"> </v>
      </c>
    </row>
    <row r="123" spans="2:82" x14ac:dyDescent="0.3">
      <c r="B123" s="79" t="str">
        <f ca="1">IF(AND($O$11="warlock",$O$12&gt;=2),"6th level and up = *"," ")</f>
        <v xml:space="preserve"> </v>
      </c>
      <c r="O123" s="81">
        <v>4</v>
      </c>
      <c r="Q123" s="29" t="str">
        <f ca="1">IF(COUNTIF(O18:O25,"*"&amp;"fiendish vigor"&amp;"*"),"False Life*",IF(AND($O$11="bard",AL192=1),INDEX('Spell Tables'!$BH$2:$BH$41,MATCH(O123,('Spell Tables'!$BF$2:$BF$41),0))," "))</f>
        <v xml:space="preserve"> </v>
      </c>
      <c r="R123" s="29" t="str">
        <f ca="1">IF(P15="way of the shadow","Silence",IF(AND($O$11="bard",AL192=2),INDEX('Spell Tables'!$BL$2:$BL$37,MATCH(O123,('Spell Tables'!$BJ$2:$BJ$37),0))," "))</f>
        <v xml:space="preserve"> </v>
      </c>
      <c r="S123" s="29" t="str">
        <f ca="1">IF(AND($O$11="bard",AL192=3),INDEX('Spell Tables'!$BP$2:$BP$35,MATCH(O123,('Spell Tables'!$BN$2:$BN$35),0))," ")</f>
        <v xml:space="preserve"> </v>
      </c>
      <c r="T123" s="72" t="str">
        <f ca="1">IF(COUNTIF(O18:O25,"*"&amp;"visions of distant realms"&amp;"*"),"Arcane Eye*"," ")</f>
        <v xml:space="preserve"> </v>
      </c>
      <c r="AJ123" s="58" t="str">
        <f t="shared" ca="1" si="60"/>
        <v xml:space="preserve"> </v>
      </c>
      <c r="AK123" s="60">
        <f t="shared" ca="1" si="58"/>
        <v>0</v>
      </c>
      <c r="AL123" s="29" t="str">
        <f t="shared" ca="1" si="59"/>
        <v xml:space="preserve"> </v>
      </c>
    </row>
    <row r="124" spans="2:82" x14ac:dyDescent="0.3">
      <c r="B124" s="79"/>
      <c r="O124" s="81">
        <v>5</v>
      </c>
      <c r="Q124" s="29" t="str">
        <f ca="1">IF(COUNTIF(O18:O25,"*"&amp;"Mask of many faces"&amp;"*"),"Disguise Self*","")</f>
        <v/>
      </c>
      <c r="T124" s="72"/>
      <c r="AJ124" s="58" t="str">
        <f t="shared" ca="1" si="60"/>
        <v xml:space="preserve"> </v>
      </c>
      <c r="AK124" s="60">
        <f t="shared" ca="1" si="58"/>
        <v>0</v>
      </c>
      <c r="AL124" s="29" t="str">
        <f t="shared" ca="1" si="59"/>
        <v xml:space="preserve"> </v>
      </c>
    </row>
    <row r="125" spans="2:82" x14ac:dyDescent="0.3">
      <c r="B125" s="79"/>
      <c r="O125" s="81">
        <v>6</v>
      </c>
      <c r="Q125" s="29" t="str">
        <f ca="1">IF(COUNTIF(O18:O25,"*"&amp;"misty vision"&amp;"*"),"Silent Image*"," " )</f>
        <v xml:space="preserve"> </v>
      </c>
      <c r="T125" s="72"/>
      <c r="AJ125" s="58" t="str">
        <f t="shared" ca="1" si="60"/>
        <v xml:space="preserve"> </v>
      </c>
      <c r="AK125" s="60">
        <f t="shared" ca="1" si="58"/>
        <v>0</v>
      </c>
      <c r="AL125" s="29" t="str">
        <f t="shared" ca="1" si="59"/>
        <v xml:space="preserve"> </v>
      </c>
    </row>
    <row r="126" spans="2:82" x14ac:dyDescent="0.3">
      <c r="B126" s="79"/>
      <c r="O126" s="81">
        <v>7</v>
      </c>
      <c r="Q126" s="29" t="str">
        <f ca="1">IF(COUNTIF(O18:O25,"*"&amp;"otherworldly leap"&amp;"*"),"Jump*"," ")</f>
        <v xml:space="preserve"> </v>
      </c>
      <c r="T126" s="72"/>
    </row>
    <row r="127" spans="2:82" x14ac:dyDescent="0.3">
      <c r="B127" s="79"/>
      <c r="O127" s="81">
        <v>8</v>
      </c>
      <c r="Q127" s="29" t="str">
        <f ca="1">IF(COUNTIF(O18:O25,"*"&amp;"Thief of five fates"&amp;"*"),"Bane**"," ")</f>
        <v xml:space="preserve"> </v>
      </c>
      <c r="T127" s="72"/>
      <c r="AJ127" s="31" t="s">
        <v>677</v>
      </c>
    </row>
    <row r="128" spans="2:82" x14ac:dyDescent="0.3">
      <c r="B128" s="79" t="str">
        <f ca="1">IF(AND($O$16="pact of the tome",COUNTIF($O$13:$O$13,"*"&amp;"book of ancient secrets"&amp;"*")),"Book of Ancient Secrets"," ")</f>
        <v xml:space="preserve"> </v>
      </c>
      <c r="O128" s="81">
        <v>9</v>
      </c>
      <c r="Q128" s="29" t="str">
        <f ca="1">IF(AND(O16="pact of the tome",COUNTIF(O18:O25,"*"&amp;"book of ancient secrets"&amp;"*")),INDEX('Spell Tables'!BD40:BD46,MATCH(1,('Spell Tables'!BB40:BB46),0))," ")</f>
        <v xml:space="preserve"> </v>
      </c>
      <c r="T128" s="72"/>
      <c r="AJ128" s="58" t="str">
        <f ca="1">IF(AK128=0," ",_xlfn.RANK.EQ(AK128,$AK$128:$AK$137))</f>
        <v xml:space="preserve"> </v>
      </c>
      <c r="AK128" s="60">
        <f t="shared" ref="AK128:AK137" ca="1" si="61">IF(AL128=" ", 0,RAND())</f>
        <v>0</v>
      </c>
      <c r="AL128" s="29" t="str">
        <f t="shared" ref="AL128:AL137" ca="1" si="62">S334</f>
        <v xml:space="preserve"> </v>
      </c>
    </row>
    <row r="129" spans="1:38" ht="19.5" thickBot="1" x14ac:dyDescent="0.35">
      <c r="B129" s="80" t="str">
        <f ca="1">IF($O$16="pact of the chain",$O$16,IF(OR(P129="minor illusion",S129="animate dead",T129="polymorph"),"School Spells - in Spellbook"," "))</f>
        <v xml:space="preserve"> </v>
      </c>
      <c r="C129" s="38"/>
      <c r="D129" s="38"/>
      <c r="E129" s="38"/>
      <c r="F129" s="38"/>
      <c r="G129" s="38"/>
      <c r="H129" s="38"/>
      <c r="I129" s="38"/>
      <c r="J129" s="38"/>
      <c r="K129" s="38"/>
      <c r="L129" s="38"/>
      <c r="M129" s="38"/>
      <c r="N129" s="38"/>
      <c r="O129" s="82">
        <v>10</v>
      </c>
      <c r="P129" s="38" t="str">
        <f ca="1">IF(AND(P15="school of Illusion",COUNTIF(P315:P324,"*"&amp;"Minor Illusion"&amp;"*"))," ",IF(P15="school of illusion","Minor Illusion"," "))</f>
        <v xml:space="preserve"> </v>
      </c>
      <c r="Q129" s="38" t="str">
        <f ca="1">IF(AND(O16="pact of the tome",COUNTIF(O18:O25,"*"&amp;"book of ancient secrets"&amp;"*")),INDEX('Spell Tables'!BD40:BD46,MATCH(2,('Spell Tables'!BB40:BB46),0)),IF(O16="pact of the chain","Find Familiar (as ritual)"," "))</f>
        <v xml:space="preserve"> </v>
      </c>
      <c r="R129" s="38"/>
      <c r="S129" s="38" t="str">
        <f ca="1">IF(AND(P15="school of necromancy",O12&gt;=6,COUNTIF(S315:S324,"*"&amp;"Animate Dead"&amp;"*"))," ",IF(AND(P15="school of necromancy",O12&gt;=6),"Animate Dead"," "))</f>
        <v xml:space="preserve"> </v>
      </c>
      <c r="T129" s="73" t="str">
        <f ca="1">IF(AND(P15="school of transmutation",O12&gt;=10,COUNTIF(T315:T324,"*"&amp;"Polymorph"&amp;"*"))," ",IF(AND(P15="school of transmutation",O12&gt;=6),"Polymorph"," "))</f>
        <v xml:space="preserve"> </v>
      </c>
      <c r="AJ129" s="58" t="str">
        <f t="shared" ref="AJ129:AJ137" ca="1" si="63">IF(AK129=0," ",_xlfn.RANK.EQ(AK129,$AK$128:$AK$137))</f>
        <v xml:space="preserve"> </v>
      </c>
      <c r="AK129" s="60">
        <f t="shared" ca="1" si="61"/>
        <v>0</v>
      </c>
      <c r="AL129" s="29" t="str">
        <f t="shared" ca="1" si="62"/>
        <v xml:space="preserve"> </v>
      </c>
    </row>
    <row r="130" spans="1:38" x14ac:dyDescent="0.3">
      <c r="A130" s="33"/>
      <c r="B130" s="27"/>
      <c r="AJ130" s="58" t="str">
        <f t="shared" ca="1" si="63"/>
        <v xml:space="preserve"> </v>
      </c>
      <c r="AK130" s="60">
        <f t="shared" ca="1" si="61"/>
        <v>0</v>
      </c>
      <c r="AL130" s="29" t="str">
        <f t="shared" ca="1" si="62"/>
        <v xml:space="preserve"> </v>
      </c>
    </row>
    <row r="131" spans="1:38" ht="19.5" thickBot="1" x14ac:dyDescent="0.35">
      <c r="A131" s="131"/>
      <c r="B131" s="33"/>
      <c r="O131" s="38"/>
      <c r="AJ131" s="58" t="str">
        <f t="shared" ca="1" si="63"/>
        <v xml:space="preserve"> </v>
      </c>
      <c r="AK131" s="60">
        <f t="shared" ca="1" si="61"/>
        <v>0</v>
      </c>
      <c r="AL131" s="29" t="str">
        <f t="shared" ca="1" si="62"/>
        <v xml:space="preserve"> </v>
      </c>
    </row>
    <row r="132" spans="1:38" x14ac:dyDescent="0.3">
      <c r="A132" s="131"/>
      <c r="B132" s="129"/>
      <c r="O132" s="132"/>
      <c r="P132" s="76" t="s">
        <v>1169</v>
      </c>
      <c r="Q132" s="76" t="s">
        <v>1170</v>
      </c>
      <c r="R132" s="76" t="s">
        <v>1171</v>
      </c>
      <c r="S132" s="76" t="s">
        <v>677</v>
      </c>
      <c r="T132" s="77" t="s">
        <v>1172</v>
      </c>
      <c r="AJ132" s="58" t="str">
        <f t="shared" ca="1" si="63"/>
        <v xml:space="preserve"> </v>
      </c>
      <c r="AK132" s="60">
        <f t="shared" ca="1" si="61"/>
        <v>0</v>
      </c>
      <c r="AL132" s="29" t="str">
        <f t="shared" ca="1" si="62"/>
        <v xml:space="preserve"> </v>
      </c>
    </row>
    <row r="133" spans="1:38" x14ac:dyDescent="0.3">
      <c r="A133" s="131"/>
      <c r="B133" s="129"/>
      <c r="O133" s="86">
        <v>1</v>
      </c>
      <c r="P133" s="65" t="str">
        <f ca="1">IF(COUNTIF(P18:P21,"*"&amp;"Breath of Winter"&amp;"*"),"Cone of Cold (6 ki)",IF(COUNTIF(O18:O25,"*"&amp;"chains of carceri"&amp;"*"),"Hold Monster**(c,f,e only)",IF(AND(P15="oath of vengeance",O12&gt;=17),"Hold Monster",IF(AND(P15="Oath of the Ancients",O12&gt;=17),"Commune with Nature",IF(AND(P15="Oath of Devotion",O12&gt;=17),"Commune",IF(AND($P$20="Underdark",$O$12&gt;=9),"Cloudkill",IF(AND($P$20="Swamp",$O$12&gt;=9),"Insect Plague",IF(AND($P$20="Mountain",$O$12&gt;=9),"Passwall",IF(AND($P$20="Grassland",$O$12&gt;=9),"Dream",IF(AND($P$20="Forest",$O$12&gt;=9),"Commune with Nature",IF(AND($P$20="Desert",$O$12&gt;=9),"Insect Plague",IF(AND($P$20="Coast",$O$12&gt;=9),"Conjure Elemental",IF(AND($P$20="arctic",$O$12&gt;=9),"Commune with Nature",IF(AND($P$15="war",$O$12&gt;=9),"Flame Strike",IF(AND($P$15="trickery",$O$12&gt;=9),"Dominate Person",IF(AND($P$15="tempest",$O$12&gt;=9),"Destructive Wave",IF(AND($P$15="nature",$O$12&gt;=9),"Insect Plague",IF(AND(P15="light",O12&gt;=9),"Flame Strike",IF(AND(P15="life",O12&gt;=9),"Mass Cure Wounds",IF(AND(P15="knowledge",O12&gt;=9),"Legend Lore",IF(AND(O11="bard",AL156=5),INDEX('Spell Tables'!BX2:BX24,MATCH(O120,('Spell Tables'!BV2:BV24),0)),IF(AND(P15="path of the totem warrior",O12&gt;=10),"Commune with Nature (as ritual)"," "))))))))))))))))))))))</f>
        <v xml:space="preserve"> </v>
      </c>
      <c r="Q133" s="65" t="str">
        <f ca="1">IF(AND(O11="bard",AL167=6),INDEX('Spell Tables'!CB2:CB27,MATCH(O120,('Spell Tables'!BZ2:BZ27),0)),IF(AND($O$11="warlock",$O$12&gt;=11),INDEX('Spell Tables'!AN194:AN201,MATCH(1,('Spell Tables'!AL194:AL201),0))," "))</f>
        <v xml:space="preserve"> </v>
      </c>
      <c r="R133" s="65" t="str">
        <f ca="1">IF(AND(O11="bard",AL167=7),INDEX('Spell Tables'!CF2:CF11,MATCH(O120,('Spell Tables'!CD2:CD11),0)),IF(AND($O$11="warlock",$O$12&gt;=13),INDEX('Spell Tables'!AR194:AR197,MATCH(1,('Spell Tables'!AP194:AP197),0))," "))</f>
        <v xml:space="preserve"> </v>
      </c>
      <c r="S133" s="65" t="str">
        <f ca="1">IF(AND(O11="bard",AL179=8),INDEX('Spell Tables'!CJ2:CJ14,MATCH(O120,('Spell Tables'!CH2:CH14),0)),IF(AND($O$11="warlock",$O$12&gt;=15),INDEX('Spell Tables'!AV194:AV198,MATCH(1,('Spell Tables'!AT194:AT198),0))," "))</f>
        <v xml:space="preserve"> </v>
      </c>
      <c r="T133" s="66" t="str">
        <f ca="1">IF(AND(O11="bard",AL180=9),INDEX('Spell Tables'!CN2:CN11,MATCH(O120,('Spell Tables'!CL2:CL11),0)),IF(AND($O$11="warlock",$O$12&gt;=17),INDEX('Spell Tables'!AZ194:AZ198,MATCH(1,('Spell Tables'!AX194:AX198),0))," "))</f>
        <v xml:space="preserve"> </v>
      </c>
      <c r="AJ133" s="58" t="str">
        <f t="shared" ca="1" si="63"/>
        <v xml:space="preserve"> </v>
      </c>
      <c r="AK133" s="60">
        <f t="shared" ca="1" si="61"/>
        <v>0</v>
      </c>
      <c r="AL133" s="29" t="str">
        <f t="shared" ca="1" si="62"/>
        <v xml:space="preserve"> </v>
      </c>
    </row>
    <row r="134" spans="1:38" x14ac:dyDescent="0.3">
      <c r="A134" s="131"/>
      <c r="B134" s="129"/>
      <c r="O134" s="133">
        <v>2</v>
      </c>
      <c r="P134" s="60" t="str">
        <f ca="1">IF(COUNTIF(P18:P21,"*"&amp;"Wave of Rolling Earth"&amp;"*"),"Wall of Stone (6 ki)",IF(COUNTIF(O18:O25,"*"&amp;"minions of chaos"&amp;"*"),"Conjure Elemental**",IF(AND(P15="oath of vengeance",O12&gt;=17),"Scrying",IF(AND(P15="Oath of the Ancients",O12&gt;=17),"Tree Stride",IF(AND(P15="Oath of Devotion",O12&gt;=17),"Flame Strike",IF(AND($P$20="Underdark",$O$12&gt;=9),"Insect Plague",IF(AND($P$20="Swamp",$O$12&gt;=9),"Scrying",IF(AND($P$20="Mountain",$O$12&gt;=9),"Wall of Stone",IF(AND($P$20="Grassland",$O$12&gt;=9),"Insect Plague",IF(AND($P$20="Forest",$O$12&gt;=9),"Tree Stride",IF(AND($P$20="Desert",$O$12&gt;=9),"Wall of Stone",IF(AND($P$20="Coast",$O$12&gt;=9),"Scrying",IF(AND($P$20="arctic",$O$12&gt;=9),"Cone of Cold",IF(AND($P$15="war",$O$12&gt;=9),"Hold Monster",IF(AND($P$15="trickery",$O$12&gt;=9),"Modify Memory",IF(AND($P$15="tempest",$O$12&gt;=9),"Insect Plague",IF(AND($P$15="nature",$O$12&gt;=9),"Tree Stride",IF(AND(P15="light",O12&gt;=9),"Scrying",IF(AND(P15="life",O12&gt;=9),"Raise Dead",IF(AND(P15="knowledge",O12&gt;=9),"Scrying",IF(AND($O$11="bard",AL157=5),INDEX('Spell Tables'!$BX$2:$BX$24,MATCH(O121,('Spell Tables'!$BV$2:$BV$24),0))," ")))))))))))))))))))))</f>
        <v xml:space="preserve"> </v>
      </c>
      <c r="Q134" s="60" t="str">
        <f ca="1">IF(AND(O11="bard",AL168=6),INDEX('Spell Tables'!CB2:CB27,MATCH(O121,('Spell Tables'!BZ2:BZ27),0))," ")</f>
        <v xml:space="preserve"> </v>
      </c>
      <c r="R134" s="60" t="str">
        <f ca="1">IF(AND(O11="bard",AL168=7),INDEX('Spell Tables'!CF2:CF11,MATCH(O121,('Spell Tables'!CD2:CD11),0))," ")</f>
        <v xml:space="preserve"> </v>
      </c>
      <c r="S134" s="60" t="str">
        <f ca="1">IF(AND(O11="bard",AL179=8),INDEX('Spell Tables'!CJ2:CJ14,MATCH(O121,('Spell Tables'!CH2:CH14),0))," ")</f>
        <v xml:space="preserve"> </v>
      </c>
      <c r="T134" s="63" t="str">
        <f ca="1">IF(AND(O11="bard",AL180=9),INDEX('Spell Tables'!CN2:CN11,MATCH(O121,('Spell Tables'!CL2:CL11),0))," ")</f>
        <v xml:space="preserve"> </v>
      </c>
      <c r="AJ134" s="58" t="str">
        <f t="shared" ca="1" si="63"/>
        <v xml:space="preserve"> </v>
      </c>
      <c r="AK134" s="60">
        <f t="shared" ca="1" si="61"/>
        <v>0</v>
      </c>
      <c r="AL134" s="29" t="str">
        <f t="shared" ca="1" si="62"/>
        <v xml:space="preserve"> </v>
      </c>
    </row>
    <row r="135" spans="1:38" x14ac:dyDescent="0.3">
      <c r="A135" s="33"/>
      <c r="O135" s="86">
        <v>3</v>
      </c>
      <c r="P135" s="65"/>
      <c r="Q135" s="65"/>
      <c r="R135" s="65"/>
      <c r="S135" s="65"/>
      <c r="T135" s="66"/>
      <c r="AJ135" s="58" t="str">
        <f t="shared" ca="1" si="63"/>
        <v xml:space="preserve"> </v>
      </c>
      <c r="AK135" s="60">
        <f t="shared" ca="1" si="61"/>
        <v>0</v>
      </c>
      <c r="AL135" s="29" t="str">
        <f t="shared" ca="1" si="62"/>
        <v xml:space="preserve"> </v>
      </c>
    </row>
    <row r="136" spans="1:38" x14ac:dyDescent="0.3">
      <c r="A136" s="33"/>
      <c r="O136" s="133">
        <v>4</v>
      </c>
      <c r="P136" s="60"/>
      <c r="Q136" s="60"/>
      <c r="R136" s="60"/>
      <c r="S136" s="60"/>
      <c r="T136" s="63"/>
      <c r="AJ136" s="58" t="str">
        <f t="shared" ca="1" si="63"/>
        <v xml:space="preserve"> </v>
      </c>
      <c r="AK136" s="60">
        <f t="shared" ca="1" si="61"/>
        <v>0</v>
      </c>
      <c r="AL136" s="29" t="str">
        <f t="shared" ca="1" si="62"/>
        <v xml:space="preserve"> </v>
      </c>
    </row>
    <row r="137" spans="1:38" x14ac:dyDescent="0.3">
      <c r="A137" s="33"/>
      <c r="O137" s="86">
        <v>5</v>
      </c>
      <c r="P137" s="65"/>
      <c r="Q137" s="65"/>
      <c r="R137" s="65"/>
      <c r="S137" s="65"/>
      <c r="T137" s="66"/>
      <c r="AJ137" s="58" t="str">
        <f t="shared" ca="1" si="63"/>
        <v xml:space="preserve"> </v>
      </c>
      <c r="AK137" s="60">
        <f t="shared" ca="1" si="61"/>
        <v>0</v>
      </c>
      <c r="AL137" s="29" t="str">
        <f t="shared" ca="1" si="62"/>
        <v xml:space="preserve"> </v>
      </c>
    </row>
    <row r="138" spans="1:38" x14ac:dyDescent="0.3">
      <c r="A138" s="33"/>
      <c r="O138" s="133">
        <v>6</v>
      </c>
      <c r="P138" s="60"/>
      <c r="Q138" s="60"/>
      <c r="R138" s="60"/>
      <c r="S138" s="60"/>
      <c r="T138" s="63"/>
    </row>
    <row r="139" spans="1:38" x14ac:dyDescent="0.3">
      <c r="A139" s="33"/>
      <c r="O139" s="86">
        <v>7</v>
      </c>
      <c r="P139" s="65"/>
      <c r="Q139" s="65"/>
      <c r="R139" s="65"/>
      <c r="S139" s="65"/>
      <c r="T139" s="66"/>
      <c r="AJ139" s="31" t="s">
        <v>1172</v>
      </c>
    </row>
    <row r="140" spans="1:38" x14ac:dyDescent="0.3">
      <c r="A140" s="33"/>
      <c r="O140" s="133">
        <v>8</v>
      </c>
      <c r="P140" s="60"/>
      <c r="Q140" s="60"/>
      <c r="R140" s="60"/>
      <c r="S140" s="60"/>
      <c r="T140" s="63"/>
      <c r="AJ140" s="58" t="str">
        <f ca="1">IF(AK140=0," ",_xlfn.RANK.EQ(AK140,$AK$140:$AK$149))</f>
        <v xml:space="preserve"> </v>
      </c>
      <c r="AK140" s="60">
        <f t="shared" ref="AK140:AK149" ca="1" si="64">IF(AL140=" ", 0,RAND())</f>
        <v>0</v>
      </c>
      <c r="AL140" s="29" t="str">
        <f t="shared" ref="AL140:AL149" ca="1" si="65">T334</f>
        <v xml:space="preserve"> </v>
      </c>
    </row>
    <row r="141" spans="1:38" x14ac:dyDescent="0.3">
      <c r="A141" s="33"/>
      <c r="O141" s="86">
        <v>9</v>
      </c>
      <c r="P141" s="65"/>
      <c r="Q141" s="65"/>
      <c r="R141" s="65"/>
      <c r="S141" s="65"/>
      <c r="T141" s="66"/>
      <c r="AJ141" s="58" t="str">
        <f t="shared" ref="AJ141:AJ149" ca="1" si="66">IF(AK141=0," ",_xlfn.RANK.EQ(AK141,$AK$140:$AK$149))</f>
        <v xml:space="preserve"> </v>
      </c>
      <c r="AK141" s="60">
        <f t="shared" ca="1" si="64"/>
        <v>0</v>
      </c>
      <c r="AL141" s="29" t="str">
        <f t="shared" ca="1" si="65"/>
        <v xml:space="preserve"> </v>
      </c>
    </row>
    <row r="142" spans="1:38" ht="19.5" thickBot="1" x14ac:dyDescent="0.35">
      <c r="A142" s="33"/>
      <c r="O142" s="134">
        <v>10</v>
      </c>
      <c r="P142" s="67"/>
      <c r="Q142" s="67"/>
      <c r="R142" s="67"/>
      <c r="S142" s="67"/>
      <c r="T142" s="68"/>
      <c r="AJ142" s="58" t="str">
        <f t="shared" ca="1" si="66"/>
        <v xml:space="preserve"> </v>
      </c>
      <c r="AK142" s="60">
        <f t="shared" ca="1" si="64"/>
        <v>0</v>
      </c>
      <c r="AL142" s="29" t="str">
        <f t="shared" ca="1" si="65"/>
        <v xml:space="preserve"> </v>
      </c>
    </row>
    <row r="143" spans="1:38" ht="19.5" thickBot="1" x14ac:dyDescent="0.35">
      <c r="AJ143" s="58" t="str">
        <f t="shared" ca="1" si="66"/>
        <v xml:space="preserve"> </v>
      </c>
      <c r="AK143" s="60">
        <f t="shared" ca="1" si="64"/>
        <v>0</v>
      </c>
      <c r="AL143" s="29" t="str">
        <f t="shared" ca="1" si="65"/>
        <v xml:space="preserve"> </v>
      </c>
    </row>
    <row r="144" spans="1:38" ht="30.75" thickBot="1" x14ac:dyDescent="0.45">
      <c r="B144" s="105" t="s">
        <v>1335</v>
      </c>
      <c r="AJ144" s="58" t="str">
        <f t="shared" ca="1" si="66"/>
        <v xml:space="preserve"> </v>
      </c>
      <c r="AK144" s="60">
        <f t="shared" ca="1" si="64"/>
        <v>0</v>
      </c>
      <c r="AL144" s="29" t="str">
        <f t="shared" ca="1" si="65"/>
        <v xml:space="preserve"> </v>
      </c>
    </row>
    <row r="145" spans="1:38" x14ac:dyDescent="0.3">
      <c r="B145" s="79"/>
      <c r="C145" s="27"/>
      <c r="D145" s="27"/>
      <c r="E145" s="27"/>
      <c r="F145" s="27"/>
      <c r="G145" s="27"/>
      <c r="H145" s="27"/>
      <c r="I145" s="27"/>
      <c r="J145" s="27"/>
      <c r="K145" s="27"/>
      <c r="L145" s="27"/>
      <c r="M145" s="27"/>
      <c r="N145" s="27"/>
      <c r="O145" s="27"/>
      <c r="P145" s="76" t="s">
        <v>1124</v>
      </c>
      <c r="Q145" s="76" t="s">
        <v>1166</v>
      </c>
      <c r="R145" s="76" t="s">
        <v>1167</v>
      </c>
      <c r="S145" s="76" t="s">
        <v>1168</v>
      </c>
      <c r="T145" s="77" t="s">
        <v>676</v>
      </c>
      <c r="AJ145" s="58" t="str">
        <f t="shared" ca="1" si="66"/>
        <v xml:space="preserve"> </v>
      </c>
      <c r="AK145" s="60">
        <f t="shared" ca="1" si="64"/>
        <v>0</v>
      </c>
      <c r="AL145" s="29" t="str">
        <f t="shared" ca="1" si="65"/>
        <v xml:space="preserve"> </v>
      </c>
    </row>
    <row r="146" spans="1:38" x14ac:dyDescent="0.3">
      <c r="B146" s="86" t="str">
        <f ca="1">IF(R15="way of the four elements","Way of the Four Elements",IF(AND(Q11="paladin",Q12&gt;=3),"Oath Spells",IF(AND(R15="moon",Q12&gt;=14),"Thousand Forms",IF(R15="way of the shadow","Shadow Arts",IF(AND(Q11="druid",R15="land"),"Land Circle Spells",IF(Q11="cleric","Domain Spells",IF(Q11="bard","Magical Secrets",IF(R15="path of the totem warrior","Totem Warrior Spells",IF(AND(Q11="warlock",Q12&gt;=2),"Mystic Arcanum and Invocation",IF(R15="arcane trickster","4th,8th,14th,20th non E&amp;I spells",IF(R15="eldritch knight","4th,8th,14th,20th non A&amp;E spells"," ")))))))))))</f>
        <v xml:space="preserve"> </v>
      </c>
      <c r="C146" s="33"/>
      <c r="D146" s="33"/>
      <c r="E146" s="33"/>
      <c r="F146" s="33"/>
      <c r="G146" s="33"/>
      <c r="H146" s="33"/>
      <c r="I146" s="33"/>
      <c r="J146" s="33"/>
      <c r="K146" s="33"/>
      <c r="L146" s="33"/>
      <c r="M146" s="33"/>
      <c r="N146" s="33"/>
      <c r="O146" s="34">
        <v>1</v>
      </c>
      <c r="P146" s="33" t="str">
        <f ca="1">IF(R15="school of illusion","Minor Illusion",IF(Q16="pact of the tome",INDEX('Spell Tables'!$BD$19:$BD$37,MATCH(1,('Spell Tables'!$BB$19:$BB$37),0)),IF(R15="way of the shadow","Minor Illusion (free)",IF(R15="land",INDEX('Spell Tables'!P48:P55,MATCH(8,('Spell Tables'!N48:N55),0)),IF(R15="nature",INDEX('Spell Tables'!P48:P55,MATCH(6,('Spell Tables'!N48:N55),0)),IF(R15="light","Light",IF(AND(Q11="bard",AL191="c"),INDEX('Spell Tables'!$BD$2:$BD$16,MATCH(10,('Spell Tables'!$BB$2:$BB$16),0))," ")))))))</f>
        <v xml:space="preserve"> </v>
      </c>
      <c r="Q146" s="33" t="str">
        <f ca="1">IF(COUNTIF(R18:R21,"*"&amp;"Fist of Four Thunders"&amp;"*"),"Thunderwave (2 ki)",IF(COUNTIF($Q$18:$Q$22,"*"&amp;"armor of shadows"&amp;"*"),"Mage Armor*",IF(R15="oath of vengeance","Bane",IF(R15="Oath of the Ancients","Ensnaring Strike",IF(R15="Oath of Devotion","Protection from Good and Evil",IF(AND(R15="war",Q12&gt;=1),"Divine Favor",IF(AND(R15="Trickery",Q12&gt;=1),"Charm Person",IF(AND(R15="tempest",Q12&gt;=1),"Fog Cloud",IF(AND(R15="nature",Q12&gt;=1),"Animal Friendship",IF(AND(R15="light",Q12&gt;=1),"Burning Hands",IF(R15="life","Bless",IF(R15="knowledge","Command",IF(AND(Q11="bard",AL155=1),INDEX('Spell Tables'!$BH$2:$BH$41,MATCH($O$120,('Spell Tables'!$BF$2:$BF$41),0)),IF(R15="arcane trickster",INDEX('Spell Tables'!$X$141:$X$163,MATCH(O120,('Spell Tables'!$V$141:$V$163),0)),IF(R15="path of the totem warrior","Speak with Animals (as ritual)",IF(R15="eldritch knight",INDEX('Spell Tables'!$X$70:$X$90,MATCH($O$120,('Spell Tables'!$V$70:W90),0))," "))))))))))))))))</f>
        <v xml:space="preserve"> </v>
      </c>
      <c r="R146" s="33" t="str">
        <f ca="1">IF(COUNTIF(R18:R21,"*"&amp;"Clench of the North Wind"&amp;"*"),"Hold Person (3 ki)",IF(COUNTIF(Q18:Q22,"*"&amp;"ascendant step"&amp;"*"),"Levitate*",IF(AND(R15="oath of vengeance",Q12&gt;=5),"Hold Person",IF(AND(R15="Oath of the Ancients",Q12&gt;=5),"Moonbeam",IF(AND(R15="Oath of Devotion",Q12&gt;=5),"Lesser Restoration",IF(AND(R15="moon",Q12&gt;=14),"Alter Self",IF(R15="Way of the Shadow","Darkness",IF(AND($P$20="Underdark",Q12&gt;=3),"Spider Climb",IF(AND($P$20="Swamp",Q12&gt;=3),"Darkness",IF(AND($P$20="Mountain",Q12&gt;=3),"Spider Climb",IF(AND($P$20="Grassland",Q12&gt;=3),"Invisibility",IF(AND($P$20="Forest",Q12&gt;=3),"Barkskin",IF(AND($P$20="Desert",Q12&gt;=3),"Blur",IF(AND($P$20="Coast",Q12&gt;=3),"Mirror Image",IF(AND($P$20="arctic",Q12&gt;=3),"Hold Person",IF(AND(R15="war",Q12&gt;=3),"Magic Weapon",IF(AND(R15="Trickery",Q12&gt;=3),"Mirror Image",IF(AND(R15="tempest",Q12&gt;=3),"Gust of Wind",IF(AND(R15="nature",Q12&gt;=3),"Barkskin",IF(AND(R15="light",Q12&gt;=3),"Flaming Sphere",IF(AND(R15="Life",Q12&gt;=3),"Lesser Restoration",IF(AND(R15="knowledge",Q12&gt;=3),"Augury",IF(AND(Q11="bard",AL155=2),INDEX('Spell Tables'!BL2:BL37,MATCH(O120,('Spell Tables'!BJ2:BJ37),0)),IF(R15="path of the totem warrior","Beast Sense (as ritual)",IF(AND(R15="eldritch knight",Q12&gt;=8),INDEX('Spell Tables'!AF70:AF94,MATCH(#REF!,('Spell Tables'!AD70:AD94),0)),IF(AND(R15="arcane trickster",Q12&gt;=8),INDEX('Spell Tables'!AF141:AF165,MATCH(#REF!,('Spell Tables'!AD141:AD165),0))," "))))))))))))))))))))))))))</f>
        <v xml:space="preserve"> </v>
      </c>
      <c r="S146" s="33" t="str">
        <f ca="1">IF(COUNTIF(Q18:Q22,"*"&amp;"mire the mind"&amp;"*"),"Slow**",IF(AND(R15="oath of vengeance",Q12&gt;=9),"Haste",IF(AND(R15="Oath of the Ancients",Q12&gt;=9),"Plant Growth",IF(AND(R15="Oath of Devotion",Q12&gt;=9),"Beacon of Hope",IF(AND($P$20="Underdark",Q12&gt;=5),"Gaseous Form",IF(AND($P$20="Swamp",Q12&gt;=5),"Water Walk",IF(AND($P$20="Mountain",Q12&gt;=5),"Lightning Bolt",IF(AND($P$20="Grassland",Q12&gt;=5),"Daylight",IF(AND($P$20="Forest",Q12&gt;=5),"Call Lightning",IF(AND($P$20="Desert",Q12&gt;=5),"Create Food and Water",IF(AND($P$20="Coast",Q12&gt;=5),"Water Breathing",IF(AND($P$20="arctic",Q12&gt;=5),"Sleet Storm",IF(AND(R15="war",Q12&gt;=5),"Crusader's Mantle",IF(AND(R15="trickery",Q12&gt;=5),"Blink",IF(AND(R15="tempest",Q12&gt;=5),"Call Lightning",IF(AND(R15="nature",Q12&gt;=5),"Plant Growth",IF(AND(R15="light",Q12&gt;=5),"Daylight",IF(AND(R15="life",Q12&gt;=5),"Beacon of Hope",IF(AND(R15="knowledge",Q12&gt;=5),"Nondetection",IF(AND(Q11="bard",AL155=3),INDEX('Spell Tables'!BP2:BP35,MATCH(O120,('Spell Tables'!BN2:BN35),0)),IF(AND(R15="arcane trickster",Q12&gt;=14),INDEX('Spell Tables'!AN141:AN165,MATCH(O120,('Spell Tables'!AL141:AL165),0)),IF(AND(R15="eldritch knight",Q12&gt;=14),INDEX('Spell Tables'!AN70:AN88,MATCH(O120,('Spell Tables'!AL70:AL88),0))," "))))))))))))))))))))))</f>
        <v xml:space="preserve"> </v>
      </c>
      <c r="T146" s="72" t="str">
        <f ca="1">IF(COUNTIF(Q18:Q22,"*"&amp;"bewitching whispers"&amp;"*"),"Compulsion**",IF(AND(R15="oath of vengeance",Q12&gt;=13),"Banishment",IF(AND(R15="Oath of the Ancients",Q12&gt;=13),"Ice Storm",IF(AND(R15="Oath of Devotion",Q12&gt;=13),"Freedom of Movement",IF(AND($P$20="Underdark",Q12&gt;=7),"Greater Invisibility",IF(AND($P$20="Swamp",Q12&gt;=7),"Freedom of Movement",IF(AND($P$20="Mountain",Q12&gt;=7),"Stone Shape",IF(AND($P$20="Grassland",Q12&gt;=7),"Divination",IF(AND($P$20="Forest",Q12&gt;=7),"Divination",IF(AND($P$20="Desert",Q12&gt;=7),"Blight",IF(AND($P$20="Coast",Q12&gt;=7),"Control Water",IF(AND($P$20="arctic",Q12&gt;=7),"Freedom of Movement",IF(AND(R15="war",Q12&gt;=7),"Freedom of Movement",IF(AND(R15="trickery",Q12&gt;=7),"Dimension Door",IF(AND(R15="tempest",Q12&gt;=7),"Control Water",IF(AND(R15="nature",Q12&gt;=7),"Dominate Beast",IF(AND(R15="light",Q12&gt;=7),"Guardian of Faith",IF(AND(R15="life",Q12&gt;=7),"Death Ward",IF(AND(R15="knowledge",Q12&gt;=7),"Arcane Eye",IF(AND(Q11="bard",AL155=4),INDEX('Spell Tables'!BT2:BT29,MATCH(O120,('Spell Tables'!BR2:BR29),0)),IF(AND(R15="arcane trickster",Q12&gt;=20),INDEX('Spell Tables'!AV141:AV159,MATCH(O120,('Spell Tables'!AT267:AT285),0)),IF(AND(R15="eldritch knight",Q12&gt;=20),INDEX('Spell Tables'!AV70:AV86,MATCH(O120,('Spell Tables'!AT70:AT86),0))," "))))))))))))))))))))))</f>
        <v xml:space="preserve"> </v>
      </c>
      <c r="AJ146" s="58" t="str">
        <f t="shared" ca="1" si="66"/>
        <v xml:space="preserve"> </v>
      </c>
      <c r="AK146" s="60">
        <f t="shared" ca="1" si="64"/>
        <v>0</v>
      </c>
      <c r="AL146" s="29" t="str">
        <f t="shared" ca="1" si="65"/>
        <v xml:space="preserve"> </v>
      </c>
    </row>
    <row r="147" spans="1:38" x14ac:dyDescent="0.3">
      <c r="B147" s="79" t="str">
        <f ca="1">IF(R15="way of the four elements","Elemental Disciplines - cost ki",IF(AND(Q11="warlock",Q12&gt;=2),"* = at will - no slot use",IF(R15="land",$P$20," ")))</f>
        <v xml:space="preserve"> </v>
      </c>
      <c r="C147" s="33"/>
      <c r="D147" s="33"/>
      <c r="E147" s="33"/>
      <c r="F147" s="33"/>
      <c r="G147" s="33"/>
      <c r="H147" s="33"/>
      <c r="I147" s="33"/>
      <c r="J147" s="33"/>
      <c r="K147" s="33"/>
      <c r="L147" s="33"/>
      <c r="M147" s="33"/>
      <c r="N147" s="33"/>
      <c r="O147" s="34">
        <v>2</v>
      </c>
      <c r="P147" s="33" t="str">
        <f ca="1">IF(Q16="pact of the tome",INDEX('Spell Tables'!$BD$19:$BD$37,MATCH(2,('Spell Tables'!$BB$19:$BB$37),0)),IF(AND(Q11="bard",AL192="c"),INDEX('Spell Tables'!$BD$2:$BD$16,MATCH(11,('Spell Tables'!$BB$2:$BB$16),0))," "))</f>
        <v xml:space="preserve"> </v>
      </c>
      <c r="Q147" s="33" t="str">
        <f ca="1">IF(COUNTIF(R18:R21,"*"&amp;"Sweeping Cinder Strike"&amp;"*"),"Burning Hands (2 ki)",IF(COUNTIF(Q18:Q22,"*"&amp;"beast speech"&amp;"*"),"Speak with Animals*",IF(R15="Oath of the Ancients","Speak with Animals",IF(R15="Oath of vengeance","Hunter's Mark",IF(R15="Oath of Devotion","Sanctuary",IF(AND(R15="war",Q12&gt;=1),"Shield of Faith",IF(AND(R15="trickery",Q12&gt;=1),"Disguise Self",IF(AND(R15="tempest",Q12&gt;=1),"Thunderwave",IF(AND(R15="Nature",Q12&gt;=1),"Speak with Animals",IF(AND(R15="light",Q12&gt;=1),"Faerie Fire",IF(R15="life","Cure Wounds",IF(R15="knowledge","Identify",IF(AND(Q11="bard",AL156=1),INDEX('Spell Tables'!$BH$2:$BH$41,MATCH(O121,('Spell Tables'!$BF$2:$BF$41),0))," ")))))))))))))</f>
        <v xml:space="preserve"> </v>
      </c>
      <c r="R147" s="33" t="str">
        <f ca="1">IF(COUNTIF(R18:R21,"*"&amp;"Gong of the Summit"&amp;"*"),"Shatter (3 ki)",IF(COUNTIF(Q18:Q22,"*"&amp;"master of myriad forms"&amp;"*"),"Alter Self*",IF(AND(R15="oath of vengeance",Q12&gt;=5),"Misty Step",IF(AND(R15="Oath of the Ancients",Q12&gt;=5),"Misty Step",IF(AND(R15="Oath of Devotion",Q12&gt;=5),"Zone of Truth",IF(R15="way of the shadow","Darkvision",IF(AND($P$20="Underdark",Q12&gt;=3),"Web",IF(AND($P$20="Swamp",Q12&gt;=3),"Melf's Acid Arrow",IF(AND($P$20="Mountain",Q12&gt;=3),"Spike Growth",IF(AND($P$20="Grassland",Q12&gt;=3),"Pass Without Trace",IF(AND($P$20="Forest",Q12&gt;=3),"Spider Climb",IF(AND($P$20="Desert",Q12&gt;=3),"Silence",IF(AND($P$20="Coast",Q12&gt;=3),"Misty Step",IF(AND($P$20="arctic",Q12&gt;=3),"Spike Growth",IF(AND(R15="war",Q12&gt;=3),"Spiritual Weapon",IF(AND(R15="trickery",Q12&gt;=3),"Pass Without Trace",IF(AND(R15="tempest",Q12&gt;=3),"Shatter",IF(AND(R15="nature",Q12&gt;=3),"Spike Growth",IF(AND(R15="light",Q12&gt;=3),"Scorching Ray",IF(AND(R15="life",Q12&gt;=3),"Spiritual Weapon",IF(AND(R15="knowledge",Q12&gt;=3),"Suggestion",IF(AND(Q11="bard",AL156=2),INDEX('Spell Tables'!$BL$2:$BL$37,MATCH(O121,('Spell Tables'!$BJ$2:$BJ$37),0))," "))))))))))))))))))))))</f>
        <v xml:space="preserve"> </v>
      </c>
      <c r="S147" s="33" t="str">
        <f ca="1">IF(COUNTIF(Q18:Q22,"*"&amp;"sign of ill omen"&amp;"*"),"Bestow Curse**",IF(AND(R15="oath of vengeance",Q12&gt;=9),"Protection from Energy",IF(AND(R15="Oath of the Ancients",Q12&gt;=9),"Protection from Energy",IF(AND(R15="Oath of Devotion",Q12&gt;=9),"Dispel Magic",IF(AND($P$20="Underdark",Q12&gt;=5),"Stinking Cloud",IF(AND($P$20="Swamp",Q12&gt;=5),"Stinking Cloud",IF(AND($P$20="Mountain",Q12&gt;=5),"Meld Into Stone",IF(AND($P$20="Grassland",Q12&gt;=5),"Haste",IF(AND($P$20="Forest",Q12&gt;=5),"Plant Growth",IF(AND($P$20="Desert",Q12&gt;=5),"Protection from Energy",IF(AND($P$20="Coast",Q12&gt;=5),"Water Walk",IF(AND($P$20="arctic",Q12&gt;=5),"Slow",IF(AND(R15="war",Q12&gt;=5),"Spirit Guardians",IF(AND(R15="trickery",Q12&gt;=5),"Dispel Magic",IF(AND(R15="Tempest",Q12&gt;=5),"Sleet Storm",IF(AND(R15="nature",Q12&gt;=5),"Wind Wall",IF(AND(R15="light",Q12&gt;=5),"Fireball",IF(AND(R15="life",Q12&gt;=5),"Revivify",IF(AND(R15="knowledge",Q12&gt;=5),"Speak with Dead",IF(AND(Q11="bard",AL156=3),INDEX('Spell Tables'!$BP$2:$BP$35,MATCH(O121,('Spell Tables'!$BN$2:$BN$35),0))," "))))))))))))))))))))</f>
        <v xml:space="preserve"> </v>
      </c>
      <c r="T147" s="72" t="str">
        <f ca="1">IF(COUNTIF(Q18:Q22,"*"&amp;"dreadful word"&amp;"*"),"Confusion**",IF(AND(R15="oath of vengeance",Q12&gt;=13),"Dimension Door",IF(AND(R15="Oath of the Ancients",Q12&gt;=13),"Stoneskin",IF(AND(R15="Oath of Devotion",Q12&gt;=13),"Guardian of Faith",IF(AND($P$20="Underdark",Q12&gt;=7),"Stone Shape",IF(AND($P$20="Swamp",Q12&gt;=7),"Locate Creature",IF(AND($P$20="Mountain",Q12&gt;=7),"Stonekin",IF(AND($P$20="Grassland",Q12&gt;=7),"Freedom of Movement",IF(AND($P$20="Forest",Q12&gt;=7),"Freedom of Movement",IF(AND($P$20="Desert",Q12&gt;=7),"Hallucinatory Terrain",IF(AND($P$20="Coast",Q12&gt;=7),"Freedom of Movement",IF(AND($P$20="arctic",Q12&gt;=7),"Ice Storm",IF(AND(R15="war",Q12&gt;=7),"Stoneskin",IF(AND(R15="trickery",Q12&gt;=7),"Polymorph",IF(AND(R15="tempest",Q12&gt;=7),"Ice Storm",IF(AND(R15="nature",Q12&gt;=7),"Grasping Vine",IF(AND(R15="light",Q12&gt;=7),"Wall of Fire",IF(AND(R15="life",Q12&gt;=7),"Guardian of Faith",IF(AND(R15="knowledge",Q12&gt;=7),"Confusion",IF(AND(Q11="bard",AL156=4),INDEX('Spell Tables'!$BT$2:$BT$29,MATCH(O121,('Spell Tables'!$BR$2:$BR$29),0))," "))))))))))))))))))))</f>
        <v xml:space="preserve"> </v>
      </c>
      <c r="AJ147" s="58" t="str">
        <f t="shared" ca="1" si="66"/>
        <v xml:space="preserve"> </v>
      </c>
      <c r="AK147" s="60">
        <f t="shared" ca="1" si="64"/>
        <v>0</v>
      </c>
      <c r="AL147" s="29" t="str">
        <f t="shared" ca="1" si="65"/>
        <v xml:space="preserve"> </v>
      </c>
    </row>
    <row r="148" spans="1:38" x14ac:dyDescent="0.3">
      <c r="B148" s="79" t="str">
        <f ca="1">IF(AND(Q11="warlock",Q12&gt;=2),"** = once per long rest - uses slot",IF(AND(Q11="paladin",Q12&gt;=3),"Free Preparation",IF(AND(R15="moon",Q12&gt;=14),"At Will",IF(R15="way of the shadow","Cost 2 Ki Points",IF(OR(R15="land",Q11="cleric"),"Free Preparation",IF(AND(Q11="bard",Q12&gt;=10),"Count Toward Known"," "))))))</f>
        <v xml:space="preserve"> </v>
      </c>
      <c r="C148" s="33"/>
      <c r="D148" s="33"/>
      <c r="E148" s="33"/>
      <c r="F148" s="33"/>
      <c r="G148" s="33"/>
      <c r="H148" s="33"/>
      <c r="I148" s="33"/>
      <c r="J148" s="33"/>
      <c r="K148" s="33"/>
      <c r="L148" s="33"/>
      <c r="M148" s="33"/>
      <c r="N148" s="33"/>
      <c r="O148" s="34">
        <v>3</v>
      </c>
      <c r="P148" s="33" t="str">
        <f ca="1">IF(Q16="pact of the tome",INDEX('Spell Tables'!$BD$19:$BD$37,MATCH(3,('Spell Tables'!$BB$19:$BB$37),0))," ")</f>
        <v xml:space="preserve"> </v>
      </c>
      <c r="Q148" s="33" t="str">
        <f ca="1">IF(COUNTIF(Q18:Q22,"*"&amp;"eldritch sight"&amp;"*"),"Detect Magic*"," ")</f>
        <v xml:space="preserve"> </v>
      </c>
      <c r="R148" s="33" t="str">
        <f ca="1">IF(COUNTIF(R18:R21,"*"&amp;"Rush of the Gale Spirits"&amp;"*"),"Gust of Wind (2 ki)",IF(R15="way of the shadow","Pass Without Trace"," "))</f>
        <v xml:space="preserve"> </v>
      </c>
      <c r="S148" s="33" t="str">
        <f ca="1">IF(COUNTIF(Q18:Q22,"*"&amp;"whispers of the grave"&amp;"*"),"Speak with Dead*"," ")</f>
        <v xml:space="preserve"> </v>
      </c>
      <c r="T148" s="72" t="str">
        <f ca="1">IF(COUNTIF(Q18:Q22,"*"&amp;"Sculptor of Flesh"&amp;"*"),"Polymorph**"," ")</f>
        <v xml:space="preserve"> </v>
      </c>
      <c r="AJ148" s="58" t="str">
        <f t="shared" ca="1" si="66"/>
        <v xml:space="preserve"> </v>
      </c>
      <c r="AK148" s="60">
        <f t="shared" ca="1" si="64"/>
        <v>0</v>
      </c>
      <c r="AL148" s="29" t="str">
        <f t="shared" ca="1" si="65"/>
        <v xml:space="preserve"> </v>
      </c>
    </row>
    <row r="149" spans="1:38" x14ac:dyDescent="0.3">
      <c r="B149" s="79"/>
      <c r="O149" s="81">
        <v>4</v>
      </c>
      <c r="Q149" s="29" t="str">
        <f ca="1">IF(COUNTIF(Q18:Q22,"*"&amp;"fiendish vigor"&amp;"*"),"False Life*"," ")</f>
        <v xml:space="preserve"> </v>
      </c>
      <c r="R149" s="29" t="str">
        <f ca="1">IF(R15="way of the shadow","Silence"," ")</f>
        <v xml:space="preserve"> </v>
      </c>
      <c r="T149" s="72" t="str">
        <f ca="1">IF(COUNTIF(Q18:Q22,"*"&amp;"visions of distant realms"&amp;"*"),"Arcane Eye*"," ")</f>
        <v xml:space="preserve"> </v>
      </c>
      <c r="AJ149" s="58" t="str">
        <f t="shared" ca="1" si="66"/>
        <v xml:space="preserve"> </v>
      </c>
      <c r="AK149" s="60">
        <f t="shared" ca="1" si="64"/>
        <v>0</v>
      </c>
      <c r="AL149" s="29" t="str">
        <f t="shared" ca="1" si="65"/>
        <v xml:space="preserve"> </v>
      </c>
    </row>
    <row r="150" spans="1:38" x14ac:dyDescent="0.3">
      <c r="B150" s="79"/>
      <c r="O150" s="81">
        <v>5</v>
      </c>
      <c r="Q150" s="29" t="str">
        <f ca="1">IF(COUNTIF(Q18:Q22,"*"&amp;"mask of many faces"&amp;"*"),"Disguise Self*","")</f>
        <v/>
      </c>
      <c r="T150" s="72"/>
    </row>
    <row r="151" spans="1:38" x14ac:dyDescent="0.3">
      <c r="B151" s="79"/>
      <c r="O151" s="81">
        <v>6</v>
      </c>
      <c r="Q151" s="29" t="str">
        <f ca="1">IF(COUNTIF(Q18:Q22,"*"&amp;"misty vision"&amp;"*"),"Silent Image*"," " )</f>
        <v xml:space="preserve"> </v>
      </c>
      <c r="T151" s="72"/>
      <c r="AJ151" s="31" t="s">
        <v>1666</v>
      </c>
    </row>
    <row r="152" spans="1:38" x14ac:dyDescent="0.3">
      <c r="B152" s="79"/>
      <c r="O152" s="81">
        <v>7</v>
      </c>
      <c r="Q152" s="29" t="str">
        <f ca="1">IF(COUNTIF(Q18:Q22,"*"&amp;"otherworldly leap"&amp;"*"),"Jump*"," ")</f>
        <v xml:space="preserve"> </v>
      </c>
      <c r="T152" s="72"/>
      <c r="AJ152" s="29">
        <v>1</v>
      </c>
      <c r="AK152" s="29">
        <v>1</v>
      </c>
    </row>
    <row r="153" spans="1:38" x14ac:dyDescent="0.3">
      <c r="B153" s="79"/>
      <c r="O153" s="81">
        <v>8</v>
      </c>
      <c r="Q153" s="29" t="str">
        <f ca="1">IF(COUNTIF(Q18:Q22,"*"&amp;"thief of five fates"&amp;"*"),"Bane**"," ")</f>
        <v xml:space="preserve"> </v>
      </c>
      <c r="T153" s="72"/>
      <c r="AJ153" s="29">
        <v>2</v>
      </c>
      <c r="AK153" s="29">
        <v>2</v>
      </c>
    </row>
    <row r="154" spans="1:38" x14ac:dyDescent="0.3">
      <c r="B154" s="79" t="str">
        <f ca="1">IF(AND(Q16="pact of the tome",COUNTIF($O$13:$O$13,"*"&amp;"book of ancient secrets"&amp;"*")),"Book of Ancient Secrets"," ")</f>
        <v xml:space="preserve"> </v>
      </c>
      <c r="O154" s="81">
        <v>9</v>
      </c>
      <c r="Q154" s="29" t="str">
        <f ca="1">IF(AND(Q16="pact of the tome",COUNTIF(Q18:Q22,"*"&amp;"book of ancient secrets"&amp;"*")),INDEX('Spell Tables'!BD40:BD46,MATCH(1,('Spell Tables'!BB40:BB46),0))," ")</f>
        <v xml:space="preserve"> </v>
      </c>
      <c r="T154" s="72"/>
      <c r="AJ154" s="29">
        <v>3</v>
      </c>
      <c r="AK154" s="29">
        <v>3</v>
      </c>
    </row>
    <row r="155" spans="1:38" ht="19.5" thickBot="1" x14ac:dyDescent="0.35">
      <c r="B155" s="80" t="str">
        <f ca="1">IF(Q16="pact of the chain",Q16,IF(OR(P155="minor illusion",S155="animate dead",T155="polymorph"),"School Spells - in Spellbook"," "))</f>
        <v xml:space="preserve"> </v>
      </c>
      <c r="C155" s="38"/>
      <c r="D155" s="38"/>
      <c r="E155" s="38"/>
      <c r="F155" s="38"/>
      <c r="G155" s="38"/>
      <c r="H155" s="38"/>
      <c r="I155" s="38"/>
      <c r="J155" s="38"/>
      <c r="K155" s="38"/>
      <c r="L155" s="38"/>
      <c r="M155" s="38"/>
      <c r="N155" s="38"/>
      <c r="O155" s="82">
        <v>10</v>
      </c>
      <c r="P155" s="38" t="str">
        <f ca="1">IF(AND(R15="school of Illusion",COUNTIF(P315:P324,"*Minor Illusion*"))," ",IF(R15="school of illusion","Minor Illusion"," "))</f>
        <v xml:space="preserve"> </v>
      </c>
      <c r="Q155" s="38" t="str">
        <f ca="1">IF(AND(Q16="pact of the tome",COUNTIF(Q18:Q22,"*"&amp;"book of ancient secrets"&amp;"*")),INDEX('Spell Tables'!BD40:BD46,MATCH(2,('Spell Tables'!BB40:BB46),0)),IF(Q16="pact of the chain","Find Familiar (as ritual)"," "))</f>
        <v xml:space="preserve"> </v>
      </c>
      <c r="R155" s="38"/>
      <c r="S155" s="38" t="str">
        <f ca="1">IF(AND(R15="school of necromancy",Q12&gt;=6,COUNTIF(S315:S324,"*"&amp;"Animate Dead"&amp;"*"))," ",IF(AND(R15="school of necromancy",Q12&gt;=6),"Animate Dead"," "))</f>
        <v xml:space="preserve"> </v>
      </c>
      <c r="T155" s="73" t="str">
        <f ca="1">IF(AND(R15="school of transmutation",Q12&gt;=10,COUNTIF(T315:T324,"*"&amp;"Polymorph"&amp;"*"))," ",IF(AND(R15="school of transmutation",Q12&gt;=6),"Polymorph"," "))</f>
        <v xml:space="preserve"> </v>
      </c>
      <c r="AJ155" s="29">
        <v>4</v>
      </c>
      <c r="AK155" s="29">
        <v>3</v>
      </c>
      <c r="AL155" s="29" t="str">
        <f ca="1">IF(AND(O11="bard",O12&gt;=10),VLOOKUP(RANDBETWEEN(1,10),Table219344458800857914330387553[],2),IF(AND(Q11="bard",Q12&gt;=10),VLOOKUP(RANDBETWEEN(1,10),Table219344458800857914330387553[],2)," "))</f>
        <v xml:space="preserve"> </v>
      </c>
    </row>
    <row r="156" spans="1:38" ht="19.5" thickBot="1" x14ac:dyDescent="0.35">
      <c r="B156" s="27"/>
      <c r="O156" s="99"/>
      <c r="AJ156" s="29">
        <v>5</v>
      </c>
      <c r="AK156" s="29">
        <v>4</v>
      </c>
      <c r="AL156" s="29" t="str">
        <f ca="1">IF(AND(O11="bard",O12&gt;=10),VLOOKUP(RANDBETWEEN(1,10),Table219344458800857914330387553[],2),IF(AND(Q11="bard",Q12&gt;=10),VLOOKUP(RANDBETWEEN(1,10),Table219344458800857914330387553[],2)," "))</f>
        <v xml:space="preserve"> </v>
      </c>
    </row>
    <row r="157" spans="1:38" x14ac:dyDescent="0.3">
      <c r="A157" s="33"/>
      <c r="B157" s="72"/>
      <c r="P157" s="76" t="s">
        <v>1169</v>
      </c>
      <c r="Q157" s="76" t="s">
        <v>1170</v>
      </c>
      <c r="R157" s="76" t="s">
        <v>1171</v>
      </c>
      <c r="S157" s="76" t="s">
        <v>677</v>
      </c>
      <c r="T157" s="104" t="s">
        <v>1172</v>
      </c>
      <c r="AJ157" s="29">
        <v>6</v>
      </c>
      <c r="AK157" s="29">
        <v>4</v>
      </c>
    </row>
    <row r="158" spans="1:38" x14ac:dyDescent="0.3">
      <c r="A158" s="33"/>
      <c r="B158" s="72"/>
      <c r="O158" s="83">
        <v>1</v>
      </c>
      <c r="P158" s="65" t="str">
        <f ca="1">IF(COUNTIF(Q18:Q22,"*"&amp;"chains of carceri"&amp;"*"),"Hold Monster**(c,f,e only)",IF(AND(R15="oath of vengeance",Q12&gt;=17),"Hold Monster",IF(AND(R15="Oath of the Ancients",Q12&gt;=17),"Commune with Nature",IF(AND(R15="Oath of Devotion",Q12&gt;=17),"Commune",IF(AND($P$20="Underdark",Q12&gt;=9),"Cloudkill",IF(AND($P$20="Swamp",Q12&gt;=9),"Insect Plague",IF(AND($P$20="Mountain",Q12&gt;=9),"Passwall",IF(AND($P$20="Grassland",Q12&gt;=9),"Dream",IF(AND($P$20="Forest",Q12&gt;=9),"Commune with Nature",IF(AND($P$20="Desert",Q12&gt;=9),"Insect Plague",IF(AND($P$20="Coast",Q12&gt;=9),"Conjure Elemental",IF(AND($P$20="arctic",Q12&gt;=9),"Commune with Nature",IF(AND(R15="war",Q12&gt;=9),"Flame Strike",IF(AND(R15="trickery",Q12&gt;=9),"Dominate Person",IF(AND(R15="tempest",Q12&gt;=9),"Destructive Wave",IF(AND(R15="nature",Q12&gt;=9),"Insect Plague",IF(AND(R15="light",Q12&gt;=9),"Flame Strike",IF(AND(R15="life",Q12&gt;=9),"Mass Cure Wounds",IF(AND(R15="knowledge",Q12&gt;=9),"Legend Lore",IF(AND(Q11="bard",AL155=5),INDEX('Spell Tables'!BX2:BX24,MATCH(O120,('Spell Tables'!BV2:BV24),0)),IF(AND(R15="path of the totem warrior",Q12&gt;=10),"Commune with Nature (as ritual)"," ")))))))))))))))))))))</f>
        <v xml:space="preserve"> </v>
      </c>
      <c r="Q158" s="65" t="str">
        <f ca="1">IF(AND(Q11="bard",AL167=6),INDEX('Spell Tables'!CB2:CB27,MATCH(O120,('Spell Tables'!BZ2:BZ27),0)),IF(AND(Q11="warlock",Q12&gt;=11),INDEX('Spell Tables'!AN194:AN201,MATCH(1,('Spell Tables'!AL194:AL201),0))," "))</f>
        <v xml:space="preserve"> </v>
      </c>
      <c r="R158" s="65" t="str">
        <f ca="1">IF(AND(Q11="bard",AL167=7),INDEX('Spell Tables'!CF2:CF11,MATCH(O120,('Spell Tables'!CD2:CD11),0)),IF(AND(Q11="warlock",Q12&gt;=13),INDEX('Spell Tables'!AR194:AR197,MATCH(1,('Spell Tables'!AP194:AP197),0))," "))</f>
        <v xml:space="preserve"> </v>
      </c>
      <c r="S158" s="65" t="str">
        <f ca="1">IF(AND(Q11="bard",AL179=8),INDEX('Spell Tables'!CJ2:CJ14,MATCH(O120,('Spell Tables'!CH2:CH14),0)),IF(AND(Q11="warlock",Q12&gt;=15),INDEX('Spell Tables'!AV194:AV198,MATCH(1,('Spell Tables'!AT295:AT299),0))," "))</f>
        <v xml:space="preserve"> </v>
      </c>
      <c r="T158" s="66" t="str">
        <f ca="1">IF(AND(Q11="bard",AL179=9),INDEX('Spell Tables'!CN2:CN11,MATCH(O120,('Spell Tables'!CL2:CL11),0)),IF(AND(Q11="warlock",Q12&gt;=17),INDEX('Spell Tables'!AZ194:AZ198,MATCH(1,('Spell Tables'!AX194:AX198),0))," "))</f>
        <v xml:space="preserve"> </v>
      </c>
      <c r="AJ158" s="29">
        <v>7</v>
      </c>
      <c r="AK158" s="29">
        <v>4</v>
      </c>
    </row>
    <row r="159" spans="1:38" x14ac:dyDescent="0.3">
      <c r="A159" s="33"/>
      <c r="B159" s="72"/>
      <c r="O159" s="84">
        <v>2</v>
      </c>
      <c r="P159" s="60" t="str">
        <f ca="1">IF(COUNTIF(Q18:Q22,"*"&amp;"minions of chaos"&amp;"*"),"Conjure Elemental**",IF(AND(R15="oath of vengeance",Q12&gt;=17),"Scrying",IF(AND(R15="Oath of the Ancients",Q12&gt;=17),"Tree Stride",IF(AND(R15="Oath of Devotion",Q12&gt;=17),"Flame Strike",IF(AND($P$20="Underdark",Q12&gt;=9),"Insect Plague",IF(AND($P$20="Swamp",Q12&gt;=9),"Scrying",IF(AND($P$20="Mountain",Q12&gt;=9),"Wall of Stone",IF(AND($P$20="Grassland",Q12&gt;=9),"Insect Plague",IF(AND($P$20="Forest",Q12&gt;=9),"Tree Stride",IF(AND($P$20="Desert",Q12&gt;=9),"Wall of Stone",IF(AND($P$20="Coast",Q12&gt;=9),"Scrying",IF(AND($P$20="arctic",Q12&gt;=9),"Cone of Cold",IF(AND(R15="war",Q12&gt;=9),"Hold Monster",IF(AND(R15="trickery",Q12&gt;=9),"Modify Memory",IF(AND(R15="tempest",Q12&gt;=9),"Insect Plague",IF(AND(R15="nature",Q12&gt;=9),"Tree Stride",IF(AND(R15="light",Q12&gt;=9),"Scrying",IF(AND(R15="life",Q12&gt;=9),"Raise Dead",IF(AND(R15="knowledge",Q12&gt;=9),"Scrying",IF(AND(Q11="bard",AL156=5),INDEX('Spell Tables'!$BX$2:$BX$24,MATCH(O121,('Spell Tables'!$BV$2:$BV$24),0))," "))))))))))))))))))))</f>
        <v xml:space="preserve"> </v>
      </c>
      <c r="Q159" s="60" t="str">
        <f ca="1">IF(AND(Q11="bard",AL168=6),INDEX('Spell Tables'!CB2:CB27,MATCH(O121,('Spell Tables'!BZ2:BZ27),0))," ")</f>
        <v xml:space="preserve"> </v>
      </c>
      <c r="R159" s="60" t="str">
        <f ca="1">IF(AND(Q11="bard",AL168=7),INDEX('Spell Tables'!CF2:CF11,MATCH(O121,('Spell Tables'!CD2:CD11),0))," ")</f>
        <v xml:space="preserve"> </v>
      </c>
      <c r="S159" s="60" t="str">
        <f ca="1">IF(AND(Q11="bard",AL180=8),INDEX('Spell Tables'!CJ2:CJ14,MATCH(O121,('Spell Tables'!CH2:CH14),0))," ")</f>
        <v xml:space="preserve"> </v>
      </c>
      <c r="T159" s="63" t="str">
        <f ca="1">IF(AND(Q11="bard",AL180=9),INDEX('Spell Tables'!CN2:CN11,MATCH(O121,('Spell Tables'!CL2:CL11),0))," ")</f>
        <v xml:space="preserve"> </v>
      </c>
      <c r="AJ159" s="29">
        <v>8</v>
      </c>
      <c r="AK159" s="29">
        <v>5</v>
      </c>
    </row>
    <row r="160" spans="1:38" x14ac:dyDescent="0.3">
      <c r="A160" s="33"/>
      <c r="B160" s="72"/>
      <c r="O160" s="83">
        <v>3</v>
      </c>
      <c r="P160" s="65"/>
      <c r="Q160" s="65"/>
      <c r="R160" s="65"/>
      <c r="S160" s="65"/>
      <c r="T160" s="66"/>
      <c r="AJ160" s="29">
        <v>9</v>
      </c>
      <c r="AK160" s="29">
        <v>5</v>
      </c>
    </row>
    <row r="161" spans="1:38" x14ac:dyDescent="0.3">
      <c r="A161" s="33"/>
      <c r="B161" s="72"/>
      <c r="O161" s="84">
        <v>4</v>
      </c>
      <c r="P161" s="60"/>
      <c r="Q161" s="60"/>
      <c r="R161" s="60"/>
      <c r="S161" s="60"/>
      <c r="T161" s="63"/>
      <c r="AJ161" s="29">
        <v>10</v>
      </c>
      <c r="AK161" s="29">
        <v>5</v>
      </c>
    </row>
    <row r="162" spans="1:38" x14ac:dyDescent="0.3">
      <c r="A162" s="33"/>
      <c r="B162" s="72"/>
      <c r="O162" s="83">
        <v>5</v>
      </c>
      <c r="P162" s="65"/>
      <c r="Q162" s="65"/>
      <c r="R162" s="65"/>
      <c r="S162" s="65"/>
      <c r="T162" s="66"/>
    </row>
    <row r="163" spans="1:38" x14ac:dyDescent="0.3">
      <c r="A163" s="33"/>
      <c r="B163" s="72"/>
      <c r="O163" s="84">
        <v>6</v>
      </c>
      <c r="P163" s="60"/>
      <c r="Q163" s="60"/>
      <c r="R163" s="60"/>
      <c r="S163" s="60"/>
      <c r="T163" s="63"/>
      <c r="AJ163" s="31" t="s">
        <v>1667</v>
      </c>
    </row>
    <row r="164" spans="1:38" x14ac:dyDescent="0.3">
      <c r="A164" s="33"/>
      <c r="B164" s="72"/>
      <c r="O164" s="83">
        <v>7</v>
      </c>
      <c r="P164" s="65"/>
      <c r="Q164" s="65"/>
      <c r="R164" s="65"/>
      <c r="S164" s="65"/>
      <c r="T164" s="66"/>
      <c r="AJ164" s="29">
        <v>1</v>
      </c>
      <c r="AK164" s="29">
        <v>6</v>
      </c>
    </row>
    <row r="165" spans="1:38" x14ac:dyDescent="0.3">
      <c r="A165" s="33"/>
      <c r="B165" s="72"/>
      <c r="O165" s="84">
        <v>8</v>
      </c>
      <c r="P165" s="60"/>
      <c r="Q165" s="60"/>
      <c r="R165" s="60"/>
      <c r="S165" s="60"/>
      <c r="T165" s="63"/>
      <c r="AJ165" s="29">
        <v>2</v>
      </c>
      <c r="AK165" s="29">
        <v>6</v>
      </c>
    </row>
    <row r="166" spans="1:38" x14ac:dyDescent="0.3">
      <c r="A166" s="33"/>
      <c r="B166" s="72"/>
      <c r="O166" s="83">
        <v>9</v>
      </c>
      <c r="P166" s="65"/>
      <c r="Q166" s="65"/>
      <c r="R166" s="65"/>
      <c r="S166" s="65"/>
      <c r="T166" s="66"/>
      <c r="U166" s="57"/>
      <c r="V166" s="57"/>
      <c r="W166" s="57"/>
      <c r="X166" s="57"/>
      <c r="AJ166" s="29">
        <v>3</v>
      </c>
      <c r="AK166" s="29">
        <v>6</v>
      </c>
    </row>
    <row r="167" spans="1:38" ht="19.5" thickBot="1" x14ac:dyDescent="0.35">
      <c r="A167" s="33"/>
      <c r="B167" s="72"/>
      <c r="O167" s="85">
        <v>10</v>
      </c>
      <c r="P167" s="67"/>
      <c r="Q167" s="67"/>
      <c r="R167" s="67"/>
      <c r="S167" s="67"/>
      <c r="T167" s="68"/>
      <c r="AJ167" s="29">
        <v>4</v>
      </c>
      <c r="AK167" s="29">
        <v>6</v>
      </c>
      <c r="AL167" s="29" t="str">
        <f ca="1">IF(AND(O11="bard",O12&gt;=14),VLOOKUP(RANDBETWEEN(1,10),Table220345459801858915331388554[],2)," ")</f>
        <v xml:space="preserve"> </v>
      </c>
    </row>
    <row r="168" spans="1:38" ht="19.5" thickBot="1" x14ac:dyDescent="0.35">
      <c r="AJ168" s="29">
        <v>5</v>
      </c>
      <c r="AK168" s="29">
        <v>7</v>
      </c>
      <c r="AL168" s="29" t="str">
        <f ca="1">IF(AND(O11="bard",O12&gt;=14),VLOOKUP(RANDBETWEEN(1,10),Table220345459801858915331388554[],2)," ")</f>
        <v xml:space="preserve"> </v>
      </c>
    </row>
    <row r="169" spans="1:38" ht="30.75" thickBot="1" x14ac:dyDescent="0.45">
      <c r="B169" s="105" t="s">
        <v>1243</v>
      </c>
      <c r="AJ169" s="29">
        <v>6</v>
      </c>
      <c r="AK169" s="29">
        <v>7</v>
      </c>
    </row>
    <row r="170" spans="1:38" ht="19.5" thickBot="1" x14ac:dyDescent="0.35">
      <c r="B170" s="79"/>
      <c r="C170" s="27"/>
      <c r="D170" s="27"/>
      <c r="E170" s="27"/>
      <c r="F170" s="27"/>
      <c r="G170" s="27"/>
      <c r="H170" s="27"/>
      <c r="I170" s="27"/>
      <c r="J170" s="27"/>
      <c r="K170" s="27"/>
      <c r="L170" s="27"/>
      <c r="M170" s="27"/>
      <c r="N170" s="27"/>
      <c r="O170" s="27"/>
      <c r="P170" s="87" t="s">
        <v>1341</v>
      </c>
      <c r="Q170" s="88" t="str">
        <f ca="1">IF($O$11="warlock",INDEX('Spell Tables'!$D$194:$D$213,MATCH($O$12,('Spell Tables'!$A$194:$A$213),0))," ")</f>
        <v xml:space="preserve"> </v>
      </c>
      <c r="R170" s="89" t="s">
        <v>1340</v>
      </c>
      <c r="S170" s="90" t="str">
        <f ca="1">IF($O$11="warlock",INDEX('Spell Tables'!$E$194:$E$213,MATCH($O$12,('Spell Tables'!$A$194:$A$213),0))," ")</f>
        <v xml:space="preserve"> </v>
      </c>
      <c r="T170" s="91"/>
      <c r="AJ170" s="29">
        <v>7</v>
      </c>
      <c r="AK170" s="29">
        <v>7</v>
      </c>
    </row>
    <row r="171" spans="1:38" x14ac:dyDescent="0.3">
      <c r="B171" s="112"/>
      <c r="C171" s="33"/>
      <c r="D171" s="33"/>
      <c r="E171" s="33"/>
      <c r="F171" s="33"/>
      <c r="G171" s="33"/>
      <c r="H171" s="33"/>
      <c r="I171" s="33"/>
      <c r="J171" s="33"/>
      <c r="K171" s="33"/>
      <c r="L171" s="33"/>
      <c r="M171" s="33"/>
      <c r="N171" s="33"/>
      <c r="O171" s="33"/>
      <c r="P171" s="92" t="s">
        <v>1342</v>
      </c>
      <c r="Q171" s="33">
        <f ca="1">IF(AND(AF14=2,OR(O11="monk",O11="barbarian",O11="warlock"),OR(Q11="fighter",Q11="rogue"),OR(P15&lt;&gt;"arcane trickster",R15&lt;&gt;"arcane trickster",P15&lt;&gt;"eldritch knight",R15&lt;&gt;"eldritch knight")),0,IF(AND(AF14=2,OR(O11="monk",O11="barbarian",O11="warlock"),OR(Q11="monk",Q11="barbarian",Q11="warlock")),0,IF(AND(AF14=2,OR(O11="monk",O11="barbarian",O11="warlock",Q11="monk",Q11="barbarian",Q11="warlock"),OR(P15="arcane trickster",R15="arcane trickster",P15="eldritch knight",R15="eldritch knight")),INDEX('Spell Tables'!D141:D160,MATCH(AF18,('Spell Tables'!A141:A160),0)),IF(AND(AF14=2,OR(O11="monk",O11="barbarian",O11="warlock",Q11="monk",Q11="barbarian",Q11="warlock"),OR(O11="paladin",Q11="paladin",O11="ranger",Q11="ranger")),INDEX('Spell Tables'!D119:D138,MATCH(AF18,('Spell Tables'!B119:B138),0)),IF(AF14=2,INDEX('Spell Tables'!D242:D261,MATCH(AF18,('Spell Tables'!B242:B261),0)),IF(AND(AF14=1,$P$15="arcane trickster"),INDEX('Spell Tables'!$D$141:$D$161,MATCH($O$12,('Spell Tables'!$A$141:$A$160),0)),IF(AND(AF14=1,(OR($O$11="bard",$O$11="cleric",$O$11="druid",$O$11="sorcerer",$O$11="wizard"))),INDEX('Spell Tables'!$D$2:$D$21,MATCH($O$12,('Spell Tables'!$A$2:$A$21),0)),IF(AND(AF14=1,$P$15)="Eldritch Knight",INDEX('Spell Tables'!$D$70:$D$89,MATCH($O$12,('Spell Tables'!$A$70:$A$89),0))," "))))))))</f>
        <v>4</v>
      </c>
      <c r="R171" s="33">
        <f ca="1">IF(AND(AF14=2,OR(O11="monk",O11="barbarian",O11="warlock"),OR(Q11="fighter",Q11="rogue"),OR(P15&lt;&gt;"arcane trickster",R15&lt;&gt;"arcane trickster",P15&lt;&gt;"eldritch knight",R15&lt;&gt;"eldritch knight")),0,IF(AND(AF14=2,OR(O11="monk",O11="barbarian",O11="warlock"),OR(Q11="monk",Q11="barbarian",Q11="warlock")),0,IF(AND(AF14=2,OR(O11="monk",O11="barbarian",O11="warlock",Q11="monk",Q11="barbarian",Q11="warlock"),OR(P15="arcane trickster",R15="arcane trickster",P15="eldritch knight",R15="eldritch knight")),INDEX('Spell Tables'!E141:E160,MATCH(AF18,('Spell Tables'!A141:A160),0)),IF(AND(AF14=2,OR(O11="monk",O11="barbarian",O11="warlock",Q11="monk",Q11="barbarian",Q11="warlock"),OR(O11="paladin",Q11="paladin",O11="ranger",Q11="ranger")),INDEX('Spell Tables'!E119:E138,MATCH(AF18,('Spell Tables'!B119:B138),0)),IF(AF14=2,INDEX('Spell Tables'!E242:E261,MATCH(AF18,('Spell Tables'!B242:B261),0)),IF($P$15="arcane trickster",INDEX('Spell Tables'!$E$141:$E$161,MATCH($O$12,('Spell Tables'!$A$141:$A$160),0)),IF(OR($O$11="bard",$O$11="cleric",$O$11="druid",O11="sorcerer",O11="wizard"),INDEX('Spell Tables'!E$2:E$21,MATCH($O$12,('Spell Tables'!$A$2:$A$21),0)),IF($P$15="Eldritch Knight",INDEX('Spell Tables'!E70:E89,MATCH($O$12,('Spell Tables'!$A$70:$A$89),0))," "))))))))</f>
        <v>3</v>
      </c>
      <c r="S171" s="33">
        <f ca="1">IF(AND(AF14=2,OR(O11="monk",O11="barbarian",O11="warlock"),OR(Q11="fighter",Q11="rogue"),OR(P15&lt;&gt;"arcane trickster",R15&lt;&gt;"arcane trickster",P15&lt;&gt;"eldritch knight",R15&lt;&gt;"eldritch knight")),0,IF(AND(AF14=2,OR(O11="monk",O11="barbarian",O11="warlock"),OR(Q11="monk",Q11="barbarian",Q11="warlock")),0,IF(AND(AF14=2,OR(O11="monk",O11="barbarian",O11="warlock",Q11="monk",Q11="barbarian",Q11="warlock"),OR(P15="arcane trickster",R15="arcane trickster",P15="eldritch knight",R15="eldritch knight")),INDEX('Spell Tables'!F141:F160,MATCH(AF18,('Spell Tables'!A141:A160),0)),IF(AND(AF14=2,OR(O11="monk",O11="barbarian",O11="warlock",Q11="monk",Q11="barbarian",Q11="warlock"),OR(O11="paladin",Q11="paladin",O11="ranger",Q11="ranger")),INDEX('Spell Tables'!F119:F1383,MATCH(AF18,('Spell Tables'!B119:B138),0)),IF(AF14=2,INDEX('Spell Tables'!F242:F261,MATCH(AF18,('Spell Tables'!B242:B261),0)),IF($P$15="arcane trickster",INDEX('Spell Tables'!$F$141:$F$161,MATCH($O$12,('Spell Tables'!$A$141:$A$160),0)),IF(OR($O$11="bard",$O$11="cleric",$O$11="druid",O11="sorcerer",O11="wizard"),INDEX('Spell Tables'!F$2:F$21,MATCH($O$12,('Spell Tables'!$A$2:$A$21),0)),IF($P$15="Eldritch Knight",INDEX('Spell Tables'!F70:F89,MATCH($O$12,('Spell Tables'!$A$70:$A$89),0))," "))))))))</f>
        <v>3</v>
      </c>
      <c r="T171" s="72">
        <f ca="1">IF(AND(AF14=2,OR(O11="monk",O11="barbarian",O11="warlock"),OR(Q11="fighter",Q11="rogue"),OR(P15&lt;&gt;"arcane trickster",R15&lt;&gt;"arcane trickster",P15&lt;&gt;"eldritch knight",R15&lt;&gt;"eldritch knight")),0,IF(AND(AF14=2,OR(O11="monk",O11="barbarian",O11="warlock"),OR(Q11="monk",Q11="barbarian",Q11="warlock")),0,IF(AND(AF14=2,OR(O11="monk",O11="barbarian",O11="warlock",Q11="monk",Q11="barbarian",Q11="warlock"),OR(P15="arcane trickster",R15="arcane trickster",P15="eldritch knight",R15="eldritch knight")),INDEX('Spell Tables'!G141:G160,MATCH(AF18,('Spell Tables'!A141:A160),0)),IF(AND(AF14=2,OR(O11="monk",O11="barbarian",O11="warlock",Q11="monk",Q11="barbarian",Q11="warlock"),OR(O11="paladin",Q11="paladin",O11="ranger",Q11="ranger")),INDEX('Spell Tables'!G119:G138,MATCH(AF18,('Spell Tables'!B119:B138),0)),IF(AF14=2,INDEX('Spell Tables'!G242:G261,MATCH(AF18,('Spell Tables'!B242:B261),0)),IF($P$15="arcane trickster",INDEX('Spell Tables'!$G$141:$G$161,MATCH($O$12,('Spell Tables'!$A$141:$A$160),0)),IF(OR($O$11="bard",$O$11="cleric",$O$11="druid",O11="sorcerer",O11="wizard"),INDEX('Spell Tables'!G$2:G$21,MATCH($O$12,('Spell Tables'!$A$2:$A$21),0)),IF($P$15="Eldritch Knight",INDEX('Spell Tables'!G70:G89,MATCH($O$12,('Spell Tables'!$A$70:$A$89),0))," "))))))))</f>
        <v>3</v>
      </c>
      <c r="AJ171" s="29">
        <v>8</v>
      </c>
      <c r="AK171" s="29">
        <v>7</v>
      </c>
    </row>
    <row r="172" spans="1:38" hidden="1" x14ac:dyDescent="0.3">
      <c r="B172" s="112" t="s">
        <v>1270</v>
      </c>
      <c r="C172" s="33"/>
      <c r="D172" s="33"/>
      <c r="E172" s="33"/>
      <c r="F172" s="33"/>
      <c r="G172" s="33"/>
      <c r="H172" s="33"/>
      <c r="I172" s="33"/>
      <c r="J172" s="33"/>
      <c r="K172" s="33"/>
      <c r="L172" s="33"/>
      <c r="M172" s="33"/>
      <c r="N172" s="33"/>
      <c r="O172" s="33" t="s">
        <v>530</v>
      </c>
      <c r="P172" s="92" t="s">
        <v>530</v>
      </c>
      <c r="Q172" s="33" t="str">
        <f ca="1">IF(AND(O11="wizard",O12&gt;=3),"x",IF(O11="wizard","xx"," "))</f>
        <v xml:space="preserve"> </v>
      </c>
      <c r="R172" s="33" t="str">
        <f ca="1">IF(AND(O11="wizard",O12&gt;=5),"x",IF(AND($O$11="wizard",$O$12&gt;3),"xx",IF(AND(O11="wizard",O12=3),"xxx"," ")))</f>
        <v xml:space="preserve"> </v>
      </c>
      <c r="S172" s="33" t="str">
        <f ca="1">IF(AND(O11="Wizard",O12&gt;=7),"x",IF(AND($O$11="wizard",$O$12&gt;5),"xx",IF(AND(O11="wizard",O12=5),"xxx"," ")))</f>
        <v xml:space="preserve"> </v>
      </c>
      <c r="T172" s="33" t="str">
        <f ca="1">IF(AND(O11="wizard",O12&gt;=9),"x",IF(AND($O$11="wizard",$O$12&gt;7),"xx",IF(AND(O11="wizard",O12=7),"xxx"," ")))</f>
        <v xml:space="preserve"> </v>
      </c>
      <c r="AJ172" s="29">
        <v>9</v>
      </c>
      <c r="AK172" s="29">
        <v>7</v>
      </c>
    </row>
    <row r="173" spans="1:38" hidden="1" x14ac:dyDescent="0.3">
      <c r="B173" s="112" t="s">
        <v>1272</v>
      </c>
      <c r="C173" s="33"/>
      <c r="D173" s="33"/>
      <c r="E173" s="33"/>
      <c r="F173" s="33"/>
      <c r="G173" s="33"/>
      <c r="H173" s="33"/>
      <c r="I173" s="33"/>
      <c r="J173" s="33"/>
      <c r="K173" s="33"/>
      <c r="L173" s="33"/>
      <c r="M173" s="33"/>
      <c r="N173" s="33"/>
      <c r="O173" s="33" t="str">
        <f ca="1">IF(O11="wizard",P41+O12," ")</f>
        <v xml:space="preserve"> </v>
      </c>
      <c r="P173" s="92">
        <f ca="1">IF(O11="wizard",INDEX('Spell Tables'!C242:C261,MATCH(O12,('Spell Tables'!B242:B261),0)),0)</f>
        <v>0</v>
      </c>
      <c r="Q173" s="33">
        <f ca="1">IF($Q172="x",RANDBETWEEN(1,2),IF($Q172="xx",$O$173,0))</f>
        <v>0</v>
      </c>
      <c r="R173" s="33">
        <f ca="1">IF(R172="x",RANDBETWEEN(1,2),IF(R172="xx",$O$173-Q173,0))</f>
        <v>0</v>
      </c>
      <c r="S173" s="33">
        <f ca="1">IF(S172="x",O173-SUM(Q173:R173,U122:X122),IF(S172="xx",$O$173-SUM(Q173:R173),0))</f>
        <v>0</v>
      </c>
      <c r="T173" s="33">
        <f ca="1">IF(T172="x",RANDBETWEEN(1,2),IF(T172="xx",RANDBETWEEN(2,3),IF(T172="xxx",RANDBETWEEN(1,2),0)))</f>
        <v>0</v>
      </c>
      <c r="AJ173" s="29">
        <v>10</v>
      </c>
      <c r="AK173" s="29">
        <v>7</v>
      </c>
    </row>
    <row r="174" spans="1:38" hidden="1" x14ac:dyDescent="0.3">
      <c r="B174" s="112" t="s">
        <v>1269</v>
      </c>
      <c r="C174" s="33"/>
      <c r="D174" s="33"/>
      <c r="E174" s="33"/>
      <c r="F174" s="33"/>
      <c r="G174" s="33"/>
      <c r="H174" s="33"/>
      <c r="I174" s="33"/>
      <c r="J174" s="33"/>
      <c r="K174" s="33"/>
      <c r="L174" s="33"/>
      <c r="M174" s="33"/>
      <c r="N174" s="33"/>
      <c r="O174" s="33" t="s">
        <v>530</v>
      </c>
      <c r="P174" s="92" t="s">
        <v>530</v>
      </c>
      <c r="Q174" s="33" t="str">
        <f ca="1">IF(AND($O$11="warlock",$O$12&gt;=3),"x",IF(O11="warlock","xx"," "))</f>
        <v xml:space="preserve"> </v>
      </c>
      <c r="R174" s="33" t="str">
        <f ca="1">IF(AND($O$11="warlock",$O$12&gt;=5),"x",IF(AND($O$11="warlock",$O$12&gt;=3),"xx"," "))</f>
        <v xml:space="preserve"> </v>
      </c>
      <c r="S174" s="33" t="str">
        <f ca="1">IF(AND($O$11="warlock",$O$12&gt;=7),"x",IF(AND($O$11="warlock",$O$12&gt;=5),"xx"," "))</f>
        <v xml:space="preserve"> </v>
      </c>
      <c r="T174" s="33" t="str">
        <f ca="1">IF(AND($O$11="warlock",$O$12&gt;=9),"x",IF(AND($O$11="warlock",$O$12&gt;=7),"xx"," "))</f>
        <v xml:space="preserve"> </v>
      </c>
    </row>
    <row r="175" spans="1:38" hidden="1" x14ac:dyDescent="0.3">
      <c r="B175" s="112" t="s">
        <v>1268</v>
      </c>
      <c r="C175" s="33"/>
      <c r="D175" s="33"/>
      <c r="E175" s="33"/>
      <c r="F175" s="33"/>
      <c r="G175" s="33"/>
      <c r="H175" s="33"/>
      <c r="I175" s="33"/>
      <c r="J175" s="33"/>
      <c r="K175" s="33"/>
      <c r="L175" s="33"/>
      <c r="M175" s="33"/>
      <c r="N175" s="33"/>
      <c r="O175" s="33" t="str">
        <f ca="1">IF(O11="warlock",INDEX('Spell Tables'!C194:C213,MATCH($O$12,('Spell Tables'!A194:A213),0))," ")</f>
        <v xml:space="preserve"> </v>
      </c>
      <c r="P175" s="92">
        <f ca="1">IF($O$11="warlock",INDEX('Spell Tables'!B194:B213,MATCH($O$12,('Spell Tables'!A194:A213),0)),0)</f>
        <v>0</v>
      </c>
      <c r="Q175" s="33">
        <f ca="1">IF($Q174="x",RANDBETWEEN(1,2),IF($Q174="xx",$O$175,0))</f>
        <v>0</v>
      </c>
      <c r="R175" s="33">
        <f ca="1">IF(R174="x",RANDBETWEEN(1,2),IF(R174="xx",$O$175-Q175,0))</f>
        <v>0</v>
      </c>
      <c r="S175" s="33">
        <f ca="1">IF(S174="x",O175-SUM(Q175:R175,U124:X124),IF(S174="xx",$O$175-SUM(Q175:R175),0))</f>
        <v>0</v>
      </c>
      <c r="T175" s="33">
        <f ca="1">IF(T174="x",RANDBETWEEN(1,2),IF(T174="xx",RANDBETWEEN(2,3),0))</f>
        <v>0</v>
      </c>
      <c r="AJ175" s="31" t="s">
        <v>1668</v>
      </c>
    </row>
    <row r="176" spans="1:38" hidden="1" x14ac:dyDescent="0.3">
      <c r="B176" s="112" t="s">
        <v>1267</v>
      </c>
      <c r="C176" s="33"/>
      <c r="D176" s="33"/>
      <c r="E176" s="33"/>
      <c r="F176" s="33"/>
      <c r="G176" s="33"/>
      <c r="H176" s="33"/>
      <c r="I176" s="33"/>
      <c r="J176" s="33"/>
      <c r="K176" s="33"/>
      <c r="L176" s="33"/>
      <c r="M176" s="33"/>
      <c r="N176" s="33"/>
      <c r="O176" s="33" t="s">
        <v>530</v>
      </c>
      <c r="P176" s="92" t="s">
        <v>530</v>
      </c>
      <c r="Q176" s="33" t="str">
        <f ca="1">IF(AND($O$11="sorcerer",$O$12&gt;=3),"x",IF($O$11="sorcerer","xx"," "))</f>
        <v>x</v>
      </c>
      <c r="R176" s="33" t="str">
        <f ca="1">IF(AND($O$11="sorcerer",$O$12&gt;=5),"x",IF(AND($O$11="sorcerer",$O$12&gt;=3),"xx"," "))</f>
        <v>x</v>
      </c>
      <c r="S176" s="33" t="str">
        <f ca="1">IF(AND($O$11="sorcerer",$O$12&gt;=7),"x",IF(AND($O$11="sorcerer",$O$12&gt;=5),"xx"," "))</f>
        <v>x</v>
      </c>
      <c r="T176" s="33" t="str">
        <f ca="1">IF(AND($O$11="sorcerer",$O$12&gt;=9),"x",IF(AND($O$11="sorcerer",$O$12&gt;=7),"xx"," "))</f>
        <v>xx</v>
      </c>
      <c r="AJ176" s="29">
        <v>1</v>
      </c>
      <c r="AK176" s="29">
        <v>8</v>
      </c>
    </row>
    <row r="177" spans="2:38" hidden="1" x14ac:dyDescent="0.3">
      <c r="B177" s="112" t="s">
        <v>1266</v>
      </c>
      <c r="C177" s="33"/>
      <c r="D177" s="33"/>
      <c r="E177" s="33"/>
      <c r="F177" s="33"/>
      <c r="G177" s="33"/>
      <c r="H177" s="33"/>
      <c r="I177" s="33"/>
      <c r="J177" s="33"/>
      <c r="K177" s="33"/>
      <c r="L177" s="33"/>
      <c r="M177" s="33"/>
      <c r="N177" s="33"/>
      <c r="O177" s="33">
        <f ca="1">IF(O11="sorcerer",INDEX('Spell Tables'!C168:C187,MATCH($O$12,('Spell Tables'!A168:A187),0))," ")</f>
        <v>9</v>
      </c>
      <c r="P177" s="92">
        <f ca="1">IF($O$11="sorcerer",INDEX('Spell Tables'!B168:B187,MATCH($O$12,('Spell Tables'!A168:A187),0)),0)</f>
        <v>5</v>
      </c>
      <c r="Q177" s="33">
        <f ca="1">IF($Q176="x",RANDBETWEEN(1,2),IF($Q176="xx",$O$177,0))</f>
        <v>1</v>
      </c>
      <c r="R177" s="33">
        <f ca="1">IF(R176="x",RANDBETWEEN(1,2),IF(R176="xx",$O$177-Q177,0))</f>
        <v>1</v>
      </c>
      <c r="S177" s="33">
        <f ca="1">IF(S176="x",O177-SUM(Q177:R177,U126:X126),IF(S176="xx",$O$177-SUM(Q177:R177),0))</f>
        <v>7</v>
      </c>
      <c r="T177" s="33">
        <f ca="1">IF(T176="x",RANDBETWEEN(1,2),IF(T176="xx",RANDBETWEEN(2,3),0))</f>
        <v>2</v>
      </c>
      <c r="AJ177" s="29">
        <v>2</v>
      </c>
      <c r="AK177" s="29">
        <v>8</v>
      </c>
    </row>
    <row r="178" spans="2:38" hidden="1" x14ac:dyDescent="0.3">
      <c r="B178" s="112" t="s">
        <v>1254</v>
      </c>
      <c r="C178" s="33"/>
      <c r="D178" s="33"/>
      <c r="E178" s="33"/>
      <c r="F178" s="33"/>
      <c r="G178" s="33"/>
      <c r="H178" s="33"/>
      <c r="I178" s="33"/>
      <c r="J178" s="33"/>
      <c r="K178" s="33"/>
      <c r="L178" s="33"/>
      <c r="M178" s="33"/>
      <c r="N178" s="33"/>
      <c r="O178" s="33" t="s">
        <v>530</v>
      </c>
      <c r="P178" s="92" t="s">
        <v>530</v>
      </c>
      <c r="Q178" s="33" t="str">
        <f ca="1">IF(AND(P15="arcane trickster",O12&gt;=7),"x",IF(P15="arcane trickster","xx"," "))</f>
        <v xml:space="preserve"> </v>
      </c>
      <c r="R178" s="33" t="str">
        <f ca="1">IF(AND(P15="arcane trickster",O12=13),"x",IF(AND(P15="arcane trickster",$O$12&gt;=7),"xx"," "))</f>
        <v xml:space="preserve"> </v>
      </c>
      <c r="S178" s="33" t="str">
        <f ca="1">IF(AND(P15="arcane trickster",O12&gt;=19),"x",IF(AND(P15="arcane trickster",$O$12&gt;=13),"xx"," "))</f>
        <v xml:space="preserve"> </v>
      </c>
      <c r="T178" s="33" t="str">
        <f ca="1">IF(AND(P15="arcane trickster",$O$12&gt;=19),"xx"," ")</f>
        <v xml:space="preserve"> </v>
      </c>
      <c r="AJ178" s="29">
        <v>3</v>
      </c>
      <c r="AK178" s="29">
        <v>8</v>
      </c>
    </row>
    <row r="179" spans="2:38" hidden="1" x14ac:dyDescent="0.3">
      <c r="B179" s="112" t="s">
        <v>1253</v>
      </c>
      <c r="C179" s="33"/>
      <c r="D179" s="33"/>
      <c r="E179" s="33"/>
      <c r="F179" s="33"/>
      <c r="G179" s="33"/>
      <c r="H179" s="33"/>
      <c r="I179" s="33"/>
      <c r="J179" s="33"/>
      <c r="K179" s="33"/>
      <c r="L179" s="33"/>
      <c r="M179" s="33"/>
      <c r="N179" s="33"/>
      <c r="O179" s="33" t="str">
        <f ca="1">IF(P15="arcane trickster",INDEX('Spell Tables'!C141:C160,MATCH($O$12,('Spell Tables'!A141:A160),0))," ")</f>
        <v xml:space="preserve"> </v>
      </c>
      <c r="P179" s="92">
        <f ca="1">IF($P$15="arcane trickster",INDEX('Spell Tables'!B141:B160,MATCH($O$12,('Spell Tables'!A141:A160),0)),0)</f>
        <v>0</v>
      </c>
      <c r="Q179" s="33">
        <f ca="1">IF($Q178="x",RANDBETWEEN(2,3),IF($Q178="xx",$O$179,0))</f>
        <v>0</v>
      </c>
      <c r="R179" s="33">
        <f ca="1">IF(R178="x",RANDBETWEEN(2,3),IF(R178="xx",$O$179-Q179,0))</f>
        <v>0</v>
      </c>
      <c r="S179" s="33">
        <f ca="1">IF(S178="x",O179-SUM(Q179:R179,U128:X128),IF(S178="xx",$O$179-SUM(Q179:R179),0))</f>
        <v>0</v>
      </c>
      <c r="T179" s="33">
        <f ca="1">IF(T178="x",RANDBETWEEN(1,2),IF(T178="xx",RANDBETWEEN(2,3),0))</f>
        <v>0</v>
      </c>
      <c r="AJ179" s="29">
        <v>4</v>
      </c>
      <c r="AK179" s="29">
        <v>8</v>
      </c>
      <c r="AL179" s="29" t="str">
        <f ca="1">IF(AND(O11="bard",O12&gt;=18),VLOOKUP(RANDBETWEEN(1,10),Table222346460802859916332389555[],2)," ")</f>
        <v xml:space="preserve"> </v>
      </c>
    </row>
    <row r="180" spans="2:38" hidden="1" x14ac:dyDescent="0.3">
      <c r="B180" s="112" t="s">
        <v>1247</v>
      </c>
      <c r="C180" s="33"/>
      <c r="D180" s="33"/>
      <c r="E180" s="33"/>
      <c r="F180" s="33"/>
      <c r="G180" s="33"/>
      <c r="H180" s="33"/>
      <c r="I180" s="33"/>
      <c r="J180" s="33"/>
      <c r="K180" s="33"/>
      <c r="L180" s="33"/>
      <c r="M180" s="33"/>
      <c r="N180" s="33"/>
      <c r="O180" s="33" t="s">
        <v>530</v>
      </c>
      <c r="P180" s="92" t="s">
        <v>1324</v>
      </c>
      <c r="Q180" s="33" t="str">
        <f ca="1">IF(AND($O$11="ranger",$O$12&gt;=5),"x",IF(AND(O11="ranger",O12&gt;=2),"xx"," "))</f>
        <v xml:space="preserve"> </v>
      </c>
      <c r="R180" s="33" t="str">
        <f ca="1">IF(AND($O$11="ranger",$O$12&gt;=9),"x",IF(AND($O$11="ranger",$O$12&gt;=5),"xx"," "))</f>
        <v xml:space="preserve"> </v>
      </c>
      <c r="S180" s="33" t="str">
        <f ca="1">IF(AND($O$11="ranger",$O$12&gt;=13),"x",IF(AND($O$11="ranger",$O$12&gt;=9),"xx"," "))</f>
        <v xml:space="preserve"> </v>
      </c>
      <c r="T180" s="33" t="str">
        <f ca="1">IF(AND($O$11="ranger",$O$12&gt;=17),"x",IF(AND($O$11="ranger",$O$12&gt;=13),"xx"," "))</f>
        <v xml:space="preserve"> </v>
      </c>
      <c r="AJ180" s="29">
        <v>5</v>
      </c>
      <c r="AK180" s="29">
        <v>9</v>
      </c>
      <c r="AL180" s="29" t="str">
        <f ca="1">IF(AND(O11="bard",O12&gt;=18),VLOOKUP(RANDBETWEEN(1,10),Table222346460802859916332389555[],2)," ")</f>
        <v xml:space="preserve"> </v>
      </c>
    </row>
    <row r="181" spans="2:38" hidden="1" x14ac:dyDescent="0.3">
      <c r="B181" s="112" t="s">
        <v>1246</v>
      </c>
      <c r="C181" s="33"/>
      <c r="D181" s="33"/>
      <c r="E181" s="33"/>
      <c r="F181" s="33"/>
      <c r="G181" s="33"/>
      <c r="H181" s="33"/>
      <c r="I181" s="33"/>
      <c r="J181" s="33"/>
      <c r="K181" s="33"/>
      <c r="L181" s="33"/>
      <c r="M181" s="33"/>
      <c r="N181" s="33"/>
      <c r="O181" s="33" t="str">
        <f ca="1">IF($O$11="ranger",INDEX('Spell Tables'!C119:C138,MATCH($O$12,('Spell Tables'!B119:B138),0))," ")</f>
        <v xml:space="preserve"> </v>
      </c>
      <c r="P181" s="92" t="s">
        <v>1324</v>
      </c>
      <c r="Q181" s="33">
        <f ca="1">IF($Q180="x",RANDBETWEEN(1,2),IF($Q180="xx",$O$181,0))</f>
        <v>0</v>
      </c>
      <c r="R181" s="33">
        <f ca="1">IF(R180="x",RANDBETWEEN(1,2),IF(R180="xx",$O$181-Q181,0))</f>
        <v>0</v>
      </c>
      <c r="S181" s="33">
        <f ca="1">IF(S180="x",O181-SUM(Q181:R181,T130:X130),IF(S180="xx",$O$181-SUM(Q181:R181),0))</f>
        <v>0</v>
      </c>
      <c r="T181" s="33">
        <f ca="1">IF(T180="x",RANDBETWEEN(1,2),IF(T180="xx",RANDBETWEEN(2,3),0))</f>
        <v>0</v>
      </c>
      <c r="AJ181" s="29">
        <v>6</v>
      </c>
      <c r="AK181" s="29">
        <v>9</v>
      </c>
    </row>
    <row r="182" spans="2:38" hidden="1" x14ac:dyDescent="0.3">
      <c r="B182" s="112" t="s">
        <v>1245</v>
      </c>
      <c r="C182" s="33"/>
      <c r="D182" s="33"/>
      <c r="E182" s="33"/>
      <c r="F182" s="33"/>
      <c r="G182" s="33"/>
      <c r="H182" s="33"/>
      <c r="I182" s="33"/>
      <c r="J182" s="33"/>
      <c r="K182" s="33"/>
      <c r="L182" s="33"/>
      <c r="M182" s="33"/>
      <c r="N182" s="33"/>
      <c r="O182" s="33" t="s">
        <v>530</v>
      </c>
      <c r="P182" s="92" t="s">
        <v>1324</v>
      </c>
      <c r="Q182" s="33" t="str">
        <f ca="1">IF(AND($O$11="paladin",$O$12&gt;=5),"x",IF($O$11="paladin","xx"," "))</f>
        <v xml:space="preserve"> </v>
      </c>
      <c r="R182" s="33" t="str">
        <f ca="1">IF(AND(O11="paladin",O12&gt;=9),"x",IF(AND($O$11="paladin",$O$12&gt;=5),"xx"," "))</f>
        <v xml:space="preserve"> </v>
      </c>
      <c r="S182" s="33" t="str">
        <f ca="1">IF(AND(O11="paladin",O12&gt;=13),"x",IF(AND($O$11="paladin",$O$12&gt;=9),"xx"," "))</f>
        <v xml:space="preserve"> </v>
      </c>
      <c r="T182" s="33" t="str">
        <f ca="1">IF(AND(O11="paladin",O12&gt;=17),"x",IF(AND($O$11="paladin",$O$12&gt;=13),"xx"," "))</f>
        <v xml:space="preserve"> </v>
      </c>
      <c r="AJ182" s="29">
        <v>7</v>
      </c>
      <c r="AK182" s="29">
        <v>9</v>
      </c>
    </row>
    <row r="183" spans="2:38" hidden="1" x14ac:dyDescent="0.3">
      <c r="B183" s="112" t="s">
        <v>1244</v>
      </c>
      <c r="C183" s="33"/>
      <c r="D183" s="33"/>
      <c r="E183" s="33"/>
      <c r="F183" s="33"/>
      <c r="G183" s="33"/>
      <c r="H183" s="33"/>
      <c r="I183" s="33"/>
      <c r="J183" s="33"/>
      <c r="K183" s="33"/>
      <c r="L183" s="33"/>
      <c r="M183" s="33"/>
      <c r="N183" s="33"/>
      <c r="O183" s="33" t="str">
        <f ca="1">IF(O11="paladin",ROUNDDOWN(P43+(O12*0.5),0)," ")</f>
        <v xml:space="preserve"> </v>
      </c>
      <c r="P183" s="92" t="s">
        <v>1324</v>
      </c>
      <c r="Q183" s="33">
        <f ca="1">IF($Q182="x",RANDBETWEEN(1,2),IF($Q182="xx",$O$183,0))</f>
        <v>0</v>
      </c>
      <c r="R183" s="33">
        <f ca="1">IF(R182="x",RANDBETWEEN(1,2),IF(R182="xx",$O$183-Q183,0))</f>
        <v>0</v>
      </c>
      <c r="S183" s="33">
        <f ca="1">IF(S182="x",O183-SUM(Q183:R183,U132:X132),IF(S182="xx",$O$183-SUM(Q183:R183),0))</f>
        <v>0</v>
      </c>
      <c r="T183" s="33">
        <f ca="1">IF(T182="x",RANDBETWEEN(1,2),IF(T182="xx",RANDBETWEEN(2,3),0))</f>
        <v>0</v>
      </c>
      <c r="AJ183" s="29">
        <v>8</v>
      </c>
      <c r="AK183" s="29">
        <v>9</v>
      </c>
    </row>
    <row r="184" spans="2:38" hidden="1" x14ac:dyDescent="0.3">
      <c r="B184" s="112" t="s">
        <v>1226</v>
      </c>
      <c r="C184" s="33"/>
      <c r="D184" s="33"/>
      <c r="E184" s="33"/>
      <c r="F184" s="33"/>
      <c r="G184" s="33"/>
      <c r="H184" s="33"/>
      <c r="I184" s="33"/>
      <c r="J184" s="33"/>
      <c r="K184" s="33"/>
      <c r="L184" s="33"/>
      <c r="M184" s="33"/>
      <c r="N184" s="33"/>
      <c r="O184" s="33" t="s">
        <v>530</v>
      </c>
      <c r="P184" s="92" t="s">
        <v>530</v>
      </c>
      <c r="Q184" s="33" t="str">
        <f ca="1">IF(AND(P15="eldritch knight",O12&gt;=7),"x",IF(P15="eldritch knight","xx"," "))</f>
        <v xml:space="preserve"> </v>
      </c>
      <c r="R184" s="33" t="str">
        <f ca="1">IF(AND(P15="eldritch knight",O12&gt;=13),"x",IF(AND(P15="eldritch knight",$O$12&gt;=7),"xx"," "))</f>
        <v xml:space="preserve"> </v>
      </c>
      <c r="S184" s="33" t="str">
        <f ca="1">IF(AND(P15="eldritch knight",O12&gt;=19),"x",IF(AND(P15="eldritch knight",$O$12&gt;=13),"xx"," "))</f>
        <v xml:space="preserve"> </v>
      </c>
      <c r="T184" s="33" t="str">
        <f ca="1">IF(AND(P15="eldritch knight",$O$12&gt;=19),"xx"," ")</f>
        <v xml:space="preserve"> </v>
      </c>
      <c r="AJ184" s="29">
        <v>9</v>
      </c>
      <c r="AK184" s="29">
        <v>9</v>
      </c>
    </row>
    <row r="185" spans="2:38" hidden="1" x14ac:dyDescent="0.3">
      <c r="B185" s="112" t="s">
        <v>1222</v>
      </c>
      <c r="C185" s="33"/>
      <c r="D185" s="33"/>
      <c r="E185" s="33"/>
      <c r="F185" s="33"/>
      <c r="G185" s="33"/>
      <c r="H185" s="33"/>
      <c r="I185" s="33"/>
      <c r="J185" s="33"/>
      <c r="K185" s="33"/>
      <c r="L185" s="33"/>
      <c r="M185" s="33"/>
      <c r="N185" s="33"/>
      <c r="O185" s="33" t="str">
        <f ca="1">IF($P$15="eldritch knight",INDEX('Spell Tables'!C70:C89,MATCH($O$12,('Spell Tables'!$A$70:$A$89),0))," ")</f>
        <v xml:space="preserve"> </v>
      </c>
      <c r="P185" s="92">
        <f ca="1">IF($P$15="eldritch knight",INDEX('Spell Tables'!B70:B89,MATCH($O$12,('Spell Tables'!A70:A89),0)),0)</f>
        <v>0</v>
      </c>
      <c r="Q185" s="33">
        <f ca="1">IF($Q184="x",RANDBETWEEN(2,3),IF($Q184="xx",$O$185,0))</f>
        <v>0</v>
      </c>
      <c r="R185" s="33">
        <f ca="1">IF(R184="x",RANDBETWEEN(2,3),IF(R184="xx",$O$185-Q185,0))</f>
        <v>0</v>
      </c>
      <c r="S185" s="33">
        <f ca="1">IF(S184="x",O185-SUM(Q185:R185,U134:X134),IF(S184="xx",$O$185-SUM(Q185:R185),0))</f>
        <v>0</v>
      </c>
      <c r="T185" s="33">
        <f ca="1">IF(T184="x",RANDBETWEEN(1,2),IF(T184="xx",RANDBETWEEN(2,3),0))</f>
        <v>0</v>
      </c>
      <c r="AJ185" s="29">
        <v>10</v>
      </c>
      <c r="AK185" s="29">
        <v>9</v>
      </c>
    </row>
    <row r="186" spans="2:38" hidden="1" x14ac:dyDescent="0.3">
      <c r="B186" s="112" t="s">
        <v>1219</v>
      </c>
      <c r="C186" s="33"/>
      <c r="D186" s="33"/>
      <c r="E186" s="33"/>
      <c r="F186" s="33"/>
      <c r="G186" s="33"/>
      <c r="H186" s="33"/>
      <c r="I186" s="33"/>
      <c r="J186" s="33"/>
      <c r="K186" s="33"/>
      <c r="L186" s="33"/>
      <c r="M186" s="33"/>
      <c r="N186" s="33"/>
      <c r="O186" s="33" t="s">
        <v>530</v>
      </c>
      <c r="P186" s="92" t="s">
        <v>530</v>
      </c>
      <c r="Q186" s="33" t="str">
        <f ca="1">IF(AND($O$11="druid",$O$12&gt;=3),"x",IF($O$11="druid","xx"," "))</f>
        <v xml:space="preserve"> </v>
      </c>
      <c r="R186" s="33" t="str">
        <f ca="1">IF(AND($O$11="druid",$O$12&gt;=5),"x",IF(AND($O$11="druid",$O$12&gt;=3),"xx"," "))</f>
        <v xml:space="preserve"> </v>
      </c>
      <c r="S186" s="33" t="str">
        <f ca="1">IF(AND($O$11="druid",$O$12&gt;=7),"x",IF(AND($O$11="druid",$O$12&gt;=5),"xx"," "))</f>
        <v xml:space="preserve"> </v>
      </c>
      <c r="T186" s="33" t="str">
        <f ca="1">IF(AND($O$11="druid",$O$12&gt;=9),"x",IF(AND($O$11="druid",$O$12&gt;=7),"xx"," "))</f>
        <v xml:space="preserve"> </v>
      </c>
    </row>
    <row r="187" spans="2:38" hidden="1" x14ac:dyDescent="0.3">
      <c r="B187" s="112" t="s">
        <v>1220</v>
      </c>
      <c r="C187" s="33"/>
      <c r="D187" s="33"/>
      <c r="E187" s="33"/>
      <c r="F187" s="33"/>
      <c r="G187" s="33"/>
      <c r="H187" s="33"/>
      <c r="I187" s="33"/>
      <c r="J187" s="33"/>
      <c r="K187" s="33"/>
      <c r="L187" s="33"/>
      <c r="M187" s="33"/>
      <c r="N187" s="33"/>
      <c r="O187" s="33" t="str">
        <f ca="1">IF(O11="druid",O12+P42," ")</f>
        <v xml:space="preserve"> </v>
      </c>
      <c r="P187" s="92">
        <f ca="1">IF($O$11="druid",INDEX('Spell Tables'!C48:C67,MATCH($O$12,('Spell Tables'!B48:B67),0)),0)</f>
        <v>0</v>
      </c>
      <c r="Q187" s="33">
        <f ca="1">IF($Q186="x",RANDBETWEEN(1,2),IF($Q186="xx",$O$187,0))</f>
        <v>0</v>
      </c>
      <c r="R187" s="33">
        <f ca="1">IF(R186="x",RANDBETWEEN(1,2),IF(R186="xx",$O$187-Q187,0))</f>
        <v>0</v>
      </c>
      <c r="S187" s="33">
        <f ca="1">IF(S186="x",O187-SUM(Q187:R187,U136:X136),IF(S186="xx",$O$187-SUM(Q187:R187),0))</f>
        <v>0</v>
      </c>
      <c r="T187" s="33">
        <f ca="1">IF(T186="x",RANDBETWEEN(1,2),IF(T186="xx",RANDBETWEEN(2,3),0))</f>
        <v>0</v>
      </c>
      <c r="AJ187" s="31" t="s">
        <v>1670</v>
      </c>
    </row>
    <row r="188" spans="2:38" hidden="1" x14ac:dyDescent="0.3">
      <c r="B188" s="112" t="s">
        <v>1143</v>
      </c>
      <c r="C188" s="33"/>
      <c r="D188" s="33"/>
      <c r="E188" s="33"/>
      <c r="F188" s="33"/>
      <c r="G188" s="33"/>
      <c r="H188" s="33"/>
      <c r="I188" s="33"/>
      <c r="J188" s="33"/>
      <c r="K188" s="33"/>
      <c r="L188" s="33"/>
      <c r="M188" s="33"/>
      <c r="N188" s="33"/>
      <c r="O188" s="33" t="s">
        <v>530</v>
      </c>
      <c r="P188" s="92" t="s">
        <v>530</v>
      </c>
      <c r="Q188" s="33" t="str">
        <f ca="1">IF(AND(O11="cleric",O12&gt;=3),"x",IF(O11="cleric","xx"," "))</f>
        <v xml:space="preserve"> </v>
      </c>
      <c r="R188" s="33" t="str">
        <f ca="1">IF(AND(O11="cleric",O12&gt;=5),"x",IF(AND($O$11="cleric",$O$12&gt;=3),"xx"," "))</f>
        <v xml:space="preserve"> </v>
      </c>
      <c r="S188" s="33" t="str">
        <f ca="1">IF(AND(O11="cleric",O12&gt;=7),"x",IF(AND($O$11="cleric",$O$12&gt;=5),"xx"," "))</f>
        <v xml:space="preserve"> </v>
      </c>
      <c r="T188" s="33" t="str">
        <f ca="1">IF(AND(O11="cleric",O12&gt;=9),"x",IF(AND($O$11="cleric",$O$12&gt;=7),"xx"," "))</f>
        <v xml:space="preserve"> </v>
      </c>
      <c r="AJ188" s="29">
        <v>1</v>
      </c>
      <c r="AK188" s="29" t="s">
        <v>1671</v>
      </c>
    </row>
    <row r="189" spans="2:38" hidden="1" x14ac:dyDescent="0.3">
      <c r="B189" s="112" t="s">
        <v>1142</v>
      </c>
      <c r="C189" s="33"/>
      <c r="D189" s="33"/>
      <c r="E189" s="33"/>
      <c r="F189" s="33"/>
      <c r="G189" s="33"/>
      <c r="H189" s="33"/>
      <c r="I189" s="33"/>
      <c r="J189" s="33"/>
      <c r="K189" s="33"/>
      <c r="L189" s="33"/>
      <c r="M189" s="33"/>
      <c r="N189" s="33"/>
      <c r="O189" s="33" t="str">
        <f ca="1">IF(O11="cleric",O12+P42," ")</f>
        <v xml:space="preserve"> </v>
      </c>
      <c r="P189" s="92">
        <f ca="1">IF($O$11="cleric",INDEX('Spell Tables'!C26:C45,MATCH($O$12,('Spell Tables'!B26:B45),0)),0)</f>
        <v>0</v>
      </c>
      <c r="Q189" s="33">
        <f ca="1">IF($Q188="x",RANDBETWEEN(1,2),IF($Q188="xx",$O$189,0))</f>
        <v>0</v>
      </c>
      <c r="R189" s="33">
        <f ca="1">IF(R188="x",RANDBETWEEN(1,2),IF(R188="xx",$O$189-Q189,0))</f>
        <v>0</v>
      </c>
      <c r="S189" s="33">
        <f ca="1">IF(S188="x",O189-SUM(Q189:R189,U138:X138),IF(S188="xx",$O$189-SUM(Q189:R189),0))</f>
        <v>0</v>
      </c>
      <c r="T189" s="33">
        <f ca="1">IF(T188="x",RANDBETWEEN(1,2),IF(T188="xx",RANDBETWEEN(2,3),0))</f>
        <v>0</v>
      </c>
      <c r="AJ189" s="29">
        <v>2</v>
      </c>
      <c r="AK189" s="29">
        <v>1</v>
      </c>
    </row>
    <row r="190" spans="2:38" hidden="1" x14ac:dyDescent="0.3">
      <c r="B190" s="112" t="s">
        <v>1248</v>
      </c>
      <c r="C190" s="33"/>
      <c r="D190" s="33"/>
      <c r="E190" s="33"/>
      <c r="F190" s="33"/>
      <c r="G190" s="33"/>
      <c r="H190" s="33"/>
      <c r="I190" s="33"/>
      <c r="J190" s="33"/>
      <c r="K190" s="33"/>
      <c r="L190" s="33"/>
      <c r="M190" s="33"/>
      <c r="N190" s="33"/>
      <c r="O190" s="33" t="s">
        <v>530</v>
      </c>
      <c r="P190" s="92" t="s">
        <v>530</v>
      </c>
      <c r="Q190" s="33" t="str">
        <f ca="1">IF(AND($O$11="bard",$O$12&gt;=3),"x",IF($O$11="bard","xx"," "))</f>
        <v xml:space="preserve"> </v>
      </c>
      <c r="R190" s="33" t="str">
        <f ca="1">IF(AND($O$11="bard",$O$12&gt;=5),"x",IF(AND($O$11="bard",$O$12&gt;=3),"xx"," "))</f>
        <v xml:space="preserve"> </v>
      </c>
      <c r="S190" s="33" t="str">
        <f ca="1">IF(AND($O$11="bard",$O$12&gt;=7),"x",IF(AND($O$11="bard",$O$12&gt;=5),"xx"," "))</f>
        <v xml:space="preserve"> </v>
      </c>
      <c r="T190" s="33" t="str">
        <f ca="1">IF(AND($O$11="bard",$O$12&gt;=9),"x",IF(AND($O$11="bard",$O$12&gt;=7),"xx"," "))</f>
        <v xml:space="preserve"> </v>
      </c>
      <c r="AJ190" s="29">
        <v>3</v>
      </c>
      <c r="AK190" s="29">
        <v>1</v>
      </c>
    </row>
    <row r="191" spans="2:38" hidden="1" x14ac:dyDescent="0.3">
      <c r="B191" s="112" t="s">
        <v>1141</v>
      </c>
      <c r="C191" s="33"/>
      <c r="D191" s="33"/>
      <c r="E191" s="33"/>
      <c r="F191" s="33"/>
      <c r="G191" s="33"/>
      <c r="H191" s="33"/>
      <c r="I191" s="33"/>
      <c r="J191" s="33"/>
      <c r="K191" s="33"/>
      <c r="L191" s="33"/>
      <c r="M191" s="33"/>
      <c r="N191" s="33"/>
      <c r="O191" s="33" t="str">
        <f ca="1">IF($O$11="bard",INDEX('Spell Tables'!C$2:C$21,MATCH($O$12,('Spell Tables'!$A$2:$A$21),0))," ")</f>
        <v xml:space="preserve"> </v>
      </c>
      <c r="P191" s="92">
        <f ca="1">IF($O$11="bard",INDEX('Spell Tables'!B2:B21,MATCH($O$12,('Spell Tables'!A2:A21),0)),0)</f>
        <v>0</v>
      </c>
      <c r="Q191" s="33">
        <f ca="1">IF($Q190="x",RANDBETWEEN(1,2),IF($Q190="xx",$O$191,0))</f>
        <v>0</v>
      </c>
      <c r="R191" s="33">
        <f ca="1">IF(R190="x",RANDBETWEEN(1,2),IF(R190="xx",$O$191-Q191,0))</f>
        <v>0</v>
      </c>
      <c r="S191" s="33">
        <f ca="1">IF(S190="x",O191-SUM(Q191:R191,U140:X140),IF(S190="xx",$O$191-SUM(Q191:R191),0))</f>
        <v>0</v>
      </c>
      <c r="T191" s="33">
        <f ca="1">IF(T190="x",RANDBETWEEN(1,2),IF(T190="xx",RANDBETWEEN(2,3),0))</f>
        <v>0</v>
      </c>
      <c r="AJ191" s="29">
        <v>4</v>
      </c>
      <c r="AK191" s="29">
        <v>2</v>
      </c>
      <c r="AL191" s="29" t="str">
        <f ca="1">IF(AND(P15="college of lore",O12&gt;=6),VLOOKUP(RANDBETWEEN(1,10),Table250347461803860917333390556[],2),IF(AND(R15="college of lore",Q12&gt;=6),VLOOKUP(RANDBETWEEN(1,10),Table250347461803860917333390556[],2)," "))</f>
        <v xml:space="preserve"> </v>
      </c>
    </row>
    <row r="192" spans="2:38" x14ac:dyDescent="0.3">
      <c r="B192" s="112" t="s">
        <v>1122</v>
      </c>
      <c r="C192" s="33"/>
      <c r="D192" s="33"/>
      <c r="E192" s="33"/>
      <c r="F192" s="33"/>
      <c r="G192" s="33"/>
      <c r="H192" s="33"/>
      <c r="I192" s="33"/>
      <c r="J192" s="33"/>
      <c r="K192" s="33"/>
      <c r="L192" s="33"/>
      <c r="M192" s="33"/>
      <c r="N192" s="33"/>
      <c r="O192" s="33"/>
      <c r="P192" s="92" t="s">
        <v>1124</v>
      </c>
      <c r="Q192" s="92" t="s">
        <v>1326</v>
      </c>
      <c r="R192" s="92" t="s">
        <v>1167</v>
      </c>
      <c r="S192" s="92" t="s">
        <v>1168</v>
      </c>
      <c r="T192" s="92" t="s">
        <v>676</v>
      </c>
      <c r="AJ192" s="29">
        <v>5</v>
      </c>
      <c r="AK192" s="29">
        <v>2</v>
      </c>
      <c r="AL192" s="29" t="str">
        <f ca="1">IF(AND(P15="college of lore",O12&gt;=6),VLOOKUP(RANDBETWEEN(1,10),Table250347461803860917333390556[],2),IF(AND(R15="college of lore",Q12&gt;=6),VLOOKUP(RANDBETWEEN(1,10),Table250347461803860917333390556[],2)," "))</f>
        <v xml:space="preserve"> </v>
      </c>
    </row>
    <row r="193" spans="2:37" x14ac:dyDescent="0.3">
      <c r="B193" s="79">
        <f ca="1">IF(OR(O11="bard",O11="paladin",O11="sorcerer",O11="warlock"),8+$P$8+$P$43,IF(OR(O11="druid",O11="cleric",O11="ranger"),8+P8+P42,IF(OR(P15="eldritch knight",P15="arcane trickster",O11="wizard"),8+P8+P41," ")))</f>
        <v>15</v>
      </c>
      <c r="C193" s="33"/>
      <c r="D193" s="33"/>
      <c r="E193" s="33"/>
      <c r="F193" s="33"/>
      <c r="G193" s="33"/>
      <c r="H193" s="33"/>
      <c r="I193" s="33"/>
      <c r="J193" s="33"/>
      <c r="K193" s="33"/>
      <c r="L193" s="33"/>
      <c r="M193" s="33"/>
      <c r="N193" s="33"/>
      <c r="O193" s="34">
        <v>1</v>
      </c>
      <c r="P193" s="33" t="str">
        <f ca="1">IF(P$173&gt;=O193,INDEX('Spell Tables'!$P$242:$P$257,MATCH(O193,('Spell Tables'!$N$242:$N$257),0)),IF(P$175&gt;=O193,INDEX('Spell Tables'!$P$194:$P$201,MATCH(O193,('Spell Tables'!$N$194:$N$201),0)),IF(P$177&gt;=O193,INDEX('Spell Tables'!$P$168:$P$183,MATCH(O193,('Spell Tables'!$N$168:$N$183),0)),IF(P$179&gt;=O193,INDEX('Spell Tables'!$P$141:$P$156,MATCH(O193,('Spell Tables'!$N$141:$N$157),0)),IF(P$185&gt;=O193,INDEX('Spell Tables'!$P$70:$P$83,MATCH(O193,('Spell Tables'!$N$70:$N$83),0)),IF(P$187&gt;=O193,INDEX('Spell Tables'!$P$48:$P$55,MATCH(O193,('Spell Tables'!$N$48:$N$55),0)),IF(P$189&gt;=O193,INDEX('Spell Tables'!$P$26:$P$32,MATCH(O193,('Spell Tables'!$N$26:$N$32),0)),IF(P$191&gt;=O193,INDEX('Spell Tables'!$P$2:$P$12,MATCH(O193,('Spell Tables'!$N$2:$N$12),0))," "))))))))</f>
        <v>True Strike</v>
      </c>
      <c r="Q193" s="33" t="str">
        <f ca="1">IF(AND($O$15="Otherworldly patron - great old one",Q$175&gt;=O193),INDEX('Spell Tables'!$T$226:$T$238,MATCH(O193,('Spell Tables'!$R$226:$R$238),0)),IF(AND($O$15="Otherworldly patron - fiend",Q$175&gt;=O193),INDEX('Spell Tables'!$T$210:$T$222,MATCH(O193,('Spell Tables'!$R$210:$R$222),0)),IF(Q$173&gt;=O193,INDEX($AL$44:$AL$53,MATCH(O193,($AJ$44:$AJ$53),0)),IF(AND($O$15="Otherworldly patron - archfey",Q$175&gt;=O193),INDEX('Spell Tables'!$T$194:$T$206,MATCH(O193,('Spell Tables'!$R$194:$R$206),0)),IF(Q$177&gt;=O193,INDEX('Spell Tables'!$T$168:$T$187,MATCH(O193,('Spell Tables'!$R$168:$R$187),0)),IF(Q$179&gt;=O193,INDEX('Spell Tables'!$T$141:$T$147,MATCH(O193,('Spell Tables'!$R$141:$R$147),0)),IF(Q$181&gt;=O193,INDEX('Spell Tables'!$P$119:$P$131,MATCH(O193,('Spell Tables'!$N$119:$N$131),0)),IF(Q$183&gt;=O193,INDEX('Spell Tables'!$P$97:$P$111,MATCH(O193,('Spell Tables'!$N$97:$N$111),0)),IF(Q$185&gt;=O193,INDEX('Spell Tables'!$T$70:$T$78,MATCH(O193,('Spell Tables'!$R$70:$R$78),0)),IF(Q$187&gt;=O193,INDEX('Spell Tables'!$T$48:$T$63,MATCH(O193,('Spell Tables'!$R$48:$R$63),0)),IF(Q$189&gt;=O193,INDEX('Spell Tables'!$T$26:$T$40,MATCH(O193,('Spell Tables'!$R$26:$R$40),0)),IF(Q$191&gt;=O193,INDEX('Spell Tables'!$T$2:$T$22,MATCH(O193,('Spell Tables'!$R$2:$R$22),0))," "))))))))))))</f>
        <v>False Life</v>
      </c>
      <c r="R193" s="33" t="str">
        <f ca="1">IF(AND($O$15="Otherworldly patron - great old one",R$175&gt;=O193),INDEX('Spell Tables'!$X$226:$X$239,MATCH(O193,('Spell Tables'!$V$226:$V$239),0)),IF(AND($O$15="Otherworldly patron - fiend",R$175&gt;=O193),INDEX('Spell Tables'!$X$210:$X$223,MATCH(O193,('Spell Tables'!$V$210:$V$223),0)),IF(AND($O$15="Otherworldly patron - archfey",R$175&gt;=O193),INDEX('Spell Tables'!$X$194:$X$207,MATCH(O193,('Spell Tables'!$V$194:$V$207),0)),IF($R$173&gt;=O193,INDEX($AL$56:$AL$65,MATCH(O193,($AJ$56:$AJ$65),0)),IF($R$177&gt;=O193,INDEX('Spell Tables'!$X$168:$X$191,MATCH(O193,('Spell Tables'!$V$168:$V$191),0)),IF($R$179&gt;=O193,INDEX('Spell Tables'!$AB$141:$AB$149,MATCH(O193,('Spell Tables'!$Z$141:$Z$149),0)),IF($R$181&gt;=O193,INDEX('Spell Tables'!$T$119:$T$131,MATCH(O193,('Spell Tables'!$R$119:$R$131),0)),IF($R$183&gt;=O193,INDEX('Spell Tables'!$T$97:$T$104,MATCH(O193,('Spell Tables'!$R$97:$R$104),0)),IF($R$185&gt;=O193,INDEX('Spell Tables'!$AB$70:$AB$75,MATCH(O193,('Spell Tables'!$Z$70:$Z$75),0)),IF($R$187&gt;=O193,INDEX('Spell Tables'!$X$48:$X$65,MATCH(O193,('Spell Tables'!$V$48:$V$65),0)),IF($R$189&gt;=O193,INDEX('Spell Tables'!$X$26:$X$42,MATCH(O193,('Spell Tables'!$V$26:$V$42),0)),IF($R$191&gt;=O193,INDEX('Spell Tables'!$X$2:$X$23,MATCH(O193,('Spell Tables'!$V$2:$V$23),0))," "))))))))))))</f>
        <v>Web</v>
      </c>
      <c r="S193" s="33" t="str">
        <f ca="1">IF(AND($O$15="Otherworldly patron - great old one",S$175&gt;=O193),INDEX('Spell Tables'!$AB$226:$AB$238,MATCH(O193,('Spell Tables'!$Z$226:$Z$238),0)),IF(AND($O$15="Otherworldly patron - fiend",S$175&gt;=O193),INDEX('Spell Tables'!$AB$210:$AB$222,MATCH(O193,('Spell Tables'!$Z$210:$Z$222),0)),IF(AND($O$15="Otherworldly patron - archfey",S$175&gt;=O193),INDEX('Spell Tables'!$AB$194:$AB$206,MATCH(O193,('Spell Tables'!$Z$194:$Z$206),0)),IF($S$173&gt;=O193,INDEX($AL$68:$AL$77,MATCH(O193,($AJ$68:$AJ$77),0)),IF($S$177&gt;=O193,INDEX('Spell Tables'!$AB$168:$AB$187,MATCH(O193,('Spell Tables'!$Z$168:$Z$187),0)),IF($S$179&gt;=O193,INDEX('Spell Tables'!$AJ$141:$AJ$144,MATCH(O193,('Spell Tables'!$AH$141:$AH$144),0)),IF($S$181&gt;=O193,INDEX('Spell Tables'!$X$119:$X$129,MATCH(O193,('Spell Tables'!$V$119:$V$129),0)),IF($S$183&gt;=O193,INDEX('Spell Tables'!$X$97:$X$106,MATCH(O193,('Spell Tables'!$V$97:$V$106),0)),IF($S$185&gt;=O193,INDEX('Spell Tables'!$AJ$70:$AJ$79,MATCH(O193,('Spell Tables'!$AH$70:$AH$79),0)),IF($S$187&gt;=O193,INDEX('Spell Tables'!$AB$48:$AB$60,MATCH(O193,('Spell Tables'!$Z$48:$Z$60),0)),IF($S$189&gt;=O193,INDEX('Spell Tables'!$AB$26:$AB$45,MATCH(O193,('Spell Tables'!$Z$26:$Z$45),0)),IF($S$191&gt;=O193,INDEX('Spell Tables'!$AB$2:$AB$17,MATCH(O193,('Spell Tables'!$Z$2:$Z$17),0))," "))))))))))))</f>
        <v>Gaseous Form</v>
      </c>
      <c r="T193" s="33" t="str">
        <f ca="1">IF(AND($O$15="Otherworldly patron - great old one",T$175&gt;=O193),INDEX('Spell Tables'!$AF$226:$AF$231,MATCH(O193,('Spell Tables'!$AD$226:$AD$231),0)),IF(AND($O$15="Otherworldly patron - fiend",T$175&gt;=O193),INDEX('Spell Tables'!$AF$210:$AF$215,MATCH(O193,('Spell Tables'!$AD$210:$AD$215),0)),IF(AND($O$15="Otherworldly patron - archfey",T$175&gt;=O193),INDEX('Spell Tables'!$AF$194:$AF$199,MATCH(O193,('Spell Tables'!$AD$194:$AD$199),0)),IF($T$173&gt;=O193,INDEX($AL$80:$AL$89,MATCH(O193,($AJ$80:$AJ$89),0)),IF($T$177&gt;=O193,INDEX('Spell Tables'!$AF$168:$AF$177,MATCH(O193,('Spell Tables'!$AD$168:$AD$177),0)),IF($T$179&gt;=O193,INDEX('Spell Tables'!$AR$141:$AR$144,MATCH(O193,('Spell Tables'!$AP$141:$AP$144),0)),IF($T$181&gt;=O193,INDEX('Spell Tables'!$AB$119:$AB$123,MATCH(O193,('Spell Tables'!$Z$119:$Z$123),0)),IF($T$183&gt;=O193,INDEX('Spell Tables'!$AB$97:$AB$102,MATCH(O193,('Spell Tables'!$Z$97:$Z$102),0)),IF($T$185&gt;=O193,INDEX('Spell Tables'!$AR$70:$AR$75,MATCH(O193,('Spell Tables'!$AP$70:$AP$75),0)),IF($T$187&gt;=O193,INDEX('Spell Tables'!$AF$48:$AF$63,MATCH(O193,('Spell Tables'!$AD$48:$AD$63),0)),IF($T$189&gt;=O193,INDEX('Spell Tables'!$AF$26:$AF$33,MATCH(O193,('Spell Tables'!$AD$26:$AD$33),0)),IF($T$191&gt;=O193,INDEX('Spell Tables'!$AF$2:$AF$9,MATCH(O193,('Spell Tables'!$AD$2:$AD$9),0))," "))))))))))))</f>
        <v>Blight</v>
      </c>
      <c r="AJ193" s="29">
        <v>6</v>
      </c>
      <c r="AK193" s="29">
        <v>2</v>
      </c>
    </row>
    <row r="194" spans="2:37" x14ac:dyDescent="0.3">
      <c r="B194" s="112" t="s">
        <v>1123</v>
      </c>
      <c r="C194" s="33"/>
      <c r="D194" s="33"/>
      <c r="E194" s="33"/>
      <c r="F194" s="33"/>
      <c r="G194" s="33"/>
      <c r="H194" s="33"/>
      <c r="I194" s="33"/>
      <c r="J194" s="33"/>
      <c r="K194" s="33"/>
      <c r="L194" s="33"/>
      <c r="M194" s="33"/>
      <c r="N194" s="33"/>
      <c r="O194" s="34">
        <v>2</v>
      </c>
      <c r="P194" s="33" t="str">
        <f ca="1">IF(P$173&gt;=O194,INDEX('Spell Tables'!$P$242:$P$257,MATCH(O194,('Spell Tables'!$N$242:$N$257),0)),IF(P$175&gt;=O194,INDEX('Spell Tables'!$P$194:$P$201,MATCH(O194,('Spell Tables'!$N$194:$N$201),0)),IF(P$177&gt;=O194,INDEX('Spell Tables'!$P$168:$P$183,MATCH(O194,('Spell Tables'!$N$168:$N$183),0)),IF(P$179&gt;=O194,INDEX('Spell Tables'!$P$141:$P$156,MATCH(O194,('Spell Tables'!$N$141:$N$157),0)),IF(P$185&gt;=O194,INDEX('Spell Tables'!$P$70:$P$83,MATCH(O194,('Spell Tables'!$N$70:$N$83),0)),IF(P$187&gt;=O194,INDEX('Spell Tables'!$P$48:$P$55,MATCH(O194,('Spell Tables'!$N$48:$N$55),0)),IF(P$189&gt;=O194,INDEX('Spell Tables'!$P$26:$P$32,MATCH(O194,('Spell Tables'!$N$26:$N$32),0)),IF(P$191&gt;=O194,INDEX('Spell Tables'!$P$2:$P$12,MATCH(O194,('Spell Tables'!$N$2:$N$12),0))," "))))))))</f>
        <v>Friends</v>
      </c>
      <c r="Q194" s="33" t="str">
        <f ca="1">IF(AND($O$15="Otherworldly patron - great old one",Q$175&gt;=O194),INDEX('Spell Tables'!$T$226:$T$238,MATCH(O194,('Spell Tables'!$R$226:$R$238),0)),IF(AND($O$15="Otherworldly patron - fiend",Q$175&gt;=O194),INDEX('Spell Tables'!$T$210:$T$222,MATCH(O194,('Spell Tables'!$R$210:$R$222),0)),IF(Q$173&gt;=O194,INDEX($AL$44:$AL$53,MATCH(O194,($AJ$44:$AJ$53),0)),IF(AND($O$15="Otherworldly patron - archfey",Q$175&gt;=O194),INDEX('Spell Tables'!$T$194:$T$206,MATCH(O194,('Spell Tables'!$R$194:$R$206),0)),IF(Q$177&gt;=O194,INDEX('Spell Tables'!$T$168:$T$187,MATCH(O194,('Spell Tables'!$R$168:$R$187),0)),IF(Q$179&gt;=O194,INDEX('Spell Tables'!$T$141:$T$147,MATCH(O194,('Spell Tables'!$R$141:$R$147),0)),IF(Q$181&gt;=O194,INDEX('Spell Tables'!$P$119:$P$131,MATCH(O194,('Spell Tables'!$N$119:$N$131),0)),IF(Q$183&gt;=O194,INDEX('Spell Tables'!$P$97:$P$111,MATCH(O194,('Spell Tables'!$N$97:$N$111),0)),IF(Q$185&gt;=O194,INDEX('Spell Tables'!$T$70:$T$78,MATCH(O194,('Spell Tables'!$R$70:$R$78),0)),IF(Q$187&gt;=O194,INDEX('Spell Tables'!$T$48:$T$63,MATCH(O194,('Spell Tables'!$R$48:$R$63),0)),IF(Q$189&gt;=O194,INDEX('Spell Tables'!$T$26:$T$40,MATCH(O194,('Spell Tables'!$R$26:$R$40),0)),IF(Q$191&gt;=O194,INDEX('Spell Tables'!$T$2:$T$22,MATCH(O194,('Spell Tables'!$R$2:$R$22),0))," "))))))))))))</f>
        <v xml:space="preserve"> </v>
      </c>
      <c r="R194" s="33" t="str">
        <f ca="1">IF(AND($O$15="Otherworldly patron - great old one",R$175&gt;=O194),INDEX('Spell Tables'!$X$226:$X$239,MATCH(O194,('Spell Tables'!$V$226:$V$239),0)),IF(AND($O$15="Otherworldly patron - fiend",R$175&gt;=O194),INDEX('Spell Tables'!$X$210:$X$223,MATCH(O194,('Spell Tables'!$V$210:$V$223),0)),IF(AND($O$15="Otherworldly patron - archfey",R$175&gt;=O194),INDEX('Spell Tables'!$X$194:$X$207,MATCH(O194,('Spell Tables'!$V$194:$V$207),0)),IF($R$173&gt;=O194,INDEX($AL$56:$AL$65,MATCH(O194,($AJ$56:$AJ$65),0)),IF($R$177&gt;=O194,INDEX('Spell Tables'!$X$168:$X$191,MATCH(O194,('Spell Tables'!$V$168:$V$191),0)),IF($R$179&gt;=O194,INDEX('Spell Tables'!$AB$141:$AB$149,MATCH(O194,('Spell Tables'!$Z$141:$Z$149),0)),IF($R$181&gt;=O194,INDEX('Spell Tables'!$T$119:$T$131,MATCH(O194,('Spell Tables'!$R$119:$R$131),0)),IF($R$183&gt;=O194,INDEX('Spell Tables'!$T$97:$T$104,MATCH(O194,('Spell Tables'!$R$97:$R$104),0)),IF($R$185&gt;=O194,INDEX('Spell Tables'!$AB$70:$AB$75,MATCH(O194,('Spell Tables'!$Z$70:$Z$75),0)),IF($R$187&gt;=O194,INDEX('Spell Tables'!$X$48:$X$65,MATCH(O194,('Spell Tables'!$V$48:$V$65),0)),IF($R$189&gt;=O194,INDEX('Spell Tables'!$X$26:$X$42,MATCH(O194,('Spell Tables'!$V$26:$V$42),0)),IF($R$191&gt;=O194,INDEX('Spell Tables'!$X$2:$X$23,MATCH(O194,('Spell Tables'!$V$2:$V$23),0))," "))))))))))))</f>
        <v xml:space="preserve"> </v>
      </c>
      <c r="S194" s="33" t="str">
        <f ca="1">IF(AND($O$15="Otherworldly patron - great old one",S$175&gt;=O194),INDEX('Spell Tables'!$AB$226:$AB$238,MATCH(O194,('Spell Tables'!$Z$226:$Z$238),0)),IF(AND($O$15="Otherworldly patron - fiend",S$175&gt;=O194),INDEX('Spell Tables'!$AB$210:$AB$222,MATCH(O194,('Spell Tables'!$Z$210:$Z$222),0)),IF(AND($O$15="Otherworldly patron - archfey",S$175&gt;=O194),INDEX('Spell Tables'!$AB$194:$AB$206,MATCH(O194,('Spell Tables'!$Z$194:$Z$206),0)),IF($S$173&gt;=O194,INDEX($AL$68:$AL$77,MATCH(O194,($AJ$68:$AJ$77),0)),IF($S$177&gt;=O194,INDEX('Spell Tables'!$AB$168:$AB$187,MATCH(O194,('Spell Tables'!$Z$168:$Z$187),0)),IF($S$179&gt;=O194,INDEX('Spell Tables'!$AJ$141:$AJ$144,MATCH(O194,('Spell Tables'!$AH$141:$AH$144),0)),IF($S$181&gt;=O194,INDEX('Spell Tables'!$X$119:$X$129,MATCH(O194,('Spell Tables'!$V$119:$V$129),0)),IF($S$183&gt;=O194,INDEX('Spell Tables'!$X$97:$X$106,MATCH(O194,('Spell Tables'!$V$97:$V$106),0)),IF($S$185&gt;=O194,INDEX('Spell Tables'!$AJ$70:$AJ$79,MATCH(O194,('Spell Tables'!$AH$70:$AH$79),0)),IF($S$187&gt;=O194,INDEX('Spell Tables'!$AB$48:$AB$60,MATCH(O194,('Spell Tables'!$Z$48:$Z$60),0)),IF($S$189&gt;=O194,INDEX('Spell Tables'!$AB$26:$AB$45,MATCH(O194,('Spell Tables'!$Z$26:$Z$45),0)),IF($S$191&gt;=O194,INDEX('Spell Tables'!$AB$2:$AB$17,MATCH(O194,('Spell Tables'!$Z$2:$Z$17),0))," "))))))))))))</f>
        <v>Blink</v>
      </c>
      <c r="T194" s="33" t="str">
        <f ca="1">IF(AND($O$15="Otherworldly patron - great old one",T$175&gt;=O194),INDEX('Spell Tables'!$AF$226:$AF$231,MATCH(O194,('Spell Tables'!$AD$226:$AD$231),0)),IF(AND($O$15="Otherworldly patron - fiend",T$175&gt;=O194),INDEX('Spell Tables'!$AF$210:$AF$215,MATCH(O194,('Spell Tables'!$AD$210:$AD$215),0)),IF(AND($O$15="Otherworldly patron - archfey",T$175&gt;=O194),INDEX('Spell Tables'!$AF$194:$AF$199,MATCH(O194,('Spell Tables'!$AD$194:$AD$199),0)),IF($T$173&gt;=O194,INDEX($AL$80:$AL$89,MATCH(O194,($AJ$80:$AJ$89),0)),IF($T$177&gt;=O194,INDEX('Spell Tables'!$AF$168:$AF$177,MATCH(O194,('Spell Tables'!$AD$168:$AD$177),0)),IF($T$179&gt;=O194,INDEX('Spell Tables'!$AR$141:$AR$144,MATCH(O194,('Spell Tables'!$AP$141:$AP$144),0)),IF($T$181&gt;=O194,INDEX('Spell Tables'!$AB$119:$AB$123,MATCH(O194,('Spell Tables'!$Z$119:$Z$123),0)),IF($T$183&gt;=O194,INDEX('Spell Tables'!$AB$97:$AB$102,MATCH(O194,('Spell Tables'!$Z$97:$Z$102),0)),IF($T$185&gt;=O194,INDEX('Spell Tables'!$AR$70:$AR$75,MATCH(O194,('Spell Tables'!$AP$70:$AP$75),0)),IF($T$187&gt;=O194,INDEX('Spell Tables'!$AF$48:$AF$63,MATCH(O194,('Spell Tables'!$AD$48:$AD$63),0)),IF($T$189&gt;=O194,INDEX('Spell Tables'!$AF$26:$AF$33,MATCH(O194,('Spell Tables'!$AD$26:$AD$33),0)),IF($T$191&gt;=O194,INDEX('Spell Tables'!$AF$2:$AF$9,MATCH(O194,('Spell Tables'!$AD$2:$AD$9),0))," "))))))))))))</f>
        <v>Banishment</v>
      </c>
      <c r="AJ194" s="29">
        <v>7</v>
      </c>
      <c r="AK194" s="29">
        <v>3</v>
      </c>
    </row>
    <row r="195" spans="2:37" x14ac:dyDescent="0.3">
      <c r="B195" s="79">
        <f ca="1">IF(OR(O11="bard",O11="paladin",O11="sorcerer",O11="warlock"),P8+$P$43,IF(OR(O11="druid",O11="cleric",O11="ranger"),P8+P42,IF(OR(P15="eldritch knight",P15="arcane trickster",O11="wizard"),P8+P41," ")))</f>
        <v>7</v>
      </c>
      <c r="C195" s="33"/>
      <c r="D195" s="33"/>
      <c r="E195" s="33"/>
      <c r="F195" s="33"/>
      <c r="G195" s="33"/>
      <c r="H195" s="33"/>
      <c r="I195" s="33"/>
      <c r="J195" s="33"/>
      <c r="K195" s="33"/>
      <c r="L195" s="33"/>
      <c r="M195" s="33"/>
      <c r="N195" s="33"/>
      <c r="O195" s="34">
        <v>3</v>
      </c>
      <c r="P195" s="33" t="str">
        <f ca="1">IF(P$173&gt;=O195,INDEX('Spell Tables'!$P$242:$P$257,MATCH(O195,('Spell Tables'!$N$242:$N$257),0)),IF(P$175&gt;=O195,INDEX('Spell Tables'!$P$194:$P$201,MATCH(O195,('Spell Tables'!$N$194:$N$201),0)),IF(P$177&gt;=O195,INDEX('Spell Tables'!$P$168:$P$183,MATCH(O195,('Spell Tables'!$N$168:$N$183),0)),IF(P$179&gt;=O195,INDEX('Spell Tables'!$P$141:$P$156,MATCH(O195,('Spell Tables'!$N$141:$N$157),0)),IF(P$185&gt;=O195,INDEX('Spell Tables'!$P$70:$P$83,MATCH(O195,('Spell Tables'!$N$70:$N$83),0)),IF(P$187&gt;=O195,INDEX('Spell Tables'!$P$48:$P$55,MATCH(O195,('Spell Tables'!$N$48:$N$55),0)),IF(P$189&gt;=O195,INDEX('Spell Tables'!$P$26:$P$32,MATCH(O195,('Spell Tables'!$N$26:$N$32),0)),IF(P$191&gt;=O195,INDEX('Spell Tables'!$P$2:$P$12,MATCH(O195,('Spell Tables'!$N$2:$N$12),0))," "))))))))</f>
        <v>Light</v>
      </c>
      <c r="Q195" s="33" t="str">
        <f ca="1">IF(AND($O$15="Otherworldly patron - great old one",Q$175&gt;=O195),INDEX('Spell Tables'!$T$226:$T$238,MATCH(O195,('Spell Tables'!$R$226:$R$238),0)),IF(AND($O$15="Otherworldly patron - fiend",Q$175&gt;=O195),INDEX('Spell Tables'!$T$210:$T$222,MATCH(O195,('Spell Tables'!$R$210:$R$222),0)),IF(Q$173&gt;=O195,INDEX($AL$44:$AL$53,MATCH(O195,($AJ$44:$AJ$53),0)),IF(AND($O$15="Otherworldly patron - archfey",Q$175&gt;=O195),INDEX('Spell Tables'!$T$194:$T$206,MATCH(O195,('Spell Tables'!$R$194:$R$206),0)),IF(Q$177&gt;=O195,INDEX('Spell Tables'!$T$168:$T$187,MATCH(O195,('Spell Tables'!$R$168:$R$187),0)),IF(Q$179&gt;=O195,INDEX('Spell Tables'!$T$141:$T$147,MATCH(O195,('Spell Tables'!$R$141:$R$147),0)),IF(Q$181&gt;=O195,INDEX('Spell Tables'!$P$119:$P$131,MATCH(O195,('Spell Tables'!$N$119:$N$131),0)),IF(Q$183&gt;=O195,INDEX('Spell Tables'!$P$97:$P$111,MATCH(O195,('Spell Tables'!$N$97:$N$111),0)),IF(Q$185&gt;=O195,INDEX('Spell Tables'!$T$70:$T$78,MATCH(O195,('Spell Tables'!$R$70:$R$78),0)),IF(Q$187&gt;=O195,INDEX('Spell Tables'!$T$48:$T$63,MATCH(O195,('Spell Tables'!$R$48:$R$63),0)),IF(Q$189&gt;=O195,INDEX('Spell Tables'!$T$26:$T$40,MATCH(O195,('Spell Tables'!$R$26:$R$40),0)),IF(Q$191&gt;=O195,INDEX('Spell Tables'!$T$2:$T$22,MATCH(O195,('Spell Tables'!$R$2:$R$22),0))," "))))))))))))</f>
        <v xml:space="preserve"> </v>
      </c>
      <c r="R195" s="33" t="str">
        <f ca="1">IF(AND($O$15="Otherworldly patron - great old one",R$175&gt;=O195),INDEX('Spell Tables'!$X$226:$X$239,MATCH(O195,('Spell Tables'!$V$226:$V$239),0)),IF(AND($O$15="Otherworldly patron - fiend",R$175&gt;=O195),INDEX('Spell Tables'!$X$210:$X$223,MATCH(O195,('Spell Tables'!$V$210:$V$223),0)),IF(AND($O$15="Otherworldly patron - archfey",R$175&gt;=O195),INDEX('Spell Tables'!$X$194:$X$207,MATCH(O195,('Spell Tables'!$V$194:$V$207),0)),IF($R$173&gt;=O195,INDEX($AL$56:$AL$65,MATCH(O195,($AJ$56:$AJ$65),0)),IF($R$177&gt;=O195,INDEX('Spell Tables'!$X$168:$X$191,MATCH(O195,('Spell Tables'!$V$168:$V$191),0)),IF($R$179&gt;=O195,INDEX('Spell Tables'!$AB$141:$AB$149,MATCH(O195,('Spell Tables'!$Z$141:$Z$149),0)),IF($R$181&gt;=O195,INDEX('Spell Tables'!$T$119:$T$131,MATCH(O195,('Spell Tables'!$R$119:$R$131),0)),IF($R$183&gt;=O195,INDEX('Spell Tables'!$T$97:$T$104,MATCH(O195,('Spell Tables'!$R$97:$R$104),0)),IF($R$185&gt;=O195,INDEX('Spell Tables'!$AB$70:$AB$75,MATCH(O195,('Spell Tables'!$Z$70:$Z$75),0)),IF($R$187&gt;=O195,INDEX('Spell Tables'!$X$48:$X$65,MATCH(O195,('Spell Tables'!$V$48:$V$65),0)),IF($R$189&gt;=O195,INDEX('Spell Tables'!$X$26:$X$42,MATCH(O195,('Spell Tables'!$V$26:$V$42),0)),IF($R$191&gt;=O195,INDEX('Spell Tables'!$X$2:$X$23,MATCH(O195,('Spell Tables'!$V$2:$V$23),0))," "))))))))))))</f>
        <v xml:space="preserve"> </v>
      </c>
      <c r="S195" s="33" t="str">
        <f ca="1">IF(AND($O$15="Otherworldly patron - great old one",S$175&gt;=O195),INDEX('Spell Tables'!$AB$226:$AB$238,MATCH(O195,('Spell Tables'!$Z$226:$Z$238),0)),IF(AND($O$15="Otherworldly patron - fiend",S$175&gt;=O195),INDEX('Spell Tables'!$AB$210:$AB$222,MATCH(O195,('Spell Tables'!$Z$210:$Z$222),0)),IF(AND($O$15="Otherworldly patron - archfey",S$175&gt;=O195),INDEX('Spell Tables'!$AB$194:$AB$206,MATCH(O195,('Spell Tables'!$Z$194:$Z$206),0)),IF($S$173&gt;=O197,INDEX($AL$68:$AL$77,MATCH(O195,($AJ$68:$AJ$77),0)),IF($S$177&gt;=O195,INDEX('Spell Tables'!$AB$168:$AB$187,MATCH(O195,('Spell Tables'!$Z$168:$Z$187),0)),IF($S$179&gt;=O195,INDEX('Spell Tables'!$AJ$141:$AJ$144,MATCH(O195,('Spell Tables'!$AH$141:$AH$144),0)),IF($S$181&gt;=O195,INDEX('Spell Tables'!$X$119:$X$129,MATCH(O195,('Spell Tables'!$V$119:$V$129),0)),IF($S$183&gt;=O195,INDEX('Spell Tables'!$X$97:$X$106,MATCH(O195,('Spell Tables'!$V$97:$V$106),0)),IF($S$185&gt;=O195,INDEX('Spell Tables'!$AJ$70:$AJ$79,MATCH(O195,('Spell Tables'!$AH$70:$AH$79),0)),IF($S$187&gt;=O195,INDEX('Spell Tables'!$AB$48:$AB$60,MATCH(O195,('Spell Tables'!$Z$48:$Z$60),0)),IF($S$189&gt;=O195,INDEX('Spell Tables'!$AB$26:$AB$45,MATCH(O195,('Spell Tables'!$Z$26:$Z$45),0)),IF($S$191&gt;=O195,INDEX('Spell Tables'!$AB$2:$AB$17,MATCH(O195,('Spell Tables'!$Z$2:$Z$17),0))," "))))))))))))</f>
        <v>Slow</v>
      </c>
      <c r="T195" s="33" t="str">
        <f ca="1">IF(AND($O$15="Otherworldly patron - great old one",T$175&gt;=O195),INDEX('Spell Tables'!$AF$226:$AF$231,MATCH(O195,('Spell Tables'!$AD$226:$AD$231),0)),IF(AND($O$15="Otherworldly patron - fiend",T$175&gt;=O195),INDEX('Spell Tables'!$AF$210:$AF$215,MATCH(O195,('Spell Tables'!$AD$210:$AD$215),0)),IF(AND($O$15="Otherworldly patron - archfey",T$175&gt;=O195),INDEX('Spell Tables'!$AF$194:$AF$199,MATCH(O195,('Spell Tables'!$AD$194:$AD$199),0)),IF($T$173&gt;=O195,INDEX($AL$80:$AL$89,MATCH(O195,($AJ$80:$AJ$89),0)),IF($T$177&gt;=O195,INDEX('Spell Tables'!$AF$168:$AF$177,MATCH(O195,('Spell Tables'!$AD$168:$AD$177),0)),IF($T$179&gt;=O195,INDEX('Spell Tables'!$AR$141:$AR$144,MATCH(O195,('Spell Tables'!$AP$141:$AP$144),0)),IF($T$181&gt;=O195,INDEX('Spell Tables'!$AB$119:$AB$123,MATCH(O195,('Spell Tables'!$Z$119:$Z$123),0)),IF($T$183&gt;=O195,INDEX('Spell Tables'!$AB$97:$AB$102,MATCH(O195,('Spell Tables'!$Z$97:$Z$102),0)),IF($T$185&gt;=O195,INDEX('Spell Tables'!$AR$70:$AR$75,MATCH(O195,('Spell Tables'!$AP$70:$AP$75),0)),IF($T$187&gt;=O195,INDEX('Spell Tables'!$AF$48:$AF$63,MATCH(O195,('Spell Tables'!$AD$48:$AD$63),0)),IF($T$189&gt;=O195,INDEX('Spell Tables'!$AF$26:$AF$33,MATCH(O195,('Spell Tables'!$AD$26:$AD$33),0)),IF($T$191&gt;=O195,INDEX('Spell Tables'!$AF$2:$AF$9,MATCH(O195,('Spell Tables'!$AD$2:$AD$9),0))," "))))))))))))</f>
        <v xml:space="preserve"> </v>
      </c>
      <c r="AJ195" s="29">
        <v>8</v>
      </c>
      <c r="AK195" s="29">
        <v>3</v>
      </c>
    </row>
    <row r="196" spans="2:37" x14ac:dyDescent="0.3">
      <c r="B196" s="79"/>
      <c r="C196" s="33"/>
      <c r="D196" s="33"/>
      <c r="E196" s="33"/>
      <c r="F196" s="33"/>
      <c r="G196" s="33"/>
      <c r="H196" s="33"/>
      <c r="I196" s="33"/>
      <c r="J196" s="33"/>
      <c r="K196" s="33"/>
      <c r="L196" s="33"/>
      <c r="M196" s="33"/>
      <c r="N196" s="33"/>
      <c r="O196" s="34">
        <v>4</v>
      </c>
      <c r="P196" s="33" t="str">
        <f ca="1">IF(P$173&gt;=O196,INDEX('Spell Tables'!$P$242:$P$257,MATCH(O196,('Spell Tables'!$N$242:$N$257),0)),IF(P$175&gt;=O196,INDEX('Spell Tables'!$P$194:$P$201,MATCH(O196,('Spell Tables'!$N$194:$N$201),0)),IF(P$177&gt;=O196,INDEX('Spell Tables'!$P$168:$P$183,MATCH(O196,('Spell Tables'!$N$168:$N$183),0)),IF(P$179&gt;=O196,INDEX('Spell Tables'!$P$141:$P$156,MATCH(O196,('Spell Tables'!$N$141:$N$157),0)),IF(P$185&gt;=O196,INDEX('Spell Tables'!$P$70:$P$83,MATCH(O196,('Spell Tables'!$N$70:$N$83),0)),IF(P$187&gt;=O196,INDEX('Spell Tables'!$P$48:$P$55,MATCH(O196,('Spell Tables'!$N$48:$N$55),0)),IF(P$189&gt;=O196,INDEX('Spell Tables'!$P$26:$P$32,MATCH(O196,('Spell Tables'!$N$26:$N$32),0)),IF(P$191&gt;=O196,INDEX('Spell Tables'!$P$2:$P$12,MATCH(O196,('Spell Tables'!$N$2:$N$12),0))," "))))))))</f>
        <v>Message</v>
      </c>
      <c r="Q196" s="33" t="str">
        <f ca="1">IF(AND($O$15="Otherworldly patron - great old one",Q$175&gt;=O196),INDEX('Spell Tables'!$T$226:$T$238,MATCH(O196,('Spell Tables'!$R$226:$R$238),0)),IF(AND($O$15="Otherworldly patron - fiend",Q$175&gt;=O196),INDEX('Spell Tables'!$T$210:$T$222,MATCH(O196,('Spell Tables'!$R$210:$R$222),0)),IF(Q$173&gt;=O196,INDEX($AL$44:$AL$53,MATCH(O196,($AJ$44:$AJ$53),0)),IF(AND($O$15="Otherworldly patron - archfey",Q$175&gt;=O196),INDEX('Spell Tables'!$T$194:$T$206,MATCH(O196,('Spell Tables'!$R$194:$R$206),0)),IF(Q$177&gt;=O196,INDEX('Spell Tables'!$T$168:$T$187,MATCH(O196,('Spell Tables'!$R$168:$R$187),0)),IF(Q$179&gt;=O196,INDEX('Spell Tables'!$T$141:$T$147,MATCH(O196,('Spell Tables'!$R$141:$R$147),0)),IF(Q$181&gt;=O196,INDEX('Spell Tables'!$P$119:$P$131,MATCH(O196,('Spell Tables'!$N$119:$N$131),0)),IF(Q$183&gt;=O196,INDEX('Spell Tables'!$P$97:$P$111,MATCH(O196,('Spell Tables'!$N$97:$N$111),0)),IF(Q$185&gt;=O196,INDEX('Spell Tables'!$T$70:$T$78,MATCH(O196,('Spell Tables'!$R$70:$R$78),0)),IF(Q$187&gt;=O196,INDEX('Spell Tables'!$T$48:$T$63,MATCH(O196,('Spell Tables'!$R$48:$R$63),0)),IF(Q$189&gt;=O196,INDEX('Spell Tables'!$T$26:$T$40,MATCH(O196,('Spell Tables'!$R$26:$R$40),0)),IF(Q$191&gt;=O196,INDEX('Spell Tables'!$T$2:$T$22,MATCH(O196,('Spell Tables'!$R$2:$R$22),0))," "))))))))))))</f>
        <v xml:space="preserve"> </v>
      </c>
      <c r="R196" s="33" t="str">
        <f ca="1">IF(AND($O$15="Otherworldly patron - great old one",R$175&gt;=O196),INDEX('Spell Tables'!$X$226:$X$239,MATCH(O196,('Spell Tables'!$V$226:$V$239),0)),IF(AND($O$15="Otherworldly patron - fiend",R$175&gt;=O196),INDEX('Spell Tables'!$X$210:$X$223,MATCH(O196,('Spell Tables'!$V$210:$V$223),0)),IF(AND($O$15="Otherworldly patron - archfey",R$175&gt;=O196),INDEX('Spell Tables'!$X$194:$X$207,MATCH(O196,('Spell Tables'!$V$194:$V$207),0)),IF($R$173&gt;=O196,INDEX($AL$56:$AL$65,MATCH(O196,($AJ$56:$AJ$65),0)),IF($R$177&gt;=O196,INDEX('Spell Tables'!$X$168:$X$191,MATCH(O196,('Spell Tables'!$V$168:$V$191),0)),IF($R$179&gt;=O196,INDEX('Spell Tables'!$AB$141:$AB$149,MATCH(O196,('Spell Tables'!$Z$141:$Z$149),0)),IF($R$181&gt;=O196,INDEX('Spell Tables'!$T$119:$T$131,MATCH(O196,('Spell Tables'!$R$119:$R$131),0)),IF($R$183&gt;=O196,INDEX('Spell Tables'!$T$97:$T$104,MATCH(O196,('Spell Tables'!$R$97:$R$104),0)),IF($R$185&gt;=O196,INDEX('Spell Tables'!$AB$70:$AB$75,MATCH(O196,('Spell Tables'!$Z$70:$Z$75),0)),IF($R$187&gt;=O196,INDEX('Spell Tables'!$X$48:$X$65,MATCH(O196,('Spell Tables'!$V$48:$V$65),0)),IF($R$189&gt;=O196,INDEX('Spell Tables'!$X$26:$X$42,MATCH(O196,('Spell Tables'!$V$26:$V$42),0)),IF($R$191&gt;=O196,INDEX('Spell Tables'!$X$2:$X$23,MATCH(O196,('Spell Tables'!$V$2:$V$23),0))," "))))))))))))</f>
        <v xml:space="preserve"> </v>
      </c>
      <c r="S196" s="33" t="str">
        <f ca="1">IF(AND($O$15="Otherworldly patron - great old one",S$175&gt;=O196),INDEX('Spell Tables'!$AB$226:$AB$238,MATCH(O196,('Spell Tables'!$Z$226:$Z$238),0)),IF(AND($O$15="Otherworldly patron - fiend",S$175&gt;=O196),INDEX('Spell Tables'!$AB$210:$AB$222,MATCH(O196,('Spell Tables'!$Z$210:$Z$222),0)),IF(AND($O$15="Otherworldly patron - archfey",S$175&gt;=O196),INDEX('Spell Tables'!$AB$194:$AB$206,MATCH(O196,('Spell Tables'!$Z$194:$Z$206),0)),IF($S$173&gt;=O196,INDEX($AL$68:$AL$77,MATCH(O196,($AJ$68:$AJ$77),0)),IF($S$177&gt;=O196,INDEX('Spell Tables'!$AB$168:$AB$187,MATCH(O196,('Spell Tables'!$Z$168:$Z$187),0)),IF($S$179&gt;=O196,INDEX('Spell Tables'!$AJ$141:$AJ$144,MATCH(O196,('Spell Tables'!$AH$141:$AH$144),0)),IF($S$181&gt;=O196,INDEX('Spell Tables'!$X$119:$X$129,MATCH(O196,('Spell Tables'!$V$119:$V$129),0)),IF($S$183&gt;=O196,INDEX('Spell Tables'!$X$97:$X$106,MATCH(O196,('Spell Tables'!$V$97:$V$106),0)),IF($S$185&gt;=O196,INDEX('Spell Tables'!$AJ$70:$AJ$79,MATCH(O196,('Spell Tables'!$AH$70:$AH$79),0)),IF($S$187&gt;=O196,INDEX('Spell Tables'!$AB$48:$AB$60,MATCH(O196,('Spell Tables'!$Z$48:$Z$60),0)),IF($S$189&gt;=O196,INDEX('Spell Tables'!$AB$26:$AB$45,MATCH(O196,('Spell Tables'!$Z$26:$Z$45),0)),IF($S$191&gt;=O196,INDEX('Spell Tables'!$AB$2:$AB$17,MATCH(O196,('Spell Tables'!$Z$2:$Z$17),0))," "))))))))))))</f>
        <v>Tongues</v>
      </c>
      <c r="T196" s="33" t="str">
        <f ca="1">IF(AND($O$15="Otherworldly patron - great old one",T$175&gt;=O196),INDEX('Spell Tables'!$AF$226:$AF$231,MATCH(O196,('Spell Tables'!$AD$226:$AD$231),0)),IF(AND($O$15="Otherworldly patron - fiend",T$175&gt;=O196),INDEX('Spell Tables'!$AF$210:$AF$215,MATCH(O196,('Spell Tables'!$AD$210:$AD$215),0)),IF(AND($O$15="Otherworldly patron - archfey",T$175&gt;=O196),INDEX('Spell Tables'!$AF$194:$AF$199,MATCH(O196,('Spell Tables'!$AD$194:$AD$199),0)),IF($T$173&gt;=O196,INDEX($AL$80:$AL$89,MATCH(O196,($AJ$80:$AJ$89),0)),IF($T$177&gt;=O196,INDEX('Spell Tables'!$AF$168:$AF$177,MATCH(O196,('Spell Tables'!$AD$168:$AD$177),0)),IF($T$179&gt;=O196,INDEX('Spell Tables'!$AR$141:$AR$144,MATCH(O196,('Spell Tables'!$AP$141:$AP$144),0)),IF($T$181&gt;=O196,INDEX('Spell Tables'!$AB$119:$AB$123,MATCH(O196,('Spell Tables'!$Z$119:$Z$123),0)),IF($T$183&gt;=O196,INDEX('Spell Tables'!$AB$97:$AB$102,MATCH(O196,('Spell Tables'!$Z$97:$Z$102),0)),IF($T$185&gt;=O196,INDEX('Spell Tables'!$AR$70:$AR$75,MATCH(O196,('Spell Tables'!$AP$70:$AP$75),0)),IF($T$187&gt;=O196,INDEX('Spell Tables'!$AF$48:$AF$63,MATCH(O196,('Spell Tables'!$AD$48:$AD$63),0)),IF($T$189&gt;=O196,INDEX('Spell Tables'!$AF$26:$AF$33,MATCH(O196,('Spell Tables'!$AD$26:$AD$33),0)),IF($T$191&gt;=O196,INDEX('Spell Tables'!$AF$2:$AF$9,MATCH(O196,('Spell Tables'!$AD$2:$AD$9),0))," "))))))))))))</f>
        <v xml:space="preserve"> </v>
      </c>
      <c r="AJ196" s="29">
        <v>9</v>
      </c>
      <c r="AK196" s="29">
        <v>3</v>
      </c>
    </row>
    <row r="197" spans="2:37" x14ac:dyDescent="0.3">
      <c r="B197" s="79"/>
      <c r="C197" s="33"/>
      <c r="D197" s="33"/>
      <c r="E197" s="33"/>
      <c r="F197" s="33"/>
      <c r="G197" s="33"/>
      <c r="H197" s="33"/>
      <c r="I197" s="33"/>
      <c r="J197" s="33"/>
      <c r="K197" s="33"/>
      <c r="L197" s="33"/>
      <c r="M197" s="33"/>
      <c r="N197" s="33"/>
      <c r="O197" s="34">
        <v>5</v>
      </c>
      <c r="P197" s="33" t="str">
        <f ca="1">IF(P$173&gt;=O197,INDEX('Spell Tables'!$P$242:$P$257,MATCH(O197,('Spell Tables'!$N$242:$N$257),0)),IF(P$175&gt;=O197,INDEX('Spell Tables'!$P$194:$P$201,MATCH(O197,('Spell Tables'!$N$194:$N$201),0)),IF(P$177&gt;=O197,INDEX('Spell Tables'!$P$168:$P$183,MATCH(O197,('Spell Tables'!$N$168:$N$183),0)),IF(P$179&gt;=O197,INDEX('Spell Tables'!$P$141:$P$156,MATCH(O197,('Spell Tables'!$N$141:$N$157),0)),IF(P$185&gt;=O197,INDEX('Spell Tables'!$P$70:$P$83,MATCH(O197,('Spell Tables'!$N$70:$N$83),0)),IF(P$187&gt;=O197,INDEX('Spell Tables'!$P$48:$P$55,MATCH(O197,('Spell Tables'!$N$48:$N$55),0)),IF(P$189&gt;=O197,INDEX('Spell Tables'!$P$26:$P$32,MATCH(O197,('Spell Tables'!$N$26:$N$32),0)),IF(P$191&gt;=O197,INDEX('Spell Tables'!$P$2:$P$12,MATCH(O197,('Spell Tables'!$N$2:$N$12),0))," "))))))))</f>
        <v>Chill Touch</v>
      </c>
      <c r="Q197" s="33" t="str">
        <f ca="1">IF(AND($O$15="Otherworldly patron - great old one",Q$175&gt;=O197),INDEX('Spell Tables'!$T$226:$T$238,MATCH(O197,('Spell Tables'!$R$226:$R$238),0)),IF(AND($O$15="Otherworldly patron - fiend",Q$175&gt;=O197),INDEX('Spell Tables'!$T$210:$T$222,MATCH(O197,('Spell Tables'!$R$210:$R$222),0)),IF(Q$173&gt;=O197,INDEX($AL$44:$AL$53,MATCH(O197,($AJ$44:$AJ$53),0)),IF(AND($O$15="Otherworldly patron - archfey",Q$175&gt;=O197),INDEX('Spell Tables'!$T$194:$T$206,MATCH(O197,('Spell Tables'!$R$194:$R$206),0)),IF(Q$177&gt;=O197,INDEX('Spell Tables'!$T$168:$T$187,MATCH(O197,('Spell Tables'!$R$168:$R$187),0)),IF(Q$179&gt;=O197,INDEX('Spell Tables'!$T$141:$T$147,MATCH(O197,('Spell Tables'!$R$141:$R$147),0)),IF(Q$181&gt;=O197,INDEX('Spell Tables'!$P$119:$P$131,MATCH(O197,('Spell Tables'!$N$119:$N$131),0)),IF(Q$183&gt;=O197,INDEX('Spell Tables'!$P$97:$P$111,MATCH(O197,('Spell Tables'!$N$97:$N$111),0)),IF(Q$185&gt;=O197,INDEX('Spell Tables'!$T$70:$T$78,MATCH(O197,('Spell Tables'!$R$70:$R$78),0)),IF(Q$187&gt;=O197,INDEX('Spell Tables'!$T$48:$T$63,MATCH(O197,('Spell Tables'!$R$48:$R$63),0)),IF(Q$189&gt;=O197,INDEX('Spell Tables'!$T$26:$T$40,MATCH(O197,('Spell Tables'!$R$26:$R$40),0)),IF(Q$191&gt;=O197,INDEX('Spell Tables'!$T$2:$T$22,MATCH(O197,('Spell Tables'!$R$2:$R$22),0))," "))))))))))))</f>
        <v xml:space="preserve"> </v>
      </c>
      <c r="R197" s="33" t="str">
        <f ca="1">IF(AND($O$15="Otherworldly patron - great old one",R$175&gt;=O197),INDEX('Spell Tables'!$X$226:$X$239,MATCH(O197,('Spell Tables'!$V$226:$V$239),0)),IF(AND($O$15="Otherworldly patron - fiend",R$175&gt;=O197),INDEX('Spell Tables'!$X$210:$X$223,MATCH(O197,('Spell Tables'!$V$210:$V$223),0)),IF(AND($O$15="Otherworldly patron - archfey",R$175&gt;=O197),INDEX('Spell Tables'!$X$194:$X$207,MATCH(O197,('Spell Tables'!$V$194:$V$207),0)),IF($R$173&gt;=O197,INDEX($AL$56:$AL$65,MATCH(O197,($AJ$56:$AJ$65),0)),IF($R$177&gt;=O197,INDEX('Spell Tables'!$X$168:$X$191,MATCH(O197,('Spell Tables'!$V$168:$V$191),0)),IF($R$179&gt;=O197,INDEX('Spell Tables'!$AB$141:$AB$149,MATCH(O197,('Spell Tables'!$Z$141:$Z$149),0)),IF($R$181&gt;=O197,INDEX('Spell Tables'!$T$119:$T$131,MATCH(O197,('Spell Tables'!$R$119:$R$131),0)),IF($R$183&gt;=O197,INDEX('Spell Tables'!$T$97:$T$104,MATCH(O197,('Spell Tables'!$R$97:$R$104),0)),IF($R$185&gt;=O197,INDEX('Spell Tables'!$AB$70:$AB$75,MATCH(O197,('Spell Tables'!$Z$70:$Z$75),0)),IF($R$187&gt;=O197,INDEX('Spell Tables'!$X$48:$X$65,MATCH(O197,('Spell Tables'!$V$48:$V$65),0)),IF($R$189&gt;=O197,INDEX('Spell Tables'!$X$26:$X$42,MATCH(O197,('Spell Tables'!$V$26:$V$42),0)),IF($R$191&gt;=O197,INDEX('Spell Tables'!$X$2:$X$23,MATCH(O197,('Spell Tables'!$V$2:$V$23),0))," "))))))))))))</f>
        <v xml:space="preserve"> </v>
      </c>
      <c r="S197" s="33" t="str">
        <f ca="1">IF(AND($O$15="Otherworldly patron - great old one",S$175&gt;=O197),INDEX('Spell Tables'!$AB$226:$AB$238,MATCH(O197,('Spell Tables'!$Z$226:$Z$238),0)),IF(AND($O$15="Otherworldly patron - fiend",S$175&gt;=O197),INDEX('Spell Tables'!$AB$210:$AB$222,MATCH(O197,('Spell Tables'!$Z$210:$Z$222),0)),IF(AND($O$15="Otherworldly patron - archfey",S$175&gt;=O197),INDEX('Spell Tables'!$AB$194:$AB$206,MATCH(O197,('Spell Tables'!$Z$194:$Z$206),0)),IF($S$173&gt;=O197,INDEX($AL$68:$AL$77,MATCH(O197,($AJ$68:$AJ$77),0)),IF($S$177&gt;=O197,INDEX('Spell Tables'!$AB$168:$AB$187,MATCH(O197,('Spell Tables'!$Z$168:$Z$187),0)),IF($S$179&gt;=O197,INDEX('Spell Tables'!$AJ$141:$AJ$144,MATCH(O197,('Spell Tables'!$AH$141:$AH$144),0)),IF($S$181&gt;=O197,INDEX('Spell Tables'!$X$119:$X$129,MATCH(O197,('Spell Tables'!$V$119:$V$129),0)),IF($S$183&gt;=O197,INDEX('Spell Tables'!$X$97:$X$106,MATCH(O197,('Spell Tables'!$V$97:$V$106),0)),IF($S$185&gt;=O197,INDEX('Spell Tables'!$AJ$70:$AJ$79,MATCH(O197,('Spell Tables'!$AH$70:$AH$79),0)),IF($S$187&gt;=O197,INDEX('Spell Tables'!$AB$48:$AB$60,MATCH(O197,('Spell Tables'!$Z$48:$Z$60),0)),IF($S$189&gt;=O197,INDEX('Spell Tables'!$AB$26:$AB$45,MATCH(O197,('Spell Tables'!$Z$26:$Z$45),0)),IF($S$191&gt;=O197,INDEX('Spell Tables'!$AB$2:$AB$17,MATCH(O197,('Spell Tables'!$Z$2:$Z$17),0))," "))))))))))))</f>
        <v>Major Image</v>
      </c>
      <c r="T197" s="33" t="str">
        <f ca="1">IF(AND($O$15="Otherworldly patron - great old one",T$175&gt;=O197),INDEX('Spell Tables'!$AF$226:$AF$231,MATCH(O197,('Spell Tables'!$AD$226:$AD$231),0)),IF(AND($O$15="Otherworldly patron - fiend",T$175&gt;=O197),INDEX('Spell Tables'!$AF$210:$AF$215,MATCH(O197,('Spell Tables'!$AD$210:$AD$215),0)),IF(AND($O$15="Otherworldly patron - archfey",T$175&gt;=O197),INDEX('Spell Tables'!$AF$194:$AF$199,MATCH(O197,('Spell Tables'!$AD$194:$AD$199),0)),IF($T$173&gt;=O197,INDEX($AL$80:$AL$89,MATCH(O197,($AJ$80:$AJ$89),0)),IF($T$177&gt;=O197,INDEX('Spell Tables'!$AF$168:$AF$177,MATCH(O197,('Spell Tables'!$AD$168:$AD$177),0)),IF($T$179&gt;=O197,INDEX('Spell Tables'!$AR$141:$AR$144,MATCH(O197,('Spell Tables'!$AP$141:$AP$144),0)),IF($T$181&gt;=O197,INDEX('Spell Tables'!$AB$119:$AB$123,MATCH(O197,('Spell Tables'!$Z$119:$Z$123),0)),IF($T$183&gt;=O197,INDEX('Spell Tables'!$AB$97:$AB$102,MATCH(O197,('Spell Tables'!$Z$97:$Z$102),0)),IF($T$185&gt;=O197,INDEX('Spell Tables'!$AR$70:$AR$75,MATCH(O197,('Spell Tables'!$AP$70:$AP$75),0)),IF($T$187&gt;=O197,INDEX('Spell Tables'!$AF$48:$AF$63,MATCH(O197,('Spell Tables'!$AD$48:$AD$63),0)),IF($T$189&gt;=O197,INDEX('Spell Tables'!$AF$26:$AF$33,MATCH(O197,('Spell Tables'!$AD$26:$AD$33),0)),IF($T$191&gt;=O197,INDEX('Spell Tables'!$AF$2:$AF$9,MATCH(O197,('Spell Tables'!$AD$2:$AD$9),0))," "))))))))))))</f>
        <v xml:space="preserve"> </v>
      </c>
      <c r="AJ197" s="29">
        <v>10</v>
      </c>
      <c r="AK197" s="29">
        <v>3</v>
      </c>
    </row>
    <row r="198" spans="2:37" x14ac:dyDescent="0.3">
      <c r="B198" s="33"/>
      <c r="C198" s="33"/>
      <c r="D198" s="33"/>
      <c r="E198" s="33"/>
      <c r="F198" s="33"/>
      <c r="G198" s="33"/>
      <c r="H198" s="33"/>
      <c r="I198" s="33"/>
      <c r="J198" s="33"/>
      <c r="K198" s="33"/>
      <c r="L198" s="33"/>
      <c r="M198" s="33"/>
      <c r="N198" s="33"/>
      <c r="O198" s="34">
        <v>6</v>
      </c>
      <c r="P198" s="33" t="str">
        <f ca="1">IF(P$173&gt;=O198,INDEX('Spell Tables'!$P$242:$P$257,MATCH(O198,('Spell Tables'!$N$242:$N$257),0)),IF(P$175&gt;=O198,INDEX('Spell Tables'!$P$194:$P$201,MATCH(O198,('Spell Tables'!$N$194:$N$201),0)),IF(P$177&gt;=O198,INDEX('Spell Tables'!$P$168:$P$183,MATCH(O198,('Spell Tables'!$N$168:$N$183),0)),IF(P$179&gt;=O198,INDEX('Spell Tables'!$P$141:$P$156,MATCH(O198,('Spell Tables'!$N$141:$N$157),0)),IF(P$185&gt;=O198,INDEX('Spell Tables'!$P$70:$P$83,MATCH(O198,('Spell Tables'!$N$70:$N$83),0)),IF(P$187&gt;=O198,INDEX('Spell Tables'!$P$48:$P$55,MATCH(O198,('Spell Tables'!$N$48:$N$55),0)),IF(P$189&gt;=O198,INDEX('Spell Tables'!$P$26:$P$32,MATCH(O198,('Spell Tables'!$N$26:$N$32),0)),IF(P$191&gt;=O198,INDEX('Spell Tables'!$P$2:$P$12,MATCH(O198,('Spell Tables'!$N$2:$N$12),0))," "))))))))</f>
        <v xml:space="preserve"> </v>
      </c>
      <c r="Q198" s="33" t="str">
        <f ca="1">IF(AND($O$15="Otherworldly patron - great old one",Q$175&gt;=O198),INDEX('Spell Tables'!$T$226:$T$238,MATCH(O198,('Spell Tables'!$R$226:$R$238),0)),IF(AND($O$15="Otherworldly patron - fiend",Q$175&gt;=O198),INDEX('Spell Tables'!$T$210:$T$222,MATCH(O198,('Spell Tables'!$R$210:$R$222),0)),IF(Q$173&gt;=O198,INDEX($AL$44:$AL$53,MATCH(O198,($AJ$44:$AJ$53),0)),IF(AND($O$15="Otherworldly patron - archfey",Q$175&gt;=O198),INDEX('Spell Tables'!$T$194:$T$206,MATCH(O198,('Spell Tables'!$R$194:$R$206),0)),IF(Q$177&gt;=O198,INDEX('Spell Tables'!$T$168:$T$187,MATCH(O198,('Spell Tables'!$R$168:$R$187),0)),IF(Q$179&gt;=O198,INDEX('Spell Tables'!$T$141:$T$147,MATCH(O198,('Spell Tables'!$R$141:$R$147),0)),IF(Q$181&gt;=O198,INDEX('Spell Tables'!$P$119:$P$131,MATCH(O198,('Spell Tables'!$N$119:$N$131),0)),IF(Q$183&gt;=O198,INDEX('Spell Tables'!$P$97:$P$111,MATCH(O198,('Spell Tables'!$N$97:$N$111),0)),IF(Q$185&gt;=O198,INDEX('Spell Tables'!$T$70:$T$78,MATCH(O198,('Spell Tables'!$R$70:$R$78),0)),IF(Q$187&gt;=O198,INDEX('Spell Tables'!$T$48:$T$63,MATCH(O198,('Spell Tables'!$R$48:$R$63),0)),IF(Q$189&gt;=O198,INDEX('Spell Tables'!$T$26:$T$40,MATCH(O198,('Spell Tables'!$R$26:$R$40),0)),IF(Q$191&gt;=O198,INDEX('Spell Tables'!$T$2:$T$22,MATCH(O198,('Spell Tables'!$R$2:$R$22),0))," "))))))))))))</f>
        <v xml:space="preserve"> </v>
      </c>
      <c r="R198" s="33" t="str">
        <f ca="1">IF(AND($O$15="Otherworldly patron - great old one",R$175&gt;=O198),INDEX('Spell Tables'!$X$226:$X$239,MATCH(O198,('Spell Tables'!$V$226:$V$239),0)),IF(AND($O$15="Otherworldly patron - fiend",R$175&gt;=O198),INDEX('Spell Tables'!$X$210:$X$223,MATCH(O198,('Spell Tables'!$V$210:$V$223),0)),IF(AND($O$15="Otherworldly patron - archfey",R$175&gt;=O198),INDEX('Spell Tables'!$X$194:$X$207,MATCH(O198,('Spell Tables'!$V$194:$V$207),0)),IF($R$173&gt;=O198,INDEX($AL$56:$AL$65,MATCH(O198,($AJ$56:$AJ$65),0)),IF($R$177&gt;=O198,INDEX('Spell Tables'!$X$168:$X$191,MATCH(O198,('Spell Tables'!$V$168:$V$191),0)),IF($R$179&gt;=O198,INDEX('Spell Tables'!$AB$141:$AB$149,MATCH(O198,('Spell Tables'!$Z$141:$Z$149),0)),IF($R$181&gt;=O198,INDEX('Spell Tables'!$T$119:$T$131,MATCH(O198,('Spell Tables'!$R$119:$R$131),0)),IF($R$183&gt;=O198,INDEX('Spell Tables'!$T$97:$T$104,MATCH(O198,('Spell Tables'!$R$97:$R$104),0)),IF($R$185&gt;=O198,INDEX('Spell Tables'!$AB$70:$AB$75,MATCH(O198,('Spell Tables'!$Z$70:$Z$75),0)),IF($R$187&gt;=O198,INDEX('Spell Tables'!$X$48:$X$65,MATCH(O198,('Spell Tables'!$V$48:$V$65),0)),IF($R$189&gt;=O198,INDEX('Spell Tables'!$X$26:$X$42,MATCH(O198,('Spell Tables'!$V$26:$V$42),0)),IF($R$191&gt;=O198,INDEX('Spell Tables'!$X$2:$X$23,MATCH(O198,('Spell Tables'!$V$2:$V$23),0))," "))))))))))))</f>
        <v xml:space="preserve"> </v>
      </c>
      <c r="S198" s="33" t="str">
        <f ca="1">IF(AND($O$15="Otherworldly patron - great old one",S$175&gt;=O198),INDEX('Spell Tables'!$AB$226:$AB$238,MATCH(O198,('Spell Tables'!$Z$226:$Z$238),0)),IF(AND($O$15="Otherworldly patron - fiend",S$175&gt;=O198),INDEX('Spell Tables'!$AB$210:$AB$222,MATCH(O198,('Spell Tables'!$Z$210:$Z$222),0)),IF(AND($O$15="Otherworldly patron - archfey",S$175&gt;=O198),INDEX('Spell Tables'!$AB$194:$AB$206,MATCH(O198,('Spell Tables'!$Z$194:$Z$206),0)),IF($S$173&gt;=O198,INDEX($AL$68:$AL$77,MATCH(O198,($AJ$68:$AJ$77),0)),IF($S$177&gt;=O198,INDEX('Spell Tables'!$AB$168:$AB$187,MATCH(O198,('Spell Tables'!$Z$168:$Z$187),0)),IF($S$179&gt;=O198,INDEX('Spell Tables'!$AJ$141:$AJ$144,MATCH(O198,('Spell Tables'!$AH$141:$AH$144),0)),IF($S$181&gt;=O198,INDEX('Spell Tables'!$X$119:$X$129,MATCH(O198,('Spell Tables'!$V$119:$V$129),0)),IF($S$183&gt;=O198,INDEX('Spell Tables'!$X$97:$X$106,MATCH(O198,('Spell Tables'!$V$97:$V$106),0)),IF($S$185&gt;=O198,INDEX('Spell Tables'!$AJ$70:$AJ$79,MATCH(O198,('Spell Tables'!$AH$70:$AH$79),0)),IF($S$187&gt;=O198,INDEX('Spell Tables'!$AB$48:$AB$60,MATCH(O198,('Spell Tables'!$Z$48:$Z$60),0)),IF($S$189&gt;=O198,INDEX('Spell Tables'!$AB$26:$AB$45,MATCH(O198,('Spell Tables'!$Z$26:$Z$45),0)),IF($S$191&gt;=O198,INDEX('Spell Tables'!$AB$2:$AB$17,MATCH(O198,('Spell Tables'!$Z$2:$Z$17),0))," "))))))))))))</f>
        <v>Lightning Bolt</v>
      </c>
      <c r="T198" s="33" t="str">
        <f ca="1">IF(AND($O$15="Otherworldly patron - great old one",T$175&gt;=O198),INDEX('Spell Tables'!$AF$226:$AF$231,MATCH(O198,('Spell Tables'!$AD$226:$AD$231),0)),IF(AND($O$15="Otherworldly patron - fiend",T$175&gt;=O198),INDEX('Spell Tables'!$AF$210:$AF$215,MATCH(O198,('Spell Tables'!$AD$210:$AD$215),0)),IF(AND($O$15="Otherworldly patron - archfey",T$175&gt;=O198),INDEX('Spell Tables'!$AF$194:$AF$199,MATCH(O198,('Spell Tables'!$AD$194:$AD$199),0)),IF($T$173&gt;=O198,INDEX($AL$80:$AL$89,MATCH(O198,($AJ$80:$AJ$89),0)),IF($T$177&gt;=O198,INDEX('Spell Tables'!$AF$168:$AF$177,MATCH(O198,('Spell Tables'!$AD$168:$AD$177),0)),IF($T$179&gt;=O198,INDEX('Spell Tables'!$AR$141:$AR$144,MATCH(O198,('Spell Tables'!$AP$141:$AP$144),0)),IF($T$181&gt;=O198,INDEX('Spell Tables'!$AB$119:$AB$123,MATCH(O198,('Spell Tables'!$Z$119:$Z$123),0)),IF($T$183&gt;=O198,INDEX('Spell Tables'!$AB$97:$AB$102,MATCH(O198,('Spell Tables'!$Z$97:$Z$102),0)),IF($T$185&gt;=O198,INDEX('Spell Tables'!$AR$70:$AR$75,MATCH(O198,('Spell Tables'!$AP$70:$AP$75),0)),IF($T$187&gt;=O198,INDEX('Spell Tables'!$AF$48:$AF$63,MATCH(O198,('Spell Tables'!$AD$48:$AD$63),0)),IF($T$189&gt;=O198,INDEX('Spell Tables'!$AF$26:$AF$33,MATCH(O198,('Spell Tables'!$AD$26:$AD$33),0)),IF($T$191&gt;=O198,INDEX('Spell Tables'!$AF$2:$AF$9,MATCH(O198,('Spell Tables'!$AD$2:$AD$9),0))," "))))))))))))</f>
        <v xml:space="preserve"> </v>
      </c>
    </row>
    <row r="199" spans="2:37" x14ac:dyDescent="0.3">
      <c r="B199" s="33"/>
      <c r="C199" s="33"/>
      <c r="D199" s="33"/>
      <c r="E199" s="33"/>
      <c r="F199" s="33"/>
      <c r="G199" s="33"/>
      <c r="H199" s="33"/>
      <c r="I199" s="33"/>
      <c r="J199" s="33"/>
      <c r="K199" s="33"/>
      <c r="L199" s="33"/>
      <c r="M199" s="33"/>
      <c r="N199" s="33"/>
      <c r="O199" s="34">
        <v>7</v>
      </c>
      <c r="P199" s="33" t="str">
        <f ca="1">IF(P$173&gt;=O199,INDEX('Spell Tables'!$P$242:$P$257,MATCH(O199,('Spell Tables'!$N$242:$N$257),0)),IF(P$175&gt;=O199,INDEX('Spell Tables'!$P$194:$P$201,MATCH(O199,('Spell Tables'!$N$194:$N$201),0)),IF(P$177&gt;=O199,INDEX('Spell Tables'!$P$168:$P$183,MATCH(O199,('Spell Tables'!$N$168:$N$183),0)),IF(P$179&gt;=O199,INDEX('Spell Tables'!$P$141:$P$156,MATCH(O199,('Spell Tables'!$N$141:$N$157),0)),IF(P$185&gt;=O199,INDEX('Spell Tables'!$P$70:$P$83,MATCH(O199,('Spell Tables'!$N$70:$N$83),0)),IF(P$187&gt;=O199,INDEX('Spell Tables'!$P$48:$P$55,MATCH(O199,('Spell Tables'!$N$48:$N$55),0)),IF(P$189&gt;=O199,INDEX('Spell Tables'!$P$26:$P$32,MATCH(O199,('Spell Tables'!$N$26:$N$32),0)),IF(P$191&gt;=O199,INDEX('Spell Tables'!$P$2:$P$12,MATCH(O199,('Spell Tables'!$N$2:$N$12),0))," "))))))))</f>
        <v xml:space="preserve"> </v>
      </c>
      <c r="Q199" s="33" t="str">
        <f ca="1">IF(AND($O$15="Otherworldly patron - great old one",Q$175&gt;=O199),INDEX('Spell Tables'!$T$226:$T$238,MATCH(O199,('Spell Tables'!$R$226:$R$238),0)),IF(AND($O$15="Otherworldly patron - fiend",Q$175&gt;=O199),INDEX('Spell Tables'!$T$210:$T$222,MATCH(O199,('Spell Tables'!$R$210:$R$222),0)),IF(Q$173&gt;=O199,INDEX($AL$44:$AL$53,MATCH(O199,($AJ$44:$AJ$53),0)),IF(AND($O$15="Otherworldly patron - archfey",Q$175&gt;=O199),INDEX('Spell Tables'!$T$194:$T$206,MATCH(O199,('Spell Tables'!$R$194:$R$206),0)),IF(Q$177&gt;=O199,INDEX('Spell Tables'!$T$168:$T$187,MATCH(O199,('Spell Tables'!$R$168:$R$187),0)),IF(Q$179&gt;=O199,INDEX('Spell Tables'!$T$141:$T$147,MATCH(O199,('Spell Tables'!$R$141:$R$147),0)),IF(Q$181&gt;=O199,INDEX('Spell Tables'!$P$119:$P$131,MATCH(O199,('Spell Tables'!$N$119:$N$131),0)),IF(Q$183&gt;=O199,INDEX('Spell Tables'!$P$97:$P$111,MATCH(O199,('Spell Tables'!$N$97:$N$111),0)),IF(Q$185&gt;=O199,INDEX('Spell Tables'!$T$70:$T$78,MATCH(O199,('Spell Tables'!$R$70:$R$78),0)),IF(Q$187&gt;=O199,INDEX('Spell Tables'!$T$48:$T$63,MATCH(O199,('Spell Tables'!$R$48:$R$63),0)),IF(Q$189&gt;=O199,INDEX('Spell Tables'!$T$26:$T$40,MATCH(O199,('Spell Tables'!$R$26:$R$40),0)),IF(Q$191&gt;=O199,INDEX('Spell Tables'!$T$2:$T$22,MATCH(O199,('Spell Tables'!$R$2:$R$22),0))," "))))))))))))</f>
        <v xml:space="preserve"> </v>
      </c>
      <c r="R199" s="33" t="str">
        <f ca="1">IF(AND($O$15="Otherworldly patron - great old one",R$175&gt;=O199),INDEX('Spell Tables'!$X$226:$X$239,MATCH(O199,('Spell Tables'!$V$226:$V$239),0)),IF(AND($O$15="Otherworldly patron - fiend",R$175&gt;=O199),INDEX('Spell Tables'!$X$210:$X$223,MATCH(O199,('Spell Tables'!$V$210:$V$223),0)),IF(AND($O$15="Otherworldly patron - archfey",R$175&gt;=O199),INDEX('Spell Tables'!$X$194:$X$207,MATCH(O199,('Spell Tables'!$V$194:$V$207),0)),IF($R$173&gt;=O199,INDEX($AL$56:$AL$65,MATCH(O199,($AJ$56:$AJ$65),0)),IF($R$177&gt;=O199,INDEX('Spell Tables'!$X$168:$X$191,MATCH(O199,('Spell Tables'!$V$168:$V$191),0)),IF($R$179&gt;=O199,INDEX('Spell Tables'!$AB$141:$AB$149,MATCH(O199,('Spell Tables'!$Z$141:$Z$149),0)),IF($R$181&gt;=O199,INDEX('Spell Tables'!$T$119:$T$131,MATCH(O199,('Spell Tables'!$R$119:$R$131),0)),IF($R$183&gt;=O199,INDEX('Spell Tables'!$T$97:$T$104,MATCH(O199,('Spell Tables'!$R$97:$R$104),0)),IF($R$185&gt;=O199,INDEX('Spell Tables'!$AB$70:$AB$75,MATCH(O199,('Spell Tables'!$Z$70:$Z$75),0)),IF($R$187&gt;=O199,INDEX('Spell Tables'!$X$48:$X$65,MATCH(O199,('Spell Tables'!$V$48:$V$65),0)),IF($R$189&gt;=O199,INDEX('Spell Tables'!$X$26:$X$42,MATCH(O199,('Spell Tables'!$V$26:$V$42),0)),IF($R$191&gt;=O199,INDEX('Spell Tables'!$X$2:$X$23,MATCH(O199,('Spell Tables'!$V$2:$V$23),0))," "))))))))))))</f>
        <v xml:space="preserve"> </v>
      </c>
      <c r="S199" s="33" t="str">
        <f ca="1">IF(AND($O$15="Otherworldly patron - great old one",S$175&gt;=O199),INDEX('Spell Tables'!$AB$226:$AB$238,MATCH(O199,('Spell Tables'!$Z$226:$Z$238),0)),IF(AND($O$15="Otherworldly patron - fiend",S$175&gt;=O199),INDEX('Spell Tables'!$AB$210:$AB$222,MATCH(O199,('Spell Tables'!$Z$210:$Z$222),0)),IF(AND($O$15="Otherworldly patron - archfey",S$175&gt;=O199),INDEX('Spell Tables'!$AB$194:$AB$206,MATCH(O199,('Spell Tables'!$Z$194:$Z$206),0)),IF($S$173&gt;=O199,INDEX($AL$68:$AL$77,MATCH(O199,($AJ$68:$AJ$77),0)),IF($S$177&gt;=O199,INDEX('Spell Tables'!$AB$168:$AB$187,MATCH(O199,('Spell Tables'!$Z$168:$Z$187),0)),IF($S$179&gt;=O199,INDEX('Spell Tables'!$AJ$141:$AJ$144,MATCH(O199,('Spell Tables'!$AH$141:$AH$144),0)),IF($S$181&gt;=O199,INDEX('Spell Tables'!$X$119:$X$129,MATCH(O199,('Spell Tables'!$V$119:$V$129),0)),IF($S$183&gt;=O199,INDEX('Spell Tables'!$X$97:$X$106,MATCH(O199,('Spell Tables'!$V$97:$V$106),0)),IF($S$185&gt;=O199,INDEX('Spell Tables'!$AJ$70:$AJ$79,MATCH(O199,('Spell Tables'!$AH$70:$AH$79),0)),IF($S$187&gt;=O199,INDEX('Spell Tables'!$AB$48:$AB$60,MATCH(O199,('Spell Tables'!$Z$48:$Z$60),0)),IF($S$189&gt;=O199,INDEX('Spell Tables'!$AB$26:$AB$45,MATCH(O199,('Spell Tables'!$Z$26:$Z$45),0)),IF($S$191&gt;=O199,INDEX('Spell Tables'!$AB$2:$AB$17,MATCH(O199,('Spell Tables'!$Z$2:$Z$17),0))," "))))))))))))</f>
        <v>Haste</v>
      </c>
      <c r="T199" s="33" t="str">
        <f ca="1">IF(AND($O$15="Otherworldly patron - great old one",T$175&gt;=O199),INDEX('Spell Tables'!$AF$226:$AF$231,MATCH(O199,('Spell Tables'!$AD$226:$AD$231),0)),IF(AND($O$15="Otherworldly patron - fiend",T$175&gt;=O199),INDEX('Spell Tables'!$AF$210:$AF$215,MATCH(O199,('Spell Tables'!$AD$210:$AD$215),0)),IF(AND($O$15="Otherworldly patron - archfey",T$175&gt;=O199),INDEX('Spell Tables'!$AF$194:$AF$199,MATCH(O199,('Spell Tables'!$AD$194:$AD$199),0)),IF($T$173&gt;=O199,INDEX($AL$80:$AL$89,MATCH(O199,($AJ$80:$AJ$89),0)),IF($T$177&gt;=O199,INDEX('Spell Tables'!$AF$168:$AF$177,MATCH(O199,('Spell Tables'!$AD$168:$AD$177),0)),IF($T$179&gt;=O199,INDEX('Spell Tables'!$AR$141:$AR$144,MATCH(O199,('Spell Tables'!$AP$141:$AP$144),0)),IF($T$181&gt;=O199,INDEX('Spell Tables'!$AB$119:$AB$123,MATCH(O199,('Spell Tables'!$Z$119:$Z$123),0)),IF($T$183&gt;=O199,INDEX('Spell Tables'!$AB$97:$AB$102,MATCH(O199,('Spell Tables'!$Z$97:$Z$102),0)),IF($T$185&gt;=O199,INDEX('Spell Tables'!$AR$70:$AR$75,MATCH(O199,('Spell Tables'!$AP$70:$AP$75),0)),IF($T$187&gt;=O199,INDEX('Spell Tables'!$AF$48:$AF$63,MATCH(O199,('Spell Tables'!$AD$48:$AD$63),0)),IF($T$189&gt;=O199,INDEX('Spell Tables'!$AF$26:$AF$33,MATCH(O199,('Spell Tables'!$AD$26:$AD$33),0)),IF($T$191&gt;=O199,INDEX('Spell Tables'!$AF$2:$AF$9,MATCH(O199,('Spell Tables'!$AD$2:$AD$9),0))," "))))))))))))</f>
        <v xml:space="preserve"> </v>
      </c>
    </row>
    <row r="200" spans="2:37" x14ac:dyDescent="0.3">
      <c r="B200" s="33"/>
      <c r="C200" s="33"/>
      <c r="D200" s="33"/>
      <c r="E200" s="33"/>
      <c r="F200" s="33"/>
      <c r="G200" s="33"/>
      <c r="H200" s="33"/>
      <c r="I200" s="33"/>
      <c r="J200" s="33"/>
      <c r="K200" s="33"/>
      <c r="L200" s="33"/>
      <c r="M200" s="33"/>
      <c r="N200" s="33"/>
      <c r="O200" s="34">
        <v>8</v>
      </c>
      <c r="P200" s="33" t="str">
        <f ca="1">IF(P$173&gt;=O200,INDEX('Spell Tables'!$P$242:$P$257,MATCH(O200,('Spell Tables'!$N$242:$N$257),0)),IF(P$175&gt;=O200,INDEX('Spell Tables'!$P$194:$P$201,MATCH(O200,('Spell Tables'!$N$194:$N$201),0)),IF(P$177&gt;=O200,INDEX('Spell Tables'!$P$168:$P$183,MATCH(O200,('Spell Tables'!$N$168:$N$183),0)),IF(P$179&gt;=O200,INDEX('Spell Tables'!$P$141:$P$156,MATCH(O200,('Spell Tables'!$N$141:$N$157),0)),IF(P$185&gt;=O200,INDEX('Spell Tables'!$P$70:$P$83,MATCH(O200,('Spell Tables'!$N$70:$N$83),0)),IF(P$187&gt;=O200,INDEX('Spell Tables'!$P$48:$P$55,MATCH(O200,('Spell Tables'!$N$48:$N$55),0)),IF(P$189&gt;=O200,INDEX('Spell Tables'!$P$26:$P$32,MATCH(O200,('Spell Tables'!$N$26:$N$32),0)),IF(P$191&gt;=O200,INDEX('Spell Tables'!$P$2:$P$12,MATCH(O200,('Spell Tables'!$N$2:$N$12),0))," "))))))))</f>
        <v xml:space="preserve"> </v>
      </c>
      <c r="Q200" s="33" t="str">
        <f ca="1">IF(AND($O$15="Otherworldly patron - great old one",Q$175&gt;=O200),INDEX('Spell Tables'!$T$226:$T$238,MATCH(O200,('Spell Tables'!$R$226:$R$238),0)),IF(AND($O$15="Otherworldly patron - fiend",Q$175&gt;=O200),INDEX('Spell Tables'!$T$210:$T$222,MATCH(O200,('Spell Tables'!$R$210:$R$222),0)),IF(Q$173&gt;=O200,INDEX($AL$44:$AL$53,MATCH(O200,($AJ$44:$AJ$53),0)),IF(AND($O$15="Otherworldly patron - archfey",Q$175&gt;=O200),INDEX('Spell Tables'!$T$194:$T$206,MATCH(O200,('Spell Tables'!$R$194:$R$206),0)),IF(Q$177&gt;=O200,INDEX('Spell Tables'!$T$168:$T$187,MATCH(O200,('Spell Tables'!$R$168:$R$187),0)),IF(Q$179&gt;=O200,INDEX('Spell Tables'!$T$141:$T$147,MATCH(O200,('Spell Tables'!$R$141:$R$147),0)),IF(Q$181&gt;=O200,INDEX('Spell Tables'!$P$119:$P$131,MATCH(O200,('Spell Tables'!$N$119:$N$131),0)),IF(Q$183&gt;=O200,INDEX('Spell Tables'!$P$97:$P$111,MATCH(O200,('Spell Tables'!$N$97:$N$111),0)),IF(Q$185&gt;=O200,INDEX('Spell Tables'!$T$70:$T$78,MATCH(O200,('Spell Tables'!$R$70:$R$78),0)),IF(Q$187&gt;=O200,INDEX('Spell Tables'!$T$48:$T$63,MATCH(O200,('Spell Tables'!$R$48:$R$63),0)),IF(Q$189&gt;=O200,INDEX('Spell Tables'!$T$26:$T$40,MATCH(O200,('Spell Tables'!$R$26:$R$40),0)),IF(Q$191&gt;=O200,INDEX('Spell Tables'!$T$2:$T$22,MATCH(O200,('Spell Tables'!$R$2:$R$22),0))," "))))))))))))</f>
        <v xml:space="preserve"> </v>
      </c>
      <c r="R200" s="33" t="str">
        <f ca="1">IF(AND($O$15="Otherworldly patron - great old one",R$175&gt;=O200),INDEX('Spell Tables'!$X$226:$X$239,MATCH(O200,('Spell Tables'!$V$226:$V$239),0)),IF(AND($O$15="Otherworldly patron - fiend",R$175&gt;=O200),INDEX('Spell Tables'!$X$210:$X$223,MATCH(O200,('Spell Tables'!$V$210:$V$223),0)),IF(AND($O$15="Otherworldly patron - archfey",R$175&gt;=O200),INDEX('Spell Tables'!$X$194:$X$207,MATCH(O200,('Spell Tables'!$V$194:$V$207),0)),IF($R$173&gt;=O200,INDEX($AL$56:$AL$65,MATCH(O200,($AJ$56:$AJ$65),0)),IF($R$177&gt;=O200,INDEX('Spell Tables'!$X$168:$X$191,MATCH(O200,('Spell Tables'!$V$168:$V$191),0)),IF($R$179&gt;=O200,INDEX('Spell Tables'!$AB$141:$AB$149,MATCH(O200,('Spell Tables'!$Z$141:$Z$149),0)),IF($R$181&gt;=O200,INDEX('Spell Tables'!$T$119:$T$131,MATCH(O200,('Spell Tables'!$R$119:$R$131),0)),IF($R$183&gt;=O200,INDEX('Spell Tables'!$T$97:$T$104,MATCH(O200,('Spell Tables'!$R$97:$R$104),0)),IF($R$185&gt;=O200,INDEX('Spell Tables'!$AB$70:$AB$75,MATCH(O200,('Spell Tables'!$Z$70:$Z$75),0)),IF($R$187&gt;=O200,INDEX('Spell Tables'!$X$48:$X$65,MATCH(O200,('Spell Tables'!$V$48:$V$65),0)),IF($R$189&gt;=O200,INDEX('Spell Tables'!$X$26:$X$42,MATCH(O200,('Spell Tables'!$V$26:$V$42),0)),IF($R$191&gt;=O200,INDEX('Spell Tables'!$X$2:$X$23,MATCH(O200,('Spell Tables'!$V$2:$V$23),0))," "))))))))))))</f>
        <v xml:space="preserve"> </v>
      </c>
      <c r="S200" s="33" t="str">
        <f ca="1">IF(AND($O$15="Otherworldly patron - great old one",S$175&gt;=O200),INDEX('Spell Tables'!$AB$226:$AB$238,MATCH(O200,('Spell Tables'!$Z$226:$Z$238),0)),IF(AND($O$15="Otherworldly patron - fiend",S$175&gt;=O200),INDEX('Spell Tables'!$AB$210:$AB$222,MATCH(O200,('Spell Tables'!$Z$210:$Z$222),0)),IF(AND($O$15="Otherworldly patron - archfey",S$175&gt;=O200),INDEX('Spell Tables'!$AB$194:$AB$206,MATCH(O200,('Spell Tables'!$Z$194:$Z$206),0)),IF($S$173&gt;=O200,INDEX($AL$68:$AL$77,MATCH(O200,($AJ$68:$AJ$77),0)),IF($S$177&gt;=O200,INDEX('Spell Tables'!$AB$168:$AB$187,MATCH(O200,('Spell Tables'!$Z$168:$Z$187),0)),IF($S$179&gt;=O200,INDEX('Spell Tables'!$AJ$141:$AJ$144,MATCH(O200,('Spell Tables'!$AH$141:$AH$144),0)),IF($S$181&gt;=O200,INDEX('Spell Tables'!$X$119:$X$129,MATCH(O200,('Spell Tables'!$V$119:$V$129),0)),IF($S$183&gt;=O200,INDEX('Spell Tables'!$X$97:$X$106,MATCH(O200,('Spell Tables'!$V$97:$V$106),0)),IF($S$185&gt;=O200,INDEX('Spell Tables'!$AJ$70:$AJ$79,MATCH(O200,('Spell Tables'!$AH$70:$AH$79),0)),IF($S$187&gt;=O200,INDEX('Spell Tables'!$AB$48:$AB$60,MATCH(O200,('Spell Tables'!$Z$48:$Z$60),0)),IF($S$189&gt;=O200,INDEX('Spell Tables'!$AB$26:$AB$45,MATCH(O200,('Spell Tables'!$Z$26:$Z$45),0)),IF($S$191&gt;=O200,INDEX('Spell Tables'!$AB$2:$AB$17,MATCH(O200,('Spell Tables'!$Z$2:$Z$17),0))," "))))))))))))</f>
        <v xml:space="preserve"> </v>
      </c>
      <c r="T200" s="33" t="str">
        <f ca="1">IF(AND($O$15="Otherworldly patron - great old one",T$175&gt;=O200),INDEX('Spell Tables'!$AF$226:$AF$231,MATCH(O200,('Spell Tables'!$AD$226:$AD$231),0)),IF(AND($O$15="Otherworldly patron - fiend",T$175&gt;=O200),INDEX('Spell Tables'!$AF$210:$AF$215,MATCH(O200,('Spell Tables'!$AD$210:$AD$215),0)),IF(AND($O$15="Otherworldly patron - archfey",T$175&gt;=O200),INDEX('Spell Tables'!$AF$194:$AF$199,MATCH(O200,('Spell Tables'!$AD$194:$AD$199),0)),IF($T$173&gt;=O200,INDEX($AL$80:$AL$89,MATCH(O200,($AJ$80:$AJ$89),0)),IF($T$177&gt;=O200,INDEX('Spell Tables'!$AF$168:$AF$177,MATCH(O200,('Spell Tables'!$AD$168:$AD$177),0)),IF($T$179&gt;=O200,INDEX('Spell Tables'!$AR$141:$AR$144,MATCH(O200,('Spell Tables'!$AP$141:$AP$144),0)),IF($T$181&gt;=O200,INDEX('Spell Tables'!$AB$119:$AB$123,MATCH(O200,('Spell Tables'!$Z$119:$Z$123),0)),IF($T$183&gt;=O200,INDEX('Spell Tables'!$AB$97:$AB$102,MATCH(O200,('Spell Tables'!$Z$97:$Z$102),0)),IF($T$185&gt;=O200,INDEX('Spell Tables'!$AR$70:$AR$75,MATCH(O200,('Spell Tables'!$AP$70:$AP$75),0)),IF($T$187&gt;=O200,INDEX('Spell Tables'!$AF$48:$AF$63,MATCH(O200,('Spell Tables'!$AD$48:$AD$63),0)),IF($T$189&gt;=O200,INDEX('Spell Tables'!$AF$26:$AF$33,MATCH(O200,('Spell Tables'!$AD$26:$AD$33),0)),IF($T$191&gt;=O200,INDEX('Spell Tables'!$AF$2:$AF$9,MATCH(O200,('Spell Tables'!$AD$2:$AD$9),0))," "))))))))))))</f>
        <v xml:space="preserve"> </v>
      </c>
    </row>
    <row r="201" spans="2:37" x14ac:dyDescent="0.3">
      <c r="B201" s="33"/>
      <c r="C201" s="33"/>
      <c r="D201" s="33"/>
      <c r="E201" s="33"/>
      <c r="F201" s="33"/>
      <c r="G201" s="33"/>
      <c r="H201" s="33"/>
      <c r="I201" s="33"/>
      <c r="J201" s="33"/>
      <c r="K201" s="33"/>
      <c r="L201" s="33"/>
      <c r="M201" s="33"/>
      <c r="N201" s="33"/>
      <c r="O201" s="34">
        <v>9</v>
      </c>
      <c r="P201" s="33" t="str">
        <f ca="1">IF(P$173&gt;=O201,INDEX('Spell Tables'!$P$242:$P$257,MATCH(O201,('Spell Tables'!$N$242:$N$257),0)),IF(P$175&gt;=O201,INDEX('Spell Tables'!$P$194:$P$201,MATCH(O201,('Spell Tables'!$N$194:$N$201),0)),IF(P$177&gt;=O201,INDEX('Spell Tables'!$P$168:$P$183,MATCH(O201,('Spell Tables'!$N$168:$N$183),0)),IF(P$179&gt;=O201,INDEX('Spell Tables'!$P$141:$P$156,MATCH(O201,('Spell Tables'!$N$141:$N$157),0)),IF(P$185&gt;=O201,INDEX('Spell Tables'!$P$70:$P$83,MATCH(O201,('Spell Tables'!$N$70:$N$83),0)),IF(P$187&gt;=O201,INDEX('Spell Tables'!$P$48:$P$55,MATCH(O201,('Spell Tables'!$N$48:$N$55),0)),IF(P$189&gt;=O201,INDEX('Spell Tables'!$P$26:$P$32,MATCH(O201,('Spell Tables'!$N$26:$N$32),0)),IF(P$191&gt;=O201,INDEX('Spell Tables'!$P$2:$P$12,MATCH(O201,('Spell Tables'!$N$2:$N$12),0))," "))))))))</f>
        <v xml:space="preserve"> </v>
      </c>
      <c r="Q201" s="33" t="str">
        <f ca="1">IF(AND($O$15="Otherworldly patron - great old one",Q$175&gt;=O201),INDEX('Spell Tables'!$T$226:$T$238,MATCH(O201,('Spell Tables'!$R$226:$R$238),0)),IF(AND($O$15="Otherworldly patron - fiend",Q$175&gt;=O201),INDEX('Spell Tables'!$T$210:$T$222,MATCH(O201,('Spell Tables'!$R$210:$R$222),0)),IF(Q$173&gt;=O201,INDEX($AL$44:$AL$53,MATCH(O201,($AJ$44:$AJ$53),0)),IF(AND($O$15="Otherworldly patron - archfey",Q$175&gt;=O201),INDEX('Spell Tables'!$T$194:$T$206,MATCH(O201,('Spell Tables'!$R$194:$R$206),0)),IF(Q$177&gt;=O201,INDEX('Spell Tables'!$T$168:$T$187,MATCH(O201,('Spell Tables'!$R$168:$R$187),0)),IF(Q$179&gt;=O201,INDEX('Spell Tables'!$T$141:$T$147,MATCH(O201,('Spell Tables'!$R$141:$R$147),0)),IF(Q$181&gt;=O201,INDEX('Spell Tables'!$P$119:$P$131,MATCH(O201,('Spell Tables'!$N$119:$N$131),0)),IF(Q$183&gt;=O201,INDEX('Spell Tables'!$P$97:$P$111,MATCH(O201,('Spell Tables'!$N$97:$N$111),0)),IF(Q$185&gt;=O201,INDEX('Spell Tables'!$T$70:$T$78,MATCH(O201,('Spell Tables'!$R$70:$R$78),0)),IF(Q$187&gt;=O201,INDEX('Spell Tables'!$T$48:$T$63,MATCH(O201,('Spell Tables'!$R$48:$R$63),0)),IF(Q$189&gt;=O201,INDEX('Spell Tables'!$T$26:$T$40,MATCH(O201,('Spell Tables'!$R$26:$R$40),0)),IF(Q$191&gt;=O201,INDEX('Spell Tables'!$T$2:$T$22,MATCH(O201,('Spell Tables'!$R$2:$R$22),0))," "))))))))))))</f>
        <v xml:space="preserve"> </v>
      </c>
      <c r="R201" s="33" t="str">
        <f ca="1">IF(AND($O$15="Otherworldly patron - great old one",R$175&gt;=O201),INDEX('Spell Tables'!$X$226:$X$239,MATCH(O201,('Spell Tables'!$V$226:$V$239),0)),IF(AND($O$15="Otherworldly patron - fiend",R$175&gt;=O201),INDEX('Spell Tables'!$X$210:$X$223,MATCH(O201,('Spell Tables'!$V$210:$V$223),0)),IF(AND($O$15="Otherworldly patron - archfey",R$175&gt;=O201),INDEX('Spell Tables'!$X$194:$X$207,MATCH(O201,('Spell Tables'!$V$194:$V$207),0)),IF($R$173&gt;=O201,INDEX($AL$56:$AL$65,MATCH(O201,($AJ$56:$AJ$65),0)),IF($R$177&gt;=O201,INDEX('Spell Tables'!$X$168:$X$191,MATCH(O201,('Spell Tables'!$V$168:$V$191),0)),IF($R$179&gt;=O201,INDEX('Spell Tables'!$AB$141:$AB$149,MATCH(O201,('Spell Tables'!$Z$141:$Z$149),0)),IF($R$181&gt;=O201,INDEX('Spell Tables'!$T$119:$T$131,MATCH(O201,('Spell Tables'!$R$119:$R$131),0)),IF($R$183&gt;=O201,INDEX('Spell Tables'!$T$97:$T$104,MATCH(O201,('Spell Tables'!$R$97:$R$104),0)),IF($R$185&gt;=O201,INDEX('Spell Tables'!$AB$70:$AB$75,MATCH(O201,('Spell Tables'!$Z$70:$Z$75),0)),IF($R$187&gt;=O201,INDEX('Spell Tables'!$X$48:$X$65,MATCH(O201,('Spell Tables'!$V$48:$V$65),0)),IF($R$189&gt;=O201,INDEX('Spell Tables'!$X$26:$X$42,MATCH(O201,('Spell Tables'!$V$26:$V$42),0)),IF($R$191&gt;=O201,INDEX('Spell Tables'!$X$2:$X$23,MATCH(O201,('Spell Tables'!$V$2:$V$23),0))," "))))))))))))</f>
        <v xml:space="preserve"> </v>
      </c>
      <c r="S201" s="33" t="str">
        <f ca="1">IF(AND($O$15="Otherworldly patron - great old one",S$175&gt;=O201),INDEX('Spell Tables'!$AB$226:$AB$238,MATCH(O201,('Spell Tables'!$Z$226:$Z$238),0)),IF(AND($O$15="Otherworldly patron - fiend",S$175&gt;=O201),INDEX('Spell Tables'!$AB$210:$AB$222,MATCH(O201,('Spell Tables'!$Z$210:$Z$222),0)),IF(AND($O$15="Otherworldly patron - archfey",S$175&gt;=O201),INDEX('Spell Tables'!$AB$194:$AB$206,MATCH(O201,('Spell Tables'!$Z$194:$Z$206),0)),IF($S$173&gt;=O201,INDEX($AL$68:$AL$77,MATCH(O201,($AJ$68:$AJ$77),0)),IF($S$177&gt;=O201,INDEX('Spell Tables'!$AB$168:$AB$187,MATCH(O201,('Spell Tables'!$Z$168:$Z$187),0)),IF($S$179&gt;=O201,INDEX('Spell Tables'!$AJ$141:$AJ$144,MATCH(O201,('Spell Tables'!$AH$141:$AH$144),0)),IF($S$181&gt;=O201,INDEX('Spell Tables'!$X$119:$X$129,MATCH(O201,('Spell Tables'!$V$119:$V$129),0)),IF($S$183&gt;=O201,INDEX('Spell Tables'!$X$97:$X$106,MATCH(O201,('Spell Tables'!$V$97:$V$106),0)),IF($S$185&gt;=O201,INDEX('Spell Tables'!$AJ$70:$AJ$79,MATCH(O201,('Spell Tables'!$AH$70:$AH$79),0)),IF($S$187&gt;=O201,INDEX('Spell Tables'!$AB$48:$AB$60,MATCH(O201,('Spell Tables'!$Z$48:$Z$60),0)),IF($S$189&gt;=O201,INDEX('Spell Tables'!$AB$26:$AB$45,MATCH(O201,('Spell Tables'!$Z$26:$Z$45),0)),IF($S$191&gt;=O201,INDEX('Spell Tables'!$AB$2:$AB$17,MATCH(O201,('Spell Tables'!$Z$2:$Z$17),0))," "))))))))))))</f>
        <v xml:space="preserve"> </v>
      </c>
      <c r="T201" s="33" t="str">
        <f ca="1">IF(AND($O$15="Otherworldly patron - great old one",T$175&gt;=O201),INDEX('Spell Tables'!$AF$226:$AF$231,MATCH(O201,('Spell Tables'!$AD$226:$AD$231),0)),IF(AND($O$15="Otherworldly patron - fiend",T$175&gt;=O201),INDEX('Spell Tables'!$AF$210:$AF$215,MATCH(O201,('Spell Tables'!$AD$210:$AD$215),0)),IF(AND($O$15="Otherworldly patron - archfey",T$175&gt;=O201),INDEX('Spell Tables'!$AF$194:$AF$199,MATCH(O201,('Spell Tables'!$AD$194:$AD$199),0)),IF($T$173&gt;=O201,INDEX($AL$80:$AL$89,MATCH(O201,($AJ$80:$AJ$89),0)),IF($T$177&gt;=O201,INDEX('Spell Tables'!$AF$168:$AF$177,MATCH(O201,('Spell Tables'!$AD$168:$AD$177),0)),IF($T$179&gt;=O201,INDEX('Spell Tables'!$AR$141:$AR$144,MATCH(O201,('Spell Tables'!$AP$141:$AP$144),0)),IF($T$181&gt;=O201,INDEX('Spell Tables'!$AB$119:$AB$123,MATCH(O201,('Spell Tables'!$Z$119:$Z$123),0)),IF($T$183&gt;=O201,INDEX('Spell Tables'!$AB$97:$AB$102,MATCH(O201,('Spell Tables'!$Z$97:$Z$102),0)),IF($T$185&gt;=O201,INDEX('Spell Tables'!$AR$70:$AR$75,MATCH(O201,('Spell Tables'!$AP$70:$AP$75),0)),IF($T$187&gt;=O201,INDEX('Spell Tables'!$AF$48:$AF$63,MATCH(O201,('Spell Tables'!$AD$48:$AD$63),0)),IF($T$189&gt;=O201,INDEX('Spell Tables'!$AF$26:$AF$33,MATCH(O201,('Spell Tables'!$AD$26:$AD$33),0)),IF($T$191&gt;=O201,INDEX('Spell Tables'!$AF$2:$AF$9,MATCH(O201,('Spell Tables'!$AD$2:$AD$9),0))," "))))))))))))</f>
        <v xml:space="preserve"> </v>
      </c>
    </row>
    <row r="202" spans="2:37" x14ac:dyDescent="0.3">
      <c r="B202" s="33"/>
      <c r="C202" s="33"/>
      <c r="D202" s="33"/>
      <c r="E202" s="33"/>
      <c r="F202" s="33"/>
      <c r="G202" s="33"/>
      <c r="H202" s="33"/>
      <c r="I202" s="33"/>
      <c r="J202" s="33"/>
      <c r="K202" s="33"/>
      <c r="L202" s="33"/>
      <c r="M202" s="33"/>
      <c r="N202" s="33"/>
      <c r="O202" s="34">
        <v>10</v>
      </c>
      <c r="P202" s="33" t="str">
        <f ca="1">IF(P$173&gt;=O202,INDEX('Spell Tables'!$P$242:$P$257,MATCH(O202,('Spell Tables'!$N$242:$N$257),0)),IF(P$175&gt;=O202,INDEX('Spell Tables'!$P$194:$P$201,MATCH(O202,('Spell Tables'!$N$194:$N$201),0)),IF(P$177&gt;=O202,INDEX('Spell Tables'!$P$168:$P$183,MATCH(O202,('Spell Tables'!$N$168:$N$183),0)),IF(P$179&gt;=O202,INDEX('Spell Tables'!$P$141:$P$156,MATCH(O202,('Spell Tables'!$N$141:$N$157),0)),IF(P$185&gt;=O202,INDEX('Spell Tables'!$P$70:$P$83,MATCH(O202,('Spell Tables'!$N$70:$N$83),0)),IF(P$187&gt;=O202,INDEX('Spell Tables'!$P$48:$P$55,MATCH(O202,('Spell Tables'!$N$48:$N$55),0)),IF(P$189&gt;=O202,INDEX('Spell Tables'!$P$26:$P$32,MATCH(O202,('Spell Tables'!$N$26:$N$32),0)),IF(P$191&gt;=O202,INDEX('Spell Tables'!$P$2:$P$12,MATCH(O202,('Spell Tables'!$N$2:$N$12),0))," "))))))))</f>
        <v xml:space="preserve"> </v>
      </c>
      <c r="Q202" s="33" t="str">
        <f ca="1">IF(AND($O$15="Otherworldly patron - great old one",Q$175&gt;=O202),INDEX('Spell Tables'!$T$226:$T$238,MATCH(O202,('Spell Tables'!$R$226:$R$238),0)),IF(AND($O$15="Otherworldly patron - fiend",Q$175&gt;=O202),INDEX('Spell Tables'!$T$210:$T$222,MATCH(O202,('Spell Tables'!$R$210:$R$222),0)),IF(Q$173&gt;=O202,INDEX($AL$44:$AL$53,MATCH(O202,($AJ$44:$AJ$53),0)),IF(AND($O$15="Otherworldly patron - archfey",Q$175&gt;=O202),INDEX('Spell Tables'!$T$194:$T$206,MATCH(O202,('Spell Tables'!$R$194:$R$206),0)),IF(Q$177&gt;=O202,INDEX('Spell Tables'!$T$168:$T$187,MATCH(O202,('Spell Tables'!$R$168:$R$187),0)),IF(Q$179&gt;=O202,INDEX('Spell Tables'!$T$141:$T$147,MATCH(O202,('Spell Tables'!$R$141:$R$147),0)),IF(Q$181&gt;=O202,INDEX('Spell Tables'!$P$119:$P$131,MATCH(O202,('Spell Tables'!$N$119:$N$131),0)),IF(Q$183&gt;=O202,INDEX('Spell Tables'!$P$97:$P$111,MATCH(O202,('Spell Tables'!$N$97:$N$111),0)),IF(Q$185&gt;=O202,INDEX('Spell Tables'!$T$70:$T$78,MATCH(O202,('Spell Tables'!$R$70:$R$78),0)),IF(Q$187&gt;=O202,INDEX('Spell Tables'!$T$48:$T$63,MATCH(O202,('Spell Tables'!$R$48:$R$63),0)),IF(Q$189&gt;=O202,INDEX('Spell Tables'!$T$26:$T$40,MATCH(O202,('Spell Tables'!$R$26:$R$40),0)),IF(Q$191&gt;=O202,INDEX('Spell Tables'!$T$2:$T$22,MATCH(O202,('Spell Tables'!$R$2:$R$22),0))," "))))))))))))</f>
        <v xml:space="preserve"> </v>
      </c>
      <c r="R202" s="33" t="str">
        <f ca="1">IF(AND($O$15="Otherworldly patron - great old one",R$175&gt;=O202),INDEX('Spell Tables'!$X$226:$X$239,MATCH(O202,('Spell Tables'!$V$226:$V$239),0)),IF(AND($O$15="Otherworldly patron - fiend",R$175&gt;=O202),INDEX('Spell Tables'!$X$210:$X$223,MATCH(O202,('Spell Tables'!$V$210:$V$223),0)),IF(AND($O$15="Otherworldly patron - archfey",R$175&gt;=O202),INDEX('Spell Tables'!$X$194:$X$207,MATCH(O202,('Spell Tables'!$V$194:$V$207),0)),IF($R$173&gt;=O202,INDEX($AL$56:$AL$65,MATCH(O202,($AJ$56:$AJ$65),0)),IF($R$177&gt;=O202,INDEX('Spell Tables'!$X$168:$X$191,MATCH(O202,('Spell Tables'!$V$168:$V$191),0)),IF($R$179&gt;=O202,INDEX('Spell Tables'!$AB$141:$AB$149,MATCH(O202,('Spell Tables'!$Z$141:$Z$149),0)),IF($R$181&gt;=O202,INDEX('Spell Tables'!$T$119:$T$131,MATCH(O202,('Spell Tables'!$R$119:$R$131),0)),IF($R$183&gt;=O202,INDEX('Spell Tables'!$T$97:$T$104,MATCH(O202,('Spell Tables'!$R$97:$R$104),0)),IF($R$185&gt;=O202,INDEX('Spell Tables'!$AB$70:$AB$75,MATCH(O202,('Spell Tables'!$Z$70:$Z$75),0)),IF($R$187&gt;=O202,INDEX('Spell Tables'!$X$48:$X$65,MATCH(O202,('Spell Tables'!$V$48:$V$65),0)),IF($R$189&gt;=O202,INDEX('Spell Tables'!$X$26:$X$42,MATCH(O202,('Spell Tables'!$V$26:$V$42),0)),IF($R$191&gt;=O202,INDEX('Spell Tables'!$X$2:$X$23,MATCH(O202,('Spell Tables'!$V$2:$V$23),0))," "))))))))))))</f>
        <v xml:space="preserve"> </v>
      </c>
      <c r="S202" s="33" t="str">
        <f ca="1">IF(AND($O$15="Otherworldly patron - great old one",S$175&gt;=O202),INDEX('Spell Tables'!$AB$226:$AB$238,MATCH(O202,('Spell Tables'!$Z$226:$Z$238),0)),IF(AND($O$15="Otherworldly patron - fiend",S$175&gt;=O202),INDEX('Spell Tables'!$AB$210:$AB$222,MATCH(O202,('Spell Tables'!$Z$210:$Z$222),0)),IF(AND($O$15="Otherworldly patron - archfey",S$175&gt;=O202),INDEX('Spell Tables'!$AB$194:$AB$206,MATCH(O202,('Spell Tables'!$Z$194:$Z$206),0)),IF($S$173&gt;=O202,INDEX($AL$68:$AL$77,MATCH(O202,($AJ$68:$AJ$77),0)),IF($S$177&gt;=O202,INDEX('Spell Tables'!$AB$168:$AB$187,MATCH(O202,('Spell Tables'!$Z$168:$Z$187),0)),IF($S$179&gt;=O202,INDEX('Spell Tables'!$AJ$141:$AJ$144,MATCH(O202,('Spell Tables'!$AH$141:$AH$144),0)),IF($S$181&gt;=O202,INDEX('Spell Tables'!$X$119:$X$129,MATCH(O202,('Spell Tables'!$V$119:$V$129),0)),IF($S$183&gt;=O202,INDEX('Spell Tables'!$X$97:$X$106,MATCH(O202,('Spell Tables'!$V$97:$V$106),0)),IF($S$185&gt;=O202,INDEX('Spell Tables'!$AJ$70:$AJ$79,MATCH(O202,('Spell Tables'!$AH$70:$AH$79),0)),IF($S$187&gt;=O202,INDEX('Spell Tables'!$AB$48:$AB$60,MATCH(O202,('Spell Tables'!$Z$48:$Z$60),0)),IF($S$189&gt;=O202,INDEX('Spell Tables'!$AB$26:$AB$45,MATCH(O202,('Spell Tables'!$Z$26:$Z$45),0)),IF($S$191&gt;=O202,INDEX('Spell Tables'!$AB$2:$AB$17,MATCH(O202,('Spell Tables'!$Z$2:$Z$17),0))," "))))))))))))</f>
        <v xml:space="preserve"> </v>
      </c>
      <c r="T202" s="33" t="str">
        <f ca="1">IF(AND($O$15="Otherworldly patron - great old one",T$175&gt;=O202),INDEX('Spell Tables'!$AF$226:$AF$231,MATCH(O202,('Spell Tables'!$AD$226:$AD$231),0)),IF(AND($O$15="Otherworldly patron - fiend",T$175&gt;=O202),INDEX('Spell Tables'!$AF$210:$AF$215,MATCH(O202,('Spell Tables'!$AD$210:$AD$215),0)),IF(AND($O$15="Otherworldly patron - archfey",T$175&gt;=O202),INDEX('Spell Tables'!$AF$194:$AF$199,MATCH(O202,('Spell Tables'!$AD$194:$AD$199),0)),IF($T$173&gt;=O202,INDEX('Spell Tables'!$AF$242:$AF$264,MATCH(O202,('Spell Tables'!$AD$242:$AD$264),0)),IF($T$177&gt;=O202,INDEX('Spell Tables'!$AF$168:$AF$177,MATCH(O202,('Spell Tables'!$AD$168:$AD$177),0)),IF($T$179&gt;=O202,INDEX('Spell Tables'!$AR$141:$AR$144,MATCH(O202,('Spell Tables'!$AP$141:$AP$144),0)),IF($T$181&gt;=O202,INDEX('Spell Tables'!$AB$119:$AB$123,MATCH(O202,('Spell Tables'!$Z$119:$Z$123),0)),IF($T$183&gt;=O202,INDEX('Spell Tables'!$AB$97:$AB$102,MATCH(O202,('Spell Tables'!$Z$97:$Z$102),0)),IF($T$185&gt;=O202,INDEX('Spell Tables'!$AR$70:$AR$75,MATCH(O202,('Spell Tables'!$AP$70:$AP$75),0)),IF($T$187&gt;=O202,INDEX('Spell Tables'!$AF$48:$AF$63,MATCH(O202,('Spell Tables'!$AD$48:$AD$63),0)),IF($T$189&gt;=O202,INDEX('Spell Tables'!$AF$26:$AF$33,MATCH(O202,('Spell Tables'!$AD$26:$AD$33),0)),IF($T$191&gt;=O202,INDEX('Spell Tables'!$AF$2:$AF$9,MATCH(O202,('Spell Tables'!$AD$2:$AD$9),0))," "))))))))))))</f>
        <v xml:space="preserve"> </v>
      </c>
    </row>
    <row r="204" spans="2:37" ht="19.5" thickBot="1" x14ac:dyDescent="0.35">
      <c r="C204" s="38"/>
      <c r="D204" s="38"/>
      <c r="E204" s="38"/>
      <c r="F204" s="38"/>
      <c r="G204" s="38"/>
      <c r="H204" s="38"/>
      <c r="I204" s="38"/>
      <c r="J204" s="38"/>
      <c r="K204" s="38"/>
      <c r="L204" s="38"/>
      <c r="M204" s="38"/>
      <c r="O204" s="38"/>
      <c r="P204" s="38"/>
      <c r="Q204" s="38"/>
      <c r="R204" s="38"/>
      <c r="S204" s="38"/>
      <c r="T204" s="38"/>
    </row>
    <row r="205" spans="2:37" hidden="1" x14ac:dyDescent="0.3">
      <c r="N205" s="72"/>
      <c r="P205" s="27"/>
      <c r="Q205" s="27"/>
      <c r="R205" s="27"/>
      <c r="S205" s="91"/>
    </row>
    <row r="206" spans="2:37" x14ac:dyDescent="0.3">
      <c r="N206" s="72"/>
      <c r="O206" s="135" t="s">
        <v>1342</v>
      </c>
      <c r="P206" s="65">
        <f ca="1">IF(AND(AF14=2,OR(O11="monk",O11="barbarian",O11="warlock"),OR(Q11="fighter",Q11="rogue"),OR(P15&lt;&gt;"arcane trickster",R15&lt;&gt;"arcane trickster",P15&lt;&gt;"eldritch knight",R15&lt;&gt;"eldritch knight")),0,IF(AND(AF14=2,OR(O11="monk",O11="barbarian",O11="warlock"),OR(Q11="monk",Q11="barbarian",Q11="warlock")),0,IF(AND(AF14=2,OR(O11="monk",O11="barbarian",O11="warlock",Q11="monk",Q11="barbarian",Q11="warlock"),OR(O11="paladin",Q11="paladin",O11="ranger",Q11="ranger")),INDEX('Spell Tables'!H119:H138,MATCH(AF18,('Spell Tables'!B119:B138),0)),IF(AF14=2,INDEX('Spell Tables'!H242:H261,MATCH(AF18,('Spell Tables'!B242:B261),0)),IF(OR($O$11="bard",$O$11="cleric",$O$11="druid",O11="sorcerer",O11="wizard"),INDEX('Spell Tables'!H$2:H$21,MATCH($O$12,('Spell Tables'!$A$2:$A$21),0))," ")))))</f>
        <v>1</v>
      </c>
      <c r="Q206" s="65">
        <f ca="1">IF(AND(AF14=2,OR(O11="monk",O11="barbarian",O11="warlock"),OR(Q11="fighter",Q11="rogue"),OR(P15&lt;&gt;"arcane trickster",R15&lt;&gt;"arcane trickster",P15&lt;&gt;"eldritch knight",R15&lt;&gt;"eldritch knight")),0,IF(AND(AF14=2,OR(O11="monk",O11="barbarian",O11="warlock"),OR(Q11="monk",Q11="barbarian",Q11="warlock")),0,IF(AF14=2,INDEX('Spell Tables'!I242:I261,MATCH(AF18,('Spell Tables'!B242:B261),0)),IF(OR($O$11="bard",$O$11="cleric",$O$11="druid",O11="sorcerer",O11="wizard"),INDEX('Spell Tables'!I$2:I$21,MATCH($O$12,('Spell Tables'!$A$2:$A$21),0))," "))))</f>
        <v>0</v>
      </c>
      <c r="R206" s="65">
        <f ca="1">IF(AND(AF14=2,OR(O11="monk",O11="barbarian",O11="warlock"),OR(Q11="fighter",Q11="rogue"),OR(P15&lt;&gt;"arcane trickster",R15&lt;&gt;"arcane trickster",P15&lt;&gt;"eldritch knight",R15&lt;&gt;"eldritch knight")),0,IF(AND(AF14=2,OR(O11="monk",O11="barbarian",O11="warlock"),OR(Q11="monk",Q11="barbarian",Q11="warlock")),0,IF(AF14=2,INDEX('Spell Tables'!J242:J261,MATCH(AF18,('Spell Tables'!B242:B261),0)),IF(OR($O$11="bard",$O$11="cleric",$O$11="druid",O11="sorcerer",O11="wizard"),INDEX('Spell Tables'!J$2:J$21,MATCH($O$12,('Spell Tables'!$A$2:$A$21),0))," "))))</f>
        <v>0</v>
      </c>
      <c r="S206" s="65">
        <f ca="1">IF(AND(AF14=2,OR(O11="monk",O11="barbarian",O11="warlock"),OR(Q11="fighter",Q11="rogue"),OR(P15&lt;&gt;"arcane trickster",R15&lt;&gt;"arcane trickster",P15&lt;&gt;"eldritch knight",R15&lt;&gt;"eldritch knight")),0,IF(AND(AF14=2,OR(O11="monk",O11="barbarian",O11="warlock"),OR(Q11="monk",Q11="barbarian",Q11="warlock")),0,IF(AF14=2,INDEX('Spell Tables'!K242:K261,MATCH(AF18,('Spell Tables'!B242:B261),0)),IF(OR($O$11="bard",$O$11="cleric",$O$11="druid",O11="sorcerer",O11="wizard"),INDEX('Spell Tables'!K$2:K$21,MATCH($O$12,('Spell Tables'!$A$2:$A$21),0))," "))))</f>
        <v>0</v>
      </c>
      <c r="T206" s="66">
        <f ca="1">IF(AND(AF14=2,OR(O11="monk",O11="barbarian",O11="warlock"),OR(Q11="fighter",Q11="rogue"),OR(P15&lt;&gt;"arcane trickster",R15&lt;&gt;"arcane trickster",P15&lt;&gt;"eldritch knight",R15&lt;&gt;"eldritch knight")),0,IF(AND(AF14=2,OR(O11="monk",O11="barbarian",O11="warlock"),OR(Q11="monk",Q11="barbarian",Q11="warlock")),0,IF(AF14=2,INDEX('Spell Tables'!L242:L261,MATCH(AF18,('Spell Tables'!B242:B261),0)),IF(OR($O$11="bard",$O$11="cleric",$O$11="druid",O11="sorcerer",O11="wizard"),INDEX('Spell Tables'!L$2:L$21,MATCH($O$12,('Spell Tables'!$A$2:$A$21),0))," "))))</f>
        <v>0</v>
      </c>
    </row>
    <row r="207" spans="2:37" hidden="1" x14ac:dyDescent="0.3">
      <c r="N207" s="72"/>
      <c r="O207" s="79"/>
      <c r="P207" s="29" t="str">
        <f ca="1">IF(AND(O11="wizard",O12&gt;=11),"x",IF(AND($O$11="wizard",$O$12&gt;9),"xx",IF(AND(O11="wizard",O12=9),"xxx"," ")))</f>
        <v xml:space="preserve"> </v>
      </c>
      <c r="Q207" s="29" t="str">
        <f ca="1">IF(AND(O11="wizard",O12&gt;=13),"x",IF(AND($O$11="wizard",$O$12&gt;11),"xx",IF(AND(O11="wizard",O12=11),"xxx"," ")))</f>
        <v xml:space="preserve"> </v>
      </c>
      <c r="R207" s="29" t="str">
        <f ca="1">IF(AND(O11="wizard",O12&gt;=15),"x",IF(AND($O$11="wizard",$O$12&gt;13),"xx",IF(AND(O11="wizard",O12=13),"xxx"," ")))</f>
        <v xml:space="preserve"> </v>
      </c>
      <c r="S207" s="29" t="str">
        <f ca="1">IF(AND(O11="wizard",O12&gt;=17),"x",IF(AND($O$11="wizard",$O$12&gt;15),"xx",IF(AND(O11="wizard",O12=15),"xxx"," ")))</f>
        <v xml:space="preserve"> </v>
      </c>
      <c r="T207" s="72" t="str">
        <f ca="1">IF(AND($O$11="wizard",$O$12&gt;17),"xx",IF(AND(O11="wizard",O12=17),"xxx"," "))</f>
        <v xml:space="preserve"> </v>
      </c>
    </row>
    <row r="208" spans="2:37" hidden="1" x14ac:dyDescent="0.3">
      <c r="N208" s="72"/>
      <c r="O208" s="79"/>
      <c r="P208" s="29">
        <f ca="1">IF(P207="x",RANDBETWEEN(2,3),IF(P207="xx",RANDBETWEEN(2,3),IF(P207="xxx",RANDBETWEEN(1,2),0)))</f>
        <v>0</v>
      </c>
      <c r="Q208" s="29">
        <f ca="1">IF(Q207="x",RANDBETWEEN(2,3),IF(Q207="xx",RANDBETWEEN(2,3),IF(Q207="xxx",RANDBETWEEN(1,2),0)))</f>
        <v>0</v>
      </c>
      <c r="R208" s="29">
        <f ca="1">IF(R207="x",RANDBETWEEN(1,2),IF(R207="xx",RANDBETWEEN(1,2),IF(R207="xxx",RANDBETWEEN(1,2),0)))</f>
        <v>0</v>
      </c>
      <c r="S208" s="29">
        <f ca="1">IF(OR(S207="x",S207="xx"),RANDBETWEEN(1,2),IF(S207="xxx",RANDBETWEEN(1,2),0))</f>
        <v>0</v>
      </c>
      <c r="T208" s="72">
        <f ca="1">IF(T207="xx",RANDBETWEEN(1,2),IF(T207="xxx",RANDBETWEEN(1,2),0))</f>
        <v>0</v>
      </c>
    </row>
    <row r="209" spans="14:20" hidden="1" x14ac:dyDescent="0.3">
      <c r="N209" s="72"/>
      <c r="O209" s="79"/>
      <c r="P209" s="29" t="str">
        <f ca="1">IF(AND($O$11="warlock",$O$12&gt;=9),"xx"," ")</f>
        <v xml:space="preserve"> </v>
      </c>
      <c r="T209" s="72"/>
    </row>
    <row r="210" spans="14:20" hidden="1" x14ac:dyDescent="0.3">
      <c r="N210" s="72"/>
      <c r="O210" s="79"/>
      <c r="P210" s="29">
        <f ca="1">IF(P209="x",RANDBETWEEN(2,3),IF(P209="xx",RANDBETWEEN(2,3),0))</f>
        <v>0</v>
      </c>
      <c r="T210" s="72"/>
    </row>
    <row r="211" spans="14:20" hidden="1" x14ac:dyDescent="0.3">
      <c r="N211" s="72"/>
      <c r="O211" s="79"/>
      <c r="P211" s="29" t="str">
        <f ca="1">IF(AND($O$11="sorcerer",$O$12&gt;=11),"x",IF(AND($O$11="sorcerer",$O$12&gt;=9),"xx"," "))</f>
        <v xml:space="preserve"> </v>
      </c>
      <c r="Q211" s="29" t="str">
        <f ca="1">IF(AND($O$11="sorcerer",$O$12&gt;=13),"x",IF(AND($O$11="sorcerer",$O$12&gt;=11),"xx"," "))</f>
        <v xml:space="preserve"> </v>
      </c>
      <c r="R211" s="29" t="str">
        <f ca="1">IF(AND($O$11="sorcerer",$O$12&gt;=15),"x",IF(AND($O$11="sorcerer",$O$12&gt;=13),"xx"," "))</f>
        <v xml:space="preserve"> </v>
      </c>
      <c r="S211" s="29" t="str">
        <f ca="1">IF(AND($O$11="sorcerer",$O$12&gt;=17),"x",IF(AND($O$11="sorcerer",$O$12&gt;15),"xx"," "))</f>
        <v xml:space="preserve"> </v>
      </c>
      <c r="T211" s="72" t="str">
        <f ca="1">IF(AND($O$11="sorcerer",$O$12&gt;=17),"xx"," ")</f>
        <v xml:space="preserve"> </v>
      </c>
    </row>
    <row r="212" spans="14:20" hidden="1" x14ac:dyDescent="0.3">
      <c r="N212" s="72"/>
      <c r="O212" s="79"/>
      <c r="P212" s="29">
        <f ca="1">IF(P211="x",RANDBETWEEN(2,3),IF(P211="xx",RANDBETWEEN(2,3),0))</f>
        <v>0</v>
      </c>
      <c r="Q212" s="29">
        <f ca="1">IF(Q211="x",RANDBETWEEN(2,3),IF(Q211="xx",RANDBETWEEN(2,3),0))</f>
        <v>0</v>
      </c>
      <c r="R212" s="29">
        <f ca="1">IF(R211="x",RANDBETWEEN(1,2),IF(R211="xx",RANDBETWEEN(1,2),0))</f>
        <v>0</v>
      </c>
      <c r="S212" s="29">
        <f ca="1">IF(OR(S211="x",S211="xx"),RANDBETWEEN(1,2),0)</f>
        <v>0</v>
      </c>
      <c r="T212" s="72">
        <f ca="1">IF(T211="xx",RANDBETWEEN(1,2),0)</f>
        <v>0</v>
      </c>
    </row>
    <row r="213" spans="14:20" hidden="1" x14ac:dyDescent="0.3">
      <c r="N213" s="72"/>
      <c r="O213" s="79"/>
      <c r="T213" s="72"/>
    </row>
    <row r="214" spans="14:20" hidden="1" x14ac:dyDescent="0.3">
      <c r="N214" s="72"/>
      <c r="O214" s="79"/>
      <c r="T214" s="72"/>
    </row>
    <row r="215" spans="14:20" hidden="1" x14ac:dyDescent="0.3">
      <c r="N215" s="72"/>
      <c r="O215" s="79"/>
      <c r="P215" s="29" t="str">
        <f ca="1">IF(AND($O$11="ranger",$O$12&gt;=17),"xx"," ")</f>
        <v xml:space="preserve"> </v>
      </c>
      <c r="T215" s="72"/>
    </row>
    <row r="216" spans="14:20" hidden="1" x14ac:dyDescent="0.3">
      <c r="N216" s="72"/>
      <c r="O216" s="79"/>
      <c r="P216" s="29">
        <f ca="1">IF(P215="x",RANDBETWEEN(2,3),IF(P215="xx",RANDBETWEEN(2,3),0))</f>
        <v>0</v>
      </c>
      <c r="T216" s="72"/>
    </row>
    <row r="217" spans="14:20" hidden="1" x14ac:dyDescent="0.3">
      <c r="N217" s="72"/>
      <c r="O217" s="79"/>
      <c r="P217" s="29" t="str">
        <f ca="1">IF(AND(O11="paladin",O12&gt;=17),"xx"," ")</f>
        <v xml:space="preserve"> </v>
      </c>
      <c r="T217" s="72"/>
    </row>
    <row r="218" spans="14:20" hidden="1" x14ac:dyDescent="0.3">
      <c r="N218" s="72"/>
      <c r="O218" s="79"/>
      <c r="P218" s="29">
        <f ca="1">IF(P217="x",RANDBETWEEN(2,3),IF(P217="xx",RANDBETWEEN(2,3),0))</f>
        <v>0</v>
      </c>
      <c r="T218" s="72"/>
    </row>
    <row r="219" spans="14:20" hidden="1" x14ac:dyDescent="0.3">
      <c r="N219" s="72"/>
      <c r="O219" s="79"/>
      <c r="T219" s="72"/>
    </row>
    <row r="220" spans="14:20" hidden="1" x14ac:dyDescent="0.3">
      <c r="N220" s="72"/>
      <c r="O220" s="79"/>
      <c r="T220" s="72"/>
    </row>
    <row r="221" spans="14:20" hidden="1" x14ac:dyDescent="0.3">
      <c r="N221" s="72"/>
      <c r="O221" s="79"/>
      <c r="P221" s="29" t="str">
        <f ca="1">IF(AND($O$11="druid",$O$12&gt;=11),"x",IF(AND($O$11="druid",$O$12&gt;=9),"xx"," "))</f>
        <v xml:space="preserve"> </v>
      </c>
      <c r="Q221" s="29" t="str">
        <f ca="1">IF(AND($O$11="druid",$O$12&gt;=13),"x",IF(AND($O$11="druid",$O$12&gt;=11),"xx"," "))</f>
        <v xml:space="preserve"> </v>
      </c>
      <c r="R221" s="29" t="str">
        <f ca="1">IF(AND($O$11="druid",$O$12&gt;=15),"x",IF(AND($O$11="druid",$O$12&gt;=13),"xx"," "))</f>
        <v xml:space="preserve"> </v>
      </c>
      <c r="S221" s="29" t="str">
        <f ca="1">IF(AND($O$11="druid",$O$12&gt;=17),"x",IF(AND($O$11="druid",$O$12&gt;15),"xx"," "))</f>
        <v xml:space="preserve"> </v>
      </c>
      <c r="T221" s="72" t="str">
        <f ca="1">IF(AND($O$11="druid",$O$12&gt;=17),"xx"," ")</f>
        <v xml:space="preserve"> </v>
      </c>
    </row>
    <row r="222" spans="14:20" hidden="1" x14ac:dyDescent="0.3">
      <c r="N222" s="72"/>
      <c r="O222" s="79"/>
      <c r="P222" s="29">
        <f ca="1">IF(P221="x",RANDBETWEEN(2,3),IF(P221="xx",RANDBETWEEN(2,3),0))</f>
        <v>0</v>
      </c>
      <c r="Q222" s="29">
        <f ca="1">IF(Q221="x",RANDBETWEEN(2,3),IF(Q221="xx",RANDBETWEEN(2,3),0))</f>
        <v>0</v>
      </c>
      <c r="R222" s="29">
        <f ca="1">IF(R221="x",RANDBETWEEN(1,2),IF(R221="xx",RANDBETWEEN(1,2),0))</f>
        <v>0</v>
      </c>
      <c r="S222" s="29">
        <f ca="1">IF(OR(S221="x",S221="xx"),RANDBETWEEN(1,2),0)</f>
        <v>0</v>
      </c>
      <c r="T222" s="72">
        <f ca="1">IF(T221="xx",RANDBETWEEN(1,2),0)</f>
        <v>0</v>
      </c>
    </row>
    <row r="223" spans="14:20" hidden="1" x14ac:dyDescent="0.3">
      <c r="N223" s="72"/>
      <c r="O223" s="79"/>
      <c r="P223" s="29" t="str">
        <f ca="1">IF(AND(O11="cleric",O12&gt;=11),"x",IF(AND($O$11="cleric",$O$12&gt;=9),"xx"," "))</f>
        <v xml:space="preserve"> </v>
      </c>
      <c r="Q223" s="29" t="str">
        <f ca="1">IF(AND(O11="cleric",O12&gt;=13),"x",IF(AND($O$11="cleric",$O$12&gt;=11),"xx"," "))</f>
        <v xml:space="preserve"> </v>
      </c>
      <c r="R223" s="29" t="str">
        <f ca="1">IF(AND(O11="cleric",O12&gt;=15),"x",IF(AND($O$11="cleric",$O$12&gt;=13),"xx"," "))</f>
        <v xml:space="preserve"> </v>
      </c>
      <c r="S223" s="29" t="str">
        <f ca="1">IF(AND(O11="cleric",O12&gt;=17),"x",IF(AND($O$11="cleric",$O$12&gt;15),"xx"," "))</f>
        <v xml:space="preserve"> </v>
      </c>
      <c r="T223" s="72" t="str">
        <f ca="1">IF(AND($O$11="cleric",$O$12&gt;=17),"xx"," ")</f>
        <v xml:space="preserve"> </v>
      </c>
    </row>
    <row r="224" spans="14:20" hidden="1" x14ac:dyDescent="0.3">
      <c r="N224" s="72"/>
      <c r="O224" s="79"/>
      <c r="P224" s="29">
        <f ca="1">IF(P223="x",RANDBETWEEN(2,3),IF(P223="xx",RANDBETWEEN(2,3),0))</f>
        <v>0</v>
      </c>
      <c r="Q224" s="29">
        <f ca="1">IF(Q223="x",RANDBETWEEN(2,3),IF(Q223="xx",RANDBETWEEN(2,3),0))</f>
        <v>0</v>
      </c>
      <c r="R224" s="29">
        <f ca="1">IF(R223="x",RANDBETWEEN(1,2),IF(R223="xx",RANDBETWEEN(1,2),0))</f>
        <v>0</v>
      </c>
      <c r="S224" s="29">
        <f ca="1">IF(OR(S223="x",S223="xx"),RANDBETWEEN(1,2),0)</f>
        <v>0</v>
      </c>
      <c r="T224" s="72">
        <f ca="1">IF(T223="xx",RANDBETWEEN(1,2),0)</f>
        <v>0</v>
      </c>
    </row>
    <row r="225" spans="2:20" hidden="1" x14ac:dyDescent="0.3">
      <c r="N225" s="72"/>
      <c r="O225" s="79"/>
      <c r="P225" s="29" t="str">
        <f ca="1">IF(AND($O$11="bard",$O$12&gt;=11),"x",IF(AND($O$11="bard",$O$12&gt;=9),"xx"," "))</f>
        <v xml:space="preserve"> </v>
      </c>
      <c r="Q225" s="29" t="str">
        <f ca="1">IF(AND($O$11="bard",$O$12&gt;=13),"x",IF(AND($O$11="bard",$O$12&gt;=11),"xx"," "))</f>
        <v xml:space="preserve"> </v>
      </c>
      <c r="R225" s="29" t="str">
        <f ca="1">IF(AND($O$11="bard",$O$12&gt;=15),"x",IF(AND($O$11="bard",$O$12&gt;=13),"xx"," "))</f>
        <v xml:space="preserve"> </v>
      </c>
      <c r="S225" s="29" t="str">
        <f ca="1">IF(AND($O$11="bard",$O$12&gt;=17),"x",IF(AND($O$11="bard",$O$12&gt;15),"xx"," "))</f>
        <v xml:space="preserve"> </v>
      </c>
      <c r="T225" s="72" t="str">
        <f ca="1">IF(AND($O$11="bard",$O$12&gt;=17),"xx"," ")</f>
        <v xml:space="preserve"> </v>
      </c>
    </row>
    <row r="226" spans="2:20" hidden="1" x14ac:dyDescent="0.3">
      <c r="N226" s="72"/>
      <c r="O226" s="79"/>
      <c r="P226" s="29">
        <f ca="1">IF(P225="x",RANDBETWEEN(2,3),IF(P225="xx",RANDBETWEEN(2,3),0))</f>
        <v>0</v>
      </c>
      <c r="Q226" s="29">
        <f ca="1">IF(Q225="x",RANDBETWEEN(2,3),IF(Q225="xx",RANDBETWEEN(2,3),0))</f>
        <v>0</v>
      </c>
      <c r="R226" s="29">
        <f ca="1">IF(R225="x",RANDBETWEEN(1,2),IF(R225="xx",RANDBETWEEN(1,2),0))</f>
        <v>0</v>
      </c>
      <c r="S226" s="29">
        <f ca="1">IF(OR(S225="x",S225="xx"),RANDBETWEEN(1,2),0)</f>
        <v>0</v>
      </c>
      <c r="T226" s="72">
        <f ca="1">IF(T225="xx",RANDBETWEEN(1,2),0)</f>
        <v>0</v>
      </c>
    </row>
    <row r="227" spans="2:20" x14ac:dyDescent="0.3">
      <c r="N227" s="72"/>
      <c r="O227" s="79"/>
      <c r="P227" s="107" t="s">
        <v>1169</v>
      </c>
      <c r="Q227" s="107" t="s">
        <v>1170</v>
      </c>
      <c r="R227" s="107" t="s">
        <v>1171</v>
      </c>
      <c r="S227" s="107" t="s">
        <v>677</v>
      </c>
      <c r="T227" s="93" t="s">
        <v>1172</v>
      </c>
    </row>
    <row r="228" spans="2:20" x14ac:dyDescent="0.3">
      <c r="N228" s="72"/>
      <c r="O228" s="86">
        <v>1</v>
      </c>
      <c r="P228" s="65" t="str">
        <f ca="1">IF(AND($O$15="Otherworldly patron - great old one",P$210&gt;=O193),INDEX('Spell Tables'!$AJ$226:$AJ$231,MATCH(O193,('Spell Tables'!$AH$226:$AH$231),0)),IF(AND($O$15="Otherworldly patron - fiend",P$210&gt;=O193),INDEX('Spell Tables'!$AJ$210:$AJ$215,MATCH(O193,('Spell Tables'!$AH$210:$AH$215),0)),IF(AND($O$15="Otherworldly patron - archfey",P$210&gt;=O193),INDEX('Spell Tables'!$AJ$194:$AJ$199,MATCH(O193,('Spell Tables'!$AH$194:$AH$199),0)),IF($P$208&gt;=O193,INDEX($AL$92:$AL$101,MATCH(O193,($AJ$92:$AJ$101),0)),IF($P$212&gt;=O193,INDEX('Spell Tables'!$AJ$168:$AJ$178,MATCH(O193,('Spell Tables'!$AH$168:$AH$178),0)),IF($P$216&gt;=O193,INDEX('Spell Tables'!$AF$119:$AF$122,MATCH(O193,('Spell Tables'!$AD$119:$AD$122),0)),IF($P$218&gt;=O193,INDEX('Spell Tables'!$AF$97:$AF$102,MATCH(O193,('Spell Tables'!$AD$97:$AD$102),0)),IF($P$222&gt;=O193,INDEX('Spell Tables'!$AJ$48:$AJ$61,MATCH(O193,('Spell Tables'!$AH$48:$AH$61),0)),IF($P$224&gt;=O193,INDEX('Spell Tables'!$AJ$26:$AJ$38,MATCH(O193,('Spell Tables'!$AH$26:$AH$38),0)),IF($P$226&gt;=O193,INDEX('Spell Tables'!$AJ$2:$AJ$17,MATCH(O193,('Spell Tables'!$AH$2:$AH$17),0))," "))))))))))</f>
        <v xml:space="preserve"> </v>
      </c>
      <c r="Q228" s="65" t="str">
        <f ca="1">IF($Q$208&gt;=O193,INDEX($AL$104:$AL$113,MATCH(O193,($AJ$104:$AJ$113),0)),IF($Q$212&gt;=O193,INDEX('Spell Tables'!$AN$168:$AN$177,MATCH(O193,('Spell Tables'!$AL$168:$AL$177),0)),IF($Q$222&gt;=O193,INDEX('Spell Tables'!$AN$48:$AN$56,MATCH(O193,('Spell Tables'!$AL$48:$AL$56),0)),IF($Q$224&gt;=O193,INDEX('Spell Tables'!$AN$26:$AN$35,MATCH(O193,('Spell Tables'!$AL$26:$AL$35),0)),IF($Q$226&gt;=O193,INDEX('Spell Tables'!$AN$2:$AN$8,MATCH(O193,('Spell Tables'!$AL$2:$AL$8),0))," ")))))</f>
        <v xml:space="preserve"> </v>
      </c>
      <c r="R228" s="65" t="str">
        <f ca="1">IF($R$208&gt;=O193,INDEX($AL$116:$AL$125,MATCH(O193,($AJ$116:$AJ$125),0)),IF($R$212&gt;=O193,INDEX('Spell Tables'!$AR$168:$AR$175,MATCH(O193,('Spell Tables'!$AP$168:$AP$175),0)),IF($R$222&gt;=O193,INDEX('Spell Tables'!$AR$48:$AR$52,MATCH(O193,('Spell Tables'!$AP$48:$AP$52),0)),IF($R$224&gt;=O193,INDEX('Spell Tables'!$AR$26:$AR$33,MATCH(O193,('Spell Tables'!$AP$26:$AP$33),0)),IF($R$226&gt;=O193,INDEX('Spell Tables'!$AR$2:$AR$11,MATCH(O193,('Spell Tables'!$AL$2:$AL$11),0))," ")))))</f>
        <v xml:space="preserve"> </v>
      </c>
      <c r="S228" s="65" t="str">
        <f ca="1">IF($S$208&gt;=O193,INDEX($AL$128:$AL$137,MATCH(O193,($AJ$128:$AJ$137),0)),IF($S$212&gt;=O193,INDEX('Spell Tables'!$AV$168:$AV$172,MATCH(O193,('Spell Tables'!$AT$168:$AT$172),0)),IF($S$222&gt;=O193,INDEX('Spell Tables'!$AV$48:$AV$54,MATCH(O193,('Spell Tables'!$AT$48:$AT$54),0)),IF($S$224&gt;=O193,INDEX('Spell Tables'!$AV$26:$AV$29,MATCH(O193,('Spell Tables'!$AT$26:$AT$29),0)),IF($S$226&gt;=O193,INDEX('Spell Tables'!$AV$2:$AV$6,MATCH(O193,('Spell Tables'!$AT$2:$AT$6),0))," ")))))</f>
        <v xml:space="preserve"> </v>
      </c>
      <c r="T228" s="66" t="str">
        <f ca="1">IF($T$222&gt;=O193,INDEX('Spell Tables'!$AZ$48:$AZ$51,MATCH(O193,('Spell Tables'!$AX$48:$AX$51),0)),IF($T$208&gt;=O193,INDEX($AL$140:$AL$149,MATCH(O193,($AJ$140:$AJ$149),0)),IF($T$212&gt;=O193,INDEX('Spell Tables'!$AZ$168:$AZ$172,MATCH(O193,('Spell Tables'!$AX$168:$AX$172),0)),IF($T$224&gt;=O193,INDEX('Spell Tables'!$AZ$26:$AZ$29,MATCH(O193,('Spell Tables'!$AX$26:$AX$29),0)),IF($T$226&gt;=O193,INDEX('Spell Tables'!$AZ$2:$AZ$5,MATCH(O193,('Spell Tables'!$AX$2:$AX$5),0))," ")))))</f>
        <v xml:space="preserve"> </v>
      </c>
    </row>
    <row r="229" spans="2:20" x14ac:dyDescent="0.3">
      <c r="N229" s="72"/>
      <c r="O229" s="133">
        <v>2</v>
      </c>
      <c r="P229" s="60" t="str">
        <f ca="1">IF(AND($O$15="Otherworldly patron - great old one",P$210&gt;=O194),INDEX('Spell Tables'!$AJ$226:$AJ$231,MATCH(O194,('Spell Tables'!$AH$226:$AH$231),0)),IF(AND($O$15="Otherworldly patron - fiend",P$210&gt;=O194),INDEX('Spell Tables'!$AJ$210:$AJ$215,MATCH(O194,('Spell Tables'!$AH$210:$AH$215),0)),IF(AND($O$15="Otherworldly patron - archfey",P$210&gt;=O194),INDEX('Spell Tables'!$AJ$194:$AJ$199,MATCH(O194,('Spell Tables'!$AH$194:$AH$199),0)),IF($P$208&gt;=O194,INDEX($AL$92:$AL$101,MATCH(O194,($AJ$92:$AJ$101),0)),IF($P$212&gt;=O194,INDEX('Spell Tables'!$AJ$168:$AJ$178,MATCH(O194,('Spell Tables'!$AH$168:$AH$178),0)),IF($P$216&gt;=O194,INDEX('Spell Tables'!$AF$119:$AF$122,MATCH(O194,('Spell Tables'!$AD$119:$AD$122),0)),IF($P$218&gt;=O194,INDEX('Spell Tables'!$AF$97:$AF$102,MATCH(O194,('Spell Tables'!$AD$97:$AD$102),0)),IF($P$222&gt;=O194,INDEX('Spell Tables'!$AJ$48:$AJ$61,MATCH(O194,('Spell Tables'!$AH$48:$AH$61),0)),IF($P$224&gt;=O194,INDEX('Spell Tables'!$AJ$26:$AJ$38,MATCH(O194,('Spell Tables'!$AH$26:$AH$38),0)),IF($P$226&gt;=O194,INDEX('Spell Tables'!$AJ$2:$AJ$17,MATCH(O194,('Spell Tables'!$AH$2:$AH$17),0))," "))))))))))</f>
        <v xml:space="preserve"> </v>
      </c>
      <c r="Q229" s="60" t="str">
        <f ca="1">IF($Q$208&gt;=O194,INDEX($AL$104:$AL$113,MATCH(O194,($AJ$104:$AJ$113),0)),IF($Q$212&gt;=O194,INDEX('Spell Tables'!$AN$168:$AN$177,MATCH(O194,('Spell Tables'!$AL$168:$AL$177),0)),IF($Q$222&gt;=O194,INDEX('Spell Tables'!$AN$48:$AN$56,MATCH(O194,('Spell Tables'!$AL$48:$AL$56),0)),IF($Q$224&gt;=O194,INDEX('Spell Tables'!$AN$26:$AN$35,MATCH(O194,('Spell Tables'!$AL$26:$AL$35),0)),IF($Q$226&gt;=O194,INDEX('Spell Tables'!$AN$2:$AN$8,MATCH(O194,('Spell Tables'!$AL$2:$AL$8),0))," ")))))</f>
        <v xml:space="preserve"> </v>
      </c>
      <c r="R229" s="60" t="str">
        <f ca="1">IF($R$208&gt;=O194,INDEX($AL$116:$AL$125,MATCH(O194,($AJ$116:$AJ$125),0)),IF($R$212&gt;=O194,INDEX('Spell Tables'!$AR$168:$AR$175,MATCH(O194,('Spell Tables'!$AP$168:$AP$175),0)),IF($R$222&gt;=O194,INDEX('Spell Tables'!$AR$48:$AR$52,MATCH(O194,('Spell Tables'!$AP$48:$AP$52),0)),IF($R$224&gt;=O194,INDEX('Spell Tables'!$AR$26:$AR$33,MATCH(O194,('Spell Tables'!$AP$26:$AP$33),0)),IF($R$226&gt;=O194,INDEX('Spell Tables'!$AR$2:$AR$11,MATCH(O194,('Spell Tables'!$AL$2:$AL$11),0))," ")))))</f>
        <v xml:space="preserve"> </v>
      </c>
      <c r="S229" s="60" t="str">
        <f ca="1">IF($S$208&gt;=O194,INDEX($AL$128:$AL$137,MATCH(O194,($AJ$128:$AJ$137),0)),IF($S$212&gt;=O194,INDEX('Spell Tables'!$AV$168:$AV$172,MATCH(O194,('Spell Tables'!$AT$168:$AT$172),0)),IF($S$222&gt;=O194,INDEX('Spell Tables'!$AV$48:$AV$54,MATCH(O194,('Spell Tables'!$AT$48:$AT$54),0)),IF($S$224&gt;=O194,INDEX('Spell Tables'!$AV$26:$AV$29,MATCH(O194,('Spell Tables'!$AT$26:$AT$29),0)),IF($S$226&gt;=O194,INDEX('Spell Tables'!$AV$2:$AV$6,MATCH(O194,('Spell Tables'!$AT$2:$AT$6),0))," ")))))</f>
        <v xml:space="preserve"> </v>
      </c>
      <c r="T229" s="63" t="str">
        <f ca="1">IF($T$222&gt;=O194,INDEX('Spell Tables'!$AZ$48:$AZ$51,MATCH(O194,('Spell Tables'!$AX$48:$AX$51),0)),IF($T$208&gt;=O194,INDEX($AL$140:$AL$149,MATCH(O194,($AJ$140:$AJ$149),0)),IF($T$212&gt;=O194,INDEX('Spell Tables'!$AZ$168:$AZ$172,MATCH(O194,('Spell Tables'!$AX$168:$AX$172),0)),IF($T$224&gt;=O194,INDEX('Spell Tables'!$AZ$26:$AZ$29,MATCH(O194,('Spell Tables'!$AX$26:$AX$29),0)),IF($T$226&gt;=O194,INDEX('Spell Tables'!$AZ$2:$AZ$5,MATCH(O194,('Spell Tables'!$AX$2:$AX$5),0))," ")))))</f>
        <v xml:space="preserve"> </v>
      </c>
    </row>
    <row r="230" spans="2:20" x14ac:dyDescent="0.3">
      <c r="N230" s="72"/>
      <c r="O230" s="86">
        <v>3</v>
      </c>
      <c r="P230" s="65" t="str">
        <f ca="1">IF(AND($O$15="Otherworldly patron - great old one",P$210&gt;=O195),INDEX('Spell Tables'!$AJ$226:$AJ$231,MATCH(O195,('Spell Tables'!$AH$226:$AH$231),0)),IF(AND($O$15="Otherworldly patron - fiend",P$210&gt;=O195),INDEX('Spell Tables'!$AJ$210:$AJ$215,MATCH(O195,('Spell Tables'!$AH$210:$AH$215),0)),IF(AND($O$15="Otherworldly patron - archfey",P$210&gt;=O195),INDEX('Spell Tables'!$AJ$194:$AJ$199,MATCH(O195,('Spell Tables'!$AH$194:$AH$199),0)),IF($P$208&gt;=O195,INDEX($AL$92:$AL$101,MATCH(O195,($AJ$92:$AJ$101),0)),IF($P$212&gt;=O195,INDEX('Spell Tables'!$AJ$168:$AJ$178,MATCH(O195,('Spell Tables'!$AH$168:$AH$178),0)),IF($P$216&gt;=O195,INDEX('Spell Tables'!$AF$119:$AF$122,MATCH(O195,('Spell Tables'!$AD$119:$AD$122),0)),IF($P$218&gt;=O195,INDEX('Spell Tables'!$AF$97:$AF$102,MATCH(O195,('Spell Tables'!$AD$97:$AD$102),0)),IF($P$222&gt;=O195,INDEX('Spell Tables'!$AJ$48:$AJ$61,MATCH(O195,('Spell Tables'!$AH$48:$AH$61),0)),IF($P$224&gt;=O195,INDEX('Spell Tables'!$AJ$26:$AJ$38,MATCH(O195,('Spell Tables'!$AH$26:$AH$38),0)),IF($P$226&gt;=O195,INDEX('Spell Tables'!$AJ$2:$AJ$17,MATCH(O195,('Spell Tables'!$AH$2:$AH$17),0))," "))))))))))</f>
        <v xml:space="preserve"> </v>
      </c>
      <c r="Q230" s="65" t="str">
        <f ca="1">IF($Q$208&gt;=O195,INDEX($AL$104:$AL$113,MATCH(O195,($AJ$104:$AJ$113),0)),IF($Q$212&gt;=O195,INDEX('Spell Tables'!$AN$168:$AN$177,MATCH(O195,('Spell Tables'!$AL$168:$AL$177),0)),IF($Q$222&gt;=O195,INDEX('Spell Tables'!$AN$48:$AN$56,MATCH(O195,('Spell Tables'!$AL$48:$AL$56),0)),IF($Q$224&gt;=O195,INDEX('Spell Tables'!$AN$26:$AN$35,MATCH(O195,('Spell Tables'!$AL$26:$AL$35),0)),IF($Q$226&gt;=O195,INDEX('Spell Tables'!$AN$2:$AN$8,MATCH(O195,('Spell Tables'!$AL$2:$AL$8),0))," ")))))</f>
        <v xml:space="preserve"> </v>
      </c>
      <c r="R230" s="65" t="str">
        <f ca="1">IF($R$208&gt;=O195,INDEX($AL$116:$AL$125,MATCH(O195,($AJ$116:$AJ$125),0)),IF($R$212&gt;=O195,INDEX('Spell Tables'!$AR$168:$AR$175,MATCH(O195,('Spell Tables'!$AP$168:$AP$175),0)),IF($R$222&gt;=O195,INDEX('Spell Tables'!$AR$48:$AR$52,MATCH(O195,('Spell Tables'!$AP$48:$AP$52),0)),IF($R$224&gt;=O195,INDEX('Spell Tables'!$AR$26:$AR$33,MATCH(O195,('Spell Tables'!$AP$26:$AP$33),0)),IF($R$226&gt;=O195,INDEX('Spell Tables'!$AR$2:$AR$11,MATCH(O195,('Spell Tables'!$AL$2:$AL$11),0))," ")))))</f>
        <v xml:space="preserve"> </v>
      </c>
      <c r="S230" s="65" t="str">
        <f ca="1">IF($S$208&gt;=O195,INDEX($AL$128:$AL$137,MATCH(O195,($AJ$128:$AJ$137),0)),IF($S$212&gt;=O195,INDEX('Spell Tables'!$AV$168:$AV$172,MATCH(O195,('Spell Tables'!$AT$168:$AT$172),0)),IF($S$222&gt;=O195,INDEX('Spell Tables'!$AV$48:$AV$54,MATCH(O195,('Spell Tables'!$AT$48:$AT$54),0)),IF($S$224&gt;=O195,INDEX('Spell Tables'!$AV$26:$AV$29,MATCH(O195,('Spell Tables'!$AT$26:$AT$29),0)),IF($S$226&gt;=O195,INDEX('Spell Tables'!$AV$2:$AV$6,MATCH(O195,('Spell Tables'!$AT$2:$AT$6),0))," ")))))</f>
        <v xml:space="preserve"> </v>
      </c>
      <c r="T230" s="66" t="str">
        <f ca="1">IF($T$222&gt;=O195,INDEX('Spell Tables'!$AZ$48:$AZ$51,MATCH(O195,('Spell Tables'!$AX$48:$AX$51),0)),IF($T$208&gt;=O195,INDEX($AL$140:$AL$149,MATCH(O195,($AJ$140:$AJ$149),0)),IF($T$212&gt;=O195,INDEX('Spell Tables'!$AZ$168:$AZ$172,MATCH(O195,('Spell Tables'!$AX$168:$AX$172),0)),IF($T$224&gt;=O195,INDEX('Spell Tables'!$AZ$26:$AZ$29,MATCH(O195,('Spell Tables'!$AX$26:$AX$29),0)),IF($T$226&gt;=O195,INDEX('Spell Tables'!$AZ$2:$AZ$5,MATCH(O195,('Spell Tables'!$AX$2:$AX$5),0))," ")))))</f>
        <v xml:space="preserve"> </v>
      </c>
    </row>
    <row r="231" spans="2:20" x14ac:dyDescent="0.3">
      <c r="N231" s="72"/>
      <c r="O231" s="133">
        <v>4</v>
      </c>
      <c r="P231" s="60" t="str">
        <f ca="1">IF(AND($O$15="Otherworldly patron - great old one",P$210&gt;=O196),INDEX('Spell Tables'!$AJ$226:$AJ$231,MATCH(O196,('Spell Tables'!$AH$226:$AH$231),0)),IF(AND($O$15="Otherworldly patron - fiend",P$210&gt;=O196),INDEX('Spell Tables'!$AJ$210:$AJ$215,MATCH(O196,('Spell Tables'!$AH$210:$AH$215),0)),IF(AND($O$15="Otherworldly patron - archfey",P$210&gt;=O196),INDEX('Spell Tables'!$AJ$194:$AJ$199,MATCH(O196,('Spell Tables'!$AH$194:$AH$199),0)),IF($P$208&gt;=O196,INDEX($AL$92:$AL$101,MATCH(O196,($AJ$92:$AJ$101),0)),IF($P$212&gt;=O196,INDEX('Spell Tables'!$AJ$168:$AJ$178,MATCH(O196,('Spell Tables'!$AH$168:$AH$178),0)),IF($P$216&gt;=O196,INDEX('Spell Tables'!$AF$119:$AF$122,MATCH(O196,('Spell Tables'!$AD$119:$AD$122),0)),IF($P$218&gt;=O196,INDEX('Spell Tables'!$AF$97:$AF$102,MATCH(O196,('Spell Tables'!$AD$97:$AD$102),0)),IF($P$222&gt;=O196,INDEX('Spell Tables'!$AJ$48:$AJ$61,MATCH(O196,('Spell Tables'!$AH$48:$AH$61),0)),IF($P$224&gt;=O196,INDEX('Spell Tables'!$AJ$26:$AJ$38,MATCH(O196,('Spell Tables'!$AH$26:$AH$38),0)),IF($P$226&gt;=O196,INDEX('Spell Tables'!$AJ$2:$AJ$17,MATCH(O196,('Spell Tables'!$AH$2:$AH$17),0))," "))))))))))</f>
        <v xml:space="preserve"> </v>
      </c>
      <c r="Q231" s="60" t="str">
        <f ca="1">IF($Q$208&gt;=O196,INDEX($AL$104:$AL$113,MATCH(O196,($AJ$104:$AJ$113),0)),IF($Q$212&gt;=O196,INDEX('Spell Tables'!$AN$168:$AN$177,MATCH(O196,('Spell Tables'!$AL$168:$AL$177),0)),IF($Q$222&gt;=O196,INDEX('Spell Tables'!$AN$48:$AN$56,MATCH(O196,('Spell Tables'!$AL$48:$AL$56),0)),IF($Q$224&gt;=O196,INDEX('Spell Tables'!$AN$26:$AN$35,MATCH(O196,('Spell Tables'!$AL$26:$AL$35),0)),IF($Q$226&gt;=O196,INDEX('Spell Tables'!$AN$2:$AN$8,MATCH(O196,('Spell Tables'!$AL$2:$AL$8),0))," ")))))</f>
        <v xml:space="preserve"> </v>
      </c>
      <c r="R231" s="60" t="str">
        <f ca="1">IF($R$208&gt;=O196,INDEX($AL$116:$AL$125,MATCH(O196,($AJ$116:$AJ$125),0)),IF($R$212&gt;=O196,INDEX('Spell Tables'!$AR$168:$AR$175,MATCH(O196,('Spell Tables'!$AP$168:$AP$175),0)),IF($R$222&gt;=O196,INDEX('Spell Tables'!$AR$48:$AR$52,MATCH(O196,('Spell Tables'!$AP$48:$AP$52),0)),IF($R$224&gt;=O196,INDEX('Spell Tables'!$AR$26:$AR$33,MATCH(O196,('Spell Tables'!$AP$26:$AP$33),0)),IF($R$226&gt;=O196,INDEX('Spell Tables'!$AR$2:$AR$11,MATCH(O196,('Spell Tables'!$AL$2:$AL$11),0))," ")))))</f>
        <v xml:space="preserve"> </v>
      </c>
      <c r="S231" s="60" t="str">
        <f ca="1">IF($S$208&gt;=O196,INDEX($AL$128:$AL$137,MATCH(O196,($AJ$128:$AJ$137),0)),IF($S$212&gt;=O196,INDEX('Spell Tables'!$AV$168:$AV$172,MATCH(O196,('Spell Tables'!$AT$168:$AT$172),0)),IF($S$222&gt;=O196,INDEX('Spell Tables'!$AV$48:$AV$54,MATCH(O196,('Spell Tables'!$AT$48:$AT$54),0)),IF($S$224&gt;=O196,INDEX('Spell Tables'!$AV$26:$AV$29,MATCH(O196,('Spell Tables'!$AT$26:$AT$29),0)),IF($S$226&gt;=O196,INDEX('Spell Tables'!$AV$2:$AV$6,MATCH(O196,('Spell Tables'!$AT$2:$AT$6),0))," ")))))</f>
        <v xml:space="preserve"> </v>
      </c>
      <c r="T231" s="63" t="str">
        <f ca="1">IF($T$222&gt;=O196,INDEX('Spell Tables'!$AZ$48:$AZ$51,MATCH(O196,('Spell Tables'!$AX$48:$AX$51),0)),IF($T$208&gt;=O196,INDEX($AL$140:$AL$149,MATCH(O196,($AJ$140:$AJ$149),0)),IF($T$212&gt;=O196,INDEX('Spell Tables'!$AZ$168:$AZ$172,MATCH(O196,('Spell Tables'!$AX$168:$AX$172),0)),IF($T$224&gt;=O196,INDEX('Spell Tables'!$AZ$26:$AZ$29,MATCH(O196,('Spell Tables'!$AX$26:$AX$29),0)),IF($T$226&gt;=O196,INDEX('Spell Tables'!$AZ$2:$AZ$5,MATCH(O196,('Spell Tables'!$AX$2:$AX$5),0))," ")))))</f>
        <v xml:space="preserve"> </v>
      </c>
    </row>
    <row r="232" spans="2:20" x14ac:dyDescent="0.3">
      <c r="N232" s="72"/>
      <c r="O232" s="86">
        <v>5</v>
      </c>
      <c r="P232" s="65" t="str">
        <f ca="1">IF(AND($O$15="Otherworldly patron - great old one",P$210&gt;=O197),INDEX('Spell Tables'!$AJ$226:$AJ$231,MATCH(O197,('Spell Tables'!$AH$226:$AH$231),0)),IF(AND($O$15="Otherworldly patron - fiend",P$210&gt;=O197),INDEX('Spell Tables'!$AJ$210:$AJ$215,MATCH(O197,('Spell Tables'!$AH$210:$AH$215),0)),IF(AND($O$15="Otherworldly patron - archfey",P$210&gt;=O197),INDEX('Spell Tables'!$AJ$194:$AJ$199,MATCH(O197,('Spell Tables'!$AH$194:$AH$199),0)),IF($P$208&gt;=O197,INDEX($AL$92:$AL$101,MATCH(O197,($AJ$92:$AJ$101),0)),IF($P$212&gt;=O197,INDEX('Spell Tables'!$AJ$168:$AJ$178,MATCH(O197,('Spell Tables'!$AH$168:$AH$178),0)),IF($P$216&gt;=O197,INDEX('Spell Tables'!$AF$119:$AF$122,MATCH(O197,('Spell Tables'!$AD$119:$AD$122),0)),IF($P$218&gt;=O197,INDEX('Spell Tables'!$AF$97:$AF$102,MATCH(O197,('Spell Tables'!$AD$97:$AD$102),0)),IF($P$222&gt;=O197,INDEX('Spell Tables'!$AJ$48:$AJ$61,MATCH(O197,('Spell Tables'!$AH$48:$AH$61),0)),IF($P$224&gt;=O197,INDEX('Spell Tables'!$AJ$26:$AJ$38,MATCH(O197,('Spell Tables'!$AH$26:$AH$38),0)),IF($P$226&gt;=O197,INDEX('Spell Tables'!$AJ$2:$AJ$17,MATCH(O197,('Spell Tables'!$AH$2:$AH$17),0))," "))))))))))</f>
        <v xml:space="preserve"> </v>
      </c>
      <c r="Q232" s="65" t="str">
        <f ca="1">IF($Q$208&gt;=O197,INDEX($AL$104:$AL$113,MATCH(O197,($AJ$104:$AJ$113),0)),IF($Q$212&gt;=O197,INDEX('Spell Tables'!$AN$168:$AN$177,MATCH(O197,('Spell Tables'!$AL$168:$AL$177),0)),IF($Q$222&gt;=O197,INDEX('Spell Tables'!$AN$48:$AN$56,MATCH(O197,('Spell Tables'!$AL$48:$AL$56),0)),IF($Q$224&gt;=O197,INDEX('Spell Tables'!$AN$26:$AN$35,MATCH(O197,('Spell Tables'!$AL$26:$AL$35),0)),IF($Q$226&gt;=O197,INDEX('Spell Tables'!$AN$2:$AN$8,MATCH(O197,('Spell Tables'!$AL$2:$AL$8),0))," ")))))</f>
        <v xml:space="preserve"> </v>
      </c>
      <c r="R232" s="65" t="str">
        <f ca="1">IF($R$208&gt;=O197,INDEX($AL$116:$AL$125,MATCH(O197,($AJ$116:$AJ$125),0)),IF($R$212&gt;=O197,INDEX('Spell Tables'!$AR$168:$AR$175,MATCH(O197,('Spell Tables'!$AP$168:$AP$175),0)),IF($R$222&gt;=O197,INDEX('Spell Tables'!$AR$48:$AR$52,MATCH(O197,('Spell Tables'!$AP$48:$AP$52),0)),IF($R$224&gt;=O197,INDEX('Spell Tables'!$AR$26:$AR$33,MATCH(O197,('Spell Tables'!$AP$26:$AP$33),0)),IF($R$226&gt;=O197,INDEX('Spell Tables'!$AR$2:$AR$11,MATCH(O197,('Spell Tables'!$AL$2:$AL$11),0))," ")))))</f>
        <v xml:space="preserve"> </v>
      </c>
      <c r="S232" s="65" t="str">
        <f ca="1">IF($S$208&gt;=O197,INDEX($AL$128:$AL$137,MATCH(O197,($AJ$128:$AJ$137),0)),IF($S$212&gt;=O197,INDEX('Spell Tables'!$AV$168:$AV$172,MATCH(O197,('Spell Tables'!$AT$168:$AT$172),0)),IF($S$222&gt;=O197,INDEX('Spell Tables'!$AV$48:$AV$54,MATCH(O197,('Spell Tables'!$AT$48:$AT$54),0)),IF($S$224&gt;=O197,INDEX('Spell Tables'!$AV$26:$AV$29,MATCH(O197,('Spell Tables'!$AT$26:$AT$29),0)),IF($S$226&gt;=O197,INDEX('Spell Tables'!$AV$2:$AV$6,MATCH(O197,('Spell Tables'!$AT$2:$AT$6),0))," ")))))</f>
        <v xml:space="preserve"> </v>
      </c>
      <c r="T232" s="66" t="str">
        <f ca="1">IF($T$222&gt;=O197,INDEX('Spell Tables'!$AZ$48:$AZ$51,MATCH(O197,('Spell Tables'!$AX$48:$AX$51),0)),IF($T$208&gt;=O197,INDEX($AL$140:$AL$149,MATCH(O197,($AJ$140:$AJ$149),0)),IF($T$212&gt;=O197,INDEX('Spell Tables'!$AZ$168:$AZ$172,MATCH(O197,('Spell Tables'!$AX$168:$AX$172),0)),IF($T$224&gt;=O197,INDEX('Spell Tables'!$AZ$26:$AZ$29,MATCH(O197,('Spell Tables'!$AX$26:$AX$29),0)),IF($T$226&gt;=O197,INDEX('Spell Tables'!$AZ$2:$AZ$5,MATCH(O197,('Spell Tables'!$AX$2:$AX$5),0))," ")))))</f>
        <v xml:space="preserve"> </v>
      </c>
    </row>
    <row r="233" spans="2:20" x14ac:dyDescent="0.3">
      <c r="N233" s="72"/>
      <c r="O233" s="133">
        <v>6</v>
      </c>
      <c r="P233" s="60" t="str">
        <f ca="1">IF(AND($O$15="Otherworldly patron - great old one",P$210&gt;=O198),INDEX('Spell Tables'!$AJ$226:$AJ$231,MATCH(O198,('Spell Tables'!$AH$226:$AH$231),0)),IF(AND($O$15="Otherworldly patron - fiend",P$210&gt;=O198),INDEX('Spell Tables'!$AJ$210:$AJ$215,MATCH(O198,('Spell Tables'!$AH$210:$AH$215),0)),IF(AND($O$15="Otherworldly patron - archfey",P$210&gt;=O198),INDEX('Spell Tables'!$AJ$194:$AJ$199,MATCH(O198,('Spell Tables'!$AH$194:$AH$199),0)),IF($P$208&gt;=O198,INDEX($AL$92:$AL$101,MATCH(O198,($AJ$92:$AJ$101),0)),IF($P$212&gt;=O198,INDEX('Spell Tables'!$AJ$168:$AJ$178,MATCH(O198,('Spell Tables'!$AH$168:$AH$178),0)),IF($P$216&gt;=O198,INDEX('Spell Tables'!$AF$119:$AF$122,MATCH(O198,('Spell Tables'!$AD$119:$AD$122),0)),IF($P$218&gt;=O198,INDEX('Spell Tables'!$AF$97:$AF$102,MATCH(O198,('Spell Tables'!$AD$97:$AD$102),0)),IF($P$222&gt;=O198,INDEX('Spell Tables'!$AJ$48:$AJ$61,MATCH(O198,('Spell Tables'!$AH$48:$AH$61),0)),IF($P$224&gt;=O198,INDEX('Spell Tables'!$AJ$26:$AJ$38,MATCH(O198,('Spell Tables'!$AH$26:$AH$38),0)),IF($P$226&gt;=O198,INDEX('Spell Tables'!$AJ$2:$AJ$17,MATCH(O198,('Spell Tables'!$AH$2:$AH$17),0))," "))))))))))</f>
        <v xml:space="preserve"> </v>
      </c>
      <c r="Q233" s="60" t="str">
        <f ca="1">IF($Q$208&gt;=O198,INDEX($AL$104:$AL$113,MATCH(O198,($AJ$104:$AJ$113),0)),IF($Q$212&gt;=O198,INDEX('Spell Tables'!$AN$168:$AN$177,MATCH(O198,('Spell Tables'!$AL$168:$AL$177),0)),IF($Q$222&gt;=O198,INDEX('Spell Tables'!$AN$48:$AN$56,MATCH(O198,('Spell Tables'!$AL$48:$AL$56),0)),IF($Q$224&gt;=O198,INDEX('Spell Tables'!$AN$26:$AN$35,MATCH(O198,('Spell Tables'!$AL$26:$AL$35),0)),IF($Q$226&gt;=O198,INDEX('Spell Tables'!$AN$2:$AN$8,MATCH(O198,('Spell Tables'!$AL$2:$AL$8),0))," ")))))</f>
        <v xml:space="preserve"> </v>
      </c>
      <c r="R233" s="60" t="str">
        <f ca="1">IF($R$208&gt;=O198,INDEX($AL$116:$AL$125,MATCH(O198,($AJ$116:$AJ$125),0)),IF($R$212&gt;=O198,INDEX('Spell Tables'!$AR$168:$AR$175,MATCH(O198,('Spell Tables'!$AP$168:$AP$175),0)),IF($R$222&gt;=O198,INDEX('Spell Tables'!$AR$48:$AR$52,MATCH(O198,('Spell Tables'!$AP$48:$AP$52),0)),IF($R$224&gt;=O198,INDEX('Spell Tables'!$AR$26:$AR$33,MATCH(O198,('Spell Tables'!$AP$26:$AP$33),0)),IF($R$226&gt;=O198,INDEX('Spell Tables'!$AR$2:$AR$11,MATCH(O198,('Spell Tables'!$AL$2:$AL$11),0))," ")))))</f>
        <v xml:space="preserve"> </v>
      </c>
      <c r="S233" s="60" t="str">
        <f ca="1">IF($S$208&gt;=O198,INDEX($AL$128:$AL$137,MATCH(O198,($AJ$128:$AJ$137),0)),IF($S$212&gt;=O198,INDEX('Spell Tables'!$AV$168:$AV$172,MATCH(O198,('Spell Tables'!$AT$168:$AT$172),0)),IF($S$222&gt;=O198,INDEX('Spell Tables'!$AV$48:$AV$54,MATCH(O198,('Spell Tables'!$AT$48:$AT$54),0)),IF($S$224&gt;=O198,INDEX('Spell Tables'!$AV$26:$AV$29,MATCH(O198,('Spell Tables'!$AT$26:$AT$29),0)),IF($S$226&gt;=O198,INDEX('Spell Tables'!$AV$2:$AV$6,MATCH(O198,('Spell Tables'!$AT$2:$AT$6),0))," ")))))</f>
        <v xml:space="preserve"> </v>
      </c>
      <c r="T233" s="63" t="str">
        <f ca="1">IF($T$222&gt;=O198,INDEX('Spell Tables'!$AZ$48:$AZ$51,MATCH(O198,('Spell Tables'!$AX$48:$AX$51),0)),IF($T$208&gt;=O198,INDEX($AL$140:$AL$149,MATCH(O198,($AJ$140:$AJ$149),0)),IF($T$212&gt;=O198,INDEX('Spell Tables'!$AZ$168:$AZ$172,MATCH(O198,('Spell Tables'!$AX$168:$AX$172),0)),IF($T$224&gt;=O198,INDEX('Spell Tables'!$AZ$26:$AZ$29,MATCH(O198,('Spell Tables'!$AX$26:$AX$29),0)),IF($T$226&gt;=O198,INDEX('Spell Tables'!$AZ$2:$AZ$5,MATCH(O198,('Spell Tables'!$AX$2:$AX$5),0))," ")))))</f>
        <v xml:space="preserve"> </v>
      </c>
    </row>
    <row r="234" spans="2:20" x14ac:dyDescent="0.3">
      <c r="N234" s="72"/>
      <c r="O234" s="86">
        <v>7</v>
      </c>
      <c r="P234" s="65" t="str">
        <f ca="1">IF(AND($O$15="Otherworldly patron - great old one",P$210&gt;=O199),INDEX('Spell Tables'!$AJ$226:$AJ$231,MATCH(O199,('Spell Tables'!$AH$226:$AH$231),0)),IF(AND($O$15="Otherworldly patron - fiend",P$210&gt;=O199),INDEX('Spell Tables'!$AJ$210:$AJ$215,MATCH(O199,('Spell Tables'!$AH$210:$AH$215),0)),IF(AND($O$15="Otherworldly patron - archfey",P$210&gt;=O199),INDEX('Spell Tables'!$AJ$194:$AJ$199,MATCH(O199,('Spell Tables'!$AH$194:$AH$199),0)),IF($P$208&gt;=O199,INDEX($AL$92:$AL$101,MATCH(O199,($AJ$92:$AJ$101),0)),IF($P$212&gt;=O199,INDEX('Spell Tables'!$AJ$168:$AJ$178,MATCH(O199,('Spell Tables'!$AH$168:$AH$178),0)),IF($P$216&gt;=O199,INDEX('Spell Tables'!$AF$119:$AF$122,MATCH(O199,('Spell Tables'!$AD$119:$AD$122),0)),IF($P$218&gt;=O199,INDEX('Spell Tables'!$AF$97:$AF$102,MATCH(O199,('Spell Tables'!$AD$97:$AD$102),0)),IF($P$222&gt;=O199,INDEX('Spell Tables'!$AJ$48:$AJ$61,MATCH(O199,('Spell Tables'!$AH$48:$AH$61),0)),IF($P$224&gt;=O199,INDEX('Spell Tables'!$AJ$26:$AJ$38,MATCH(O199,('Spell Tables'!$AH$26:$AH$38),0)),IF($P$226&gt;=O199,INDEX('Spell Tables'!$AJ$2:$AJ$17,MATCH(O199,('Spell Tables'!$AH$2:$AH$17),0))," "))))))))))</f>
        <v xml:space="preserve"> </v>
      </c>
      <c r="Q234" s="65" t="str">
        <f ca="1">IF($Q$208&gt;=O199,INDEX($AL$104:$AL$113,MATCH(O199,($AJ$104:$AJ$113),0)),IF($Q$212&gt;=O199,INDEX('Spell Tables'!$AN$168:$AN$177,MATCH(O199,('Spell Tables'!$AL$168:$AL$177),0)),IF($Q$222&gt;=O199,INDEX('Spell Tables'!$AN$48:$AN$56,MATCH(O199,('Spell Tables'!$AL$48:$AL$56),0)),IF($Q$224&gt;=O199,INDEX('Spell Tables'!$AN$26:$AN$35,MATCH(O199,('Spell Tables'!$AL$26:$AL$35),0)),IF($Q$226&gt;=O199,INDEX('Spell Tables'!$AN$2:$AN$8,MATCH(O199,('Spell Tables'!$AL$2:$AL$8),0))," ")))))</f>
        <v xml:space="preserve"> </v>
      </c>
      <c r="R234" s="65" t="str">
        <f ca="1">IF($R$208&gt;=O199,INDEX($AL$116:$AL$125,MATCH(O199,($AJ$116:$AJ$125),0)),IF($R$212&gt;=O199,INDEX('Spell Tables'!$AR$168:$AR$175,MATCH(O199,('Spell Tables'!$AP$168:$AP$175),0)),IF($R$222&gt;=O199,INDEX('Spell Tables'!$AR$48:$AR$52,MATCH(O199,('Spell Tables'!$AP$48:$AP$52),0)),IF($R$224&gt;=O199,INDEX('Spell Tables'!$AR$26:$AR$33,MATCH(O199,('Spell Tables'!$AP$26:$AP$33),0)),IF($R$226&gt;=O199,INDEX('Spell Tables'!$AR$2:$AR$11,MATCH(O199,('Spell Tables'!$AL$2:$AL$11),0))," ")))))</f>
        <v xml:space="preserve"> </v>
      </c>
      <c r="S234" s="65" t="str">
        <f ca="1">IF($S$208&gt;=O199,INDEX($AL$128:$AL$137,MATCH(O199,($AJ$128:$AJ$137),0)),IF($S$212&gt;=O199,INDEX('Spell Tables'!$AV$168:$AV$172,MATCH(O199,('Spell Tables'!$AT$168:$AT$172),0)),IF($S$222&gt;=O199,INDEX('Spell Tables'!$AV$48:$AV$54,MATCH(O199,('Spell Tables'!$AT$48:$AT$54),0)),IF($S$224&gt;=O199,INDEX('Spell Tables'!$AV$26:$AV$29,MATCH(O199,('Spell Tables'!$AT$26:$AT$29),0)),IF($S$226&gt;=O199,INDEX('Spell Tables'!$AV$2:$AV$6,MATCH(O199,('Spell Tables'!$AT$2:$AT$6),0))," ")))))</f>
        <v xml:space="preserve"> </v>
      </c>
      <c r="T234" s="66" t="str">
        <f ca="1">IF($T$222&gt;=O199,INDEX('Spell Tables'!$AZ$48:$AZ$51,MATCH(O199,('Spell Tables'!$AX$48:$AX$51),0)),IF($T$208&gt;=O199,INDEX($AL$140:$AL$149,MATCH(O199,($AJ$140:$AJ$149),0)),IF($T$212&gt;=O199,INDEX('Spell Tables'!$AZ$168:$AZ$172,MATCH(O199,('Spell Tables'!$AX$168:$AX$172),0)),IF($T$224&gt;=O199,INDEX('Spell Tables'!$AZ$26:$AZ$29,MATCH(O199,('Spell Tables'!$AX$26:$AX$29),0)),IF($T$226&gt;=O199,INDEX('Spell Tables'!$AZ$2:$AZ$5,MATCH(O199,('Spell Tables'!$AX$2:$AX$5),0))," ")))))</f>
        <v xml:space="preserve"> </v>
      </c>
    </row>
    <row r="235" spans="2:20" x14ac:dyDescent="0.3">
      <c r="N235" s="72"/>
      <c r="O235" s="133">
        <v>8</v>
      </c>
      <c r="P235" s="60" t="str">
        <f ca="1">IF(AND($O$15="Otherworldly patron - great old one",P$210&gt;=O200),INDEX('Spell Tables'!$AJ$226:$AJ$231,MATCH(O200,('Spell Tables'!$AH$226:$AH$231),0)),IF(AND($O$15="Otherworldly patron - fiend",P$210&gt;=O200),INDEX('Spell Tables'!$AJ$210:$AJ$215,MATCH(O200,('Spell Tables'!$AH$210:$AH$215),0)),IF(AND($O$15="Otherworldly patron - archfey",P$210&gt;=O200),INDEX('Spell Tables'!$AJ$194:$AJ$199,MATCH(O200,('Spell Tables'!$AH$194:$AH$199),0)),IF($P$208&gt;=O200,INDEX($AL$92:$AL$101,MATCH(O200,($AJ$92:$AJ$101),0)),IF($P$212&gt;=O200,INDEX('Spell Tables'!$AJ$168:$AJ$178,MATCH(O200,('Spell Tables'!$AH$168:$AH$178),0)),IF($P$216&gt;=O200,INDEX('Spell Tables'!$AF$119:$AF$122,MATCH(O200,('Spell Tables'!$AD$119:$AD$122),0)),IF($P$218&gt;=O200,INDEX('Spell Tables'!$AF$97:$AF$102,MATCH(O200,('Spell Tables'!$AD$97:$AD$102),0)),IF($P$222&gt;=O200,INDEX('Spell Tables'!$AJ$48:$AJ$61,MATCH(O200,('Spell Tables'!$AH$48:$AH$61),0)),IF($P$224&gt;=O200,INDEX('Spell Tables'!$AJ$26:$AJ$38,MATCH(O200,('Spell Tables'!$AH$26:$AH$38),0)),IF($P$226&gt;=O200,INDEX('Spell Tables'!$AJ$2:$AJ$17,MATCH(O200,('Spell Tables'!$AH$2:$AH$17),0))," "))))))))))</f>
        <v xml:space="preserve"> </v>
      </c>
      <c r="Q235" s="60" t="str">
        <f ca="1">IF($Q$208&gt;=O200,INDEX($AL$104:$AL$113,MATCH(O200,($AJ$104:$AJ$113),0)),IF($Q$212&gt;=O200,INDEX('Spell Tables'!$AN$168:$AN$177,MATCH(O200,('Spell Tables'!$AL$168:$AL$177),0)),IF($Q$222&gt;=O200,INDEX('Spell Tables'!$AN$48:$AN$56,MATCH(O200,('Spell Tables'!$AL$48:$AL$56),0)),IF($Q$224&gt;=O200,INDEX('Spell Tables'!$AN$26:$AN$35,MATCH(O200,('Spell Tables'!$AL$26:$AL$35),0)),IF($Q$226&gt;=O200,INDEX('Spell Tables'!$AN$2:$AN$8,MATCH(O200,('Spell Tables'!$AL$2:$AL$8),0))," ")))))</f>
        <v xml:space="preserve"> </v>
      </c>
      <c r="R235" s="60" t="str">
        <f ca="1">IF($R$208&gt;=O200,INDEX($AL$116:$AL$125,MATCH(O200,($AJ$116:$AJ$125),0)),IF($R$212&gt;=O200,INDEX('Spell Tables'!$AR$168:$AR$175,MATCH(O200,('Spell Tables'!$AP$168:$AP$175),0)),IF($R$222&gt;=O200,INDEX('Spell Tables'!$AR$48:$AR$52,MATCH(O200,('Spell Tables'!$AP$48:$AP$52),0)),IF($R$224&gt;=O200,INDEX('Spell Tables'!$AR$26:$AR$33,MATCH(O200,('Spell Tables'!$AP$26:$AP$33),0)),IF($R$226&gt;=O200,INDEX('Spell Tables'!$AR$2:$AR$11,MATCH(O200,('Spell Tables'!$AL$2:$AL$11),0))," ")))))</f>
        <v xml:space="preserve"> </v>
      </c>
      <c r="S235" s="60" t="str">
        <f ca="1">IF($S$208&gt;=O200,INDEX($AL$128:$AL$137,MATCH(O200,($AJ$128:$AJ$137),0)),IF($S$212&gt;=O200,INDEX('Spell Tables'!$AV$168:$AV$172,MATCH(O200,('Spell Tables'!$AT$168:$AT$172),0)),IF($S$222&gt;=O200,INDEX('Spell Tables'!$AV$48:$AV$54,MATCH(O200,('Spell Tables'!$AT$48:$AT$54),0)),IF($S$224&gt;=O200,INDEX('Spell Tables'!$AV$26:$AV$29,MATCH(O200,('Spell Tables'!$AT$26:$AT$29),0)),IF($S$226&gt;=O200,INDEX('Spell Tables'!$AV$2:$AV$6,MATCH(O200,('Spell Tables'!$AT$2:$AT$6),0))," ")))))</f>
        <v xml:space="preserve"> </v>
      </c>
      <c r="T235" s="63" t="str">
        <f ca="1">IF($T$222&gt;=O200,INDEX('Spell Tables'!$AZ$48:$AZ$51,MATCH(O200,('Spell Tables'!$AX$48:$AX$51),0)),IF($T$208&gt;=O200,INDEX($AL$140:$AL$149,MATCH(O200,($AJ$140:$AJ$149),0)),IF($T$212&gt;=O200,INDEX('Spell Tables'!$AZ$168:$AZ$172,MATCH(O200,('Spell Tables'!$AX$168:$AX$172),0)),IF($T$224&gt;=O200,INDEX('Spell Tables'!$AZ$26:$AZ$29,MATCH(O200,('Spell Tables'!$AX$26:$AX$29),0)),IF($T$226&gt;=O200,INDEX('Spell Tables'!$AZ$2:$AZ$5,MATCH(O200,('Spell Tables'!$AX$2:$AX$5),0))," ")))))</f>
        <v xml:space="preserve"> </v>
      </c>
    </row>
    <row r="236" spans="2:20" x14ac:dyDescent="0.3">
      <c r="N236" s="72"/>
      <c r="O236" s="86">
        <v>9</v>
      </c>
      <c r="P236" s="65" t="str">
        <f ca="1">IF(AND($O$15="Otherworldly patron - great old one",P$210&gt;=O201),INDEX('Spell Tables'!$AJ$226:$AJ$231,MATCH(O201,('Spell Tables'!$AH$226:$AH$231),0)),IF(AND($O$15="Otherworldly patron - fiend",P$210&gt;=O201),INDEX('Spell Tables'!$AJ$210:$AJ$215,MATCH(O201,('Spell Tables'!$AH$210:$AH$215),0)),IF(AND($O$15="Otherworldly patron - archfey",P$210&gt;=O201),INDEX('Spell Tables'!$AJ$194:$AJ$199,MATCH(O201,('Spell Tables'!$AH$194:$AH$199),0)),IF($P$208&gt;=O201,INDEX($AL$92:$AL$101,MATCH(O201,($AJ$92:$AJ$101),0)),IF($P$212&gt;=O201,INDEX('Spell Tables'!$AJ$168:$AJ$178,MATCH(O201,('Spell Tables'!$AH$168:$AH$178),0)),IF($P$216&gt;=O201,INDEX('Spell Tables'!$AF$119:$AF$122,MATCH(O201,('Spell Tables'!$AD$119:$AD$122),0)),IF($P$218&gt;=O201,INDEX('Spell Tables'!$AF$97:$AF$102,MATCH(O201,('Spell Tables'!$AD$97:$AD$102),0)),IF($P$222&gt;=O201,INDEX('Spell Tables'!$AJ$48:$AJ$61,MATCH(O201,('Spell Tables'!$AH$48:$AH$61),0)),IF($P$224&gt;=O201,INDEX('Spell Tables'!$AJ$26:$AJ$38,MATCH(O201,('Spell Tables'!$AH$26:$AH$38),0)),IF($P$226&gt;=O201,INDEX('Spell Tables'!$AJ$2:$AJ$17,MATCH(O201,('Spell Tables'!$AH$2:$AH$17),0))," "))))))))))</f>
        <v xml:space="preserve"> </v>
      </c>
      <c r="Q236" s="65" t="str">
        <f ca="1">IF($Q$208&gt;=O201,INDEX($AL$104:$AL$113,MATCH(O201,($AJ$104:$AJ$113),0)),IF($Q$212&gt;=O201,INDEX('Spell Tables'!$AN$168:$AN$177,MATCH(O201,('Spell Tables'!$AL$168:$AL$177),0)),IF($Q$222&gt;=O201,INDEX('Spell Tables'!$AN$48:$AN$56,MATCH(O201,('Spell Tables'!$AL$48:$AL$56),0)),IF($Q$224&gt;=O201,INDEX('Spell Tables'!$AN$26:$AN$35,MATCH(O201,('Spell Tables'!$AL$26:$AL$35),0)),IF($Q$226&gt;=O201,INDEX('Spell Tables'!$AN$2:$AN$8,MATCH(O201,('Spell Tables'!$AL$2:$AL$8),0))," ")))))</f>
        <v xml:space="preserve"> </v>
      </c>
      <c r="R236" s="65" t="str">
        <f ca="1">IF($R$208&gt;=O201,INDEX($AL$116:$AL$125,MATCH(O201,($AJ$116:$AJ$125),0)),IF($R$212&gt;=O201,INDEX('Spell Tables'!$AR$168:$AR$175,MATCH(O201,('Spell Tables'!$AP$168:$AP$175),0)),IF($R$222&gt;=O201,INDEX('Spell Tables'!$AR$48:$AR$52,MATCH(O201,('Spell Tables'!$AP$48:$AP$52),0)),IF($R$224&gt;=O201,INDEX('Spell Tables'!$AR$26:$AR$33,MATCH(O201,('Spell Tables'!$AP$26:$AP$33),0)),IF($R$226&gt;=O201,INDEX('Spell Tables'!$AR$2:$AR$11,MATCH(O201,('Spell Tables'!$AL$2:$AL$11),0))," ")))))</f>
        <v xml:space="preserve"> </v>
      </c>
      <c r="S236" s="65" t="str">
        <f ca="1">IF($S$208&gt;=O201,INDEX($AL$128:$AL$137,MATCH(O201,($AJ$128:$AJ$137),0)),IF($S$212&gt;=O201,INDEX('Spell Tables'!$AV$168:$AV$172,MATCH(O201,('Spell Tables'!$AT$168:$AT$172),0)),IF($S$222&gt;=O201,INDEX('Spell Tables'!$AV$48:$AV$54,MATCH(O201,('Spell Tables'!$AT$48:$AT$54),0)),IF($S$224&gt;=O201,INDEX('Spell Tables'!$AV$26:$AV$29,MATCH(O201,('Spell Tables'!$AT$26:$AT$29),0)),IF($S$226&gt;=O201,INDEX('Spell Tables'!$AV$2:$AV$6,MATCH(O201,('Spell Tables'!$AT$2:$AT$6),0))," ")))))</f>
        <v xml:space="preserve"> </v>
      </c>
      <c r="T236" s="66" t="str">
        <f ca="1">IF($T$222&gt;=O201,INDEX('Spell Tables'!$AZ$48:$AZ$51,MATCH(O201,('Spell Tables'!$AX$48:$AX$51),0)),IF($T$208&gt;=O201,INDEX($AL$140:$AL$149,MATCH(O201,($AJ$140:$AJ$149),0)),IF($T$212&gt;=O201,INDEX('Spell Tables'!$AZ$168:$AZ$172,MATCH(O201,('Spell Tables'!$AX$168:$AX$172),0)),IF($T$224&gt;=O201,INDEX('Spell Tables'!$AZ$26:$AZ$29,MATCH(O201,('Spell Tables'!$AX$26:$AX$29),0)),IF($T$226&gt;=O201,INDEX('Spell Tables'!$AZ$2:$AZ$5,MATCH(O201,('Spell Tables'!$AX$2:$AX$5),0))," ")))))</f>
        <v xml:space="preserve"> </v>
      </c>
    </row>
    <row r="237" spans="2:20" ht="19.5" thickBot="1" x14ac:dyDescent="0.35">
      <c r="N237" s="72"/>
      <c r="O237" s="134">
        <v>10</v>
      </c>
      <c r="P237" s="67" t="str">
        <f ca="1">IF(AND($O$15="Otherworldly patron - great old one",P$210&gt;=O202),INDEX('Spell Tables'!$AJ$226:$AJ$231,MATCH(O202,('Spell Tables'!$AH$226:$AH$231),0)),IF(AND($O$15="Otherworldly patron - fiend",P$210&gt;=O202),INDEX('Spell Tables'!$AJ$210:$AJ$215,MATCH(O202,('Spell Tables'!$AH$210:$AH$215),0)),IF(AND($O$15="Otherworldly patron - archfey",P$210&gt;=O202),INDEX('Spell Tables'!$AJ$194:$AJ$199,MATCH(O202,('Spell Tables'!$AH$194:$AH$199),0)),IF($P$208&gt;=O202,INDEX($AL$92:$AL$101,MATCH(O202,($AJ$92:$AJ$101),0)),IF($P$212&gt;=O202,INDEX('Spell Tables'!$AJ$168:$AJ$178,MATCH(O202,('Spell Tables'!$AH$168:$AH$178),0)),IF($P$216&gt;=O202,INDEX('Spell Tables'!$AF$119:$AF$122,MATCH(O202,('Spell Tables'!$AD$119:$AD$122),0)),IF($P$218&gt;=O202,INDEX('Spell Tables'!$AF$97:$AF$102,MATCH(O202,('Spell Tables'!$AD$97:$AD$102),0)),IF($P$222&gt;=O202,INDEX('Spell Tables'!$AJ$48:$AJ$61,MATCH(O202,('Spell Tables'!$AH$48:$AH$61),0)),IF($P$224&gt;=O202,INDEX('Spell Tables'!$AJ$26:$AJ$38,MATCH(O202,('Spell Tables'!$AH$26:$AH$38),0)),IF($P$226&gt;=O202,INDEX('Spell Tables'!$AJ$2:$AJ$17,MATCH(O202,('Spell Tables'!$AH$2:$AH$17),0))," "))))))))))</f>
        <v xml:space="preserve"> </v>
      </c>
      <c r="Q237" s="67" t="str">
        <f ca="1">IF($Q$208&gt;=O202,INDEX($AL$104:$AL$113,MATCH(O202,($AJ$104:$AJ$113),0)),IF($Q$212&gt;=O202,INDEX('Spell Tables'!$AN$168:$AN$177,MATCH(O202,('Spell Tables'!$AL$168:$AL$177),0)),IF($Q$222&gt;=O202,INDEX('Spell Tables'!$AN$48:$AN$56,MATCH(O202,('Spell Tables'!$AL$48:$AL$56),0)),IF($Q$224&gt;=O202,INDEX('Spell Tables'!$AN$26:$AN$35,MATCH(O202,('Spell Tables'!$AL$26:$AL$35),0)),IF($Q$226&gt;=O202,INDEX('Spell Tables'!$AN$2:$AN$8,MATCH(O202,('Spell Tables'!$AL$2:$AL$8),0))," ")))))</f>
        <v xml:space="preserve"> </v>
      </c>
      <c r="R237" s="67" t="str">
        <f ca="1">IF($R$208&gt;=O202,INDEX($AL$116:$AL$125,MATCH(O202,($AJ$116:$AJ$125),0)),IF($R$212&gt;=O202,INDEX('Spell Tables'!$AR$168:$AR$175,MATCH(O202,('Spell Tables'!$AP$168:$AP$175),0)),IF($R$222&gt;=O202,INDEX('Spell Tables'!$AR$48:$AR$52,MATCH(O202,('Spell Tables'!$AP$48:$AP$52),0)),IF($R$224&gt;=O202,INDEX('Spell Tables'!$AR$26:$AR$33,MATCH(O202,('Spell Tables'!$AP$26:$AP$33),0)),IF($R$226&gt;=O202,INDEX('Spell Tables'!$AR$2:$AR$11,MATCH(O202,('Spell Tables'!$AL$2:$AL$11),0))," ")))))</f>
        <v xml:space="preserve"> </v>
      </c>
      <c r="S237" s="67" t="str">
        <f ca="1">IF($S$208&gt;=O202,INDEX($AL$128:$AL$137,MATCH(O202,($AJ$128:$AJ$137),0)),IF($S$212&gt;=O202,INDEX('Spell Tables'!$AV$168:$AV$172,MATCH(O202,('Spell Tables'!$AT$168:$AT$172),0)),IF($S$222&gt;=O202,INDEX('Spell Tables'!$AV$48:$AV$54,MATCH(O202,('Spell Tables'!$AT$48:$AT$54),0)),IF($S$224&gt;=O202,INDEX('Spell Tables'!$AV$26:$AV$29,MATCH(O202,('Spell Tables'!$AT$26:$AT$29),0)),IF($S$226&gt;=O202,INDEX('Spell Tables'!$AV$2:$AV$6,MATCH(O202,('Spell Tables'!$AT$2:$AT$6),0))," ")))))</f>
        <v xml:space="preserve"> </v>
      </c>
      <c r="T237" s="68" t="str">
        <f ca="1">IF($T$222&gt;=O202,INDEX('Spell Tables'!$AZ$48:$AZ$51,MATCH(O202,('Spell Tables'!$AX$48:$AX$51),0)),IF($T$208&gt;=O202,INDEX($AL$140:$AL$149,MATCH(O202,($AJ$140:$AJ$149),0)),IF($T$212&gt;=O202,INDEX('Spell Tables'!$AZ$168:$AZ$172,MATCH(O202,('Spell Tables'!$AX$168:$AX$172),0)),IF($T$224&gt;=O202,INDEX('Spell Tables'!$AZ$26:$AZ$29,MATCH(O202,('Spell Tables'!$AX$26:$AX$29),0)),IF($T$226&gt;=O202,INDEX('Spell Tables'!$AZ$2:$AZ$5,MATCH(O202,('Spell Tables'!$AX$2:$AX$5),0))," ")))))</f>
        <v xml:space="preserve"> </v>
      </c>
    </row>
    <row r="238" spans="2:20" ht="19.5" thickBot="1" x14ac:dyDescent="0.35"/>
    <row r="239" spans="2:20" ht="30.75" thickBot="1" x14ac:dyDescent="0.45">
      <c r="B239" s="105" t="s">
        <v>1323</v>
      </c>
      <c r="C239" s="57"/>
      <c r="D239" s="57"/>
      <c r="E239" s="57"/>
      <c r="F239" s="57"/>
      <c r="G239" s="57"/>
      <c r="H239" s="57"/>
      <c r="I239" s="57"/>
      <c r="J239" s="57"/>
      <c r="K239" s="57"/>
      <c r="L239" s="57"/>
      <c r="M239" s="57"/>
      <c r="N239" s="57"/>
      <c r="O239" s="57"/>
      <c r="P239" s="57"/>
      <c r="Q239" s="57"/>
      <c r="R239" s="57"/>
      <c r="S239" s="57"/>
    </row>
    <row r="240" spans="2:20" ht="19.5" thickBot="1" x14ac:dyDescent="0.35">
      <c r="B240" s="33"/>
      <c r="C240" s="27"/>
      <c r="D240" s="27"/>
      <c r="E240" s="27"/>
      <c r="F240" s="27"/>
      <c r="G240" s="27"/>
      <c r="H240" s="27"/>
      <c r="I240" s="27"/>
      <c r="J240" s="27"/>
      <c r="K240" s="27"/>
      <c r="L240" s="27"/>
      <c r="M240" s="27"/>
      <c r="O240" s="27"/>
      <c r="P240" s="87" t="s">
        <v>1341</v>
      </c>
      <c r="Q240" s="94" t="str">
        <f ca="1">IF($Q$11="warlock",INDEX('Spell Tables'!$D$194:$D$213,MATCH($Q$12,('Spell Tables'!$A$194:$A$213),0))," ")</f>
        <v xml:space="preserve"> </v>
      </c>
      <c r="R240" s="89" t="s">
        <v>1340</v>
      </c>
      <c r="S240" s="90" t="str">
        <f ca="1">IF($Q$11="warlock",INDEX('Spell Tables'!$E$194:$E$213,MATCH($Q$12,('Spell Tables'!$A$194:$A$213),0))," ")</f>
        <v xml:space="preserve"> </v>
      </c>
      <c r="T240" s="27"/>
    </row>
    <row r="241" spans="2:20" hidden="1" x14ac:dyDescent="0.3">
      <c r="B241" s="92" t="s">
        <v>1270</v>
      </c>
      <c r="C241" s="33"/>
      <c r="D241" s="33"/>
      <c r="E241" s="33"/>
      <c r="F241" s="33"/>
      <c r="G241" s="33"/>
      <c r="H241" s="33"/>
      <c r="I241" s="33"/>
      <c r="J241" s="33"/>
      <c r="K241" s="33"/>
      <c r="L241" s="33"/>
      <c r="M241" s="33"/>
      <c r="O241" s="33" t="s">
        <v>530</v>
      </c>
      <c r="P241" s="33" t="s">
        <v>530</v>
      </c>
      <c r="Q241" s="114" t="str">
        <f ca="1">IF(AND(Q11="wizard",Q12&gt;=3),"x",IF(Q11="wizard","xx"," "))</f>
        <v xml:space="preserve"> </v>
      </c>
      <c r="R241" s="114" t="str">
        <f ca="1">IF(AND(Q11="wizard",Q12&gt;=5),"x",IF(AND($Q$11="wizard",$Q$12&gt;=3),"xx"," "))</f>
        <v xml:space="preserve"> </v>
      </c>
      <c r="S241" s="114" t="str">
        <f ca="1">IF(AND(Q11="Wizard",Q12&gt;=7),"x",IF(AND($Q$11="wizard",$Q$12&gt;5),"xx",IF(AND(Q11="wizard",Q12=5),"xxx"," ")))</f>
        <v xml:space="preserve"> </v>
      </c>
      <c r="T241" s="114" t="str">
        <f ca="1">IF(AND(Q11="wizard",Q12&gt;=9),"x",IF(AND($Q$11="wizard",$Q$12&gt;7),"xx",IF(AND(Q11="wizard",Q12=7),"xxx"," ")))</f>
        <v xml:space="preserve"> </v>
      </c>
    </row>
    <row r="242" spans="2:20" hidden="1" x14ac:dyDescent="0.3">
      <c r="B242" s="92" t="s">
        <v>1272</v>
      </c>
      <c r="C242" s="33"/>
      <c r="D242" s="33"/>
      <c r="E242" s="33"/>
      <c r="F242" s="33"/>
      <c r="G242" s="33"/>
      <c r="H242" s="33"/>
      <c r="I242" s="33"/>
      <c r="J242" s="33"/>
      <c r="K242" s="33"/>
      <c r="L242" s="33"/>
      <c r="M242" s="33"/>
      <c r="O242" s="33" t="str">
        <f ca="1">IF(Q11="wizard",N41+Q12," ")</f>
        <v xml:space="preserve"> </v>
      </c>
      <c r="P242" s="33">
        <f ca="1">IF(Q11="wizard",INDEX('Spell Tables'!C242:C261,MATCH(Q12,('Spell Tables'!B242:B261),0)),0)</f>
        <v>0</v>
      </c>
      <c r="Q242" s="114">
        <f ca="1">IF($Q241="x",RANDBETWEEN(1,2),IF($Q241="xx",$O$242,0))</f>
        <v>0</v>
      </c>
      <c r="R242" s="114">
        <f ca="1">IF(R241="x",RANDBETWEEN(1,2),IF(R241="xx",$O$242-Q242,0))</f>
        <v>0</v>
      </c>
      <c r="S242" s="114">
        <f ca="1">IF(S241="x",O242-SUM(Q242:R242,U169:X169),IF(S241="xx",$O$242-SUM(Q242:R242),0))</f>
        <v>0</v>
      </c>
      <c r="T242" s="114">
        <f ca="1">IF(T241="x",RANDBETWEEN(1,2),IF(T241="xx",RANDBETWEEN(2,3),IF(T241="xxx",RANDBETWEEN(1,2),0)))</f>
        <v>0</v>
      </c>
    </row>
    <row r="243" spans="2:20" hidden="1" x14ac:dyDescent="0.3">
      <c r="B243" s="92" t="s">
        <v>1269</v>
      </c>
      <c r="C243" s="33"/>
      <c r="D243" s="33"/>
      <c r="E243" s="33"/>
      <c r="F243" s="33"/>
      <c r="G243" s="33"/>
      <c r="H243" s="33"/>
      <c r="I243" s="33"/>
      <c r="J243" s="33"/>
      <c r="K243" s="33"/>
      <c r="L243" s="33"/>
      <c r="M243" s="33"/>
      <c r="O243" s="33" t="s">
        <v>530</v>
      </c>
      <c r="P243" s="33" t="s">
        <v>530</v>
      </c>
      <c r="Q243" s="114" t="str">
        <f ca="1">IF(AND($Q$11="warlock",$Q$12&gt;=3),"x",IF(Q11="warlock","xx"," "))</f>
        <v xml:space="preserve"> </v>
      </c>
      <c r="R243" s="114" t="str">
        <f ca="1">IF(AND($Q$11="warlock",$Q$12&gt;=5),"x",IF(AND($Q$11="warlock",$Q$12&gt;=3),"xx"," "))</f>
        <v xml:space="preserve"> </v>
      </c>
      <c r="S243" s="114" t="str">
        <f ca="1">IF(AND($Q$11="warlock",$Q$12&gt;=7),"x",IF(AND($Q$11="warlock",$Q$12&gt;=5),"xx"," "))</f>
        <v xml:space="preserve"> </v>
      </c>
      <c r="T243" s="114" t="str">
        <f ca="1">IF(AND($Q$11="warlock",$Q$12&gt;=9),"x",IF(AND($Q$11="warlock",$Q$12&gt;=7),"xx"," "))</f>
        <v xml:space="preserve"> </v>
      </c>
    </row>
    <row r="244" spans="2:20" hidden="1" x14ac:dyDescent="0.3">
      <c r="B244" s="92" t="s">
        <v>1268</v>
      </c>
      <c r="C244" s="33"/>
      <c r="D244" s="33"/>
      <c r="E244" s="33"/>
      <c r="F244" s="33"/>
      <c r="G244" s="33"/>
      <c r="H244" s="33"/>
      <c r="I244" s="33"/>
      <c r="J244" s="33"/>
      <c r="K244" s="33"/>
      <c r="L244" s="33"/>
      <c r="M244" s="33"/>
      <c r="O244" s="33" t="str">
        <f ca="1">IF(Q11="warlock",INDEX('Spell Tables'!C194:C213,MATCH($Q$12,('Spell Tables'!A194:A213),0))," ")</f>
        <v xml:space="preserve"> </v>
      </c>
      <c r="P244" s="33">
        <f ca="1">IF($Q$11="warlock",INDEX('Spell Tables'!B194:B213,MATCH($Q$12,('Spell Tables'!A194:A213),0)),0)</f>
        <v>0</v>
      </c>
      <c r="Q244" s="114">
        <f ca="1">IF($Q243="x",RANDBETWEEN(1,2),IF($Q243="xx",$O$244,0))</f>
        <v>0</v>
      </c>
      <c r="R244" s="114">
        <f ca="1">IF(R243="x",RANDBETWEEN(1,2),IF(R243="xx",$O$244-Q244,0))</f>
        <v>0</v>
      </c>
      <c r="S244" s="114">
        <f ca="1">IF(S243="x",O244-SUM(Q244:R244,U171:X171),IF(S243="xx",$O$244-SUM(Q244:R244),0))</f>
        <v>0</v>
      </c>
      <c r="T244" s="114">
        <f ca="1">IF(T243="x",RANDBETWEEN(1,2),IF(T243="xx",RANDBETWEEN(2,3),0))</f>
        <v>0</v>
      </c>
    </row>
    <row r="245" spans="2:20" hidden="1" x14ac:dyDescent="0.3">
      <c r="B245" s="92" t="s">
        <v>1267</v>
      </c>
      <c r="C245" s="33"/>
      <c r="D245" s="33"/>
      <c r="E245" s="33"/>
      <c r="F245" s="33"/>
      <c r="G245" s="33"/>
      <c r="H245" s="33"/>
      <c r="I245" s="33"/>
      <c r="J245" s="33"/>
      <c r="K245" s="33"/>
      <c r="L245" s="33"/>
      <c r="M245" s="33"/>
      <c r="O245" s="33" t="s">
        <v>530</v>
      </c>
      <c r="P245" s="33" t="s">
        <v>530</v>
      </c>
      <c r="Q245" s="114" t="str">
        <f ca="1">IF(AND($Q$11="sorcerer",$Q$12&gt;=3),"x",IF($Q$11="sorcerer","xx"," "))</f>
        <v xml:space="preserve"> </v>
      </c>
      <c r="R245" s="114" t="str">
        <f ca="1">IF(AND($Q$11="sorcerer",$Q$12&gt;=5),"x",IF(AND($Q$11="sorcerer",$Q$12&gt;=3),"xx"," "))</f>
        <v xml:space="preserve"> </v>
      </c>
      <c r="S245" s="114" t="str">
        <f ca="1">IF(AND($Q$11="sorcerer",$Q$12&gt;=7),"x",IF(AND($Q$11="sorcerer",$Q$12&gt;=5),"xx"," "))</f>
        <v xml:space="preserve"> </v>
      </c>
      <c r="T245" s="114" t="str">
        <f ca="1">IF(AND($Q$11="sorcerer",$Q$12&gt;=9),"x",IF(AND($Q$11="sorcerer",$Q$12&gt;=7),"xx"," "))</f>
        <v xml:space="preserve"> </v>
      </c>
    </row>
    <row r="246" spans="2:20" hidden="1" x14ac:dyDescent="0.3">
      <c r="B246" s="92" t="s">
        <v>1266</v>
      </c>
      <c r="C246" s="33"/>
      <c r="D246" s="33"/>
      <c r="E246" s="33"/>
      <c r="F246" s="33"/>
      <c r="G246" s="33"/>
      <c r="H246" s="33"/>
      <c r="I246" s="33"/>
      <c r="J246" s="33"/>
      <c r="K246" s="33"/>
      <c r="L246" s="33"/>
      <c r="M246" s="33"/>
      <c r="O246" s="33" t="str">
        <f ca="1">IF(Q11="sorcerer",INDEX('Spell Tables'!C168:C187,MATCH($Q$12,('Spell Tables'!A168:A187),0))," ")</f>
        <v xml:space="preserve"> </v>
      </c>
      <c r="P246" s="33">
        <f ca="1">IF($Q$11="sorcerer",INDEX('Spell Tables'!B168:B187,MATCH($Q$12,('Spell Tables'!A168:A187),0)),0)</f>
        <v>0</v>
      </c>
      <c r="Q246" s="114">
        <f ca="1">IF($Q245="x",RANDBETWEEN(1,2),IF($Q245="xx",$O$246,0))</f>
        <v>0</v>
      </c>
      <c r="R246" s="114">
        <f ca="1">IF(R245="x",RANDBETWEEN(1,2),IF(R245="xx",$O$246-Q246,0))</f>
        <v>0</v>
      </c>
      <c r="S246" s="114">
        <f ca="1">IF(S245="x",O246-SUM(Q246:R246,U173:X173),IF(S245="xx",$O$246-SUM(Q246:R246),0))</f>
        <v>0</v>
      </c>
      <c r="T246" s="114">
        <f ca="1">IF(T245="x",RANDBETWEEN(1,2),IF(T245="xx",RANDBETWEEN(2,3),0))</f>
        <v>0</v>
      </c>
    </row>
    <row r="247" spans="2:20" hidden="1" x14ac:dyDescent="0.3">
      <c r="B247" s="92" t="s">
        <v>1254</v>
      </c>
      <c r="C247" s="33"/>
      <c r="D247" s="33"/>
      <c r="E247" s="33"/>
      <c r="F247" s="33"/>
      <c r="G247" s="33"/>
      <c r="H247" s="33"/>
      <c r="I247" s="33"/>
      <c r="J247" s="33"/>
      <c r="K247" s="33"/>
      <c r="L247" s="33"/>
      <c r="M247" s="33"/>
      <c r="O247" s="33" t="s">
        <v>530</v>
      </c>
      <c r="P247" s="33" t="s">
        <v>530</v>
      </c>
      <c r="Q247" s="114" t="str">
        <f ca="1">IF(AND(R15="arcane trickster",Q12&gt;=7),"x",IF(R15="arcane trickster","xx"," "))</f>
        <v xml:space="preserve"> </v>
      </c>
      <c r="R247" s="114" t="str">
        <f ca="1">IF(AND(R15="arcane trickster",Q12=13),"x",IF(AND(R15="arcane trickster",$Q$12&gt;=7),"xx"," "))</f>
        <v xml:space="preserve"> </v>
      </c>
      <c r="S247" s="114" t="str">
        <f ca="1">IF(AND(R15="arcane trickster",Q12&gt;=19),"x",IF(AND(R15="arcane trickster",$Q$12&gt;=13),"xx"," "))</f>
        <v xml:space="preserve"> </v>
      </c>
      <c r="T247" s="114" t="str">
        <f ca="1">IF(AND(R15="arcane trickster",$Q$12&gt;=19),"xx"," ")</f>
        <v xml:space="preserve"> </v>
      </c>
    </row>
    <row r="248" spans="2:20" hidden="1" x14ac:dyDescent="0.3">
      <c r="B248" s="92" t="s">
        <v>1253</v>
      </c>
      <c r="C248" s="33"/>
      <c r="D248" s="33"/>
      <c r="E248" s="33"/>
      <c r="F248" s="33"/>
      <c r="G248" s="33"/>
      <c r="H248" s="33"/>
      <c r="I248" s="33"/>
      <c r="J248" s="33"/>
      <c r="K248" s="33"/>
      <c r="L248" s="33"/>
      <c r="M248" s="33"/>
      <c r="O248" s="33" t="str">
        <f ca="1">IF(R15="arcane trickster",INDEX('Spell Tables'!C141:C160,MATCH($Q$12,('Spell Tables'!A141:A160),0))," ")</f>
        <v xml:space="preserve"> </v>
      </c>
      <c r="P248" s="33">
        <f ca="1">IF($R$15="arcane trickster",INDEX('Spell Tables'!B141:B160,MATCH($Q$12,('Spell Tables'!A141:A160),0)),0)</f>
        <v>0</v>
      </c>
      <c r="Q248" s="114">
        <f ca="1">IF($Q247="x",RANDBETWEEN(2,3),IF($Q247="xx",$O$248,0))</f>
        <v>0</v>
      </c>
      <c r="R248" s="114">
        <f ca="1">IF(R247="x",RANDBETWEEN(2,3),IF(R247="xx",$O$248-Q248,0))</f>
        <v>0</v>
      </c>
      <c r="S248" s="114">
        <f ca="1">IF(S247="x",O248-SUM(Q248:R248,U175:X175),IF(S247="xx",$O$248-SUM(Q248:R248),0))</f>
        <v>0</v>
      </c>
      <c r="T248" s="114">
        <f ca="1">IF(T247="x",RANDBETWEEN(1,2),IF(T247="xx",RANDBETWEEN(2,3),0))</f>
        <v>0</v>
      </c>
    </row>
    <row r="249" spans="2:20" hidden="1" x14ac:dyDescent="0.3">
      <c r="B249" s="92" t="s">
        <v>1247</v>
      </c>
      <c r="C249" s="33"/>
      <c r="D249" s="33"/>
      <c r="E249" s="33"/>
      <c r="F249" s="33"/>
      <c r="G249" s="33"/>
      <c r="H249" s="33"/>
      <c r="I249" s="33"/>
      <c r="J249" s="33"/>
      <c r="K249" s="33"/>
      <c r="L249" s="33"/>
      <c r="M249" s="33"/>
      <c r="O249" s="33" t="s">
        <v>530</v>
      </c>
      <c r="P249" s="33" t="s">
        <v>1324</v>
      </c>
      <c r="Q249" s="114" t="str">
        <f ca="1">IF(AND($Q$11="ranger",$Q$12&gt;=5),"x",IF(AND(Q11="ranger",Q12&gt;=2),"xx"," "))</f>
        <v>xx</v>
      </c>
      <c r="R249" s="114" t="str">
        <f ca="1">IF(AND($Q$11="ranger",$Q$12&gt;=9),"x",IF(AND($Q$11="ranger",$Q$12&gt;=5),"xx"," "))</f>
        <v xml:space="preserve"> </v>
      </c>
      <c r="S249" s="114" t="str">
        <f ca="1">IF(AND($Q$11="ranger",$Q$12&gt;=13),"x",IF(AND($Q$11="ranger",$Q$12&gt;=9),"xx"," "))</f>
        <v xml:space="preserve"> </v>
      </c>
      <c r="T249" s="114" t="str">
        <f ca="1">IF(AND($Q$11="ranger",$Q$12&gt;=17),"x",IF(AND($Q$11="ranger",$Q$12&gt;=13),"xx"," "))</f>
        <v xml:space="preserve"> </v>
      </c>
    </row>
    <row r="250" spans="2:20" hidden="1" x14ac:dyDescent="0.3">
      <c r="B250" s="92" t="s">
        <v>1246</v>
      </c>
      <c r="C250" s="33"/>
      <c r="D250" s="33"/>
      <c r="E250" s="33"/>
      <c r="F250" s="33"/>
      <c r="G250" s="33"/>
      <c r="H250" s="33"/>
      <c r="I250" s="33"/>
      <c r="J250" s="33"/>
      <c r="K250" s="33"/>
      <c r="L250" s="33"/>
      <c r="M250" s="33"/>
      <c r="O250" s="33">
        <f ca="1">IF($Q$11="ranger",INDEX('Spell Tables'!C119:C138,MATCH($Q$12,('Spell Tables'!B119:B138),0))," ")</f>
        <v>3</v>
      </c>
      <c r="P250" s="33" t="s">
        <v>1324</v>
      </c>
      <c r="Q250" s="114">
        <f ca="1">IF($Q249="x",RANDBETWEEN(1,2),IF($Q249="xx",$O$250,0))</f>
        <v>3</v>
      </c>
      <c r="R250" s="114">
        <f ca="1">IF(R249="x",RANDBETWEEN(1,2),IF(R249="xx",$O$250-Q250,0))</f>
        <v>0</v>
      </c>
      <c r="S250" s="114">
        <f ca="1">IF(S249="x",O250-SUM(Q250:R250,U177:X177),IF(S249="xx",$O$250-SUM(Q250:R250),0))</f>
        <v>0</v>
      </c>
      <c r="T250" s="114">
        <f ca="1">IF(T249="x",RANDBETWEEN(1,2),IF(T249="xx",RANDBETWEEN(2,3),0))</f>
        <v>0</v>
      </c>
    </row>
    <row r="251" spans="2:20" hidden="1" x14ac:dyDescent="0.3">
      <c r="B251" s="92" t="s">
        <v>1245</v>
      </c>
      <c r="C251" s="33"/>
      <c r="D251" s="33"/>
      <c r="E251" s="33"/>
      <c r="F251" s="33"/>
      <c r="G251" s="33"/>
      <c r="H251" s="33"/>
      <c r="I251" s="33"/>
      <c r="J251" s="33"/>
      <c r="K251" s="33"/>
      <c r="L251" s="33"/>
      <c r="M251" s="33"/>
      <c r="O251" s="33" t="s">
        <v>530</v>
      </c>
      <c r="P251" s="33" t="s">
        <v>1324</v>
      </c>
      <c r="Q251" s="114" t="str">
        <f ca="1">IF(AND($Q$11="paladin",$Q$12&gt;=5),"x",IF($Q$11="paladin","xx"," "))</f>
        <v xml:space="preserve"> </v>
      </c>
      <c r="R251" s="114" t="str">
        <f ca="1">IF(AND(Q11="paladin",Q12&gt;=9),"x",IF(AND($Q$11="paladin",$Q$12&gt;=5),"xx"," "))</f>
        <v xml:space="preserve"> </v>
      </c>
      <c r="S251" s="114" t="str">
        <f ca="1">IF(AND(Q11="paladin",Q12&gt;=13),"x",IF(AND($Q$11="paladin",$Q$12&gt;=9),"xx"," "))</f>
        <v xml:space="preserve"> </v>
      </c>
      <c r="T251" s="114" t="str">
        <f ca="1">IF(AND(Q11="paladin",Q12&gt;=17),"x",IF(AND($Q$11="paladin",$Q$12&gt;=13),"xx"," "))</f>
        <v xml:space="preserve"> </v>
      </c>
    </row>
    <row r="252" spans="2:20" hidden="1" x14ac:dyDescent="0.3">
      <c r="B252" s="92" t="s">
        <v>1244</v>
      </c>
      <c r="C252" s="33"/>
      <c r="D252" s="33"/>
      <c r="E252" s="33"/>
      <c r="F252" s="33"/>
      <c r="G252" s="33"/>
      <c r="H252" s="33"/>
      <c r="I252" s="33"/>
      <c r="J252" s="33"/>
      <c r="K252" s="33"/>
      <c r="L252" s="33"/>
      <c r="M252" s="33"/>
      <c r="O252" s="33" t="str">
        <f ca="1">IF(Q11="paladin",ROUNDDOWN(N43+(Q12*0.5),0)," ")</f>
        <v xml:space="preserve"> </v>
      </c>
      <c r="P252" s="33" t="s">
        <v>1324</v>
      </c>
      <c r="Q252" s="114">
        <f ca="1">IF($Q251="x",RANDBETWEEN(1,2),IF($Q251="xx",$O$252,0))</f>
        <v>0</v>
      </c>
      <c r="R252" s="114">
        <f ca="1">IF(R251="x",RANDBETWEEN(1,2),IF(R251="xx",$O$252-Q252,0))</f>
        <v>0</v>
      </c>
      <c r="S252" s="114">
        <f ca="1">IF(S251="x",O252-SUM(Q252:R252,U179:X179),IF(S251="xx",$O$252-SUM(Q252:R252),0))</f>
        <v>0</v>
      </c>
      <c r="T252" s="114">
        <f ca="1">IF(T251="x",RANDBETWEEN(1,2),IF(T251="xx",RANDBETWEEN(2,3),0))</f>
        <v>0</v>
      </c>
    </row>
    <row r="253" spans="2:20" hidden="1" x14ac:dyDescent="0.3">
      <c r="B253" s="92" t="s">
        <v>1226</v>
      </c>
      <c r="C253" s="33"/>
      <c r="D253" s="33"/>
      <c r="E253" s="33"/>
      <c r="F253" s="33"/>
      <c r="G253" s="33"/>
      <c r="H253" s="33"/>
      <c r="I253" s="33"/>
      <c r="J253" s="33"/>
      <c r="K253" s="33"/>
      <c r="L253" s="33"/>
      <c r="M253" s="33"/>
      <c r="O253" s="33" t="s">
        <v>530</v>
      </c>
      <c r="P253" s="33" t="s">
        <v>530</v>
      </c>
      <c r="Q253" s="114" t="str">
        <f ca="1">IF(AND(R15="eldritch knight",Q12&gt;=7),"x",IF(R15="eldritch knight","xx"," "))</f>
        <v xml:space="preserve"> </v>
      </c>
      <c r="R253" s="114" t="str">
        <f ca="1">IF(AND(R15="eldritch knight",Q12&gt;=13),"x",IF(AND(R15="eldritch knight",$Q$12&gt;=7),"xx"," "))</f>
        <v xml:space="preserve"> </v>
      </c>
      <c r="S253" s="114" t="str">
        <f ca="1">IF(AND(R15="eldritch knight",Q12&gt;=19),"x",IF(AND(R15="eldritch knight",$Q$12&gt;=13),"xx"," "))</f>
        <v xml:space="preserve"> </v>
      </c>
      <c r="T253" s="114" t="str">
        <f ca="1">IF(AND(R15="eldritch knight",$Q$12&gt;=19),"xx"," ")</f>
        <v xml:space="preserve"> </v>
      </c>
    </row>
    <row r="254" spans="2:20" hidden="1" x14ac:dyDescent="0.3">
      <c r="B254" s="92" t="s">
        <v>1222</v>
      </c>
      <c r="C254" s="33"/>
      <c r="D254" s="33"/>
      <c r="E254" s="33"/>
      <c r="F254" s="33"/>
      <c r="G254" s="33"/>
      <c r="H254" s="33"/>
      <c r="I254" s="33"/>
      <c r="J254" s="33"/>
      <c r="K254" s="33"/>
      <c r="L254" s="33"/>
      <c r="M254" s="33"/>
      <c r="O254" s="33" t="str">
        <f ca="1">IF($R$15="eldritch knight",INDEX('Spell Tables'!C70:C89,MATCH($Q$12,('Spell Tables'!A70:A89),0))," ")</f>
        <v xml:space="preserve"> </v>
      </c>
      <c r="P254" s="33">
        <f ca="1">IF($R$15="eldritch knight",INDEX('Spell Tables'!B70:B89,MATCH($Q$12,('Spell Tables'!A70:A89),0)),0)</f>
        <v>0</v>
      </c>
      <c r="Q254" s="114">
        <f ca="1">IF($Q253="x",RANDBETWEEN(2,3),IF($Q253="xx",$O$254,0))</f>
        <v>0</v>
      </c>
      <c r="R254" s="114">
        <f ca="1">IF(R253="x",RANDBETWEEN(2,3),IF(R253="xx",$O$254-Q254,0))</f>
        <v>0</v>
      </c>
      <c r="S254" s="114">
        <f ca="1">IF(S253="x",O254-SUM(Q254:R254,U181:X181),IF(S253="xx",$O$254-SUM(Q254:R254),0))</f>
        <v>0</v>
      </c>
      <c r="T254" s="114">
        <f ca="1">IF(T253="x",RANDBETWEEN(1,2),IF(T253="xx",RANDBETWEEN(2,3),0))</f>
        <v>0</v>
      </c>
    </row>
    <row r="255" spans="2:20" hidden="1" x14ac:dyDescent="0.3">
      <c r="B255" s="92" t="s">
        <v>1219</v>
      </c>
      <c r="C255" s="33"/>
      <c r="D255" s="33"/>
      <c r="E255" s="33"/>
      <c r="F255" s="33"/>
      <c r="G255" s="33"/>
      <c r="H255" s="33"/>
      <c r="I255" s="33"/>
      <c r="J255" s="33"/>
      <c r="K255" s="33"/>
      <c r="L255" s="33"/>
      <c r="M255" s="33"/>
      <c r="O255" s="33" t="s">
        <v>530</v>
      </c>
      <c r="P255" s="33" t="s">
        <v>530</v>
      </c>
      <c r="Q255" s="114" t="str">
        <f ca="1">IF(AND($Q$11="druid",$Q$12&gt;=3),"x",IF($Q$11="druid","xx"," "))</f>
        <v xml:space="preserve"> </v>
      </c>
      <c r="R255" s="114" t="str">
        <f ca="1">IF(AND($Q$11="druid",$Q$12&gt;=5),"x",IF(AND($Q$11="druid",$Q$12&gt;=3),"xx"," "))</f>
        <v xml:space="preserve"> </v>
      </c>
      <c r="S255" s="114" t="str">
        <f ca="1">IF(AND($Q$11="druid",$Q$12&gt;=7),"x",IF(AND($Q$11="druid",$Q$12&gt;=5),"xx"," "))</f>
        <v xml:space="preserve"> </v>
      </c>
      <c r="T255" s="114" t="str">
        <f ca="1">IF(AND($Q$11="druid",$Q$12&gt;=9),"x",IF(AND($Q$11="druid",$Q$12&gt;=7),"xx"," "))</f>
        <v xml:space="preserve"> </v>
      </c>
    </row>
    <row r="256" spans="2:20" hidden="1" x14ac:dyDescent="0.3">
      <c r="B256" s="92" t="s">
        <v>1220</v>
      </c>
      <c r="C256" s="33"/>
      <c r="D256" s="33"/>
      <c r="E256" s="33"/>
      <c r="F256" s="33"/>
      <c r="G256" s="33"/>
      <c r="H256" s="33"/>
      <c r="I256" s="33"/>
      <c r="J256" s="95"/>
      <c r="K256" s="95"/>
      <c r="L256" s="95"/>
      <c r="M256" s="95"/>
      <c r="O256" s="33" t="str">
        <f ca="1">IF(Q11="druid",Q12+N42," ")</f>
        <v xml:space="preserve"> </v>
      </c>
      <c r="P256" s="33">
        <f ca="1">IF($Q$11="druid",INDEX('Spell Tables'!C48:C67,MATCH($Q$12,('Spell Tables'!B48:B67),0)),0)</f>
        <v>0</v>
      </c>
      <c r="Q256" s="114">
        <f ca="1">IF($Q255="x",RANDBETWEEN(1,2),IF($Q255="xx",$O$256,0))</f>
        <v>0</v>
      </c>
      <c r="R256" s="114">
        <f ca="1">IF(R255="x",RANDBETWEEN(1,2),IF(R255="xx",$O$256-Q256,0))</f>
        <v>0</v>
      </c>
      <c r="S256" s="114">
        <f ca="1">IF(S255="x",O256-SUM(Q256:R256,U183:X183),IF(S255="xx",$O$256-SUM(Q256:R256),0))</f>
        <v>0</v>
      </c>
      <c r="T256" s="114">
        <f ca="1">IF(T255="x",RANDBETWEEN(1,2),IF(T255="xx",RANDBETWEEN(2,3),0))</f>
        <v>0</v>
      </c>
    </row>
    <row r="257" spans="2:20" hidden="1" x14ac:dyDescent="0.3">
      <c r="B257" s="92" t="s">
        <v>1143</v>
      </c>
      <c r="C257" s="33"/>
      <c r="D257" s="33"/>
      <c r="E257" s="33"/>
      <c r="F257" s="33"/>
      <c r="G257" s="33"/>
      <c r="H257" s="33"/>
      <c r="I257" s="33"/>
      <c r="J257" s="33"/>
      <c r="K257" s="33"/>
      <c r="L257" s="33"/>
      <c r="M257" s="33"/>
      <c r="O257" s="33" t="s">
        <v>530</v>
      </c>
      <c r="P257" s="33" t="s">
        <v>530</v>
      </c>
      <c r="Q257" s="114" t="str">
        <f ca="1">IF(AND(Q11="cleric",Q12&gt;=3),"x",IF(Q11="cleric","xx"," "))</f>
        <v xml:space="preserve"> </v>
      </c>
      <c r="R257" s="114" t="str">
        <f ca="1">IF(AND(Q11="cleric",Q12&gt;=5),"x",IF(AND($Q$11="cleric",$Q$12&gt;=3),"xx"," "))</f>
        <v xml:space="preserve"> </v>
      </c>
      <c r="S257" s="114" t="str">
        <f ca="1">IF(AND(Q11="cleric",Q12&gt;=7),"x",IF(AND($Q$11="cleric",$Q$12&gt;=5),"xx"," "))</f>
        <v xml:space="preserve"> </v>
      </c>
      <c r="T257" s="114" t="str">
        <f ca="1">IF(AND(Q11="cleric",Q12&gt;=9),"x",IF(AND($Q$11="cleric",$Q$12&gt;=7),"xx"," "))</f>
        <v xml:space="preserve"> </v>
      </c>
    </row>
    <row r="258" spans="2:20" hidden="1" x14ac:dyDescent="0.3">
      <c r="B258" s="92" t="s">
        <v>1142</v>
      </c>
      <c r="C258" s="33"/>
      <c r="D258" s="33"/>
      <c r="E258" s="33"/>
      <c r="F258" s="33"/>
      <c r="G258" s="33"/>
      <c r="H258" s="33"/>
      <c r="I258" s="33"/>
      <c r="J258" s="33"/>
      <c r="K258" s="33"/>
      <c r="L258" s="33"/>
      <c r="M258" s="33"/>
      <c r="O258" s="33" t="str">
        <f ca="1">IF(Q11="cleric",Q12+N42," ")</f>
        <v xml:space="preserve"> </v>
      </c>
      <c r="P258" s="33">
        <f ca="1">IF($Q$11="cleric",INDEX('Spell Tables'!C26:C45,MATCH($Q$12,('Spell Tables'!B26:B45),0)),0)</f>
        <v>0</v>
      </c>
      <c r="Q258" s="114">
        <f ca="1">IF($Q257="x",RANDBETWEEN(1,2),IF($Q257="xx",$O$258,0))</f>
        <v>0</v>
      </c>
      <c r="R258" s="114">
        <f ca="1">IF(R257="x",RANDBETWEEN(1,2),IF(R257="xx",$O$258-Q258,0))</f>
        <v>0</v>
      </c>
      <c r="S258" s="114">
        <f ca="1">IF(S257="x",O258-SUM(Q258:R258,U185:X185),IF(S257="xx",$O$258-SUM(Q258:R258),0))</f>
        <v>0</v>
      </c>
      <c r="T258" s="114">
        <f ca="1">IF(T257="x",RANDBETWEEN(1,2),IF(T257="xx",RANDBETWEEN(2,3),0))</f>
        <v>0</v>
      </c>
    </row>
    <row r="259" spans="2:20" hidden="1" x14ac:dyDescent="0.3">
      <c r="B259" s="92" t="s">
        <v>1248</v>
      </c>
      <c r="C259" s="33"/>
      <c r="D259" s="33"/>
      <c r="E259" s="33"/>
      <c r="F259" s="33"/>
      <c r="G259" s="33"/>
      <c r="H259" s="33"/>
      <c r="I259" s="33"/>
      <c r="J259" s="33"/>
      <c r="K259" s="33"/>
      <c r="L259" s="33"/>
      <c r="M259" s="33"/>
      <c r="O259" s="33" t="s">
        <v>530</v>
      </c>
      <c r="P259" s="33" t="s">
        <v>530</v>
      </c>
      <c r="Q259" s="114" t="str">
        <f ca="1">IF(AND($Q$11="bard",$Q$12&gt;=3),"x",IF($Q$11="bard","xx"," "))</f>
        <v xml:space="preserve"> </v>
      </c>
      <c r="R259" s="114" t="str">
        <f ca="1">IF(AND($Q$11="bard",$Q$12&gt;=5),"x",IF(AND($Q$11="bard",$Q$12&gt;=3),"xx"," "))</f>
        <v xml:space="preserve"> </v>
      </c>
      <c r="S259" s="114" t="str">
        <f ca="1">IF(AND($Q$11="bard",$Q$12&gt;=7),"x",IF(AND($Q$11="bard",$Q$12&gt;=5),"xx"," "))</f>
        <v xml:space="preserve"> </v>
      </c>
      <c r="T259" s="114" t="str">
        <f ca="1">IF(AND($Q$11="bard",$Q$12&gt;=9),"x",IF(AND($Q$11="bard",$Q$12&gt;=7),"xx"," "))</f>
        <v xml:space="preserve"> </v>
      </c>
    </row>
    <row r="260" spans="2:20" hidden="1" x14ac:dyDescent="0.3">
      <c r="B260" s="92" t="s">
        <v>1141</v>
      </c>
      <c r="C260" s="33"/>
      <c r="D260" s="33"/>
      <c r="E260" s="33"/>
      <c r="F260" s="33"/>
      <c r="G260" s="33"/>
      <c r="H260" s="33"/>
      <c r="I260" s="33"/>
      <c r="J260" s="33"/>
      <c r="K260" s="33"/>
      <c r="L260" s="33"/>
      <c r="M260" s="33"/>
      <c r="O260" s="33" t="str">
        <f ca="1">IF($Q$11="bard",INDEX('Spell Tables'!C$2:C$21,MATCH($Q$12,('Spell Tables'!$A$2:$A$21),0))," ")</f>
        <v xml:space="preserve"> </v>
      </c>
      <c r="P260" s="33">
        <f ca="1">IF($Q$11="bard",INDEX('Spell Tables'!B2:B21,MATCH($Q$12,('Spell Tables'!A2:A21),0)),0)</f>
        <v>0</v>
      </c>
      <c r="Q260" s="114">
        <f ca="1">IF($Q259="x",RANDBETWEEN(1,2),IF($Q259="xx",$O$260,0))</f>
        <v>0</v>
      </c>
      <c r="R260" s="114">
        <f ca="1">IF(R259="x",RANDBETWEEN(1,2),IF(R259="xx",$O$260-Q260,0))</f>
        <v>0</v>
      </c>
      <c r="S260" s="114">
        <f ca="1">IF(S259="x",O260-SUM(Q260:R260,U187:X187),IF(S259="xx",$O$260-SUM(Q260:R260),0))</f>
        <v>0</v>
      </c>
      <c r="T260" s="114">
        <f ca="1">IF(T259="x",RANDBETWEEN(1,2),IF(T259="xx",RANDBETWEEN(2,3),0))</f>
        <v>0</v>
      </c>
    </row>
    <row r="261" spans="2:20" x14ac:dyDescent="0.3">
      <c r="B261" s="92" t="s">
        <v>1122</v>
      </c>
      <c r="C261" s="33"/>
      <c r="D261" s="33"/>
      <c r="E261" s="33"/>
      <c r="F261" s="33"/>
      <c r="G261" s="33"/>
      <c r="H261" s="33"/>
      <c r="I261" s="33"/>
      <c r="J261" s="33"/>
      <c r="K261" s="33"/>
      <c r="L261" s="33"/>
      <c r="M261" s="33"/>
      <c r="O261" s="33"/>
      <c r="P261" s="92" t="s">
        <v>1124</v>
      </c>
      <c r="Q261" s="92" t="s">
        <v>746</v>
      </c>
      <c r="R261" s="92" t="s">
        <v>747</v>
      </c>
      <c r="S261" s="92" t="s">
        <v>748</v>
      </c>
      <c r="T261" s="92" t="s">
        <v>749</v>
      </c>
    </row>
    <row r="262" spans="2:20" x14ac:dyDescent="0.3">
      <c r="B262" s="33">
        <f ca="1">IF(OR(Q11="bard",Q11="paladin",Q11="sorcerer",Q11="warlock"),8+$P$8+$N$43,IF(OR(Q11="druid",Q11="cleric",Q11="ranger"),8+P8+N42,IF(OR(R15="eldritch knight",R15="arcane trickster",Q11="wizard"),8+P8+N41," ")))</f>
        <v>12</v>
      </c>
      <c r="C262" s="33"/>
      <c r="D262" s="33"/>
      <c r="E262" s="33"/>
      <c r="F262" s="33"/>
      <c r="G262" s="33"/>
      <c r="H262" s="33"/>
      <c r="I262" s="33"/>
      <c r="J262" s="33"/>
      <c r="K262" s="33"/>
      <c r="L262" s="33"/>
      <c r="M262" s="33"/>
      <c r="O262" s="34">
        <v>1</v>
      </c>
      <c r="P262" s="33" t="str">
        <f ca="1">IF(P$242&gt;=O193,INDEX('Spell Tables'!$P$242:$P$257,MATCH(O193,('Spell Tables'!$N$242:$N$257),0)),IF(P$244&gt;=O193,INDEX('Spell Tables'!$P$194:$P$201,MATCH(O193,('Spell Tables'!$N$194:$N$201),0)),IF(P$246&gt;=O193,INDEX('Spell Tables'!$P$168:$P$183,MATCH(O193,('Spell Tables'!$N$168:$N$183),0)),IF(P$248&gt;=O193,INDEX('Spell Tables'!$P$141:$P$156,MATCH(O193,('Spell Tables'!$N$141:$N$157),0)),IF(P$254&gt;=O193,INDEX('Spell Tables'!$P$70:$P$83,MATCH(O193,('Spell Tables'!$N$70:$N$83),0)),IF(P$256&gt;=O193,INDEX('Spell Tables'!$P$48:$P$55,MATCH(O193,('Spell Tables'!$N$48:$N$55),0)),IF(P$258&gt;=O193,INDEX('Spell Tables'!$P$26:$P$32,MATCH(O193,('Spell Tables'!$N$26:$N$32),0)),IF(P$260&gt;=O193,INDEX('Spell Tables'!$P$2:$P$12,MATCH(O193,('Spell Tables'!$N$2:$N$12),0))," "))))))))</f>
        <v xml:space="preserve"> </v>
      </c>
      <c r="Q262" s="33" t="str">
        <f ca="1">IF(AND($Q$15="Otherworldly patron - great old one",Q$244&gt;=O193),INDEX('Spell Tables'!$T$226:$T$238,MATCH(O193,('Spell Tables'!$R$226:$R$238),0)),IF(AND($Q$15="Otherworldly patron - fiend",Q$244&gt;=O193),INDEX('Spell Tables'!$T$210:$T$222,MATCH(O193,('Spell Tables'!$R$210:$R$222),0)),IF(Q$242&gt;=O193,INDEX($AL$44:$AL$53,MATCH(O193,($AJ$44:$AJ$53),0)),IF(AND($Q$15="Otherworldly patron - archfey",Q$244&gt;=O193),INDEX('Spell Tables'!T$206:$T294,MATCH(O193,('Spell Tables'!$R$194:$R$206),0)),IF(Q$246&gt;=O193,INDEX('Spell Tables'!T268:T287,MATCH(O193,('Spell Tables'!$R$168:$R$187),0)),IF(Q$248&gt;=O193,INDEX('Spell Tables'!T241:T247,MATCH(O193,('Spell Tables'!$R$141:$R$147),0)),IF(Q$250&gt;=O193,INDEX('Spell Tables'!$P$119:$P$131,MATCH(O193,('Spell Tables'!$N$119:$N$131),0)),IF(Q$252&gt;=O193,INDEX('Spell Tables'!$P$97:$P$111,MATCH(O193,('Spell Tables'!$N$97:$N$111),0)),IF(Q$254&gt;=O193,INDEX('Spell Tables'!$T$70:$T$78,MATCH(O193,('Spell Tables'!$R$70:$R$78),0)),IF(Q$256&gt;=O193,INDEX('Spell Tables'!$T$48:$T$63,MATCH(O193,('Spell Tables'!$R$48:$R$63),0)),IF(Q$258&gt;=O193,INDEX('Spell Tables'!$T$26:$T$40,MATCH(O193,('Spell Tables'!$R$26:$R$40),0)),IF(Q$260&gt;=O193,INDEX('Spell Tables'!$T$2:$T$22,MATCH(O193,('Spell Tables'!$R$2:$R$22),0))," "))))))))))))</f>
        <v>Detect Magic</v>
      </c>
      <c r="R262" s="33" t="str">
        <f ca="1">IF(AND($Q$15="Otherworldly patron - great old one",R$244&gt;=O193),INDEX('Spell Tables'!$X$226:$X$239,MATCH(O193,('Spell Tables'!$V$226:$V$239),0)),IF(AND($Q$15="Otherworldly patron - fiend",R$244&gt;=O193),INDEX('Spell Tables'!$X$210:$X$223,MATCH(O193,('Spell Tables'!$V$210:$V$223),0)),IF(AND($Q$15="Otherworldly patron - archfey",R$244&gt;=O193),INDEX('Spell Tables'!$X$194:$X$207,MATCH(O193,('Spell Tables'!$V$194:$V$207),0)),IF($R$242&gt;=O193,INDEX($AL$56:$AL$65,MATCH(O193,($AJ$56:$AJ$65),0)),IF($R$246&gt;=O193,INDEX('Spell Tables'!$X$168:$X$191,MATCH(O193,('Spell Tables'!$V$168:$V$191),0)),IF($R$248&gt;=O193,INDEX('Spell Tables'!$AB$141:$AB$149,MATCH(O193,('Spell Tables'!$Z$141:$Z$149),0)),IF($R$250&gt;=O193,INDEX('Spell Tables'!T219:T231,MATCH(O193,('Spell Tables'!$R$119:$R$131),0)),IF($R$252&gt;=O193,INDEX('Spell Tables'!$T$97:T204,MATCH(O193,('Spell Tables'!$R$97:$R$104),0)),IF($R$254&gt;=O193,INDEX('Spell Tables'!$AB$70:$AB$75,MATCH(O193,('Spell Tables'!$Z$70:$Z$75),0)),IF($R$256&gt;=O193,INDEX('Spell Tables'!$X$48:$X$65,MATCH(O193,('Spell Tables'!$V$48:$V$65),0)),IF($R$258&gt;=O193,INDEX('Spell Tables'!$X$26:$X$42,MATCH(O193,('Spell Tables'!$V$26:$V$42),0)),IF($R$260&gt;=O193,INDEX('Spell Tables'!$X$2:$X$23,MATCH(O193,('Spell Tables'!$V$2:$V$23),0))," "))))))))))))</f>
        <v xml:space="preserve"> </v>
      </c>
      <c r="S262" s="33" t="str">
        <f ca="1">IF(AND($Q$15="Otherworldly patron - great old one",S$244&gt;=O193),INDEX('Spell Tables'!$AB$226:$AB$238,MATCH(O193,('Spell Tables'!$Z$226:$Z$238),0)),IF(AND($Q$15="Otherworldly patron - fiend",S$244&gt;=O193),INDEX('Spell Tables'!$AB$210:$AB$222,MATCH(O193,('Spell Tables'!$Z$210:$Z$222),0)),IF(AND($Q$15="Otherworldly patron - archfey",S$244&gt;=O193),INDEX('Spell Tables'!$AB$194:$AB$206,MATCH(O193,('Spell Tables'!$Z$194:$Z$206),0)),IF($S$242&gt;=O193,INDEX($AL$68:$AL$77,MATCH(O193,($AJ$68:$AJ$77),0)),IF($S$246&gt;=O193,INDEX('Spell Tables'!$AB$168:$AB$187,MATCH(O193,('Spell Tables'!$Z$168:$Z$187),0)),IF($S$248&gt;=O193,INDEX('Spell Tables'!$AJ$141:$AJ$144,MATCH(O193,('Spell Tables'!$AH$141:$AH$144),0)),IF($S$250&gt;=O193,INDEX('Spell Tables'!$X$119:$X$129,MATCH(O193,('Spell Tables'!$V$119:$V$129),0)),IF($S$252&gt;=O193,INDEX('Spell Tables'!$X$97:$X$106,MATCH(O193,('Spell Tables'!$V$97:$V$106),0)),IF($S$254&gt;=O193,INDEX('Spell Tables'!$AJ$70:$AJ$79,MATCH(O193,('Spell Tables'!$AH$70:$AH$79),0)),IF($S$256&gt;=O193,INDEX('Spell Tables'!$AB$48:$AB$60,MATCH(O193,('Spell Tables'!$Z$48:$Z$60),0)),IF($S$258&gt;=O193,INDEX('Spell Tables'!$AB$26:$AB$45,MATCH(O193,('Spell Tables'!$Z$26:$Z$45),0)),IF($S$260&gt;=O193,INDEX('Spell Tables'!$AB$2:$AB$17,MATCH(O193,('Spell Tables'!$Z$2:$Z$17),0))," "))))))))))))</f>
        <v xml:space="preserve"> </v>
      </c>
      <c r="T262" s="33" t="str">
        <f ca="1">IF(AND($Q$15="Otherworldly patron - great old one",T$244&gt;=O193),INDEX('Spell Tables'!$AF$226:$AF$231,MATCH(O193,('Spell Tables'!$AD$226:$AD$231),0)),IF(AND($Q$15="Otherworldly patron - fiend",T$244&gt;=O193),INDEX('Spell Tables'!$AF$210:$AF$215,MATCH(O193,('Spell Tables'!$AD$210:$AD$215),0)),IF(AND($Q$15="Otherworldly patron - archfey",T$244&gt;=O193),INDEX('Spell Tables'!$AF$194:$AF$199,MATCH(O193,('Spell Tables'!$AD$194:$AD$199),0)),IF($T$242&gt;=O193,INDEX($AL$80:$AL$89,MATCH(O193,($AJ$80:$AJ$89),0)),IF($T$246&gt;=O193,INDEX('Spell Tables'!$AF$168:$AF$177,MATCH(O193,('Spell Tables'!$AD$168:$AD$177),0)),IF($T$248&gt;=O193,INDEX('Spell Tables'!$AR$141:$AR$144,MATCH(O193,('Spell Tables'!$AP$141:$AP$144),0)),IF($T$250&gt;=O193,INDEX('Spell Tables'!$AB$119:$AB$123,MATCH(O193,('Spell Tables'!$Z$119:$Z$123),0)),IF($T$252&gt;=O193,INDEX('Spell Tables'!$AB$97:$AB$102,MATCH(O193,('Spell Tables'!$Z$97:$Z$102),0)),IF($T$254&gt;=O193,INDEX('Spell Tables'!$AR$70:$AR$75,MATCH(O193,('Spell Tables'!$AP$70:$AP$75),0)),IF($T$256&gt;=O193,INDEX('Spell Tables'!$AF$48:$AF$63,MATCH(O193,('Spell Tables'!$AD$48:$AD$63),0)),IF($T$258&gt;=O193,INDEX('Spell Tables'!$AF$26:$AF$33,MATCH(O193,('Spell Tables'!$AD$26:$AD$33),0)),IF($T$260&gt;=O193,INDEX('Spell Tables'!$AF$2:$AF$9,MATCH(O193,('Spell Tables'!$AD$2:$AD$9),0))," "))))))))))))</f>
        <v xml:space="preserve"> </v>
      </c>
    </row>
    <row r="263" spans="2:20" x14ac:dyDescent="0.3">
      <c r="B263" s="92" t="s">
        <v>1123</v>
      </c>
      <c r="C263" s="33"/>
      <c r="D263" s="33"/>
      <c r="E263" s="33"/>
      <c r="F263" s="33"/>
      <c r="G263" s="33"/>
      <c r="H263" s="33"/>
      <c r="I263" s="33"/>
      <c r="J263" s="33"/>
      <c r="K263" s="33"/>
      <c r="L263" s="33"/>
      <c r="M263" s="33"/>
      <c r="O263" s="34">
        <v>2</v>
      </c>
      <c r="P263" s="33" t="str">
        <f ca="1">IF(P$242&gt;=O194,INDEX('Spell Tables'!$P$242:$P$257,MATCH(O194,('Spell Tables'!$N$242:$N$257),0)),IF(P$244&gt;=O194,INDEX('Spell Tables'!$P$194:$P$201,MATCH(O194,('Spell Tables'!$N$194:$N$201),0)),IF(P$246&gt;=O194,INDEX('Spell Tables'!$P$168:$P$183,MATCH(O194,('Spell Tables'!$N$168:$N$183),0)),IF(P$248&gt;=O194,INDEX('Spell Tables'!$P$141:$P$156,MATCH(O194,('Spell Tables'!$N$141:$N$157),0)),IF(P$254&gt;=O194,INDEX('Spell Tables'!$P$70:$P$83,MATCH(O194,('Spell Tables'!$N$70:$N$83),0)),IF(P$256&gt;=O194,INDEX('Spell Tables'!$P$48:$P$55,MATCH(O194,('Spell Tables'!$N$48:$N$55),0)),IF(P$258&gt;=O194,INDEX('Spell Tables'!$P$26:$P$32,MATCH(O194,('Spell Tables'!$N$26:$N$32),0)),IF(P$260&gt;=O194,INDEX('Spell Tables'!$P$2:$P$12,MATCH(O194,('Spell Tables'!$N$2:$N$12),0))," "))))))))</f>
        <v xml:space="preserve"> </v>
      </c>
      <c r="Q263" s="33" t="str">
        <f ca="1">IF(AND($Q$15="Otherworldly patron - great old one",Q$244&gt;=O194),INDEX('Spell Tables'!$T$226:$T$238,MATCH(O194,('Spell Tables'!$R$226:$R$238),0)),IF(AND($Q$15="Otherworldly patron - fiend",Q$244&gt;=O194),INDEX('Spell Tables'!$T$210:$T$222,MATCH(O194,('Spell Tables'!$R$210:$R$222),0)),IF(Q$242&gt;=O194,INDEX($AL$44:$AL$53,MATCH(O194,($AJ$44:$AJ$53),0)),IF(AND($Q$15="Otherworldly patron - archfey",Q$244&gt;=O194),INDEX('Spell Tables'!T$206:$T295,MATCH(O194,('Spell Tables'!$R$194:$R$206),0)),IF(Q$246&gt;=O194,INDEX('Spell Tables'!T269:T288,MATCH(O194,('Spell Tables'!$R$168:$R$187),0)),IF(Q$248&gt;=O194,INDEX('Spell Tables'!T242:T248,MATCH(O194,('Spell Tables'!$R$141:$R$147),0)),IF(Q$250&gt;=O194,INDEX('Spell Tables'!$P$119:$P$131,MATCH(O194,('Spell Tables'!$N$119:$N$131),0)),IF(Q$252&gt;=O194,INDEX('Spell Tables'!$P$97:$P$111,MATCH(O194,('Spell Tables'!$N$97:$N$111),0)),IF(Q$254&gt;=O194,INDEX('Spell Tables'!$T$70:$T$78,MATCH(O194,('Spell Tables'!$R$70:$R$78),0)),IF(Q$256&gt;=O194,INDEX('Spell Tables'!$T$48:$T$63,MATCH(O194,('Spell Tables'!$R$48:$R$63),0)),IF(Q$258&gt;=O194,INDEX('Spell Tables'!$T$26:$T$40,MATCH(O194,('Spell Tables'!$R$26:$R$40),0)),IF(Q$260&gt;=O194,INDEX('Spell Tables'!$T$2:$T$22,MATCH(O194,('Spell Tables'!$R$2:$R$22),0))," "))))))))))))</f>
        <v>Fog Cloud</v>
      </c>
      <c r="R263" s="33" t="str">
        <f ca="1">IF(AND($Q$15="Otherworldly patron - great old one",R$244&gt;=O194),INDEX('Spell Tables'!$X$226:$X$239,MATCH(O194,('Spell Tables'!$V$226:$V$239),0)),IF(AND($Q$15="Otherworldly patron - fiend",R$244&gt;=O194),INDEX('Spell Tables'!$X$210:$X$223,MATCH(O194,('Spell Tables'!$V$210:$V$223),0)),IF(AND($Q$15="Otherworldly patron - archfey",R$244&gt;=O194),INDEX('Spell Tables'!$X$194:$X$207,MATCH(O194,('Spell Tables'!$V$194:$V$207),0)),IF($R$242&gt;=O194,INDEX($AL$56:$AL$65,MATCH(O194,($AJ$56:$AJ$65),0)),IF($R$246&gt;=O194,INDEX('Spell Tables'!$X$168:$X$191,MATCH(O194,('Spell Tables'!$V$168:$V$191),0)),IF($R$248&gt;=O194,INDEX('Spell Tables'!$AB$141:$AB$149,MATCH(O194,('Spell Tables'!$Z$141:$Z$149),0)),IF($R$250&gt;=O194,INDEX('Spell Tables'!T220:T232,MATCH(O194,('Spell Tables'!$R$119:$R$131),0)),IF($R$252&gt;=O194,INDEX('Spell Tables'!$T$97:T205,MATCH(O194,('Spell Tables'!$R$97:$R$104),0)),IF($R$254&gt;=O194,INDEX('Spell Tables'!$AB$70:$AB$75,MATCH(O194,('Spell Tables'!$Z$70:$Z$75),0)),IF($R$256&gt;=O194,INDEX('Spell Tables'!$X$48:$X$65,MATCH(O194,('Spell Tables'!$V$48:$V$65),0)),IF($R$258&gt;=O194,INDEX('Spell Tables'!$X$26:$X$42,MATCH(O194,('Spell Tables'!$V$26:$V$42),0)),IF($R$260&gt;=O194,INDEX('Spell Tables'!$X$2:$X$23,MATCH(O194,('Spell Tables'!$V$2:$V$23),0))," "))))))))))))</f>
        <v xml:space="preserve"> </v>
      </c>
      <c r="S263" s="33" t="str">
        <f ca="1">IF(AND($Q$15="Otherworldly patron - great old one",S$244&gt;=O194),INDEX('Spell Tables'!$AB$226:$AB$238,MATCH(O194,('Spell Tables'!$Z$226:$Z$238),0)),IF(AND($Q$15="Otherworldly patron - fiend",S$244&gt;=O194),INDEX('Spell Tables'!$AB$210:$AB$222,MATCH(O194,('Spell Tables'!$Z$210:$Z$222),0)),IF(AND($Q$15="Otherworldly patron - archfey",S$244&gt;=O194),INDEX('Spell Tables'!$AB$194:$AB$206,MATCH(O194,('Spell Tables'!$Z$194:$Z$206),0)),IF($S$242&gt;=O194,INDEX($AL$68:$AL$77,MATCH(O194,($AJ$68:$AJ$77),0)),IF($S$246&gt;=O194,INDEX('Spell Tables'!$AB$168:$AB$187,MATCH(O194,('Spell Tables'!$Z$168:$Z$187),0)),IF($S$248&gt;=O194,INDEX('Spell Tables'!$AJ$141:$AJ$144,MATCH(O194,('Spell Tables'!$AH$141:$AH$144),0)),IF($S$250&gt;=O194,INDEX('Spell Tables'!$X$119:$X$129,MATCH(O194,('Spell Tables'!$V$119:$V$129),0)),IF($S$252&gt;=O194,INDEX('Spell Tables'!$X$97:$X$106,MATCH(O194,('Spell Tables'!$V$97:$V$106),0)),IF($S$254&gt;=O194,INDEX('Spell Tables'!$AJ$70:$AJ$79,MATCH(O194,('Spell Tables'!$AH$70:$AH$79),0)),IF($S$256&gt;=O194,INDEX('Spell Tables'!$AB$48:$AB$60,MATCH(O194,('Spell Tables'!$Z$48:$Z$60),0)),IF($S$258&gt;=O194,INDEX('Spell Tables'!$AB$26:$AB$45,MATCH(O194,('Spell Tables'!$Z$26:$Z$45),0)),IF($S$260&gt;=O194,INDEX('Spell Tables'!$AB$2:$AB$17,MATCH(O194,('Spell Tables'!$Z$2:$Z$17),0))," "))))))))))))</f>
        <v xml:space="preserve"> </v>
      </c>
      <c r="T263" s="33" t="str">
        <f ca="1">IF(AND($Q$15="Otherworldly patron - great old one",T$244&gt;=O194),INDEX('Spell Tables'!$AF$226:$AF$231,MATCH(O194,('Spell Tables'!$AD$226:$AD$231),0)),IF(AND($Q$15="Otherworldly patron - fiend",T$244&gt;=O194),INDEX('Spell Tables'!$AF$210:$AF$215,MATCH(O194,('Spell Tables'!$AD$210:$AD$215),0)),IF(AND($Q$15="Otherworldly patron - archfey",T$244&gt;=O194),INDEX('Spell Tables'!$AF$194:$AF$199,MATCH(O194,('Spell Tables'!$AD$194:$AD$199),0)),IF($T$242&gt;=O194,INDEX($AL$80:$AL$89,MATCH(O194,($AJ$80:$AJ$89),0)),IF($T$246&gt;=O194,INDEX('Spell Tables'!$AF$168:$AF$177,MATCH(O194,('Spell Tables'!$AD$168:$AD$177),0)),IF($T$248&gt;=O194,INDEX('Spell Tables'!$AR$141:$AR$144,MATCH(O194,('Spell Tables'!$AP$141:$AP$144),0)),IF($T$250&gt;=O194,INDEX('Spell Tables'!$AB$119:$AB$123,MATCH(O194,('Spell Tables'!$Z$119:$Z$123),0)),IF($T$252&gt;=O194,INDEX('Spell Tables'!$AB$97:$AB$102,MATCH(O194,('Spell Tables'!$Z$97:$Z$102),0)),IF($T$254&gt;=O194,INDEX('Spell Tables'!$AR$70:$AR$75,MATCH(O194,('Spell Tables'!$AP$70:$AP$75),0)),IF($T$256&gt;=O194,INDEX('Spell Tables'!$AF$48:$AF$63,MATCH(O194,('Spell Tables'!$AD$48:$AD$63),0)),IF($T$258&gt;=O194,INDEX('Spell Tables'!$AF$26:$AF$33,MATCH(O194,('Spell Tables'!$AD$26:$AD$33),0)),IF($T$260&gt;=O194,INDEX('Spell Tables'!$AF$2:$AF$9,MATCH(O194,('Spell Tables'!$AD$2:$AD$9),0))," "))))))))))))</f>
        <v xml:space="preserve"> </v>
      </c>
    </row>
    <row r="264" spans="2:20" x14ac:dyDescent="0.3">
      <c r="B264" s="33">
        <f ca="1">IF(OR(Q11="bard",Q11="paladin",Q11="sorcerer",Q11="warlock"),P8+$N$43,IF(OR(Q11="druid",Q11="cleric",Q11="ranger"),P8+N42,IF(OR(R15="eldritch knight",R15="arcane trickster",Q11="wizard"),P8+N41," ")))</f>
        <v>4</v>
      </c>
      <c r="C264" s="33"/>
      <c r="D264" s="33"/>
      <c r="E264" s="33"/>
      <c r="F264" s="33"/>
      <c r="G264" s="33"/>
      <c r="H264" s="33"/>
      <c r="I264" s="33"/>
      <c r="J264" s="33"/>
      <c r="K264" s="33"/>
      <c r="L264" s="33"/>
      <c r="M264" s="33"/>
      <c r="O264" s="34">
        <v>3</v>
      </c>
      <c r="P264" s="33" t="str">
        <f ca="1">IF(P$242&gt;=O195,INDEX('Spell Tables'!$P$242:$P$257,MATCH(O195,('Spell Tables'!$N$242:$N$257),0)),IF(P$244&gt;=O195,INDEX('Spell Tables'!$P$194:$P$201,MATCH(O195,('Spell Tables'!$N$194:$N$201),0)),IF(P$246&gt;=O195,INDEX('Spell Tables'!$P$168:$P$183,MATCH(O195,('Spell Tables'!$N$168:$N$183),0)),IF(P$248&gt;=O195,INDEX('Spell Tables'!$P$141:$P$156,MATCH(O195,('Spell Tables'!$N$141:$N$157),0)),IF(P$254&gt;=O195,INDEX('Spell Tables'!$P$70:$P$83,MATCH(O195,('Spell Tables'!$N$70:$N$83),0)),IF(P$256&gt;=O195,INDEX('Spell Tables'!$P$48:$P$55,MATCH(O195,('Spell Tables'!$N$48:$N$55),0)),IF(P$258&gt;=O195,INDEX('Spell Tables'!$P$26:$P$32,MATCH(O195,('Spell Tables'!$N$26:$N$32),0)),IF(P$260&gt;=O195,INDEX('Spell Tables'!$P$2:$P$12,MATCH(O195,('Spell Tables'!$N$2:$N$12),0))," "))))))))</f>
        <v xml:space="preserve"> </v>
      </c>
      <c r="Q264" s="33" t="str">
        <f ca="1">IF(AND($Q$15="Otherworldly patron - great old one",Q$244&gt;=O195),INDEX('Spell Tables'!$T$226:$T$238,MATCH(O195,('Spell Tables'!$R$226:$R$238),0)),IF(AND($Q$15="Otherworldly patron - fiend",Q$244&gt;=O195),INDEX('Spell Tables'!$T$210:$T$222,MATCH(O195,('Spell Tables'!$R$210:$R$222),0)),IF(Q$242&gt;=O195,INDEX($AL$44:$AL$53,MATCH(O195,($AJ$44:$AJ$53),0)),IF(AND($Q$15="Otherworldly patron - archfey",Q$244&gt;=O195),INDEX('Spell Tables'!T$206:$T296,MATCH(O195,('Spell Tables'!$R$194:$R$206),0)),IF(Q$246&gt;=O195,INDEX('Spell Tables'!T270:T289,MATCH(O195,('Spell Tables'!$R$168:$R$187),0)),IF(Q$248&gt;=O195,INDEX('Spell Tables'!T243:T249,MATCH(O195,('Spell Tables'!$R$141:$R$147),0)),IF(Q$250&gt;=O195,INDEX('Spell Tables'!$P$119:$P$131,MATCH(O195,('Spell Tables'!$N$119:$N$131),0)),IF(Q$252&gt;=O195,INDEX('Spell Tables'!$P$97:$P$111,MATCH(O195,('Spell Tables'!$N$97:$N$111),0)),IF(Q$254&gt;=O195,INDEX('Spell Tables'!$T$70:$T$78,MATCH(O195,('Spell Tables'!$R$70:$R$78),0)),IF(Q$256&gt;=O195,INDEX('Spell Tables'!$T$48:$T$63,MATCH(O195,('Spell Tables'!$R$48:$R$63),0)),IF(Q$258&gt;=O195,INDEX('Spell Tables'!$T$26:$T$40,MATCH(O195,('Spell Tables'!$R$26:$R$40),0)),IF(Q$260&gt;=O195,INDEX('Spell Tables'!$T$2:$T$22,MATCH(O195,('Spell Tables'!$R$2:$R$22),0))," "))))))))))))</f>
        <v>Alarm</v>
      </c>
      <c r="R264" s="33" t="str">
        <f ca="1">IF(AND($Q$15="Otherworldly patron - great old one",R$244&gt;=O195),INDEX('Spell Tables'!$X$226:$X$239,MATCH(O195,('Spell Tables'!$V$226:$V$239),0)),IF(AND($Q$15="Otherworldly patron - fiend",R$244&gt;=O195),INDEX('Spell Tables'!$X$210:$X$223,MATCH(O195,('Spell Tables'!$V$210:$V$223),0)),IF(AND($Q$15="Otherworldly patron - archfey",R$244&gt;=O195),INDEX('Spell Tables'!$X$194:$X$207,MATCH(O195,('Spell Tables'!$V$194:$V$207),0)),IF($R$242&gt;=O195,INDEX($AL$56:$AL$65,MATCH(O195,($AJ$56:$AJ$65),0)),IF($R$246&gt;=O195,INDEX('Spell Tables'!$X$168:$X$191,MATCH(O195,('Spell Tables'!$V$168:$V$191),0)),IF($R$248&gt;=O195,INDEX('Spell Tables'!$AB$141:$AB$149,MATCH(O195,('Spell Tables'!$Z$141:$Z$149),0)),IF($R$250&gt;=O195,INDEX('Spell Tables'!T221:T233,MATCH(O195,('Spell Tables'!$R$119:$R$131),0)),IF($R$252&gt;=O195,INDEX('Spell Tables'!$T$97:T206,MATCH(O195,('Spell Tables'!$R$97:$R$104),0)),IF($R$254&gt;=O195,INDEX('Spell Tables'!$AB$70:$AB$75,MATCH(O195,('Spell Tables'!$Z$70:$Z$75),0)),IF($R$256&gt;=O195,INDEX('Spell Tables'!$X$48:$X$65,MATCH(O195,('Spell Tables'!$V$48:$V$65),0)),IF($R$258&gt;=O195,INDEX('Spell Tables'!$X$26:$X$42,MATCH(O195,('Spell Tables'!$V$26:$V$42),0)),IF($R$260&gt;=O195,INDEX('Spell Tables'!$X$2:$X$23,MATCH(O195,('Spell Tables'!$V$2:$V$23),0))," "))))))))))))</f>
        <v xml:space="preserve"> </v>
      </c>
      <c r="S264" s="33" t="str">
        <f ca="1">IF(AND($Q$15="Otherworldly patron - great old one",S$244&gt;=O195),INDEX('Spell Tables'!$AB$226:$AB$238,MATCH(O195,('Spell Tables'!$Z$226:$Z$238),0)),IF(AND($Q$15="Otherworldly patron - fiend",S$244&gt;=O195),INDEX('Spell Tables'!$AB$210:$AB$222,MATCH(O195,('Spell Tables'!$Z$210:$Z$222),0)),IF(AND($Q$15="Otherworldly patron - archfey",S$244&gt;=O195),INDEX('Spell Tables'!$AB$194:$AB$206,MATCH(O195,('Spell Tables'!$Z$194:$Z$206),0)),IF($S$242&gt;=O195,INDEX($AL$68:$AL$77,MATCH(O195,($AJ$68:$AJ$77),0)),IF($S$246&gt;=O195,INDEX('Spell Tables'!$AB$168:$AB$187,MATCH(O195,('Spell Tables'!$Z$168:$Z$187),0)),IF($S$248&gt;=O195,INDEX('Spell Tables'!$AJ$141:$AJ$144,MATCH(O195,('Spell Tables'!$AH$141:$AH$144),0)),IF($S$250&gt;=O195,INDEX('Spell Tables'!$X$119:$X$129,MATCH(O195,('Spell Tables'!$V$119:$V$129),0)),IF($S$252&gt;=O195,INDEX('Spell Tables'!$X$97:$X$106,MATCH(O195,('Spell Tables'!$V$97:$V$106),0)),IF($S$254&gt;=O195,INDEX('Spell Tables'!$AJ$70:$AJ$79,MATCH(O195,('Spell Tables'!$AH$70:$AH$79),0)),IF($S$256&gt;=O195,INDEX('Spell Tables'!$AB$48:$AB$60,MATCH(O195,('Spell Tables'!$Z$48:$Z$60),0)),IF($S$258&gt;=O195,INDEX('Spell Tables'!$AB$26:$AB$45,MATCH(O195,('Spell Tables'!$Z$26:$Z$45),0)),IF($S$260&gt;=O195,INDEX('Spell Tables'!$AB$2:$AB$17,MATCH(O195,('Spell Tables'!$Z$2:$Z$17),0))," "))))))))))))</f>
        <v xml:space="preserve"> </v>
      </c>
      <c r="T264" s="33" t="str">
        <f ca="1">IF(AND($Q$15="Otherworldly patron - great old one",T$244&gt;=O195),INDEX('Spell Tables'!$AF$226:$AF$231,MATCH(O195,('Spell Tables'!$AD$226:$AD$231),0)),IF(AND($Q$15="Otherworldly patron - fiend",T$244&gt;=O195),INDEX('Spell Tables'!$AF$210:$AF$215,MATCH(O195,('Spell Tables'!$AD$210:$AD$215),0)),IF(AND($Q$15="Otherworldly patron - archfey",T$244&gt;=O195),INDEX('Spell Tables'!$AF$194:$AF$199,MATCH(O195,('Spell Tables'!$AD$194:$AD$199),0)),IF($T$242&gt;=O195,INDEX($AL$80:$AL$89,MATCH(O195,($AJ$80:$AJ$89),0)),IF($T$246&gt;=O195,INDEX('Spell Tables'!$AF$168:$AF$177,MATCH(O195,('Spell Tables'!$AD$168:$AD$177),0)),IF($T$248&gt;=O195,INDEX('Spell Tables'!$AR$141:$AR$144,MATCH(O195,('Spell Tables'!$AP$141:$AP$144),0)),IF($T$250&gt;=O195,INDEX('Spell Tables'!$AB$119:$AB$123,MATCH(O195,('Spell Tables'!$Z$119:$Z$123),0)),IF($T$252&gt;=O195,INDEX('Spell Tables'!$AB$97:$AB$102,MATCH(O195,('Spell Tables'!$Z$97:$Z$102),0)),IF($T$254&gt;=O195,INDEX('Spell Tables'!$AR$70:$AR$75,MATCH(O195,('Spell Tables'!$AP$70:$AP$75),0)),IF($T$256&gt;=O195,INDEX('Spell Tables'!$AF$48:$AF$63,MATCH(O195,('Spell Tables'!$AD$48:$AD$63),0)),IF($T$258&gt;=O195,INDEX('Spell Tables'!$AF$26:$AF$33,MATCH(O195,('Spell Tables'!$AD$26:$AD$33),0)),IF($T$260&gt;=O195,INDEX('Spell Tables'!$AF$2:$AF$9,MATCH(O195,('Spell Tables'!$AD$2:$AD$9),0))," "))))))))))))</f>
        <v xml:space="preserve"> </v>
      </c>
    </row>
    <row r="265" spans="2:20" x14ac:dyDescent="0.3">
      <c r="C265" s="33"/>
      <c r="D265" s="33"/>
      <c r="E265" s="33"/>
      <c r="F265" s="33"/>
      <c r="G265" s="33"/>
      <c r="H265" s="33"/>
      <c r="I265" s="33"/>
      <c r="J265" s="33"/>
      <c r="K265" s="33"/>
      <c r="L265" s="33"/>
      <c r="M265" s="33"/>
      <c r="O265" s="34">
        <v>4</v>
      </c>
      <c r="P265" s="33" t="str">
        <f ca="1">IF(P$242&gt;=O196,INDEX('Spell Tables'!$P$242:$P$257,MATCH(O196,('Spell Tables'!$N$242:$N$257),0)),IF(P$244&gt;=O196,INDEX('Spell Tables'!$P$194:$P$201,MATCH(O196,('Spell Tables'!$N$194:$N$201),0)),IF(P$246&gt;=O196,INDEX('Spell Tables'!$P$168:$P$183,MATCH(O196,('Spell Tables'!$N$168:$N$183),0)),IF(P$248&gt;=O196,INDEX('Spell Tables'!$P$141:$P$156,MATCH(O196,('Spell Tables'!$N$141:$N$157),0)),IF(P$254&gt;=O196,INDEX('Spell Tables'!$P$70:$P$83,MATCH(O196,('Spell Tables'!$N$70:$N$83),0)),IF(P$256&gt;=O196,INDEX('Spell Tables'!$P$48:$P$55,MATCH(O196,('Spell Tables'!$N$48:$N$55),0)),IF(P$258&gt;=O196,INDEX('Spell Tables'!$P$26:$P$32,MATCH(O196,('Spell Tables'!$N$26:$N$32),0)),IF(P$260&gt;=O196,INDEX('Spell Tables'!$P$2:$P$12,MATCH(O196,('Spell Tables'!$N$2:$N$12),0))," "))))))))</f>
        <v xml:space="preserve"> </v>
      </c>
      <c r="Q265" s="33" t="str">
        <f ca="1">IF(AND($Q$15="Otherworldly patron - great old one",Q$244&gt;=O196),INDEX('Spell Tables'!$T$226:$T$238,MATCH(O196,('Spell Tables'!$R$226:$R$238),0)),IF(AND($Q$15="Otherworldly patron - fiend",Q$244&gt;=O196),INDEX('Spell Tables'!$T$210:$T$222,MATCH(O196,('Spell Tables'!$R$210:$R$222),0)),IF(Q$242&gt;=O196,INDEX($AL$44:$AL$53,MATCH(O196,($AJ$44:$AJ$53),0)),IF(AND($Q$15="Otherworldly patron - archfey",Q$244&gt;=O196),INDEX('Spell Tables'!T$206:$T297,MATCH(O196,('Spell Tables'!$R$194:$R$206),0)),IF(Q$246&gt;=O196,INDEX('Spell Tables'!T271:T290,MATCH(O196,('Spell Tables'!$R$168:$R$187),0)),IF(Q$248&gt;=O196,INDEX('Spell Tables'!T244:T250,MATCH(O196,('Spell Tables'!$R$141:$R$147),0)),IF(Q$250&gt;=O196,INDEX('Spell Tables'!$P$119:$P$131,MATCH(O196,('Spell Tables'!$N$119:$N$131),0)),IF(Q$252&gt;=O196,INDEX('Spell Tables'!$P$97:$P$111,MATCH(O196,('Spell Tables'!$N$97:$N$111),0)),IF(Q$254&gt;=O196,INDEX('Spell Tables'!$T$70:$T$78,MATCH(O196,('Spell Tables'!$R$70:$R$78),0)),IF(Q$256&gt;=O196,INDEX('Spell Tables'!$T$48:$T$63,MATCH(O196,('Spell Tables'!$R$48:$R$63),0)),IF(Q$258&gt;=O196,INDEX('Spell Tables'!$T$26:$T$40,MATCH(O196,('Spell Tables'!$R$26:$R$40),0)),IF(Q$260&gt;=O196,INDEX('Spell Tables'!$T$2:$T$22,MATCH(O196,('Spell Tables'!$R$2:$R$22),0))," "))))))))))))</f>
        <v xml:space="preserve"> </v>
      </c>
      <c r="R265" s="33" t="str">
        <f ca="1">IF(AND($Q$15="Otherworldly patron - great old one",R$244&gt;=O196),INDEX('Spell Tables'!$X$226:$X$239,MATCH(O196,('Spell Tables'!$V$226:$V$239),0)),IF(AND($Q$15="Otherworldly patron - fiend",R$244&gt;=O196),INDEX('Spell Tables'!$X$210:$X$223,MATCH(O196,('Spell Tables'!$V$210:$V$223),0)),IF(AND($Q$15="Otherworldly patron - archfey",R$244&gt;=O196),INDEX('Spell Tables'!$X$194:$X$207,MATCH(O196,('Spell Tables'!$V$194:$V$207),0)),IF($R$242&gt;=O196,INDEX($AL$56:$AL$65,MATCH(O196,($AJ$56:$AJ$65),0)),IF($R$246&gt;=O196,INDEX('Spell Tables'!$X$168:$X$191,MATCH(O196,('Spell Tables'!$V$168:$V$191),0)),IF($R$248&gt;=O196,INDEX('Spell Tables'!$AB$141:$AB$149,MATCH(O196,('Spell Tables'!$Z$141:$Z$149),0)),IF($R$250&gt;=O196,INDEX('Spell Tables'!T222:T234,MATCH(O196,('Spell Tables'!$R$119:$R$131),0)),IF($R$252&gt;=O196,INDEX('Spell Tables'!$T$97:T207,MATCH(O196,('Spell Tables'!$R$97:$R$104),0)),IF($R$254&gt;=O196,INDEX('Spell Tables'!$AB$70:$AB$75,MATCH(O196,('Spell Tables'!$Z$70:$Z$75),0)),IF($R$256&gt;=O196,INDEX('Spell Tables'!$X$48:$X$65,MATCH(O196,('Spell Tables'!$V$48:$V$65),0)),IF($R$258&gt;=O196,INDEX('Spell Tables'!$X$26:$X$42,MATCH(O196,('Spell Tables'!$V$26:$V$42),0)),IF($R$260&gt;=O196,INDEX('Spell Tables'!$X$2:$X$23,MATCH(O196,('Spell Tables'!$V$2:$V$23),0))," "))))))))))))</f>
        <v xml:space="preserve"> </v>
      </c>
      <c r="S265" s="33" t="str">
        <f ca="1">IF(AND($Q$15="Otherworldly patron - great old one",S$244&gt;=O196),INDEX('Spell Tables'!$AB$226:$AB$238,MATCH(O196,('Spell Tables'!$Z$226:$Z$238),0)),IF(AND($Q$15="Otherworldly patron - fiend",S$244&gt;=O196),INDEX('Spell Tables'!$AB$210:$AB$222,MATCH(O196,('Spell Tables'!$Z$210:$Z$222),0)),IF(AND($Q$15="Otherworldly patron - archfey",S$244&gt;=O196),INDEX('Spell Tables'!$AB$194:$AB$206,MATCH(O196,('Spell Tables'!$Z$194:$Z$206),0)),IF($S$242&gt;=O196,INDEX($AL$68:$AL$77,MATCH(O196,($AJ$68:$AJ$77),0)),IF($S$246&gt;=O196,INDEX('Spell Tables'!$AB$168:$AB$187,MATCH(O196,('Spell Tables'!$Z$168:$Z$187),0)),IF($S$248&gt;=O196,INDEX('Spell Tables'!$AJ$141:$AJ$144,MATCH(O196,('Spell Tables'!$AH$141:$AH$144),0)),IF($S$250&gt;=O196,INDEX('Spell Tables'!$X$119:$X$129,MATCH(O196,('Spell Tables'!$V$119:$V$129),0)),IF($S$252&gt;=O196,INDEX('Spell Tables'!$X$97:$X$106,MATCH(O196,('Spell Tables'!$V$97:$V$106),0)),IF($S$254&gt;=O196,INDEX('Spell Tables'!$AJ$70:$AJ$79,MATCH(O196,('Spell Tables'!$AH$70:$AH$79),0)),IF($S$256&gt;=O196,INDEX('Spell Tables'!$AB$48:$AB$60,MATCH(O196,('Spell Tables'!$Z$48:$Z$60),0)),IF($S$258&gt;=O196,INDEX('Spell Tables'!$AB$26:$AB$45,MATCH(O196,('Spell Tables'!$Z$26:$Z$45),0)),IF($S$260&gt;=O196,INDEX('Spell Tables'!$AB$2:$AB$17,MATCH(O196,('Spell Tables'!$Z$2:$Z$17),0))," "))))))))))))</f>
        <v xml:space="preserve"> </v>
      </c>
      <c r="T265" s="33" t="str">
        <f ca="1">IF(AND($Q$15="Otherworldly patron - great old one",T$244&gt;=O196),INDEX('Spell Tables'!$AF$226:$AF$231,MATCH(O196,('Spell Tables'!$AD$226:$AD$231),0)),IF(AND($Q$15="Otherworldly patron - fiend",T$244&gt;=O196),INDEX('Spell Tables'!$AF$210:$AF$215,MATCH(O196,('Spell Tables'!$AD$210:$AD$215),0)),IF(AND($Q$15="Otherworldly patron - archfey",T$244&gt;=O196),INDEX('Spell Tables'!$AF$194:$AF$199,MATCH(O196,('Spell Tables'!$AD$194:$AD$199),0)),IF($T$242&gt;=O196,INDEX($AL$80:$AL$89,MATCH(O196,($AJ$80:$AJ$89),0)),IF($T$246&gt;=O196,INDEX('Spell Tables'!$AF$168:$AF$177,MATCH(O196,('Spell Tables'!$AD$168:$AD$177),0)),IF($T$248&gt;=O196,INDEX('Spell Tables'!$AR$141:$AR$144,MATCH(O196,('Spell Tables'!$AP$141:$AP$144),0)),IF($T$250&gt;=O196,INDEX('Spell Tables'!$AB$119:$AB$123,MATCH(O196,('Spell Tables'!$Z$119:$Z$123),0)),IF($T$252&gt;=O196,INDEX('Spell Tables'!$AB$97:$AB$102,MATCH(O196,('Spell Tables'!$Z$97:$Z$102),0)),IF($T$254&gt;=O196,INDEX('Spell Tables'!$AR$70:$AR$75,MATCH(O196,('Spell Tables'!$AP$70:$AP$75),0)),IF($T$256&gt;=O196,INDEX('Spell Tables'!$AF$48:$AF$63,MATCH(O196,('Spell Tables'!$AD$48:$AD$63),0)),IF($T$258&gt;=O196,INDEX('Spell Tables'!$AF$26:$AF$33,MATCH(O196,('Spell Tables'!$AD$26:$AD$33),0)),IF($T$260&gt;=O196,INDEX('Spell Tables'!$AF$2:$AF$9,MATCH(O196,('Spell Tables'!$AD$2:$AD$9),0))," "))))))))))))</f>
        <v xml:space="preserve"> </v>
      </c>
    </row>
    <row r="266" spans="2:20" x14ac:dyDescent="0.3">
      <c r="C266" s="33"/>
      <c r="D266" s="33"/>
      <c r="E266" s="33"/>
      <c r="F266" s="33"/>
      <c r="G266" s="33"/>
      <c r="H266" s="33"/>
      <c r="I266" s="33"/>
      <c r="J266" s="33"/>
      <c r="K266" s="33"/>
      <c r="L266" s="33"/>
      <c r="M266" s="33"/>
      <c r="O266" s="34">
        <v>5</v>
      </c>
      <c r="P266" s="33" t="str">
        <f ca="1">IF(P$242&gt;=O197,INDEX('Spell Tables'!$P$242:$P$257,MATCH(O197,('Spell Tables'!$N$242:$N$257),0)),IF(P$244&gt;=O197,INDEX('Spell Tables'!$P$194:$P$201,MATCH(O197,('Spell Tables'!$N$194:$N$201),0)),IF(P$246&gt;=O197,INDEX('Spell Tables'!$P$168:$P$183,MATCH(O197,('Spell Tables'!$N$168:$N$183),0)),IF(P$248&gt;=O197,INDEX('Spell Tables'!$P$141:$P$156,MATCH(O197,('Spell Tables'!$N$141:$N$157),0)),IF(P$254&gt;=O197,INDEX('Spell Tables'!$P$70:$P$83,MATCH(O197,('Spell Tables'!$N$70:$N$83),0)),IF(P$256&gt;=O197,INDEX('Spell Tables'!$P$48:$P$55,MATCH(O197,('Spell Tables'!$N$48:$N$55),0)),IF(P$258&gt;=O197,INDEX('Spell Tables'!$P$26:$P$32,MATCH(O197,('Spell Tables'!$N$26:$N$32),0)),IF(P$260&gt;=O197,INDEX('Spell Tables'!$P$2:$P$12,MATCH(O197,('Spell Tables'!$N$2:$N$12),0))," "))))))))</f>
        <v xml:space="preserve"> </v>
      </c>
      <c r="Q266" s="33" t="str">
        <f ca="1">IF(AND($Q$15="Otherworldly patron - great old one",Q$244&gt;=O197),INDEX('Spell Tables'!$T$226:$T$238,MATCH(O197,('Spell Tables'!$R$226:$R$238),0)),IF(AND($Q$15="Otherworldly patron - fiend",Q$244&gt;=O197),INDEX('Spell Tables'!$T$210:$T$222,MATCH(O197,('Spell Tables'!$R$210:$R$222),0)),IF(Q$242&gt;=O197,INDEX($AL$44:$AL$53,MATCH(O197,($AJ$44:$AJ$53),0)),IF(AND($Q$15="Otherworldly patron - archfey",Q$244&gt;=O197),INDEX('Spell Tables'!T$206:$T298,MATCH(O197,('Spell Tables'!$R$194:$R$206),0)),IF(Q$246&gt;=O197,INDEX('Spell Tables'!T272:T291,MATCH(O197,('Spell Tables'!$R$168:$R$187),0)),IF(Q$248&gt;=O197,INDEX('Spell Tables'!T245:T251,MATCH(O197,('Spell Tables'!$R$141:$R$147),0)),IF(Q$250&gt;=O197,INDEX('Spell Tables'!$P$119:$P$131,MATCH(O197,('Spell Tables'!$N$119:$N$131),0)),IF(Q$252&gt;=O197,INDEX('Spell Tables'!$P$97:$P$111,MATCH(O197,('Spell Tables'!$N$97:$N$111),0)),IF(Q$254&gt;=O197,INDEX('Spell Tables'!$T$70:$T$78,MATCH(O197,('Spell Tables'!$R$70:$R$78),0)),IF(Q$256&gt;=O197,INDEX('Spell Tables'!$T$48:$T$63,MATCH(O197,('Spell Tables'!$R$48:$R$63),0)),IF(Q$258&gt;=O197,INDEX('Spell Tables'!$T$26:$T$40,MATCH(O197,('Spell Tables'!$R$26:$R$40),0)),IF(Q$260&gt;=O197,INDEX('Spell Tables'!$T$2:$T$22,MATCH(O197,('Spell Tables'!$R$2:$R$22),0))," "))))))))))))</f>
        <v xml:space="preserve"> </v>
      </c>
      <c r="R266" s="33" t="str">
        <f ca="1">IF(AND($Q$15="Otherworldly patron - great old one",R$244&gt;=O197),INDEX('Spell Tables'!$X$226:$X$239,MATCH(O197,('Spell Tables'!$V$226:$V$239),0)),IF(AND($Q$15="Otherworldly patron - fiend",R$244&gt;=O197),INDEX('Spell Tables'!$X$210:$X$223,MATCH(O197,('Spell Tables'!$V$210:$V$223),0)),IF(AND($Q$15="Otherworldly patron - archfey",R$244&gt;=O197),INDEX('Spell Tables'!$X$194:$X$207,MATCH(O197,('Spell Tables'!$V$194:$V$207),0)),IF($R$242&gt;=O197,INDEX($AL$56:$AL$65,MATCH(O197,($AJ$56:$AJ$65),0)),IF($R$246&gt;=O197,INDEX('Spell Tables'!$X$168:$X$191,MATCH(O197,('Spell Tables'!$V$168:$V$191),0)),IF($R$248&gt;=O197,INDEX('Spell Tables'!$AB$141:$AB$149,MATCH(O197,('Spell Tables'!$Z$141:$Z$149),0)),IF($R$250&gt;=O197,INDEX('Spell Tables'!T223:T235,MATCH(O197,('Spell Tables'!$R$119:$R$131),0)),IF($R$252&gt;=O197,INDEX('Spell Tables'!$T$97:T208,MATCH(O197,('Spell Tables'!$R$97:$R$104),0)),IF($R$254&gt;=O197,INDEX('Spell Tables'!$AB$70:$AB$75,MATCH(O197,('Spell Tables'!$Z$70:$Z$75),0)),IF($R$256&gt;=O197,INDEX('Spell Tables'!$X$48:$X$65,MATCH(O197,('Spell Tables'!$V$48:$V$65),0)),IF($R$258&gt;=O197,INDEX('Spell Tables'!$X$26:$X$42,MATCH(O197,('Spell Tables'!$V$26:$V$42),0)),IF($R$260&gt;=O197,INDEX('Spell Tables'!$X$2:$X$23,MATCH(O197,('Spell Tables'!$V$2:$V$23),0))," "))))))))))))</f>
        <v xml:space="preserve"> </v>
      </c>
      <c r="S266" s="33" t="str">
        <f ca="1">IF(AND($Q$15="Otherworldly patron - great old one",S$244&gt;=O197),INDEX('Spell Tables'!$AB$226:$AB$238,MATCH(O197,('Spell Tables'!$Z$226:$Z$238),0)),IF(AND($Q$15="Otherworldly patron - fiend",S$244&gt;=O197),INDEX('Spell Tables'!$AB$210:$AB$222,MATCH(O197,('Spell Tables'!$Z$210:$Z$222),0)),IF(AND($Q$15="Otherworldly patron - archfey",S$244&gt;=O197),INDEX('Spell Tables'!$AB$194:$AB$206,MATCH(O197,('Spell Tables'!$Z$194:$Z$206),0)),IF($S$242&gt;=O197,INDEX($AL$68:$AL$77,MATCH(O197,($AJ$68:$AJ$77),0)),IF($S$246&gt;=O197,INDEX('Spell Tables'!$AB$168:$AB$187,MATCH(O197,('Spell Tables'!$Z$168:$Z$187),0)),IF($S$248&gt;=O197,INDEX('Spell Tables'!$AJ$141:$AJ$144,MATCH(O197,('Spell Tables'!$AH$141:$AH$144),0)),IF($S$250&gt;=O197,INDEX('Spell Tables'!$X$119:$X$129,MATCH(O197,('Spell Tables'!$V$119:$V$129),0)),IF($S$252&gt;=O197,INDEX('Spell Tables'!$X$97:$X$106,MATCH(O197,('Spell Tables'!$V$97:$V$106),0)),IF($S$254&gt;=O197,INDEX('Spell Tables'!$AJ$70:$AJ$79,MATCH(O197,('Spell Tables'!$AH$70:$AH$79),0)),IF($S$256&gt;=O197,INDEX('Spell Tables'!$AB$48:$AB$60,MATCH(O197,('Spell Tables'!$Z$48:$Z$60),0)),IF($S$258&gt;=O197,INDEX('Spell Tables'!$AB$26:$AB$45,MATCH(O197,('Spell Tables'!$Z$26:$Z$45),0)),IF($S$260&gt;=O197,INDEX('Spell Tables'!$AB$2:$AB$17,MATCH(O197,('Spell Tables'!$Z$2:$Z$17),0))," "))))))))))))</f>
        <v xml:space="preserve"> </v>
      </c>
      <c r="T266" s="33" t="str">
        <f ca="1">IF(AND($Q$15="Otherworldly patron - great old one",T$244&gt;=O197),INDEX('Spell Tables'!$AF$226:$AF$231,MATCH(O197,('Spell Tables'!$AD$226:$AD$231),0)),IF(AND($Q$15="Otherworldly patron - fiend",T$244&gt;=O197),INDEX('Spell Tables'!$AF$210:$AF$215,MATCH(O197,('Spell Tables'!$AD$210:$AD$215),0)),IF(AND($Q$15="Otherworldly patron - archfey",T$244&gt;=O197),INDEX('Spell Tables'!$AF$194:$AF$199,MATCH(O197,('Spell Tables'!$AD$194:$AD$199),0)),IF($T$242&gt;=O197,INDEX($AL$80:$AL$89,MATCH(O197,($AJ$80:$AJ$89),0)),IF($T$246&gt;=O197,INDEX('Spell Tables'!$AF$168:$AF$177,MATCH(O197,('Spell Tables'!$AD$168:$AD$177),0)),IF($T$248&gt;=O197,INDEX('Spell Tables'!$AR$141:$AR$144,MATCH(O197,('Spell Tables'!$AP$141:$AP$144),0)),IF($T$250&gt;=O197,INDEX('Spell Tables'!$AB$119:$AB$123,MATCH(O197,('Spell Tables'!$Z$119:$Z$123),0)),IF($T$252&gt;=O197,INDEX('Spell Tables'!$AB$97:$AB$102,MATCH(O197,('Spell Tables'!$Z$97:$Z$102),0)),IF($T$254&gt;=O197,INDEX('Spell Tables'!$AR$70:$AR$75,MATCH(O197,('Spell Tables'!$AP$70:$AP$75),0)),IF($T$256&gt;=O197,INDEX('Spell Tables'!$AF$48:$AF$63,MATCH(O197,('Spell Tables'!$AD$48:$AD$63),0)),IF($T$258&gt;=O197,INDEX('Spell Tables'!$AF$26:$AF$33,MATCH(O197,('Spell Tables'!$AD$26:$AD$33),0)),IF($T$260&gt;=O197,INDEX('Spell Tables'!$AF$2:$AF$9,MATCH(O197,('Spell Tables'!$AD$2:$AD$9),0))," "))))))))))))</f>
        <v xml:space="preserve"> </v>
      </c>
    </row>
    <row r="267" spans="2:20" x14ac:dyDescent="0.3">
      <c r="B267" s="33"/>
      <c r="C267" s="33"/>
      <c r="D267" s="33"/>
      <c r="E267" s="33"/>
      <c r="F267" s="33"/>
      <c r="G267" s="33"/>
      <c r="H267" s="33"/>
      <c r="I267" s="33"/>
      <c r="J267" s="33"/>
      <c r="K267" s="33"/>
      <c r="L267" s="33"/>
      <c r="M267" s="33"/>
      <c r="O267" s="34">
        <v>6</v>
      </c>
      <c r="P267" s="33" t="str">
        <f ca="1">IF(P$242&gt;=O198,INDEX('Spell Tables'!$P$242:$P$257,MATCH(O198,('Spell Tables'!$N$242:$N$257),0)),IF(P$244&gt;=O198,INDEX('Spell Tables'!$P$194:$P$201,MATCH(O198,('Spell Tables'!$N$194:$N$201),0)),IF(P$246&gt;=O198,INDEX('Spell Tables'!$P$168:$P$183,MATCH(O198,('Spell Tables'!$N$168:$N$183),0)),IF(P$248&gt;=O198,INDEX('Spell Tables'!$P$141:$P$156,MATCH(O198,('Spell Tables'!$N$141:$N$157),0)),IF(P$254&gt;=O198,INDEX('Spell Tables'!$P$70:$P$83,MATCH(O198,('Spell Tables'!$N$70:$N$83),0)),IF(P$256&gt;=O198,INDEX('Spell Tables'!$P$48:$P$55,MATCH(O198,('Spell Tables'!$N$48:$N$55),0)),IF(P$258&gt;=O198,INDEX('Spell Tables'!$P$26:$P$32,MATCH(O198,('Spell Tables'!$N$26:$N$32),0)),IF(P$260&gt;=O198,INDEX('Spell Tables'!$P$2:$P$12,MATCH(O198,('Spell Tables'!$N$2:$N$12),0))," "))))))))</f>
        <v xml:space="preserve"> </v>
      </c>
      <c r="Q267" s="33" t="str">
        <f ca="1">IF(AND($Q$15="Otherworldly patron - great old one",Q$244&gt;=O198),INDEX('Spell Tables'!$T$226:$T$238,MATCH(O198,('Spell Tables'!$R$226:$R$238),0)),IF(AND($Q$15="Otherworldly patron - fiend",Q$244&gt;=O198),INDEX('Spell Tables'!$T$210:$T$222,MATCH(O198,('Spell Tables'!$R$210:$R$222),0)),IF(Q$242&gt;=O198,INDEX($AL$44:$AL$53,MATCH(O198,($AJ$44:$AJ$53),0)),IF(AND($Q$15="Otherworldly patron - archfey",Q$244&gt;=O198),INDEX('Spell Tables'!T$206:$T299,MATCH(O198,('Spell Tables'!$R$194:$R$206),0)),IF(Q$246&gt;=O198,INDEX('Spell Tables'!T273:T292,MATCH(O198,('Spell Tables'!$R$168:$R$187),0)),IF(Q$248&gt;=O198,INDEX('Spell Tables'!T246:T252,MATCH(O198,('Spell Tables'!$R$141:$R$147),0)),IF(Q$250&gt;=O198,INDEX('Spell Tables'!$P$119:$P$131,MATCH(O198,('Spell Tables'!$N$119:$N$131),0)),IF(Q$252&gt;=O198,INDEX('Spell Tables'!$P$97:$P$111,MATCH(O198,('Spell Tables'!$N$97:$N$111),0)),IF(Q$254&gt;=O198,INDEX('Spell Tables'!$T$70:$T$78,MATCH(O198,('Spell Tables'!$R$70:$R$78),0)),IF(Q$256&gt;=O198,INDEX('Spell Tables'!$T$48:$T$63,MATCH(O198,('Spell Tables'!$R$48:$R$63),0)),IF(Q$258&gt;=O198,INDEX('Spell Tables'!$T$26:$T$40,MATCH(O198,('Spell Tables'!$R$26:$R$40),0)),IF(Q$260&gt;=O198,INDEX('Spell Tables'!$T$2:$T$22,MATCH(O198,('Spell Tables'!$R$2:$R$22),0))," "))))))))))))</f>
        <v xml:space="preserve"> </v>
      </c>
      <c r="R267" s="33" t="str">
        <f ca="1">IF(AND($Q$15="Otherworldly patron - great old one",R$244&gt;=O198),INDEX('Spell Tables'!$X$226:$X$239,MATCH(O198,('Spell Tables'!$V$226:$V$239),0)),IF(AND($Q$15="Otherworldly patron - fiend",R$244&gt;=O198),INDEX('Spell Tables'!$X$210:$X$223,MATCH(O198,('Spell Tables'!$V$210:$V$223),0)),IF(AND($Q$15="Otherworldly patron - archfey",R$244&gt;=O198),INDEX('Spell Tables'!$X$194:$X$207,MATCH(O198,('Spell Tables'!$V$194:$V$207),0)),IF($R$242&gt;=O198,INDEX($AL$56:$AL$65,MATCH(O198,($AJ$56:$AJ$65),0)),IF($R$246&gt;=O198,INDEX('Spell Tables'!$X$168:$X$191,MATCH(O198,('Spell Tables'!$V$168:$V$191),0)),IF($R$248&gt;=O198,INDEX('Spell Tables'!$AB$141:$AB$149,MATCH(O198,('Spell Tables'!$Z$141:$Z$149),0)),IF($R$250&gt;=O198,INDEX('Spell Tables'!T224:T236,MATCH(O198,('Spell Tables'!$R$119:$R$131),0)),IF($R$252&gt;=O198,INDEX('Spell Tables'!$T$97:T209,MATCH(O198,('Spell Tables'!$R$97:$R$104),0)),IF($R$254&gt;=O198,INDEX('Spell Tables'!$AB$70:$AB$75,MATCH(O198,('Spell Tables'!$Z$70:$Z$75),0)),IF($R$256&gt;=O198,INDEX('Spell Tables'!$X$48:$X$65,MATCH(O198,('Spell Tables'!$V$48:$V$65),0)),IF($R$258&gt;=O198,INDEX('Spell Tables'!$X$26:$X$42,MATCH(O198,('Spell Tables'!$V$26:$V$42),0)),IF($R$260&gt;=O198,INDEX('Spell Tables'!$X$2:$X$23,MATCH(O198,('Spell Tables'!$V$2:$V$23),0))," "))))))))))))</f>
        <v xml:space="preserve"> </v>
      </c>
      <c r="S267" s="33" t="str">
        <f ca="1">IF(AND($Q$15="Otherworldly patron - great old one",S$244&gt;=O198),INDEX('Spell Tables'!$AB$226:$AB$238,MATCH(O198,('Spell Tables'!$Z$226:$Z$238),0)),IF(AND($Q$15="Otherworldly patron - fiend",S$244&gt;=O198),INDEX('Spell Tables'!$AB$210:$AB$222,MATCH(O198,('Spell Tables'!$Z$210:$Z$222),0)),IF(AND($Q$15="Otherworldly patron - archfey",S$244&gt;=O198),INDEX('Spell Tables'!$AB$194:$AB$206,MATCH(O198,('Spell Tables'!$Z$194:$Z$206),0)),IF($S$242&gt;=O198,INDEX($AL$68:$AL$77,MATCH(O198,($AJ$68:$AJ$77),0)),IF($S$246&gt;=O198,INDEX('Spell Tables'!$AB$168:$AB$187,MATCH(O198,('Spell Tables'!$Z$168:$Z$187),0)),IF($S$248&gt;=O198,INDEX('Spell Tables'!$AJ$141:$AJ$144,MATCH(O198,('Spell Tables'!$AH$141:$AH$144),0)),IF($S$250&gt;=O198,INDEX('Spell Tables'!$X$119:$X$129,MATCH(O198,('Spell Tables'!$V$119:$V$129),0)),IF($S$252&gt;=O198,INDEX('Spell Tables'!$X$97:$X$106,MATCH(O198,('Spell Tables'!$V$97:$V$106),0)),IF($S$254&gt;=O198,INDEX('Spell Tables'!$AJ$70:$AJ$79,MATCH(O198,('Spell Tables'!$AH$70:$AH$79),0)),IF($S$256&gt;=O198,INDEX('Spell Tables'!$AB$48:$AB$60,MATCH(O198,('Spell Tables'!$Z$48:$Z$60),0)),IF($S$258&gt;=O198,INDEX('Spell Tables'!$AB$26:$AB$45,MATCH(O198,('Spell Tables'!$Z$26:$Z$45),0)),IF($S$260&gt;=O198,INDEX('Spell Tables'!$AB$2:$AB$17,MATCH(O198,('Spell Tables'!$Z$2:$Z$17),0))," "))))))))))))</f>
        <v xml:space="preserve"> </v>
      </c>
      <c r="T267" s="33" t="str">
        <f ca="1">IF(AND($Q$15="Otherworldly patron - great old one",T$244&gt;=O198),INDEX('Spell Tables'!$AF$226:$AF$231,MATCH(O198,('Spell Tables'!$AD$226:$AD$231),0)),IF(AND($Q$15="Otherworldly patron - fiend",T$244&gt;=O198),INDEX('Spell Tables'!$AF$210:$AF$215,MATCH(O198,('Spell Tables'!$AD$210:$AD$215),0)),IF(AND($Q$15="Otherworldly patron - archfey",T$244&gt;=O198),INDEX('Spell Tables'!$AF$194:$AF$199,MATCH(O198,('Spell Tables'!$AD$194:$AD$199),0)),IF($T$242&gt;=O198,INDEX($AL$80:$AL$89,MATCH(O198,($AJ$80:$AJ$89),0)),IF($T$246&gt;=O198,INDEX('Spell Tables'!$AF$168:$AF$177,MATCH(O198,('Spell Tables'!$AD$168:$AD$177),0)),IF($T$248&gt;=O198,INDEX('Spell Tables'!$AR$141:$AR$144,MATCH(O198,('Spell Tables'!$AP$141:$AP$144),0)),IF($T$250&gt;=O198,INDEX('Spell Tables'!$AB$119:$AB$123,MATCH(O198,('Spell Tables'!$Z$119:$Z$123),0)),IF($T$252&gt;=O198,INDEX('Spell Tables'!$AB$97:$AB$102,MATCH(O198,('Spell Tables'!$Z$97:$Z$102),0)),IF($T$254&gt;=O198,INDEX('Spell Tables'!$AR$70:$AR$75,MATCH(O198,('Spell Tables'!$AP$70:$AP$75),0)),IF($T$256&gt;=O198,INDEX('Spell Tables'!$AF$48:$AF$63,MATCH(O198,('Spell Tables'!$AD$48:$AD$63),0)),IF($T$258&gt;=O198,INDEX('Spell Tables'!$AF$26:$AF$33,MATCH(O198,('Spell Tables'!$AD$26:$AD$33),0)),IF($T$260&gt;=O198,INDEX('Spell Tables'!$AF$2:$AF$9,MATCH(O198,('Spell Tables'!$AD$2:$AD$9),0))," "))))))))))))</f>
        <v xml:space="preserve"> </v>
      </c>
    </row>
    <row r="268" spans="2:20" x14ac:dyDescent="0.3">
      <c r="B268" s="33"/>
      <c r="C268" s="33"/>
      <c r="D268" s="33"/>
      <c r="E268" s="33"/>
      <c r="F268" s="33"/>
      <c r="G268" s="33"/>
      <c r="H268" s="33"/>
      <c r="I268" s="33"/>
      <c r="J268" s="33"/>
      <c r="K268" s="33"/>
      <c r="L268" s="33"/>
      <c r="M268" s="33"/>
      <c r="O268" s="34">
        <v>7</v>
      </c>
      <c r="P268" s="33" t="str">
        <f ca="1">IF(P$242&gt;=O199,INDEX('Spell Tables'!$P$242:$P$257,MATCH(O199,('Spell Tables'!$N$242:$N$257),0)),IF(P$244&gt;=O199,INDEX('Spell Tables'!$P$194:$P$201,MATCH(O199,('Spell Tables'!$N$194:$N$201),0)),IF(P$246&gt;=O199,INDEX('Spell Tables'!$P$168:$P$183,MATCH(O199,('Spell Tables'!$N$168:$N$183),0)),IF(P$248&gt;=O199,INDEX('Spell Tables'!$P$141:$P$156,MATCH(O199,('Spell Tables'!$N$141:$N$157),0)),IF(P$254&gt;=O199,INDEX('Spell Tables'!$P$70:$P$83,MATCH(O199,('Spell Tables'!$N$70:$N$83),0)),IF(P$256&gt;=O199,INDEX('Spell Tables'!$P$48:$P$55,MATCH(O199,('Spell Tables'!$N$48:$N$55),0)),IF(P$258&gt;=O199,INDEX('Spell Tables'!$P$26:$P$32,MATCH(O199,('Spell Tables'!$N$26:$N$32),0)),IF(P$260&gt;=O199,INDEX('Spell Tables'!$P$2:$P$12,MATCH(O199,('Spell Tables'!$N$2:$N$12),0))," "))))))))</f>
        <v xml:space="preserve"> </v>
      </c>
      <c r="Q268" s="33" t="str">
        <f ca="1">IF(AND($Q$15="Otherworldly patron - great old one",Q$244&gt;=O199),INDEX('Spell Tables'!$T$226:$T$238,MATCH(O199,('Spell Tables'!$R$226:$R$238),0)),IF(AND($Q$15="Otherworldly patron - fiend",Q$244&gt;=O199),INDEX('Spell Tables'!$T$210:$T$222,MATCH(O199,('Spell Tables'!$R$210:$R$222),0)),IF(Q$242&gt;=O199,INDEX($AL$44:$AL$53,MATCH(O199,($AJ$44:$AJ$53),0)),IF(AND($Q$15="Otherworldly patron - archfey",Q$244&gt;=O199),INDEX('Spell Tables'!T$206:$T300,MATCH(O199,('Spell Tables'!$R$194:$R$206),0)),IF(Q$246&gt;=O199,INDEX('Spell Tables'!T274:T293,MATCH(O199,('Spell Tables'!$R$168:$R$187),0)),IF(Q$248&gt;=O199,INDEX('Spell Tables'!T247:T253,MATCH(O199,('Spell Tables'!$R$141:$R$147),0)),IF(Q$250&gt;=O199,INDEX('Spell Tables'!$P$119:$P$131,MATCH(O199,('Spell Tables'!$N$119:$N$131),0)),IF(Q$252&gt;=O199,INDEX('Spell Tables'!$P$97:$P$111,MATCH(O199,('Spell Tables'!$N$97:$N$111),0)),IF(Q$254&gt;=O199,INDEX('Spell Tables'!$T$70:$T$78,MATCH(O199,('Spell Tables'!$R$70:$R$78),0)),IF(Q$256&gt;=O199,INDEX('Spell Tables'!$T$48:$T$63,MATCH(O199,('Spell Tables'!$R$48:$R$63),0)),IF(Q$258&gt;=O199,INDEX('Spell Tables'!$T$26:$T$40,MATCH(O199,('Spell Tables'!$R$26:$R$40),0)),IF(Q$260&gt;=O199,INDEX('Spell Tables'!$T$2:$T$22,MATCH(O199,('Spell Tables'!$R$2:$R$22),0))," "))))))))))))</f>
        <v xml:space="preserve"> </v>
      </c>
      <c r="R268" s="33" t="str">
        <f ca="1">IF(AND($Q$15="Otherworldly patron - great old one",R$244&gt;=O199),INDEX('Spell Tables'!$X$226:$X$239,MATCH(O199,('Spell Tables'!$V$226:$V$239),0)),IF(AND($Q$15="Otherworldly patron - fiend",R$244&gt;=O199),INDEX('Spell Tables'!$X$210:$X$223,MATCH(O199,('Spell Tables'!$V$210:$V$223),0)),IF(AND($Q$15="Otherworldly patron - archfey",R$244&gt;=O199),INDEX('Spell Tables'!$X$194:$X$207,MATCH(O199,('Spell Tables'!$V$194:$V$207),0)),IF($R$242&gt;=O199,INDEX($AL$56:$AL$65,MATCH(O199,($AJ$56:$AJ$65),0)),IF($R$246&gt;=O199,INDEX('Spell Tables'!$X$168:$X$191,MATCH(O199,('Spell Tables'!$V$168:$V$191),0)),IF($R$248&gt;=O199,INDEX('Spell Tables'!$AB$141:$AB$149,MATCH(O199,('Spell Tables'!$Z$141:$Z$149),0)),IF($R$250&gt;=O199,INDEX('Spell Tables'!T225:T237,MATCH(O199,('Spell Tables'!$R$119:$R$131),0)),IF($R$252&gt;=O199,INDEX('Spell Tables'!$T$97:T210,MATCH(O199,('Spell Tables'!$R$97:$R$104),0)),IF($R$254&gt;=O199,INDEX('Spell Tables'!$AB$70:$AB$75,MATCH(O199,('Spell Tables'!$Z$70:$Z$75),0)),IF($R$256&gt;=O199,INDEX('Spell Tables'!$X$48:$X$65,MATCH(O199,('Spell Tables'!$V$48:$V$65),0)),IF($R$258&gt;=O199,INDEX('Spell Tables'!$X$26:$X$42,MATCH(O199,('Spell Tables'!$V$26:$V$42),0)),IF($R$260&gt;=O199,INDEX('Spell Tables'!$X$2:$X$23,MATCH(O199,('Spell Tables'!$V$2:$V$23),0))," "))))))))))))</f>
        <v xml:space="preserve"> </v>
      </c>
      <c r="S268" s="33" t="str">
        <f ca="1">IF(AND($Q$15="Otherworldly patron - great old one",S$244&gt;=O199),INDEX('Spell Tables'!$AB$226:$AB$238,MATCH(O199,('Spell Tables'!$Z$226:$Z$238),0)),IF(AND($Q$15="Otherworldly patron - fiend",S$244&gt;=O199),INDEX('Spell Tables'!$AB$210:$AB$222,MATCH(O199,('Spell Tables'!$Z$210:$Z$222),0)),IF(AND($Q$15="Otherworldly patron - archfey",S$244&gt;=O199),INDEX('Spell Tables'!$AB$194:$AB$206,MATCH(O199,('Spell Tables'!$Z$194:$Z$206),0)),IF($S$242&gt;=O199,INDEX($AL$68:$AL$77,MATCH(O199,($AJ$68:$AJ$77),0)),IF($S$246&gt;=O199,INDEX('Spell Tables'!$AB$168:$AB$187,MATCH(O199,('Spell Tables'!$Z$168:$Z$187),0)),IF($S$248&gt;=O199,INDEX('Spell Tables'!$AJ$141:$AJ$144,MATCH(O199,('Spell Tables'!$AH$141:$AH$144),0)),IF($S$250&gt;=O199,INDEX('Spell Tables'!$X$119:$X$129,MATCH(O199,('Spell Tables'!$V$119:$V$129),0)),IF($S$252&gt;=O199,INDEX('Spell Tables'!$X$97:$X$106,MATCH(O199,('Spell Tables'!$V$97:$V$106),0)),IF($S$254&gt;=O199,INDEX('Spell Tables'!$AJ$70:$AJ$79,MATCH(O199,('Spell Tables'!$AH$70:$AH$79),0)),IF($S$256&gt;=O199,INDEX('Spell Tables'!$AB$48:$AB$60,MATCH(O199,('Spell Tables'!$Z$48:$Z$60),0)),IF($S$258&gt;=O199,INDEX('Spell Tables'!$AB$26:$AB$45,MATCH(O199,('Spell Tables'!$Z$26:$Z$45),0)),IF($S$260&gt;=O199,INDEX('Spell Tables'!$AB$2:$AB$17,MATCH(O199,('Spell Tables'!$Z$2:$Z$17),0))," "))))))))))))</f>
        <v xml:space="preserve"> </v>
      </c>
      <c r="T268" s="33" t="str">
        <f ca="1">IF(AND($Q$15="Otherworldly patron - great old one",T$244&gt;=O199),INDEX('Spell Tables'!$AF$226:$AF$231,MATCH(O199,('Spell Tables'!$AD$226:$AD$231),0)),IF(AND($Q$15="Otherworldly patron - fiend",T$244&gt;=O199),INDEX('Spell Tables'!$AF$210:$AF$215,MATCH(O199,('Spell Tables'!$AD$210:$AD$215),0)),IF(AND($Q$15="Otherworldly patron - archfey",T$244&gt;=O199),INDEX('Spell Tables'!$AF$194:$AF$199,MATCH(O199,('Spell Tables'!$AD$194:$AD$199),0)),IF($T$242&gt;=O199,INDEX($AL$80:$AL$89,MATCH(O199,($AJ$80:$AJ$89),0)),IF($T$246&gt;=O199,INDEX('Spell Tables'!$AF$168:$AF$177,MATCH(O199,('Spell Tables'!$AD$168:$AD$177),0)),IF($T$248&gt;=O199,INDEX('Spell Tables'!$AR$141:$AR$144,MATCH(O199,('Spell Tables'!$AP$141:$AP$144),0)),IF($T$250&gt;=O199,INDEX('Spell Tables'!$AB$119:$AB$123,MATCH(O199,('Spell Tables'!$Z$119:$Z$123),0)),IF($T$252&gt;=O199,INDEX('Spell Tables'!$AB$97:$AB$102,MATCH(O199,('Spell Tables'!$Z$97:$Z$102),0)),IF($T$254&gt;=O199,INDEX('Spell Tables'!$AR$70:$AR$75,MATCH(O199,('Spell Tables'!$AP$70:$AP$75),0)),IF($T$256&gt;=O199,INDEX('Spell Tables'!$AF$48:$AF$63,MATCH(O199,('Spell Tables'!$AD$48:$AD$63),0)),IF($T$258&gt;=O199,INDEX('Spell Tables'!$AF$26:$AF$33,MATCH(O199,('Spell Tables'!$AD$26:$AD$33),0)),IF($T$260&gt;=O199,INDEX('Spell Tables'!$AF$2:$AF$9,MATCH(O199,('Spell Tables'!$AD$2:$AD$9),0))," "))))))))))))</f>
        <v xml:space="preserve"> </v>
      </c>
    </row>
    <row r="269" spans="2:20" x14ac:dyDescent="0.3">
      <c r="B269" s="33"/>
      <c r="C269" s="33"/>
      <c r="D269" s="33"/>
      <c r="E269" s="33"/>
      <c r="F269" s="33"/>
      <c r="G269" s="33"/>
      <c r="H269" s="33"/>
      <c r="I269" s="33"/>
      <c r="J269" s="33"/>
      <c r="K269" s="33"/>
      <c r="L269" s="33"/>
      <c r="M269" s="33"/>
      <c r="O269" s="34">
        <v>8</v>
      </c>
      <c r="P269" s="33" t="str">
        <f ca="1">IF(P$242&gt;=O200,INDEX('Spell Tables'!$P$242:$P$257,MATCH(O200,('Spell Tables'!$N$242:$N$257),0)),IF(P$244&gt;=O200,INDEX('Spell Tables'!$P$194:$P$201,MATCH(O200,('Spell Tables'!$N$194:$N$201),0)),IF(P$246&gt;=O200,INDEX('Spell Tables'!$P$168:$P$183,MATCH(O200,('Spell Tables'!$N$168:$N$183),0)),IF(P$248&gt;=O200,INDEX('Spell Tables'!$P$141:$P$156,MATCH(O200,('Spell Tables'!$N$141:$N$157),0)),IF(P$254&gt;=O200,INDEX('Spell Tables'!$P$70:$P$83,MATCH(O200,('Spell Tables'!$N$70:$N$83),0)),IF(P$256&gt;=O200,INDEX('Spell Tables'!$P$48:$P$55,MATCH(O200,('Spell Tables'!$N$48:$N$55),0)),IF(P$258&gt;=O200,INDEX('Spell Tables'!$P$26:$P$32,MATCH(O200,('Spell Tables'!$N$26:$N$32),0)),IF(P$260&gt;=O200,INDEX('Spell Tables'!$P$2:$P$12,MATCH(O200,('Spell Tables'!$N$2:$N$12),0))," "))))))))</f>
        <v xml:space="preserve"> </v>
      </c>
      <c r="Q269" s="33" t="str">
        <f ca="1">IF(AND($Q$15="Otherworldly patron - great old one",Q$244&gt;=O200),INDEX('Spell Tables'!$T$226:$T$238,MATCH(O200,('Spell Tables'!$R$226:$R$238),0)),IF(AND($Q$15="Otherworldly patron - fiend",Q$244&gt;=O200),INDEX('Spell Tables'!$T$210:$T$222,MATCH(O200,('Spell Tables'!$R$210:$R$222),0)),IF(Q$242&gt;=O200,INDEX($AL$44:$AL$53,MATCH(O200,($AJ$44:$AJ$53),0)),IF(AND($Q$15="Otherworldly patron - archfey",Q$244&gt;=O200),INDEX('Spell Tables'!T$206:$T301,MATCH(O200,('Spell Tables'!$R$194:$R$206),0)),IF(Q$246&gt;=O200,INDEX('Spell Tables'!T275:T294,MATCH(O200,('Spell Tables'!$R$168:$R$187),0)),IF(Q$248&gt;=O200,INDEX('Spell Tables'!T248:T254,MATCH(O200,('Spell Tables'!$R$141:$R$147),0)),IF(Q$250&gt;=O200,INDEX('Spell Tables'!$P$119:$P$131,MATCH(O200,('Spell Tables'!$N$119:$N$131),0)),IF(Q$252&gt;=O200,INDEX('Spell Tables'!$P$97:$P$111,MATCH(O200,('Spell Tables'!$N$97:$N$111),0)),IF(Q$254&gt;=O200,INDEX('Spell Tables'!$T$70:$T$78,MATCH(O200,('Spell Tables'!$R$70:$R$78),0)),IF(Q$256&gt;=O200,INDEX('Spell Tables'!$T$48:$T$63,MATCH(O200,('Spell Tables'!$R$48:$R$63),0)),IF(Q$258&gt;=O200,INDEX('Spell Tables'!$T$26:$T$40,MATCH(O200,('Spell Tables'!$R$26:$R$40),0)),IF(Q$260&gt;=O200,INDEX('Spell Tables'!$T$2:$T$22,MATCH(O200,('Spell Tables'!$R$2:$R$22),0))," "))))))))))))</f>
        <v xml:space="preserve"> </v>
      </c>
      <c r="R269" s="33" t="str">
        <f ca="1">IF(AND($Q$15="Otherworldly patron - great old one",R$244&gt;=O200),INDEX('Spell Tables'!$X$226:$X$239,MATCH(O200,('Spell Tables'!$V$226:$V$239),0)),IF(AND($Q$15="Otherworldly patron - fiend",R$244&gt;=O200),INDEX('Spell Tables'!$X$210:$X$223,MATCH(O200,('Spell Tables'!$V$210:$V$223),0)),IF(AND($Q$15="Otherworldly patron - archfey",R$244&gt;=O200),INDEX('Spell Tables'!$X$194:$X$207,MATCH(O200,('Spell Tables'!$V$194:$V$207),0)),IF($R$242&gt;=O200,INDEX($AL$56:$AL$65,MATCH(O200,($AJ$56:$AJ$65),0)),IF($R$246&gt;=O200,INDEX('Spell Tables'!$X$168:$X$191,MATCH(O200,('Spell Tables'!$V$168:$V$191),0)),IF($R$248&gt;=O200,INDEX('Spell Tables'!$AB$141:$AB$149,MATCH(O200,('Spell Tables'!$Z$141:$Z$149),0)),IF($R$250&gt;=O200,INDEX('Spell Tables'!T226:T238,MATCH(O200,('Spell Tables'!$R$119:$R$131),0)),IF($R$252&gt;=O200,INDEX('Spell Tables'!$T$97:T211,MATCH(O200,('Spell Tables'!$R$97:$R$104),0)),IF($R$254&gt;=O200,INDEX('Spell Tables'!$AB$70:$AB$75,MATCH(O200,('Spell Tables'!$Z$70:$Z$75),0)),IF($R$256&gt;=O200,INDEX('Spell Tables'!$X$48:$X$65,MATCH(O200,('Spell Tables'!$V$48:$V$65),0)),IF($R$258&gt;=O200,INDEX('Spell Tables'!$X$26:$X$42,MATCH(O200,('Spell Tables'!$V$26:$V$42),0)),IF($R$260&gt;=O200,INDEX('Spell Tables'!$X$2:$X$23,MATCH(O200,('Spell Tables'!$V$2:$V$23),0))," "))))))))))))</f>
        <v xml:space="preserve"> </v>
      </c>
      <c r="S269" s="33" t="str">
        <f ca="1">IF(AND($Q$15="Otherworldly patron - great old one",S$244&gt;=O200),INDEX('Spell Tables'!$AB$226:$AB$238,MATCH(O200,('Spell Tables'!$Z$226:$Z$238),0)),IF(AND($Q$15="Otherworldly patron - fiend",S$244&gt;=O200),INDEX('Spell Tables'!$AB$210:$AB$222,MATCH(O200,('Spell Tables'!$Z$210:$Z$222),0)),IF(AND($Q$15="Otherworldly patron - archfey",S$244&gt;=O200),INDEX('Spell Tables'!$AB$194:$AB$206,MATCH(O200,('Spell Tables'!$Z$194:$Z$206),0)),IF($S$242&gt;=O200,INDEX($AL$68:$AL$77,MATCH(O200,($AJ$68:$AJ$77),0)),IF($S$246&gt;=O200,INDEX('Spell Tables'!$AB$168:$AB$187,MATCH(O200,('Spell Tables'!$Z$168:$Z$187),0)),IF($S$248&gt;=O200,INDEX('Spell Tables'!$AJ$141:$AJ$144,MATCH(O200,('Spell Tables'!$AH$141:$AH$144),0)),IF($S$250&gt;=O200,INDEX('Spell Tables'!$X$119:$X$129,MATCH(O200,('Spell Tables'!$V$119:$V$129),0)),IF($S$252&gt;=O200,INDEX('Spell Tables'!$X$97:$X$106,MATCH(O200,('Spell Tables'!$V$97:$V$106),0)),IF($S$254&gt;=O200,INDEX('Spell Tables'!$AJ$70:$AJ$79,MATCH(O200,('Spell Tables'!$AH$70:$AH$79),0)),IF($S$256&gt;=O200,INDEX('Spell Tables'!$AB$48:$AB$60,MATCH(O200,('Spell Tables'!$Z$48:$Z$60),0)),IF($S$258&gt;=O200,INDEX('Spell Tables'!$AB$26:$AB$45,MATCH(O200,('Spell Tables'!$Z$26:$Z$45),0)),IF($S$260&gt;=O200,INDEX('Spell Tables'!$AB$2:$AB$17,MATCH(O200,('Spell Tables'!$Z$2:$Z$17),0))," "))))))))))))</f>
        <v xml:space="preserve"> </v>
      </c>
      <c r="T269" s="33" t="str">
        <f ca="1">IF(AND($Q$15="Otherworldly patron - great old one",T$244&gt;=O200),INDEX('Spell Tables'!$AF$226:$AF$231,MATCH(O200,('Spell Tables'!$AD$226:$AD$231),0)),IF(AND($Q$15="Otherworldly patron - fiend",T$244&gt;=O200),INDEX('Spell Tables'!$AF$210:$AF$215,MATCH(O200,('Spell Tables'!$AD$210:$AD$215),0)),IF(AND($Q$15="Otherworldly patron - archfey",T$244&gt;=O200),INDEX('Spell Tables'!$AF$194:$AF$199,MATCH(O200,('Spell Tables'!$AD$194:$AD$199),0)),IF($T$242&gt;=O200,INDEX($AL$80:$AL$89,MATCH(O200,($AJ$80:$AJ$89),0)),IF($T$246&gt;=O200,INDEX('Spell Tables'!$AF$168:$AF$177,MATCH(O200,('Spell Tables'!$AD$168:$AD$177),0)),IF($T$248&gt;=O200,INDEX('Spell Tables'!$AR$141:$AR$144,MATCH(O200,('Spell Tables'!$AP$141:$AP$144),0)),IF($T$250&gt;=O200,INDEX('Spell Tables'!$AB$119:$AB$123,MATCH(O200,('Spell Tables'!$Z$119:$Z$123),0)),IF($T$252&gt;=O200,INDEX('Spell Tables'!$AB$97:$AB$102,MATCH(O200,('Spell Tables'!$Z$97:$Z$102),0)),IF($T$254&gt;=O200,INDEX('Spell Tables'!$AR$70:$AR$75,MATCH(O200,('Spell Tables'!$AP$70:$AP$75),0)),IF($T$256&gt;=O200,INDEX('Spell Tables'!$AF$48:$AF$63,MATCH(O200,('Spell Tables'!$AD$48:$AD$63),0)),IF($T$258&gt;=O200,INDEX('Spell Tables'!$AF$26:$AF$33,MATCH(O200,('Spell Tables'!$AD$26:$AD$33),0)),IF($T$260&gt;=O200,INDEX('Spell Tables'!$AF$2:$AF$9,MATCH(O200,('Spell Tables'!$AD$2:$AD$9),0))," "))))))))))))</f>
        <v xml:space="preserve"> </v>
      </c>
    </row>
    <row r="270" spans="2:20" x14ac:dyDescent="0.3">
      <c r="B270" s="33"/>
      <c r="C270" s="33"/>
      <c r="D270" s="33"/>
      <c r="E270" s="33"/>
      <c r="F270" s="33"/>
      <c r="G270" s="33"/>
      <c r="H270" s="33"/>
      <c r="I270" s="33"/>
      <c r="J270" s="33"/>
      <c r="K270" s="33"/>
      <c r="L270" s="33"/>
      <c r="M270" s="33"/>
      <c r="O270" s="34">
        <v>9</v>
      </c>
      <c r="P270" s="33" t="str">
        <f ca="1">IF(P$242&gt;=O201,INDEX('Spell Tables'!$P$242:$P$257,MATCH(O201,('Spell Tables'!$N$242:$N$257),0)),IF(P$244&gt;=O201,INDEX('Spell Tables'!$P$194:$P$201,MATCH(O201,('Spell Tables'!$N$194:$N$201),0)),IF(P$246&gt;=O201,INDEX('Spell Tables'!$P$168:$P$183,MATCH(O201,('Spell Tables'!$N$168:$N$183),0)),IF(P$248&gt;=O201,INDEX('Spell Tables'!$P$141:$P$156,MATCH(O201,('Spell Tables'!$N$141:$N$157),0)),IF(P$254&gt;=O201,INDEX('Spell Tables'!$P$70:$P$83,MATCH(O201,('Spell Tables'!$N$70:$N$83),0)),IF(P$256&gt;=O201,INDEX('Spell Tables'!$P$48:$P$55,MATCH(O201,('Spell Tables'!$N$48:$N$55),0)),IF(P$258&gt;=O201,INDEX('Spell Tables'!$P$26:$P$32,MATCH(O201,('Spell Tables'!$N$26:$N$32),0)),IF(P$260&gt;=O201,INDEX('Spell Tables'!$P$2:$P$12,MATCH(O201,('Spell Tables'!$N$2:$N$12),0))," "))))))))</f>
        <v xml:space="preserve"> </v>
      </c>
      <c r="Q270" s="33" t="str">
        <f ca="1">IF(AND($Q$15="Otherworldly patron - great old one",Q$244&gt;=O201),INDEX('Spell Tables'!$T$226:$T$238,MATCH(O201,('Spell Tables'!$R$226:$R$238),0)),IF(AND($Q$15="Otherworldly patron - fiend",Q$244&gt;=O201),INDEX('Spell Tables'!$T$210:$T$222,MATCH(O201,('Spell Tables'!$R$210:$R$222),0)),IF(Q$242&gt;=O201,INDEX($AL$44:$AL$53,MATCH(O201,($AJ$44:$AJ$53),0)),IF(AND($Q$15="Otherworldly patron - archfey",Q$244&gt;=O201),INDEX('Spell Tables'!T$206:$T302,MATCH(O201,('Spell Tables'!$R$194:$R$206),0)),IF(Q$246&gt;=O201,INDEX('Spell Tables'!T276:T295,MATCH(O201,('Spell Tables'!$R$168:$R$187),0)),IF(Q$248&gt;=O201,INDEX('Spell Tables'!T249:T255,MATCH(O201,('Spell Tables'!$R$141:$R$147),0)),IF(Q$250&gt;=O201,INDEX('Spell Tables'!$P$119:$P$131,MATCH(O201,('Spell Tables'!$N$119:$N$131),0)),IF(Q$252&gt;=O201,INDEX('Spell Tables'!$P$97:$P$111,MATCH(O201,('Spell Tables'!$N$97:$N$111),0)),IF(Q$254&gt;=O201,INDEX('Spell Tables'!$T$70:$T$78,MATCH(O201,('Spell Tables'!$R$70:$R$78),0)),IF(Q$256&gt;=O201,INDEX('Spell Tables'!$T$48:$T$63,MATCH(O201,('Spell Tables'!$R$48:$R$63),0)),IF(Q$258&gt;=O201,INDEX('Spell Tables'!$T$26:$T$40,MATCH(O201,('Spell Tables'!$R$26:$R$40),0)),IF(Q$260&gt;=O201,INDEX('Spell Tables'!$T$2:$T$22,MATCH(O201,('Spell Tables'!$R$2:$R$22),0))," "))))))))))))</f>
        <v xml:space="preserve"> </v>
      </c>
      <c r="R270" s="33" t="str">
        <f ca="1">IF(AND($Q$15="Otherworldly patron - great old one",R$244&gt;=O201),INDEX('Spell Tables'!$X$226:$X$239,MATCH(O201,('Spell Tables'!$V$226:$V$239),0)),IF(AND($Q$15="Otherworldly patron - fiend",R$244&gt;=O201),INDEX('Spell Tables'!$X$210:$X$223,MATCH(O201,('Spell Tables'!$V$210:$V$223),0)),IF(AND($Q$15="Otherworldly patron - archfey",R$244&gt;=O201),INDEX('Spell Tables'!$X$194:$X$207,MATCH(O201,('Spell Tables'!$V$194:$V$207),0)),IF($R$242&gt;=O201,INDEX($AL$56:$AL$65,MATCH(O201,($AJ$56:$AJ$65),0)),IF($R$246&gt;=O201,INDEX('Spell Tables'!$X$168:$X$191,MATCH(O201,('Spell Tables'!$V$168:$V$191),0)),IF($R$248&gt;=O201,INDEX('Spell Tables'!$AB$141:$AB$149,MATCH(O201,('Spell Tables'!$Z$141:$Z$149),0)),IF($R$250&gt;=O201,INDEX('Spell Tables'!T227:T239,MATCH(O201,('Spell Tables'!$R$119:$R$131),0)),IF($R$252&gt;=O201,INDEX('Spell Tables'!$T$97:T212,MATCH(O201,('Spell Tables'!$R$97:$R$104),0)),IF($R$254&gt;=O201,INDEX('Spell Tables'!$AB$70:$AB$75,MATCH(O201,('Spell Tables'!$Z$70:$Z$75),0)),IF($R$256&gt;=O201,INDEX('Spell Tables'!$X$48:$X$65,MATCH(O201,('Spell Tables'!$V$48:$V$65),0)),IF($R$258&gt;=O201,INDEX('Spell Tables'!$X$26:$X$42,MATCH(O201,('Spell Tables'!$V$26:$V$42),0)),IF($R$260&gt;=O201,INDEX('Spell Tables'!$X$2:$X$23,MATCH(O201,('Spell Tables'!$V$2:$V$23),0))," "))))))))))))</f>
        <v xml:space="preserve"> </v>
      </c>
      <c r="S270" s="33" t="str">
        <f ca="1">IF(AND($Q$15="Otherworldly patron - great old one",S$244&gt;=O201),INDEX('Spell Tables'!$AB$226:$AB$238,MATCH(O201,('Spell Tables'!$Z$226:$Z$238),0)),IF(AND($Q$15="Otherworldly patron - fiend",S$244&gt;=O201),INDEX('Spell Tables'!$AB$210:$AB$222,MATCH(O201,('Spell Tables'!$Z$210:$Z$222),0)),IF(AND($Q$15="Otherworldly patron - archfey",S$244&gt;=O201),INDEX('Spell Tables'!$AB$194:$AB$206,MATCH(O201,('Spell Tables'!$Z$194:$Z$206),0)),IF($S$242&gt;=O201,INDEX($AL$68:$AL$77,MATCH(O201,($AJ$68:$AJ$77),0)),IF($S$246&gt;=O201,INDEX('Spell Tables'!$AB$168:$AB$187,MATCH(O201,('Spell Tables'!$Z$168:$Z$187),0)),IF($S$248&gt;=O201,INDEX('Spell Tables'!$AJ$141:$AJ$144,MATCH(O201,('Spell Tables'!$AH$141:$AH$144),0)),IF($S$250&gt;=O201,INDEX('Spell Tables'!$X$119:$X$129,MATCH(O201,('Spell Tables'!$V$119:$V$129),0)),IF($S$252&gt;=O201,INDEX('Spell Tables'!$X$97:$X$106,MATCH(O201,('Spell Tables'!$V$97:$V$106),0)),IF($S$254&gt;=O201,INDEX('Spell Tables'!$AJ$70:$AJ$79,MATCH(O201,('Spell Tables'!$AH$70:$AH$79),0)),IF($S$256&gt;=O201,INDEX('Spell Tables'!$AB$48:$AB$60,MATCH(O201,('Spell Tables'!$Z$48:$Z$60),0)),IF($S$258&gt;=O201,INDEX('Spell Tables'!$AB$26:$AB$45,MATCH(O201,('Spell Tables'!$Z$26:$Z$45),0)),IF($S$260&gt;=O201,INDEX('Spell Tables'!$AB$2:$AB$17,MATCH(O201,('Spell Tables'!$Z$2:$Z$17),0))," "))))))))))))</f>
        <v xml:space="preserve"> </v>
      </c>
      <c r="T270" s="33" t="str">
        <f ca="1">IF(AND($Q$15="Otherworldly patron - great old one",T$244&gt;=O201),INDEX('Spell Tables'!$AF$226:$AF$231,MATCH(O201,('Spell Tables'!$AD$226:$AD$231),0)),IF(AND($Q$15="Otherworldly patron - fiend",T$244&gt;=O201),INDEX('Spell Tables'!$AF$210:$AF$215,MATCH(O201,('Spell Tables'!$AD$210:$AD$215),0)),IF(AND($Q$15="Otherworldly patron - archfey",T$244&gt;=O201),INDEX('Spell Tables'!$AF$194:$AF$199,MATCH(O201,('Spell Tables'!$AD$194:$AD$199),0)),IF($T$242&gt;=O201,INDEX($AL$80:$AL$89,MATCH(O201,($AJ$80:$AJ$89),0)),IF($T$246&gt;=O201,INDEX('Spell Tables'!$AF$168:$AF$177,MATCH(O201,('Spell Tables'!$AD$168:$AD$177),0)),IF($T$248&gt;=O201,INDEX('Spell Tables'!$AR$141:$AR$144,MATCH(O201,('Spell Tables'!$AP$141:$AP$144),0)),IF($T$250&gt;=O201,INDEX('Spell Tables'!$AB$119:$AB$123,MATCH(O201,('Spell Tables'!$Z$119:$Z$123),0)),IF($T$252&gt;=O201,INDEX('Spell Tables'!$AB$97:$AB$102,MATCH(O201,('Spell Tables'!$Z$97:$Z$102),0)),IF($T$254&gt;=O201,INDEX('Spell Tables'!$AR$70:$AR$75,MATCH(O201,('Spell Tables'!$AP$70:$AP$75),0)),IF($T$256&gt;=O201,INDEX('Spell Tables'!$AF$48:$AF$63,MATCH(O201,('Spell Tables'!$AD$48:$AD$63),0)),IF($T$258&gt;=O201,INDEX('Spell Tables'!$AF$26:$AF$33,MATCH(O201,('Spell Tables'!$AD$26:$AD$33),0)),IF($T$260&gt;=O201,INDEX('Spell Tables'!$AF$2:$AF$9,MATCH(O201,('Spell Tables'!$AD$2:$AD$9),0))," "))))))))))))</f>
        <v xml:space="preserve"> </v>
      </c>
    </row>
    <row r="271" spans="2:20" x14ac:dyDescent="0.3">
      <c r="B271" s="33"/>
      <c r="C271" s="33"/>
      <c r="D271" s="33"/>
      <c r="E271" s="33"/>
      <c r="F271" s="33"/>
      <c r="G271" s="33"/>
      <c r="H271" s="33"/>
      <c r="I271" s="33"/>
      <c r="J271" s="33"/>
      <c r="K271" s="33"/>
      <c r="L271" s="33"/>
      <c r="M271" s="33"/>
      <c r="O271" s="34">
        <v>10</v>
      </c>
      <c r="P271" s="33" t="str">
        <f ca="1">IF(P$242&gt;=O202,INDEX('Spell Tables'!$P$242:$P$257,MATCH(O202,('Spell Tables'!$N$242:$N$257),0)),IF(P$244&gt;=O202,INDEX('Spell Tables'!$P$194:$P$201,MATCH(O202,('Spell Tables'!$N$194:$N$201),0)),IF(P$246&gt;=O202,INDEX('Spell Tables'!$P$168:$P$183,MATCH(O202,('Spell Tables'!$N$168:$N$183),0)),IF(P$248&gt;=O202,INDEX('Spell Tables'!$P$141:$P$156,MATCH(O202,('Spell Tables'!$N$141:$N$157),0)),IF(P$254&gt;=O202,INDEX('Spell Tables'!$P$70:$P$83,MATCH(O202,('Spell Tables'!$N$70:$N$83),0)),IF(P$256&gt;=O202,INDEX('Spell Tables'!$P$48:$P$55,MATCH(O202,('Spell Tables'!$N$48:$N$55),0)),IF(P$258&gt;=O202,INDEX('Spell Tables'!$P$26:$P$32,MATCH(O202,('Spell Tables'!$N$26:$N$32),0)),IF(P$260&gt;=O202,INDEX('Spell Tables'!$P$2:$P$12,MATCH(O202,('Spell Tables'!$N$2:$N$12),0))," "))))))))</f>
        <v xml:space="preserve"> </v>
      </c>
      <c r="Q271" s="33" t="str">
        <f ca="1">IF(AND($Q$15="Otherworldly patron - great old one",Q$244&gt;=O202),INDEX('Spell Tables'!$T$226:$T$238,MATCH(O202,('Spell Tables'!$R$226:$R$238),0)),IF(AND($Q$15="Otherworldly patron - fiend",Q$244&gt;=O202),INDEX('Spell Tables'!$T$210:$T$222,MATCH(O202,('Spell Tables'!$R$210:$R$222),0)),IF(Q$242&gt;=O202,INDEX($AL$44:$AL$53,MATCH(O202,($AJ$44:$AJ$53),0)),IF(AND($Q$15="Otherworldly patron - archfey",Q$244&gt;=O202),INDEX('Spell Tables'!T$206:$T303,MATCH(O202,('Spell Tables'!$R$194:$R$206),0)),IF(Q$246&gt;=O202,INDEX('Spell Tables'!T277:T296,MATCH(O202,('Spell Tables'!$R$168:$R$187),0)),IF(Q$248&gt;=O202,INDEX('Spell Tables'!T250:T256,MATCH(O202,('Spell Tables'!$R$141:$R$147),0)),IF(Q$250&gt;=O202,INDEX('Spell Tables'!$P$119:$P$131,MATCH(O202,('Spell Tables'!$N$119:$N$131),0)),IF(Q$252&gt;=O202,INDEX('Spell Tables'!$P$97:$P$111,MATCH(O202,('Spell Tables'!$N$97:$N$111),0)),IF(Q$254&gt;=O202,INDEX('Spell Tables'!$T$70:$T$78,MATCH(O202,('Spell Tables'!$R$70:$R$78),0)),IF(Q$256&gt;=O202,INDEX('Spell Tables'!$T$48:$T$63,MATCH(O202,('Spell Tables'!$R$48:$R$63),0)),IF(Q$258&gt;=O202,INDEX('Spell Tables'!$T$26:$T$40,MATCH(O202,('Spell Tables'!$R$26:$R$40),0)),IF(Q$260&gt;=O202,INDEX('Spell Tables'!$T$2:$T$22,MATCH(O202,('Spell Tables'!$R$2:$R$22),0))," "))))))))))))</f>
        <v xml:space="preserve"> </v>
      </c>
      <c r="R271" s="33" t="str">
        <f ca="1">IF(AND($Q$15="Otherworldly patron - great old one",R$244&gt;=O202),INDEX('Spell Tables'!$X$226:$X$239,MATCH(O202,('Spell Tables'!$V$226:$V$239),0)),IF(AND($Q$15="Otherworldly patron - fiend",R$244&gt;=O202),INDEX('Spell Tables'!$X$210:$X$223,MATCH(O202,('Spell Tables'!$V$210:$V$223),0)),IF(AND($Q$15="Otherworldly patron - archfey",R$244&gt;=O202),INDEX('Spell Tables'!$X$194:$X$207,MATCH(O202,('Spell Tables'!$V$194:$V$207),0)),IF($R$242&gt;=O202,INDEX($AL$56:$AL$65,MATCH(O202,($AJ$56:$AJ$65),0)),IF($R$246&gt;=O202,INDEX('Spell Tables'!$X$168:$X$191,MATCH(O202,('Spell Tables'!$V$168:$V$191),0)),IF($R$248&gt;=O202,INDEX('Spell Tables'!$AB$141:$AB$149,MATCH(O202,('Spell Tables'!$Z$141:$Z$149),0)),IF($R$250&gt;=O202,INDEX('Spell Tables'!T228:T240,MATCH(O202,('Spell Tables'!$R$119:$R$131),0)),IF($R$252&gt;=O202,INDEX('Spell Tables'!$T$97:T213,MATCH(O202,('Spell Tables'!$R$97:$R$104),0)),IF($R$254&gt;=O202,INDEX('Spell Tables'!$AB$70:$AB$75,MATCH(O202,('Spell Tables'!$Z$70:$Z$75),0)),IF($R$256&gt;=O202,INDEX('Spell Tables'!$X$48:$X$65,MATCH(O202,('Spell Tables'!$V$48:$V$65),0)),IF($R$258&gt;=O202,INDEX('Spell Tables'!$X$26:$X$42,MATCH(O202,('Spell Tables'!$V$26:$V$42),0)),IF($R$260&gt;=O202,INDEX('Spell Tables'!$X$2:$X$23,MATCH(O202,('Spell Tables'!$V$2:$V$23),0))," "))))))))))))</f>
        <v xml:space="preserve"> </v>
      </c>
      <c r="S271" s="33" t="str">
        <f ca="1">IF(AND($Q$15="Otherworldly patron - great old one",S$244&gt;=O202),INDEX('Spell Tables'!$AB$226:$AB$238,MATCH(O202,('Spell Tables'!$Z$226:$Z$238),0)),IF(AND($Q$15="Otherworldly patron - fiend",S$244&gt;=O202),INDEX('Spell Tables'!$AB$210:$AB$222,MATCH(O202,('Spell Tables'!$Z$210:$Z$222),0)),IF(AND($Q$15="Otherworldly patron - archfey",S$244&gt;=O202),INDEX('Spell Tables'!$AB$194:$AB$206,MATCH(O202,('Spell Tables'!$Z$194:$Z$206),0)),IF($S$242&gt;=O202,INDEX($AL$68:$AL$77,MATCH(O202,($AJ$68:$AJ$77),0)),IF($S$246&gt;=O202,INDEX('Spell Tables'!$AB$168:$AB$187,MATCH(O202,('Spell Tables'!$Z$168:$Z$187),0)),IF($S$248&gt;=O202,INDEX('Spell Tables'!$AJ$141:$AJ$144,MATCH(O202,('Spell Tables'!$AH$141:$AH$144),0)),IF($S$250&gt;=O202,INDEX('Spell Tables'!$X$119:$X$129,MATCH(O202,('Spell Tables'!$V$119:$V$129),0)),IF($S$252&gt;=O202,INDEX('Spell Tables'!$X$97:$X$106,MATCH(O202,('Spell Tables'!$V$97:$V$106),0)),IF($S$254&gt;=O202,INDEX('Spell Tables'!$AJ$70:$AJ$79,MATCH(O202,('Spell Tables'!$AH$70:$AH$79),0)),IF($S$256&gt;=O202,INDEX('Spell Tables'!$AB$48:$AB$60,MATCH(O202,('Spell Tables'!$Z$48:$Z$60),0)),IF($S$258&gt;=O202,INDEX('Spell Tables'!$AB$26:$AB$45,MATCH(O202,('Spell Tables'!$Z$26:$Z$45),0)),IF($S$260&gt;=O202,INDEX('Spell Tables'!$AB$2:$AB$17,MATCH(O202,('Spell Tables'!$Z$2:$Z$17),0))," "))))))))))))</f>
        <v xml:space="preserve"> </v>
      </c>
      <c r="T271" s="33" t="str">
        <f ca="1">IF(AND($Q$15="Otherworldly patron - great old one",T$244&gt;=O202),INDEX('Spell Tables'!$AF$226:$AF$231,MATCH(O202,('Spell Tables'!$AD$226:$AD$231),0)),IF(AND($Q$15="Otherworldly patron - fiend",T$244&gt;=O202),INDEX('Spell Tables'!$AF$210:$AF$215,MATCH(O202,('Spell Tables'!$AD$210:$AD$215),0)),IF(AND($Q$15="Otherworldly patron - archfey",T$244&gt;=O202),INDEX('Spell Tables'!$AF$194:$AF$199,MATCH(O202,('Spell Tables'!$AD$194:$AD$199),0)),IF($T$242&gt;=O202,INDEX($AL$80:$AL$89,MATCH(O202,($AJ$80:$AJ$89),0)),IF($T$246&gt;=O202,INDEX('Spell Tables'!$AF$168:$AF$177,MATCH(O202,('Spell Tables'!$AD$168:$AD$177),0)),IF($T$248&gt;=O202,INDEX('Spell Tables'!$AR$141:$AR$144,MATCH(O202,('Spell Tables'!$AP$141:$AP$144),0)),IF($T$250&gt;=O202,INDEX('Spell Tables'!$AB$119:$AB$123,MATCH(O202,('Spell Tables'!$Z$119:$Z$123),0)),IF($T$252&gt;=O202,INDEX('Spell Tables'!$AB$97:$AB$102,MATCH(O202,('Spell Tables'!$Z$97:$Z$102),0)),IF($T$254&gt;=O202,INDEX('Spell Tables'!$AR$70:$AR$75,MATCH(O202,('Spell Tables'!$AP$70:$AP$75),0)),IF($T$256&gt;=O202,INDEX('Spell Tables'!$AF$48:$AF$63,MATCH(O202,('Spell Tables'!$AD$48:$AD$63),0)),IF($T$258&gt;=O202,INDEX('Spell Tables'!$AF$26:$AF$33,MATCH(O202,('Spell Tables'!$AD$26:$AD$33),0)),IF($T$260&gt;=O202,INDEX('Spell Tables'!$AF$2:$AF$9,MATCH(O202,('Spell Tables'!$AD$2:$AD$9),0))," "))))))))))))</f>
        <v xml:space="preserve"> </v>
      </c>
    </row>
    <row r="272" spans="2:20" ht="19.5" thickBot="1" x14ac:dyDescent="0.35">
      <c r="B272" s="33"/>
      <c r="C272" s="38"/>
      <c r="D272" s="38"/>
      <c r="E272" s="38"/>
      <c r="F272" s="38"/>
      <c r="G272" s="38"/>
      <c r="H272" s="38"/>
      <c r="I272" s="38"/>
      <c r="J272" s="38"/>
      <c r="K272" s="38"/>
      <c r="L272" s="38"/>
      <c r="M272" s="38"/>
      <c r="N272" s="38"/>
      <c r="O272" s="38"/>
      <c r="P272" s="38"/>
      <c r="Q272" s="38"/>
      <c r="R272" s="38"/>
      <c r="S272" s="38"/>
      <c r="T272" s="38"/>
    </row>
    <row r="273" spans="15:19" hidden="1" x14ac:dyDescent="0.3">
      <c r="O273" s="108"/>
      <c r="P273" s="108"/>
      <c r="Q273" s="108"/>
      <c r="R273" s="108"/>
      <c r="S273" s="109"/>
    </row>
    <row r="274" spans="15:19" hidden="1" x14ac:dyDescent="0.3">
      <c r="O274" s="60" t="str">
        <f ca="1">IF(AND(Q11="wizard",Q12&gt;=11),"x",IF(AND($Q$11="wizard",$Q$12&gt;9),"xx",IF(AND(Q11="wizard",Q12=9),"xxx"," ")))</f>
        <v xml:space="preserve"> </v>
      </c>
      <c r="P274" s="60" t="str">
        <f ca="1">IF(AND(Q11="wizard",Q12&gt;=13),"x",IF(AND($Q$11="wizard",$Q$12&gt;11),"xx",IF(AND(Q11="wizard",Q12=11),"xxx"," ")))</f>
        <v xml:space="preserve"> </v>
      </c>
      <c r="Q274" s="60" t="str">
        <f ca="1">IF(AND(Q11="wizard",Q12&gt;=15),"x",IF(AND($Q$11="wizard",$Q$12&gt;13),"xx",IF(AND(Q11="wizard",Q12=13),"xxx"," ")))</f>
        <v xml:space="preserve"> </v>
      </c>
      <c r="R274" s="60" t="str">
        <f ca="1">IF(AND(Q11="wizard",Q12&gt;=17),"x",IF(AND($Q$11="wizard",$Q$12&gt;15),"xx",IF(AND(Q11="wizard",Q12=15),"xxx"," ")))</f>
        <v xml:space="preserve"> </v>
      </c>
      <c r="S274" s="63" t="str">
        <f ca="1">IF(AND($Q$11="wizard",$Q$12&gt;17),"xx",IF(AND(Q11="wizard",Q12=17),"xxx"," "))</f>
        <v xml:space="preserve"> </v>
      </c>
    </row>
    <row r="275" spans="15:19" hidden="1" x14ac:dyDescent="0.3">
      <c r="O275" s="65">
        <f ca="1">IF(O274="x",RANDBETWEEN(2,3),IF(O274="xx",RANDBETWEEN(2,3),IF(O274="xxx",RANDBETWEEN(1,2),0)))</f>
        <v>0</v>
      </c>
      <c r="P275" s="65">
        <f ca="1">IF(P274="x",RANDBETWEEN(2,3),IF(P274="xx",RANDBETWEEN(2,3),IF(P274="xxx",RANDBETWEEN(1,2),0)))</f>
        <v>0</v>
      </c>
      <c r="Q275" s="65">
        <f ca="1">IF(Q274="x",RANDBETWEEN(1,2),IF(Q274="xx",RANDBETWEEN(1,2),IF(Q274="xxx",RANDBETWEEN(1,2),0)))</f>
        <v>0</v>
      </c>
      <c r="R275" s="65">
        <f ca="1">IF(OR(R274="x",R274="xx"),RANDBETWEEN(1,2),IF(R274="xxx",RANDBETWEEN(1,2),0))</f>
        <v>0</v>
      </c>
      <c r="S275" s="66">
        <f ca="1">IF(S274="xx",RANDBETWEEN(1,2),IF(S274="xxx",RANDBETWEEN(1,2),0))</f>
        <v>0</v>
      </c>
    </row>
    <row r="276" spans="15:19" hidden="1" x14ac:dyDescent="0.3">
      <c r="O276" s="60" t="str">
        <f ca="1">IF(AND($Q$11="warlock",$Q$12&gt;=9),"xx"," ")</f>
        <v xml:space="preserve"> </v>
      </c>
      <c r="P276" s="60"/>
      <c r="Q276" s="60"/>
      <c r="R276" s="60"/>
      <c r="S276" s="63"/>
    </row>
    <row r="277" spans="15:19" hidden="1" x14ac:dyDescent="0.3">
      <c r="O277" s="65">
        <f ca="1">IF(O276="x",RANDBETWEEN(2,3),IF(O276="xx",RANDBETWEEN(2,3),0))</f>
        <v>0</v>
      </c>
      <c r="P277" s="65"/>
      <c r="Q277" s="65"/>
      <c r="R277" s="65"/>
      <c r="S277" s="66"/>
    </row>
    <row r="278" spans="15:19" hidden="1" x14ac:dyDescent="0.3">
      <c r="O278" s="60" t="str">
        <f ca="1">IF(AND($Q$11="sorcerer",$Q$12&gt;=11),"x",IF(AND($Q$11="sorcerer",$Q$12&gt;=9),"xx"," "))</f>
        <v xml:space="preserve"> </v>
      </c>
      <c r="P278" s="60" t="str">
        <f ca="1">IF(AND($Q$11="sorcerer",$Q$12&gt;=13),"x",IF(AND($Q$11="sorcerer",$Q$12&gt;=11),"xx"," "))</f>
        <v xml:space="preserve"> </v>
      </c>
      <c r="Q278" s="60" t="str">
        <f ca="1">IF(AND($Q$11="sorcerer",$Q$12&gt;=15),"x",IF(AND($Q$11="sorcerer",$Q$12&gt;=13),"xx"," "))</f>
        <v xml:space="preserve"> </v>
      </c>
      <c r="R278" s="60" t="str">
        <f ca="1">IF(AND($Q$11="sorcerer",$Q$12&gt;=17),"x",IF(AND($Q$11="sorcerer",$Q$12&gt;15),"xx"," "))</f>
        <v xml:space="preserve"> </v>
      </c>
      <c r="S278" s="63" t="str">
        <f ca="1">IF(AND($Q$11="sorcerer",$Q$12&gt;=17),"xx"," ")</f>
        <v xml:space="preserve"> </v>
      </c>
    </row>
    <row r="279" spans="15:19" hidden="1" x14ac:dyDescent="0.3">
      <c r="O279" s="65">
        <f ca="1">IF(O278="x",RANDBETWEEN(2,3),IF(O278="xx",RANDBETWEEN(2,3),0))</f>
        <v>0</v>
      </c>
      <c r="P279" s="65">
        <f ca="1">IF(P278="x",RANDBETWEEN(2,3),IF(P278="xx",RANDBETWEEN(2,3),0))</f>
        <v>0</v>
      </c>
      <c r="Q279" s="65">
        <f ca="1">IF(Q278="x",RANDBETWEEN(1,2),IF(Q278="xx",RANDBETWEEN(1,2),0))</f>
        <v>0</v>
      </c>
      <c r="R279" s="65">
        <f ca="1">IF(OR(R278="x",R278="xx"),RANDBETWEEN(1,2),0)</f>
        <v>0</v>
      </c>
      <c r="S279" s="66">
        <f ca="1">IF(S278="xx",RANDBETWEEN(1,2),0)</f>
        <v>0</v>
      </c>
    </row>
    <row r="280" spans="15:19" hidden="1" x14ac:dyDescent="0.3">
      <c r="O280" s="60"/>
      <c r="P280" s="60"/>
      <c r="Q280" s="60"/>
      <c r="R280" s="60"/>
      <c r="S280" s="63"/>
    </row>
    <row r="281" spans="15:19" hidden="1" x14ac:dyDescent="0.3">
      <c r="O281" s="65"/>
      <c r="P281" s="65"/>
      <c r="Q281" s="65"/>
      <c r="R281" s="65"/>
      <c r="S281" s="66"/>
    </row>
    <row r="282" spans="15:19" hidden="1" x14ac:dyDescent="0.3">
      <c r="O282" s="60" t="str">
        <f ca="1">IF(AND($Q$11="ranger",$Q$12&gt;=17),"xx"," ")</f>
        <v xml:space="preserve"> </v>
      </c>
      <c r="P282" s="60"/>
      <c r="Q282" s="60"/>
      <c r="R282" s="60"/>
      <c r="S282" s="63"/>
    </row>
    <row r="283" spans="15:19" hidden="1" x14ac:dyDescent="0.3">
      <c r="O283" s="65">
        <f ca="1">IF(O282="x",RANDBETWEEN(2,3),IF(O282="xx",RANDBETWEEN(2,3),0))</f>
        <v>0</v>
      </c>
      <c r="P283" s="65"/>
      <c r="Q283" s="65"/>
      <c r="R283" s="65"/>
      <c r="S283" s="66"/>
    </row>
    <row r="284" spans="15:19" hidden="1" x14ac:dyDescent="0.3">
      <c r="O284" s="60" t="str">
        <f ca="1">IF(AND(Q11="paladin",Q12&gt;=17),"xx"," ")</f>
        <v xml:space="preserve"> </v>
      </c>
      <c r="P284" s="60"/>
      <c r="Q284" s="60"/>
      <c r="R284" s="60"/>
      <c r="S284" s="63"/>
    </row>
    <row r="285" spans="15:19" hidden="1" x14ac:dyDescent="0.3">
      <c r="O285" s="65">
        <f ca="1">IF(O284="x",RANDBETWEEN(2,3),IF(O284="xx",RANDBETWEEN(2,3),0))</f>
        <v>0</v>
      </c>
      <c r="P285" s="65"/>
      <c r="Q285" s="65"/>
      <c r="R285" s="65"/>
      <c r="S285" s="66"/>
    </row>
    <row r="286" spans="15:19" hidden="1" x14ac:dyDescent="0.3">
      <c r="O286" s="60"/>
      <c r="P286" s="60"/>
      <c r="Q286" s="60"/>
      <c r="R286" s="60"/>
      <c r="S286" s="63"/>
    </row>
    <row r="287" spans="15:19" hidden="1" x14ac:dyDescent="0.3">
      <c r="O287" s="65"/>
      <c r="P287" s="65"/>
      <c r="Q287" s="65"/>
      <c r="R287" s="65"/>
      <c r="S287" s="66"/>
    </row>
    <row r="288" spans="15:19" hidden="1" x14ac:dyDescent="0.3">
      <c r="O288" s="60" t="str">
        <f ca="1">IF(AND($Q$11="druid",$Q$12&gt;=11),"x",IF(AND($Q$11="druid",$Q$12&gt;=9),"xx"," "))</f>
        <v xml:space="preserve"> </v>
      </c>
      <c r="P288" s="60" t="str">
        <f ca="1">IF(AND($Q$11="druid",$Q$12&gt;=13),"x",IF(AND($Q$11="druid",$Q$12&gt;=11),"xx"," "))</f>
        <v xml:space="preserve"> </v>
      </c>
      <c r="Q288" s="60" t="str">
        <f ca="1">IF(AND($Q$11="druid",$Q$12&gt;=15),"x",IF(AND($Q$11="druid",$Q$12&gt;=13),"xx"," "))</f>
        <v xml:space="preserve"> </v>
      </c>
      <c r="R288" s="60" t="str">
        <f ca="1">IF(AND($Q$11="druid",$Q$12&gt;=17),"x",IF(AND($Q$11="druid",$Q$12&gt;15),"xx"," "))</f>
        <v xml:space="preserve"> </v>
      </c>
      <c r="S288" s="63" t="str">
        <f ca="1">IF(AND($Q$11="druid",$Q$12&gt;=17),"xx"," ")</f>
        <v xml:space="preserve"> </v>
      </c>
    </row>
    <row r="289" spans="14:20" hidden="1" x14ac:dyDescent="0.3">
      <c r="O289" s="65">
        <f ca="1">IF(O288="x",RANDBETWEEN(2,3),IF(O288="xx",RANDBETWEEN(2,3),0))</f>
        <v>0</v>
      </c>
      <c r="P289" s="65">
        <f ca="1">IF(P288="x",RANDBETWEEN(2,3),IF(P288="xx",RANDBETWEEN(2,3),0))</f>
        <v>0</v>
      </c>
      <c r="Q289" s="65">
        <f ca="1">IF(Q288="x",RANDBETWEEN(1,2),IF(Q288="xx",RANDBETWEEN(1,2),0))</f>
        <v>0</v>
      </c>
      <c r="R289" s="65">
        <f ca="1">IF(OR(R288="x",R288="xx"),RANDBETWEEN(1,2),0)</f>
        <v>0</v>
      </c>
      <c r="S289" s="66">
        <f ca="1">IF(S288="xx",RANDBETWEEN(1,2),0)</f>
        <v>0</v>
      </c>
    </row>
    <row r="290" spans="14:20" hidden="1" x14ac:dyDescent="0.3">
      <c r="O290" s="60" t="str">
        <f ca="1">IF(AND(Q11="cleric",Q12&gt;=11),"x",IF(AND($Q$11="cleric",$Q$12&gt;=9),"xx"," "))</f>
        <v xml:space="preserve"> </v>
      </c>
      <c r="P290" s="60" t="str">
        <f ca="1">IF(AND(Q11="cleric",Q12&gt;=13),"x",IF(AND($Q$11="cleric",$Q$12&gt;=11),"xx"," "))</f>
        <v xml:space="preserve"> </v>
      </c>
      <c r="Q290" s="60" t="str">
        <f ca="1">IF(AND(Q11="cleric",Q12&gt;=15),"x",IF(AND($Q$11="cleric",$Q$12&gt;=13),"xx"," "))</f>
        <v xml:space="preserve"> </v>
      </c>
      <c r="R290" s="60" t="str">
        <f ca="1">IF(AND(Q11="cleric",Q12&gt;=17),"x",IF(AND($Q$11="cleric",$Q$12&gt;15),"xx"," "))</f>
        <v xml:space="preserve"> </v>
      </c>
      <c r="S290" s="63" t="str">
        <f ca="1">IF(AND($Q$11="cleric",$Q$12&gt;=17),"xx"," ")</f>
        <v xml:space="preserve"> </v>
      </c>
    </row>
    <row r="291" spans="14:20" hidden="1" x14ac:dyDescent="0.3">
      <c r="O291" s="65">
        <f ca="1">IF(O290="x",RANDBETWEEN(2,3),IF(O290="xx",RANDBETWEEN(2,3),0))</f>
        <v>0</v>
      </c>
      <c r="P291" s="65">
        <f ca="1">IF(P290="x",RANDBETWEEN(2,3),IF(P290="xx",RANDBETWEEN(2,3),0))</f>
        <v>0</v>
      </c>
      <c r="Q291" s="65">
        <f ca="1">IF(Q290="x",RANDBETWEEN(1,2),IF(Q290="xx",RANDBETWEEN(1,2),0))</f>
        <v>0</v>
      </c>
      <c r="R291" s="65">
        <f ca="1">IF(OR(R290="x",R290="xx"),RANDBETWEEN(1,2),0)</f>
        <v>0</v>
      </c>
      <c r="S291" s="66">
        <f ca="1">IF(S290="xx",RANDBETWEEN(1,2),0)</f>
        <v>0</v>
      </c>
    </row>
    <row r="292" spans="14:20" hidden="1" x14ac:dyDescent="0.3">
      <c r="O292" s="60" t="str">
        <f ca="1">IF(AND($Q$11="bard",$Q$12&gt;=11),"x",IF(AND($Q$11="bard",$Q$12&gt;=9),"xx"," "))</f>
        <v xml:space="preserve"> </v>
      </c>
      <c r="P292" s="60" t="str">
        <f ca="1">IF(AND($Q$11="bard",$Q$12&gt;=13),"x",IF(AND($Q$11="bard",$Q$12&gt;=11),"xx"," "))</f>
        <v xml:space="preserve"> </v>
      </c>
      <c r="Q292" s="60" t="str">
        <f ca="1">IF(AND($Q$11="bard",$Q$12&gt;=15),"x",IF(AND($Q$11="bard",$Q$12&gt;=13),"xx"," "))</f>
        <v xml:space="preserve"> </v>
      </c>
      <c r="R292" s="60" t="str">
        <f ca="1">IF(AND($Q$11="bard",$Q$12&gt;=17),"x",IF(AND($Q$11="bard",$Q$12&gt;15),"xx"," "))</f>
        <v xml:space="preserve"> </v>
      </c>
      <c r="S292" s="63" t="str">
        <f ca="1">IF(AND($Q$11="bard",$Q$12&gt;=17),"xx"," ")</f>
        <v xml:space="preserve"> </v>
      </c>
    </row>
    <row r="293" spans="14:20" hidden="1" x14ac:dyDescent="0.3">
      <c r="O293" s="65">
        <f ca="1">IF(O292="x",RANDBETWEEN(2,3),IF(O292="xx",RANDBETWEEN(2,3),0))</f>
        <v>0</v>
      </c>
      <c r="P293" s="65">
        <f ca="1">IF(P292="x",RANDBETWEEN(2,3),IF(P292="xx",RANDBETWEEN(2,3),0))</f>
        <v>0</v>
      </c>
      <c r="Q293" s="65">
        <f ca="1">IF(Q292="x",RANDBETWEEN(1,2),IF(Q292="xx",RANDBETWEEN(1,2),0))</f>
        <v>0</v>
      </c>
      <c r="R293" s="65">
        <f ca="1">IF(OR(R292="x",R292="xx"),RANDBETWEEN(1,2),0)</f>
        <v>0</v>
      </c>
      <c r="S293" s="66">
        <f ca="1">IF(S292="xx",RANDBETWEEN(1,2),0)</f>
        <v>0</v>
      </c>
    </row>
    <row r="294" spans="14:20" x14ac:dyDescent="0.3">
      <c r="N294" s="72"/>
      <c r="O294" s="136"/>
      <c r="P294" s="96" t="s">
        <v>750</v>
      </c>
      <c r="Q294" s="96" t="s">
        <v>1125</v>
      </c>
      <c r="R294" s="96" t="s">
        <v>1126</v>
      </c>
      <c r="S294" s="96" t="s">
        <v>1127</v>
      </c>
      <c r="T294" s="97" t="s">
        <v>751</v>
      </c>
    </row>
    <row r="295" spans="14:20" x14ac:dyDescent="0.3">
      <c r="N295" s="72"/>
      <c r="O295" s="86">
        <v>1</v>
      </c>
      <c r="P295" s="65" t="str">
        <f ca="1">IF(AND($Q$15="Otherworldly patron - great old one",O$277&gt;=O193),INDEX('Spell Tables'!$AJ$226:$AJ$231,MATCH(O193,('Spell Tables'!$AH$226:$AH$231),0)),IF(AND($Q$15="Otherworldly patron - fiend",O$277&gt;=O193),INDEX('Spell Tables'!$AJ$210:$AJ$215,MATCH(O193,('Spell Tables'!$AH$210:$AH$215),0)),IF(AND($Q$15="Otherworldly patron - archfey",O$277&gt;=O193),INDEX('Spell Tables'!$AJ$194:$AJ$199,MATCH(O193,('Spell Tables'!$AH$194:$AH$199),0)),IF($O$275&gt;=O193,INDEX($AL$92:$AL$101,MATCH(O193,($AJ$92:$AJ$101),0)),IF($O$279&gt;=O193,INDEX('Spell Tables'!$AJ$168:$AJ$178,MATCH(O193,('Spell Tables'!$AH$168:$AH$178),0)),IF($O$283&gt;=O193,INDEX('Spell Tables'!$AF$119:$AF$122,MATCH(O193,('Spell Tables'!$AD$119:$AD$122),0)),IF($O$285&gt;=O193,INDEX('Spell Tables'!$AF$97:$AF$102,MATCH(O193,('Spell Tables'!$AD$97:$AD$102),0)),IF($O$289&gt;=O193,INDEX('Spell Tables'!$AJ$48:$AJ$61,MATCH(O193,('Spell Tables'!$AH$48:$AH$61),0)),IF($O$291&gt;=O193,INDEX('Spell Tables'!$AJ$26:$AJ$38,MATCH(O193,('Spell Tables'!$AH$26:$AH$38),0)),IF($O$293&gt;=O193,INDEX('Spell Tables'!$AJ$2:$AJ$17,MATCH(O193,('Spell Tables'!$AH$2:$AH$17),0))," "))))))))))</f>
        <v xml:space="preserve"> </v>
      </c>
      <c r="Q295" s="65" t="str">
        <f ca="1">IF($P$275&gt;=O262,INDEX($AL$104:$AL$113,MATCH(O262,($AJ$104:$AJ$113),0)),IF($P$279&gt;=O262,INDEX('Spell Tables'!$AN$168:$AN$177,MATCH(O262,('Spell Tables'!$AL$168:$AL$177),0)),IF($P$289&gt;=O262,INDEX('Spell Tables'!$AN$48:$AN$56,MATCH(O262,('Spell Tables'!$AL$48:$AL$56),0)),IF($P$291&gt;=O262,INDEX('Spell Tables'!$AN$26:$AN$35,MATCH(O262,('Spell Tables'!$AL$26:$AL$35),0)),IF($P$293&gt;=O262,INDEX('Spell Tables'!$AN$2:$AN$8,MATCH(O262,('Spell Tables'!$AL$2:$AL$8),0))," ")))))</f>
        <v xml:space="preserve"> </v>
      </c>
      <c r="R295" s="65" t="str">
        <f ca="1">IF($Q$275&gt;=O262,INDEX($AL$116:$AL$125,MATCH(O262,($AJ$116:$AJ$125),0)),IF($Q$279&gt;=O262,INDEX('Spell Tables'!$AR$168:$AR$175,MATCH(O262,('Spell Tables'!$AP$168:$AP$175),0)),IF($Q$289&gt;=O262,INDEX('Spell Tables'!$AR$48:$AR$52,MATCH(O262,('Spell Tables'!$AP$48:$AP$52),0)),IF($Q$291&gt;=O262,INDEX('Spell Tables'!$AR$26:$AR$33,MATCH(O262,('Spell Tables'!$AP$26:$AP$33),0)),IF($Q$293&gt;=O262,INDEX('Spell Tables'!$AR$2:$AR$11,MATCH(O262,('Spell Tables'!$AL$2:$AL$11),0))," ")))))</f>
        <v xml:space="preserve"> </v>
      </c>
      <c r="S295" s="65" t="str">
        <f ca="1">IF($R$275&gt;=O262,INDEX($AL$128:$AL$137,MATCH(O262,($AJ$128:$AJ$137),0)),IF($R$279&gt;=O262,INDEX('Spell Tables'!$AV$168:$AV$172,MATCH(O262,('Spell Tables'!$AT$168:$AT$172),0)),IF($R$289&gt;=O262,INDEX('Spell Tables'!$AV$48:$AV$54,MATCH(O262,('Spell Tables'!$AT$48:$AT$54),0)),IF($R$291&gt;=O262,INDEX('Spell Tables'!$AV$26:$AV$29,MATCH(O262,('Spell Tables'!$AT$26:$AT$29),0)),IF($R$293&gt;=O262,INDEX('Spell Tables'!$AV$2:$AV$6,MATCH(O262,('Spell Tables'!$AT$2:$AT$6),0))," ")))))</f>
        <v xml:space="preserve"> </v>
      </c>
      <c r="T295" s="66" t="str">
        <f ca="1">IF($S$289&gt;=O262,INDEX($AL$140:$AL$149,MATCH(O262,($AJ$140:$AJ$149),0)),IF($S$275&gt;=O262,INDEX('Spell Tables'!$AZ$242:$AZ$253,MATCH(O262,('Spell Tables'!$AX$242:$AX$253),0)),IF($S$279&gt;=O262,INDEX('Spell Tables'!$AZ$168:$AZ$172,MATCH(O262,('Spell Tables'!$AX$168:$AX$172),0)),IF($S$291&gt;=O262,INDEX('Spell Tables'!$AZ$26:$AZ$29,MATCH(O262,('Spell Tables'!$AX$26:$AX$29),0)),IF($S$293&gt;=O262,INDEX('Spell Tables'!$AZ$2:$AZ$5,MATCH(O262,('Spell Tables'!$AX$2:$AX$5),0))," ")))))</f>
        <v xml:space="preserve"> </v>
      </c>
    </row>
    <row r="296" spans="14:20" x14ac:dyDescent="0.3">
      <c r="N296" s="72"/>
      <c r="O296" s="133">
        <v>2</v>
      </c>
      <c r="P296" s="60" t="str">
        <f ca="1">IF(AND($Q$15="Otherworldly patron - great old one",O$277&gt;=O194),INDEX('Spell Tables'!$AJ$226:$AJ$231,MATCH(O194,('Spell Tables'!$AH$226:$AH$231),0)),IF(AND($Q$15="Otherworldly patron - fiend",O$277&gt;=O194),INDEX('Spell Tables'!$AJ$210:$AJ$215,MATCH(O194,('Spell Tables'!$AH$210:$AH$215),0)),IF(AND($Q$15="Otherworldly patron - archfey",O$277&gt;=O194),INDEX('Spell Tables'!$AJ$194:$AJ$199,MATCH(O194,('Spell Tables'!$AH$194:$AH$199),0)),IF($O$275&gt;=O194,INDEX($AL$92:$AL$101,MATCH(O194,($AJ$92:$AJ$101),0)),IF($O$279&gt;=O194,INDEX('Spell Tables'!$AJ$168:$AJ$178,MATCH(O194,('Spell Tables'!$AH$168:$AH$178),0)),IF($O$283&gt;=O194,INDEX('Spell Tables'!$AF$119:$AF$122,MATCH(O194,('Spell Tables'!$AD$119:$AD$122),0)),IF($O$285&gt;=O194,INDEX('Spell Tables'!$AF$97:$AF$102,MATCH(O194,('Spell Tables'!$AD$97:$AD$102),0)),IF($O$289&gt;=O194,INDEX('Spell Tables'!$AJ$48:$AJ$61,MATCH(O194,('Spell Tables'!$AH$48:$AH$61),0)),IF($O$291&gt;=O194,INDEX('Spell Tables'!$AJ$26:$AJ$38,MATCH(O194,('Spell Tables'!$AH$26:$AH$38),0)),IF($O$293&gt;=O194,INDEX('Spell Tables'!$AJ$2:$AJ$17,MATCH(O194,('Spell Tables'!$AH$2:$AH$17),0))," "))))))))))</f>
        <v xml:space="preserve"> </v>
      </c>
      <c r="Q296" s="60" t="str">
        <f ca="1">IF($P$275&gt;=O263,INDEX($AL$104:$AL$113,MATCH(O263,($AJ$104:$AJ$113),0)),IF($P$279&gt;=O263,INDEX('Spell Tables'!$AN$168:$AN$177,MATCH(O263,('Spell Tables'!$AL$168:$AL$177),0)),IF($P$289&gt;=O263,INDEX('Spell Tables'!$AN$48:$AN$56,MATCH(O263,('Spell Tables'!$AL$48:$AL$56),0)),IF($P$291&gt;=O263,INDEX('Spell Tables'!$AN$26:$AN$35,MATCH(O263,('Spell Tables'!$AL$26:$AL$35),0)),IF($P$293&gt;=O263,INDEX('Spell Tables'!$AN$2:$AN$8,MATCH(O263,('Spell Tables'!$AL$2:$AL$8),0))," ")))))</f>
        <v xml:space="preserve"> </v>
      </c>
      <c r="R296" s="60" t="str">
        <f ca="1">IF($Q$275&gt;=O263,INDEX($AL$116:$AL$125,MATCH(O263,($AJ$116:$AJ$125),0)),IF($Q$279&gt;=O263,INDEX('Spell Tables'!$AR$168:$AR$175,MATCH(O263,('Spell Tables'!$AP$168:$AP$175),0)),IF($Q$289&gt;=O263,INDEX('Spell Tables'!$AR$48:$AR$52,MATCH(O263,('Spell Tables'!$AP$48:$AP$52),0)),IF($Q$291&gt;=O263,INDEX('Spell Tables'!$AR$26:$AR$33,MATCH(O263,('Spell Tables'!$AP$26:$AP$33),0)),IF($Q$293&gt;=O263,INDEX('Spell Tables'!$AR$2:$AR$11,MATCH(O263,('Spell Tables'!$AL$2:$AL$11),0))," ")))))</f>
        <v xml:space="preserve"> </v>
      </c>
      <c r="S296" s="60" t="str">
        <f ca="1">IF($R$275&gt;=O263,INDEX($AL$128:$AL$137,MATCH(O263,($AJ$128:$AJ$137),0)),IF($R$279&gt;=O263,INDEX('Spell Tables'!$AV$168:$AV$172,MATCH(O263,('Spell Tables'!$AT$168:$AT$172),0)),IF($R$289&gt;=O263,INDEX('Spell Tables'!$AV$48:$AV$54,MATCH(O263,('Spell Tables'!$AT$48:$AT$54),0)),IF($R$291&gt;=O263,INDEX('Spell Tables'!$AV$26:$AV$29,MATCH(O263,('Spell Tables'!$AT$26:$AT$29),0)),IF($R$293&gt;=O263,INDEX('Spell Tables'!$AV$2:$AV$6,MATCH(O263,('Spell Tables'!$AT$2:$AT$6),0))," ")))))</f>
        <v xml:space="preserve"> </v>
      </c>
      <c r="T296" s="63" t="str">
        <f ca="1">IF($S$289&gt;=O263,INDEX($AL$140:$AL$149,MATCH(O263,($AJ$140:$AJ$149),0)),IF($S$275&gt;=O263,INDEX('Spell Tables'!$AZ$242:$AZ$253,MATCH(O263,('Spell Tables'!$AX$242:$AX$253),0)),IF($S$279&gt;=O263,INDEX('Spell Tables'!$AZ$168:$AZ$172,MATCH(O263,('Spell Tables'!$AX$168:$AX$172),0)),IF($S$291&gt;=O263,INDEX('Spell Tables'!$AZ$26:$AZ$29,MATCH(O263,('Spell Tables'!$AX$26:$AX$29),0)),IF($S$293&gt;=O263,INDEX('Spell Tables'!$AZ$2:$AZ$5,MATCH(O263,('Spell Tables'!$AX$2:$AX$5),0))," ")))))</f>
        <v xml:space="preserve"> </v>
      </c>
    </row>
    <row r="297" spans="14:20" x14ac:dyDescent="0.3">
      <c r="N297" s="72"/>
      <c r="O297" s="86">
        <v>3</v>
      </c>
      <c r="P297" s="65" t="str">
        <f ca="1">IF(AND($Q$15="Otherworldly patron - great old one",O$277&gt;=O195),INDEX('Spell Tables'!$AJ$226:$AJ$231,MATCH(O195,('Spell Tables'!$AH$226:$AH$231),0)),IF(AND($Q$15="Otherworldly patron - fiend",O$277&gt;=O195),INDEX('Spell Tables'!$AJ$210:$AJ$215,MATCH(O195,('Spell Tables'!$AH$210:$AH$215),0)),IF(AND($Q$15="Otherworldly patron - archfey",O$277&gt;=O195),INDEX('Spell Tables'!$AJ$194:$AJ$199,MATCH(O195,('Spell Tables'!$AH$194:$AH$199),0)),IF($O$275&gt;=O195,INDEX($AL$92:$AL$101,MATCH(O195,($AJ$92:$AJ$101),0)),IF($O$279&gt;=O195,INDEX('Spell Tables'!$AJ$168:$AJ$178,MATCH(O195,('Spell Tables'!$AH$168:$AH$178),0)),IF($O$283&gt;=O195,INDEX('Spell Tables'!$AF$119:$AF$122,MATCH(O195,('Spell Tables'!$AD$119:$AD$122),0)),IF($O$285&gt;=O195,INDEX('Spell Tables'!$AF$97:$AF$102,MATCH(O195,('Spell Tables'!$AD$97:$AD$102),0)),IF($O$289&gt;=O195,INDEX('Spell Tables'!$AJ$48:$AJ$61,MATCH(O195,('Spell Tables'!$AH$48:$AH$61),0)),IF($O$291&gt;=O195,INDEX('Spell Tables'!$AJ$26:$AJ$38,MATCH(O195,('Spell Tables'!$AH$26:$AH$38),0)),IF($O$293&gt;=O195,INDEX('Spell Tables'!$AJ$2:$AJ$17,MATCH(O195,('Spell Tables'!$AH$2:$AH$17),0))," "))))))))))</f>
        <v xml:space="preserve"> </v>
      </c>
      <c r="Q297" s="65" t="str">
        <f ca="1">IF($P$275&gt;=O264,INDEX($AL$104:$AL$113,MATCH(O264,($AJ$104:$AJ$113),0)),IF($P$279&gt;=O264,INDEX('Spell Tables'!$AN$168:$AN$177,MATCH(O264,('Spell Tables'!$AL$168:$AL$177),0)),IF($P$289&gt;=O264,INDEX('Spell Tables'!$AN$48:$AN$56,MATCH(O264,('Spell Tables'!$AL$48:$AL$56),0)),IF($P$291&gt;=O264,INDEX('Spell Tables'!$AN$26:$AN$35,MATCH(O264,('Spell Tables'!$AL$26:$AL$35),0)),IF($P$293&gt;=O264,INDEX('Spell Tables'!$AN$2:$AN$8,MATCH(O264,('Spell Tables'!$AL$2:$AL$8),0))," ")))))</f>
        <v xml:space="preserve"> </v>
      </c>
      <c r="R297" s="65" t="str">
        <f ca="1">IF($Q$275&gt;=O264,INDEX($AL$116:$AL$125,MATCH(O264,($AJ$116:$AJ$125),0)),IF($Q$279&gt;=O264,INDEX('Spell Tables'!$AR$168:$AR$175,MATCH(O264,('Spell Tables'!$AP$168:$AP$175),0)),IF($Q$289&gt;=O264,INDEX('Spell Tables'!$AR$48:$AR$52,MATCH(O264,('Spell Tables'!$AP$48:$AP$52),0)),IF($Q$291&gt;=O264,INDEX('Spell Tables'!$AR$26:$AR$33,MATCH(O264,('Spell Tables'!$AP$26:$AP$33),0)),IF($Q$293&gt;=O264,INDEX('Spell Tables'!$AR$2:$AR$11,MATCH(O264,('Spell Tables'!$AL$2:$AL$11),0))," ")))))</f>
        <v xml:space="preserve"> </v>
      </c>
      <c r="S297" s="65" t="str">
        <f ca="1">IF($R$275&gt;=O264,INDEX($AL$128:$AL$137,MATCH(O264,($AJ$128:$AJ$137),0)),IF($R$279&gt;=O264,INDEX('Spell Tables'!$AV$168:$AV$172,MATCH(O264,('Spell Tables'!$AT$168:$AT$172),0)),IF($R$289&gt;=O264,INDEX('Spell Tables'!$AV$48:$AV$54,MATCH(O264,('Spell Tables'!$AT$48:$AT$54),0)),IF($R$291&gt;=O264,INDEX('Spell Tables'!$AV$26:$AV$29,MATCH(O264,('Spell Tables'!$AT$26:$AT$29),0)),IF($R$293&gt;=O264,INDEX('Spell Tables'!$AV$2:$AV$6,MATCH(O264,('Spell Tables'!$AT$2:$AT$6),0))," ")))))</f>
        <v xml:space="preserve"> </v>
      </c>
      <c r="T297" s="66" t="str">
        <f ca="1">IF($S$289&gt;=O264,INDEX($AL$140:$AL$149,MATCH(O264,($AJ$140:$AJ$149),0)),IF($S$275&gt;=O264,INDEX('Spell Tables'!$AZ$242:$AZ$253,MATCH(O264,('Spell Tables'!$AX$242:$AX$253),0)),IF($S$279&gt;=O264,INDEX('Spell Tables'!$AZ$168:$AZ$172,MATCH(O264,('Spell Tables'!$AX$168:$AX$172),0)),IF($S$291&gt;=O264,INDEX('Spell Tables'!$AZ$26:$AZ$29,MATCH(O264,('Spell Tables'!$AX$26:$AX$29),0)),IF($S$293&gt;=O264,INDEX('Spell Tables'!$AZ$2:$AZ$5,MATCH(O264,('Spell Tables'!$AX$2:$AX$5),0))," ")))))</f>
        <v xml:space="preserve"> </v>
      </c>
    </row>
    <row r="298" spans="14:20" x14ac:dyDescent="0.3">
      <c r="N298" s="72"/>
      <c r="O298" s="133">
        <v>4</v>
      </c>
      <c r="P298" s="60" t="str">
        <f ca="1">IF(AND($Q$15="Otherworldly patron - great old one",O$277&gt;=O196),INDEX('Spell Tables'!$AJ$226:$AJ$231,MATCH(O196,('Spell Tables'!$AH$226:$AH$231),0)),IF(AND($Q$15="Otherworldly patron - fiend",O$277&gt;=O196),INDEX('Spell Tables'!$AJ$210:$AJ$215,MATCH(O196,('Spell Tables'!$AH$210:$AH$215),0)),IF(AND($Q$15="Otherworldly patron - archfey",O$277&gt;=O196),INDEX('Spell Tables'!$AJ$194:$AJ$199,MATCH(O196,('Spell Tables'!$AH$194:$AH$199),0)),IF($O$275&gt;=O196,INDEX($AL$92:$AL$101,MATCH(O196,($AJ$92:$AJ$101),0)),IF($O$279&gt;=O196,INDEX('Spell Tables'!$AJ$168:$AJ$178,MATCH(O196,('Spell Tables'!$AH$168:$AH$178),0)),IF($O$283&gt;=O196,INDEX('Spell Tables'!$AF$119:$AF$122,MATCH(O196,('Spell Tables'!$AD$119:$AD$122),0)),IF($O$285&gt;=O196,INDEX('Spell Tables'!$AF$97:$AF$102,MATCH(O196,('Spell Tables'!$AD$97:$AD$102),0)),IF($O$289&gt;=O196,INDEX('Spell Tables'!$AJ$48:$AJ$61,MATCH(O196,('Spell Tables'!$AH$48:$AH$61),0)),IF($O$291&gt;=O196,INDEX('Spell Tables'!$AJ$26:$AJ$38,MATCH(O196,('Spell Tables'!$AH$26:$AH$38),0)),IF($O$293&gt;=O196,INDEX('Spell Tables'!$AJ$2:$AJ$17,MATCH(O196,('Spell Tables'!$AH$2:$AH$17),0))," "))))))))))</f>
        <v xml:space="preserve"> </v>
      </c>
      <c r="Q298" s="60" t="str">
        <f ca="1">IF($P$275&gt;=O265,INDEX($AL$104:$AL$113,MATCH(O265,($AJ$104:$AJ$113),0)),IF($P$279&gt;=O265,INDEX('Spell Tables'!$AN$168:$AN$177,MATCH(O265,('Spell Tables'!$AL$168:$AL$177),0)),IF($P$289&gt;=O265,INDEX('Spell Tables'!$AN$48:$AN$56,MATCH(O265,('Spell Tables'!$AL$48:$AL$56),0)),IF($P$291&gt;=O265,INDEX('Spell Tables'!$AN$26:$AN$35,MATCH(O265,('Spell Tables'!$AL$26:$AL$35),0)),IF($P$293&gt;=O265,INDEX('Spell Tables'!$AN$2:$AN$8,MATCH(O265,('Spell Tables'!$AL$2:$AL$8),0))," ")))))</f>
        <v xml:space="preserve"> </v>
      </c>
      <c r="R298" s="60" t="str">
        <f ca="1">IF($Q$275&gt;=O265,INDEX($AL$116:$AL$125,MATCH(O265,($AJ$116:$AJ$125),0)),IF($Q$279&gt;=O265,INDEX('Spell Tables'!$AR$168:$AR$175,MATCH(O265,('Spell Tables'!$AP$168:$AP$175),0)),IF($Q$289&gt;=O265,INDEX('Spell Tables'!$AR$48:$AR$52,MATCH(O265,('Spell Tables'!$AP$48:$AP$52),0)),IF($Q$291&gt;=O265,INDEX('Spell Tables'!$AR$26:$AR$33,MATCH(O265,('Spell Tables'!$AP$26:$AP$33),0)),IF($Q$293&gt;=O265,INDEX('Spell Tables'!$AR$2:$AR$11,MATCH(O265,('Spell Tables'!$AL$2:$AL$11),0))," ")))))</f>
        <v xml:space="preserve"> </v>
      </c>
      <c r="S298" s="60" t="str">
        <f ca="1">IF($R$275&gt;=O265,INDEX($AL$128:$AL$137,MATCH(O265,($AJ$128:$AJ$137),0)),IF($R$279&gt;=O265,INDEX('Spell Tables'!$AV$168:$AV$172,MATCH(O265,('Spell Tables'!$AT$168:$AT$172),0)),IF($R$289&gt;=O265,INDEX('Spell Tables'!$AV$48:$AV$54,MATCH(O265,('Spell Tables'!$AT$48:$AT$54),0)),IF($R$291&gt;=O265,INDEX('Spell Tables'!$AV$26:$AV$29,MATCH(O265,('Spell Tables'!$AT$26:$AT$29),0)),IF($R$293&gt;=O265,INDEX('Spell Tables'!$AV$2:$AV$6,MATCH(O265,('Spell Tables'!$AT$2:$AT$6),0))," ")))))</f>
        <v xml:space="preserve"> </v>
      </c>
      <c r="T298" s="63" t="str">
        <f ca="1">IF($S$289&gt;=O265,INDEX($AL$140:$AL$149,MATCH(O265,($AJ$140:$AJ$149),0)),IF($S$275&gt;=O265,INDEX('Spell Tables'!$AZ$242:$AZ$253,MATCH(O265,('Spell Tables'!$AX$242:$AX$253),0)),IF($S$279&gt;=O265,INDEX('Spell Tables'!$AZ$168:$AZ$172,MATCH(O265,('Spell Tables'!$AX$168:$AX$172),0)),IF($S$291&gt;=O265,INDEX('Spell Tables'!$AZ$26:$AZ$29,MATCH(O265,('Spell Tables'!$AX$26:$AX$29),0)),IF($S$293&gt;=O265,INDEX('Spell Tables'!$AZ$2:$AZ$5,MATCH(O265,('Spell Tables'!$AX$2:$AX$5),0))," ")))))</f>
        <v xml:space="preserve"> </v>
      </c>
    </row>
    <row r="299" spans="14:20" x14ac:dyDescent="0.3">
      <c r="N299" s="72"/>
      <c r="O299" s="86">
        <v>5</v>
      </c>
      <c r="P299" s="65" t="str">
        <f ca="1">IF(AND($Q$15="Otherworldly patron - great old one",O$277&gt;=O197),INDEX('Spell Tables'!$AJ$226:$AJ$231,MATCH(O197,('Spell Tables'!$AH$226:$AH$231),0)),IF(AND($Q$15="Otherworldly patron - fiend",O$277&gt;=O197),INDEX('Spell Tables'!$AJ$210:$AJ$215,MATCH(O197,('Spell Tables'!$AH$210:$AH$215),0)),IF(AND($Q$15="Otherworldly patron - archfey",O$277&gt;=O197),INDEX('Spell Tables'!$AJ$194:$AJ$199,MATCH(O197,('Spell Tables'!$AH$194:$AH$199),0)),IF($O$275&gt;=O197,INDEX($AL$92:$AL$101,MATCH(O197,($AJ$92:$AJ$101),0)),IF($O$279&gt;=O197,INDEX('Spell Tables'!$AJ$168:$AJ$178,MATCH(O197,('Spell Tables'!$AH$168:$AH$178),0)),IF($O$283&gt;=O197,INDEX('Spell Tables'!$AF$119:$AF$122,MATCH(O197,('Spell Tables'!$AD$119:$AD$122),0)),IF($O$285&gt;=O197,INDEX('Spell Tables'!$AF$97:$AF$102,MATCH(O197,('Spell Tables'!$AD$97:$AD$102),0)),IF($O$289&gt;=O197,INDEX('Spell Tables'!$AJ$48:$AJ$61,MATCH(O197,('Spell Tables'!$AH$48:$AH$61),0)),IF($O$291&gt;=O197,INDEX('Spell Tables'!$AJ$26:$AJ$38,MATCH(O197,('Spell Tables'!$AH$26:$AH$38),0)),IF($O$293&gt;=O197,INDEX('Spell Tables'!$AJ$2:$AJ$17,MATCH(O197,('Spell Tables'!$AH$2:$AH$17),0))," "))))))))))</f>
        <v xml:space="preserve"> </v>
      </c>
      <c r="Q299" s="65" t="str">
        <f ca="1">IF($P$275&gt;=O266,INDEX($AL$104:$AL$113,MATCH(O266,($AJ$104:$AJ$113),0)),IF($P$279&gt;=O266,INDEX('Spell Tables'!$AN$168:$AN$177,MATCH(O266,('Spell Tables'!$AL$168:$AL$177),0)),IF($P$289&gt;=O266,INDEX('Spell Tables'!$AN$48:$AN$56,MATCH(O266,('Spell Tables'!$AL$48:$AL$56),0)),IF($P$291&gt;=O266,INDEX('Spell Tables'!$AN$26:$AN$35,MATCH(O266,('Spell Tables'!$AL$26:$AL$35),0)),IF($P$293&gt;=O266,INDEX('Spell Tables'!$AN$2:$AN$8,MATCH(O266,('Spell Tables'!$AL$2:$AL$8),0))," ")))))</f>
        <v xml:space="preserve"> </v>
      </c>
      <c r="R299" s="65" t="str">
        <f ca="1">IF($Q$275&gt;=O266,INDEX($AL$116:$AL$125,MATCH(O266,($AJ$116:$AJ$125),0)),IF($Q$279&gt;=O266,INDEX('Spell Tables'!$AR$168:$AR$175,MATCH(O266,('Spell Tables'!$AP$168:$AP$175),0)),IF($Q$289&gt;=O266,INDEX('Spell Tables'!$AR$48:$AR$52,MATCH(O266,('Spell Tables'!$AP$48:$AP$52),0)),IF($Q$291&gt;=O266,INDEX('Spell Tables'!$AR$26:$AR$33,MATCH(O266,('Spell Tables'!$AP$26:$AP$33),0)),IF($Q$293&gt;=O266,INDEX('Spell Tables'!$AR$2:$AR$11,MATCH(O266,('Spell Tables'!$AL$2:$AL$11),0))," ")))))</f>
        <v xml:space="preserve"> </v>
      </c>
      <c r="S299" s="65" t="str">
        <f ca="1">IF($R$275&gt;=O266,INDEX($AL$128:$AL$137,MATCH(O266,($AJ$128:$AJ$137),0)),IF($R$279&gt;=O266,INDEX('Spell Tables'!$AV$168:$AV$172,MATCH(O266,('Spell Tables'!$AT$168:$AT$172),0)),IF($R$289&gt;=O266,INDEX('Spell Tables'!$AV$48:$AV$54,MATCH(O266,('Spell Tables'!$AT$48:$AT$54),0)),IF($R$291&gt;=O266,INDEX('Spell Tables'!$AV$26:$AV$29,MATCH(O266,('Spell Tables'!$AT$26:$AT$29),0)),IF($R$293&gt;=O266,INDEX('Spell Tables'!$AV$2:$AV$6,MATCH(O266,('Spell Tables'!$AT$2:$AT$6),0))," ")))))</f>
        <v xml:space="preserve"> </v>
      </c>
      <c r="T299" s="66" t="str">
        <f ca="1">IF($S$289&gt;=O266,INDEX($AL$140:$AL$149,MATCH(O266,($AJ$140:$AJ$149),0)),IF($S$275&gt;=O266,INDEX('Spell Tables'!$AZ$242:$AZ$253,MATCH(O266,('Spell Tables'!$AX$242:$AX$253),0)),IF($S$279&gt;=O266,INDEX('Spell Tables'!$AZ$168:$AZ$172,MATCH(O266,('Spell Tables'!$AX$168:$AX$172),0)),IF($S$291&gt;=O266,INDEX('Spell Tables'!$AZ$26:$AZ$29,MATCH(O266,('Spell Tables'!$AX$26:$AX$29),0)),IF($S$293&gt;=O266,INDEX('Spell Tables'!$AZ$2:$AZ$5,MATCH(O266,('Spell Tables'!$AX$2:$AX$5),0))," ")))))</f>
        <v xml:space="preserve"> </v>
      </c>
    </row>
    <row r="300" spans="14:20" x14ac:dyDescent="0.3">
      <c r="N300" s="72"/>
      <c r="O300" s="133">
        <v>6</v>
      </c>
      <c r="P300" s="60" t="str">
        <f ca="1">IF(AND($Q$15="Otherworldly patron - great old one",O$277&gt;=O198),INDEX('Spell Tables'!$AJ$226:$AJ$231,MATCH(O198,('Spell Tables'!$AH$226:$AH$231),0)),IF(AND($Q$15="Otherworldly patron - fiend",O$277&gt;=O198),INDEX('Spell Tables'!$AJ$210:$AJ$215,MATCH(O198,('Spell Tables'!$AH$210:$AH$215),0)),IF(AND($Q$15="Otherworldly patron - archfey",O$277&gt;=O198),INDEX('Spell Tables'!$AJ$194:$AJ$199,MATCH(O198,('Spell Tables'!$AH$194:$AH$199),0)),IF($O$275&gt;=O198,INDEX($AL$92:$AL$101,MATCH(O198,($AJ$92:$AJ$101),0)),IF($O$279&gt;=O198,INDEX('Spell Tables'!$AJ$168:$AJ$178,MATCH(O198,('Spell Tables'!$AH$168:$AH$178),0)),IF($O$283&gt;=O198,INDEX('Spell Tables'!$AF$119:$AF$122,MATCH(O198,('Spell Tables'!$AD$119:$AD$122),0)),IF($O$285&gt;=O198,INDEX('Spell Tables'!$AF$97:$AF$102,MATCH(O198,('Spell Tables'!$AD$97:$AD$102),0)),IF($O$289&gt;=O198,INDEX('Spell Tables'!$AJ$48:$AJ$61,MATCH(O198,('Spell Tables'!$AH$48:$AH$61),0)),IF($O$291&gt;=O198,INDEX('Spell Tables'!$AJ$26:$AJ$38,MATCH(O198,('Spell Tables'!$AH$26:$AH$38),0)),IF($O$293&gt;=O198,INDEX('Spell Tables'!$AJ$2:$AJ$17,MATCH(O198,('Spell Tables'!$AH$2:$AH$17),0))," "))))))))))</f>
        <v xml:space="preserve"> </v>
      </c>
      <c r="Q300" s="60" t="str">
        <f ca="1">IF($P$275&gt;=O267,INDEX($AL$104:$AL$113,MATCH(O267,($AJ$104:$AJ$113),0)),IF($P$279&gt;=O267,INDEX('Spell Tables'!$AN$168:$AN$177,MATCH(O267,('Spell Tables'!$AL$168:$AL$177),0)),IF($P$289&gt;=O267,INDEX('Spell Tables'!$AN$48:$AN$56,MATCH(O267,('Spell Tables'!$AL$48:$AL$56),0)),IF($P$291&gt;=O267,INDEX('Spell Tables'!$AN$26:$AN$35,MATCH(O267,('Spell Tables'!$AL$26:$AL$35),0)),IF($P$293&gt;=O267,INDEX('Spell Tables'!$AN$2:$AN$8,MATCH(O267,('Spell Tables'!$AL$2:$AL$8),0))," ")))))</f>
        <v xml:space="preserve"> </v>
      </c>
      <c r="R300" s="60" t="str">
        <f ca="1">IF($Q$275&gt;=O267,INDEX($AL$116:$AL$125,MATCH(O267,($AJ$116:$AJ$125),0)),IF($Q$279&gt;=O267,INDEX('Spell Tables'!$AR$168:$AR$175,MATCH(O267,('Spell Tables'!$AP$168:$AP$175),0)),IF($Q$289&gt;=O267,INDEX('Spell Tables'!$AR$48:$AR$52,MATCH(O267,('Spell Tables'!$AP$48:$AP$52),0)),IF($Q$291&gt;=O267,INDEX('Spell Tables'!$AR$26:$AR$33,MATCH(O267,('Spell Tables'!$AP$26:$AP$33),0)),IF($Q$293&gt;=O267,INDEX('Spell Tables'!$AR$2:$AR$11,MATCH(O267,('Spell Tables'!$AL$2:$AL$11),0))," ")))))</f>
        <v xml:space="preserve"> </v>
      </c>
      <c r="S300" s="60" t="str">
        <f ca="1">IF($R$275&gt;=O267,INDEX($AL$128:$AL$137,MATCH(O267,($AJ$128:$AJ$137),0)),IF($R$279&gt;=O267,INDEX('Spell Tables'!$AV$168:$AV$172,MATCH(O267,('Spell Tables'!$AT$168:$AT$172),0)),IF($R$289&gt;=O267,INDEX('Spell Tables'!$AV$48:$AV$54,MATCH(O267,('Spell Tables'!$AT$48:$AT$54),0)),IF($R$291&gt;=O267,INDEX('Spell Tables'!$AV$26:$AV$29,MATCH(O267,('Spell Tables'!$AT$26:$AT$29),0)),IF($R$293&gt;=O267,INDEX('Spell Tables'!$AV$2:$AV$6,MATCH(O267,('Spell Tables'!$AT$2:$AT$6),0))," ")))))</f>
        <v xml:space="preserve"> </v>
      </c>
      <c r="T300" s="63" t="str">
        <f ca="1">IF($S$289&gt;=O267,INDEX($AL$140:$AL$149,MATCH(O267,($AJ$140:$AJ$149),0)),IF($S$275&gt;=O267,INDEX('Spell Tables'!$AZ$242:$AZ$253,MATCH(O267,('Spell Tables'!$AX$242:$AX$253),0)),IF($S$279&gt;=O267,INDEX('Spell Tables'!$AZ$168:$AZ$172,MATCH(O267,('Spell Tables'!$AX$168:$AX$172),0)),IF($S$291&gt;=O267,INDEX('Spell Tables'!$AZ$26:$AZ$29,MATCH(O267,('Spell Tables'!$AX$26:$AX$29),0)),IF($S$293&gt;=O267,INDEX('Spell Tables'!$AZ$2:$AZ$5,MATCH(O267,('Spell Tables'!$AX$2:$AX$5),0))," ")))))</f>
        <v xml:space="preserve"> </v>
      </c>
    </row>
    <row r="301" spans="14:20" x14ac:dyDescent="0.3">
      <c r="N301" s="72"/>
      <c r="O301" s="86">
        <v>7</v>
      </c>
      <c r="P301" s="65" t="str">
        <f ca="1">IF(AND($Q$15="Otherworldly patron - great old one",O$277&gt;=O199),INDEX('Spell Tables'!$AJ$226:$AJ$231,MATCH(O199,('Spell Tables'!$AH$226:$AH$231),0)),IF(AND($Q$15="Otherworldly patron - fiend",O$277&gt;=O199),INDEX('Spell Tables'!$AJ$210:$AJ$215,MATCH(O199,('Spell Tables'!$AH$210:$AH$215),0)),IF(AND($Q$15="Otherworldly patron - archfey",O$277&gt;=O199),INDEX('Spell Tables'!$AJ$194:$AJ$199,MATCH(O199,('Spell Tables'!$AH$194:$AH$199),0)),IF($O$275&gt;=O199,INDEX($AL$92:$AL$101,MATCH(O199,($AJ$92:$AJ$101),0)),IF($O$279&gt;=O199,INDEX('Spell Tables'!$AJ$168:$AJ$178,MATCH(O199,('Spell Tables'!$AH$168:$AH$178),0)),IF($O$283&gt;=O199,INDEX('Spell Tables'!$AF$119:$AF$122,MATCH(O199,('Spell Tables'!$AD$119:$AD$122),0)),IF($O$285&gt;=O199,INDEX('Spell Tables'!$AF$97:$AF$102,MATCH(O199,('Spell Tables'!$AD$97:$AD$102),0)),IF($O$289&gt;=O199,INDEX('Spell Tables'!$AJ$48:$AJ$61,MATCH(O199,('Spell Tables'!$AH$48:$AH$61),0)),IF($O$291&gt;=O199,INDEX('Spell Tables'!$AJ$26:$AJ$38,MATCH(O199,('Spell Tables'!$AH$26:$AH$38),0)),IF($O$293&gt;=O199,INDEX('Spell Tables'!$AJ$2:$AJ$17,MATCH(O199,('Spell Tables'!$AH$2:$AH$17),0))," "))))))))))</f>
        <v xml:space="preserve"> </v>
      </c>
      <c r="Q301" s="65" t="str">
        <f ca="1">IF($P$275&gt;=O268,INDEX($AL$104:$AL$113,MATCH(O268,($AJ$104:$AJ$113),0)),IF($P$279&gt;=O268,INDEX('Spell Tables'!$AN$168:$AN$177,MATCH(O268,('Spell Tables'!$AL$168:$AL$177),0)),IF($P$289&gt;=O268,INDEX('Spell Tables'!$AN$48:$AN$56,MATCH(O268,('Spell Tables'!$AL$48:$AL$56),0)),IF($P$291&gt;=O268,INDEX('Spell Tables'!$AN$26:$AN$35,MATCH(O268,('Spell Tables'!$AL$26:$AL$35),0)),IF($P$293&gt;=O268,INDEX('Spell Tables'!$AN$2:$AN$8,MATCH(O268,('Spell Tables'!$AL$2:$AL$8),0))," ")))))</f>
        <v xml:space="preserve"> </v>
      </c>
      <c r="R301" s="65" t="str">
        <f ca="1">IF($Q$275&gt;=O268,INDEX($AL$116:$AL$125,MATCH(O268,($AJ$116:$AJ$125),0)),IF($Q$279&gt;=O268,INDEX('Spell Tables'!$AR$168:$AR$175,MATCH(O268,('Spell Tables'!$AP$168:$AP$175),0)),IF($Q$289&gt;=O268,INDEX('Spell Tables'!$AR$48:$AR$52,MATCH(O268,('Spell Tables'!$AP$48:$AP$52),0)),IF($Q$291&gt;=O268,INDEX('Spell Tables'!$AR$26:$AR$33,MATCH(O268,('Spell Tables'!$AP$26:$AP$33),0)),IF($Q$293&gt;=O268,INDEX('Spell Tables'!$AR$2:$AR$11,MATCH(O268,('Spell Tables'!$AL$2:$AL$11),0))," ")))))</f>
        <v xml:space="preserve"> </v>
      </c>
      <c r="S301" s="65" t="str">
        <f ca="1">IF($R$275&gt;=O268,INDEX($AL$128:$AL$137,MATCH(O268,($AJ$128:$AJ$137),0)),IF($R$279&gt;=O268,INDEX('Spell Tables'!$AV$168:$AV$172,MATCH(O268,('Spell Tables'!$AT$168:$AT$172),0)),IF($R$289&gt;=O268,INDEX('Spell Tables'!$AV$48:$AV$54,MATCH(O268,('Spell Tables'!$AT$48:$AT$54),0)),IF($R$291&gt;=O268,INDEX('Spell Tables'!$AV$26:$AV$29,MATCH(O268,('Spell Tables'!$AT$26:$AT$29),0)),IF($R$293&gt;=O268,INDEX('Spell Tables'!$AV$2:$AV$6,MATCH(O268,('Spell Tables'!$AT$2:$AT$6),0))," ")))))</f>
        <v xml:space="preserve"> </v>
      </c>
      <c r="T301" s="66" t="str">
        <f ca="1">IF($S$289&gt;=O268,INDEX($AL$140:$AL$149,MATCH(O268,($AJ$140:$AJ$149),0)),IF($S$275&gt;=O268,INDEX('Spell Tables'!$AZ$242:$AZ$253,MATCH(O268,('Spell Tables'!$AX$242:$AX$253),0)),IF($S$279&gt;=O268,INDEX('Spell Tables'!$AZ$168:$AZ$172,MATCH(O268,('Spell Tables'!$AX$168:$AX$172),0)),IF($S$291&gt;=O268,INDEX('Spell Tables'!$AZ$26:$AZ$29,MATCH(O268,('Spell Tables'!$AX$26:$AX$29),0)),IF($S$293&gt;=O268,INDEX('Spell Tables'!$AZ$2:$AZ$5,MATCH(O268,('Spell Tables'!$AX$2:$AX$5),0))," ")))))</f>
        <v xml:space="preserve"> </v>
      </c>
    </row>
    <row r="302" spans="14:20" x14ac:dyDescent="0.3">
      <c r="N302" s="72"/>
      <c r="O302" s="133">
        <v>8</v>
      </c>
      <c r="P302" s="60" t="str">
        <f ca="1">IF(AND($Q$15="Otherworldly patron - great old one",O$277&gt;=O200),INDEX('Spell Tables'!$AJ$226:$AJ$231,MATCH(O200,('Spell Tables'!$AH$226:$AH$231),0)),IF(AND($Q$15="Otherworldly patron - fiend",O$277&gt;=O200),INDEX('Spell Tables'!$AJ$210:$AJ$215,MATCH(O200,('Spell Tables'!$AH$210:$AH$215),0)),IF(AND($Q$15="Otherworldly patron - archfey",O$277&gt;=O200),INDEX('Spell Tables'!$AJ$194:$AJ$199,MATCH(O200,('Spell Tables'!$AH$194:$AH$199),0)),IF($O$275&gt;=O200,INDEX($AL$92:$AL$101,MATCH(O200,($AJ$92:$AJ$101),0)),IF($O$279&gt;=O200,INDEX('Spell Tables'!$AJ$168:$AJ$178,MATCH(O200,('Spell Tables'!$AH$168:$AH$178),0)),IF($O$283&gt;=O200,INDEX('Spell Tables'!$AF$119:$AF$122,MATCH(O200,('Spell Tables'!$AD$119:$AD$122),0)),IF($O$285&gt;=O200,INDEX('Spell Tables'!$AF$97:$AF$102,MATCH(O200,('Spell Tables'!$AD$97:$AD$102),0)),IF($O$289&gt;=O200,INDEX('Spell Tables'!$AJ$48:$AJ$61,MATCH(O200,('Spell Tables'!$AH$48:$AH$61),0)),IF($O$291&gt;=O200,INDEX('Spell Tables'!$AJ$26:$AJ$38,MATCH(O200,('Spell Tables'!$AH$26:$AH$38),0)),IF($O$293&gt;=O200,INDEX('Spell Tables'!$AJ$2:$AJ$17,MATCH(O200,('Spell Tables'!$AH$2:$AH$17),0))," "))))))))))</f>
        <v xml:space="preserve"> </v>
      </c>
      <c r="Q302" s="60" t="str">
        <f ca="1">IF($P$275&gt;=O269,INDEX($AL$104:$AL$113,MATCH(O269,($AJ$104:$AJ$113),0)),IF($P$279&gt;=O269,INDEX('Spell Tables'!$AN$168:$AN$177,MATCH(O269,('Spell Tables'!$AL$168:$AL$177),0)),IF($P$289&gt;=O269,INDEX('Spell Tables'!$AN$48:$AN$56,MATCH(O269,('Spell Tables'!$AL$48:$AL$56),0)),IF($P$291&gt;=O269,INDEX('Spell Tables'!$AN$26:$AN$35,MATCH(O269,('Spell Tables'!$AL$26:$AL$35),0)),IF($P$293&gt;=O269,INDEX('Spell Tables'!$AN$2:$AN$8,MATCH(O269,('Spell Tables'!$AL$2:$AL$8),0))," ")))))</f>
        <v xml:space="preserve"> </v>
      </c>
      <c r="R302" s="60" t="str">
        <f ca="1">IF($Q$275&gt;=O269,INDEX($AL$116:$AL$125,MATCH(O269,($AJ$116:$AJ$125),0)),IF($Q$279&gt;=O269,INDEX('Spell Tables'!$AR$168:$AR$175,MATCH(O269,('Spell Tables'!$AP$168:$AP$175),0)),IF($Q$289&gt;=O269,INDEX('Spell Tables'!$AR$48:$AR$52,MATCH(O269,('Spell Tables'!$AP$48:$AP$52),0)),IF($Q$291&gt;=O269,INDEX('Spell Tables'!$AR$26:$AR$33,MATCH(O269,('Spell Tables'!$AP$26:$AP$33),0)),IF($Q$293&gt;=O269,INDEX('Spell Tables'!$AR$2:$AR$11,MATCH(O269,('Spell Tables'!$AL$2:$AL$11),0))," ")))))</f>
        <v xml:space="preserve"> </v>
      </c>
      <c r="S302" s="60" t="str">
        <f ca="1">IF($R$275&gt;=O269,INDEX($AL$128:$AL$137,MATCH(O269,($AJ$128:$AJ$137),0)),IF($R$279&gt;=O269,INDEX('Spell Tables'!$AV$168:$AV$172,MATCH(O269,('Spell Tables'!$AT$168:$AT$172),0)),IF($R$289&gt;=O269,INDEX('Spell Tables'!$AV$48:$AV$54,MATCH(O269,('Spell Tables'!$AT$48:$AT$54),0)),IF($R$291&gt;=O269,INDEX('Spell Tables'!$AV$26:$AV$29,MATCH(O269,('Spell Tables'!$AT$26:$AT$29),0)),IF($R$293&gt;=O269,INDEX('Spell Tables'!$AV$2:$AV$6,MATCH(O269,('Spell Tables'!$AT$2:$AT$6),0))," ")))))</f>
        <v xml:space="preserve"> </v>
      </c>
      <c r="T302" s="63" t="str">
        <f ca="1">IF($S$289&gt;=O269,INDEX($AL$140:$AL$149,MATCH(O269,($AJ$140:$AJ$149),0)),IF($S$275&gt;=O269,INDEX('Spell Tables'!$AZ$242:$AZ$253,MATCH(O269,('Spell Tables'!$AX$242:$AX$253),0)),IF($S$279&gt;=O269,INDEX('Spell Tables'!$AZ$168:$AZ$172,MATCH(O269,('Spell Tables'!$AX$168:$AX$172),0)),IF($S$291&gt;=O269,INDEX('Spell Tables'!$AZ$26:$AZ$29,MATCH(O269,('Spell Tables'!$AX$26:$AX$29),0)),IF($S$293&gt;=O269,INDEX('Spell Tables'!$AZ$2:$AZ$5,MATCH(O269,('Spell Tables'!$AX$2:$AX$5),0))," ")))))</f>
        <v xml:space="preserve"> </v>
      </c>
    </row>
    <row r="303" spans="14:20" x14ac:dyDescent="0.3">
      <c r="N303" s="72"/>
      <c r="O303" s="86">
        <v>9</v>
      </c>
      <c r="P303" s="65" t="str">
        <f ca="1">IF(AND($Q$15="Otherworldly patron - great old one",O$277&gt;=O201),INDEX('Spell Tables'!$AJ$226:$AJ$231,MATCH(O201,('Spell Tables'!$AH$226:$AH$231),0)),IF(AND($Q$15="Otherworldly patron - fiend",O$277&gt;=O201),INDEX('Spell Tables'!$AJ$210:$AJ$215,MATCH(O201,('Spell Tables'!$AH$210:$AH$215),0)),IF(AND($Q$15="Otherworldly patron - archfey",O$277&gt;=O201),INDEX('Spell Tables'!$AJ$194:$AJ$199,MATCH(O201,('Spell Tables'!$AH$194:$AH$199),0)),IF($O$275&gt;=O201,INDEX($AL$92:$AL$101,MATCH(O201,($AJ$92:$AJ$101),0)),IF($O$279&gt;=O201,INDEX('Spell Tables'!$AJ$168:$AJ$178,MATCH(O201,('Spell Tables'!$AH$168:$AH$178),0)),IF($O$283&gt;=O201,INDEX('Spell Tables'!$AF$119:$AF$122,MATCH(O201,('Spell Tables'!$AD$119:$AD$122),0)),IF($O$285&gt;=O201,INDEX('Spell Tables'!$AF$97:$AF$102,MATCH(O201,('Spell Tables'!$AD$97:$AD$102),0)),IF($O$289&gt;=O201,INDEX('Spell Tables'!$AJ$48:$AJ$61,MATCH(O201,('Spell Tables'!$AH$48:$AH$61),0)),IF($O$291&gt;=O201,INDEX('Spell Tables'!$AJ$26:$AJ$38,MATCH(O201,('Spell Tables'!$AH$26:$AH$38),0)),IF($O$293&gt;=O201,INDEX('Spell Tables'!$AJ$2:$AJ$17,MATCH(O201,('Spell Tables'!$AH$2:$AH$17),0))," "))))))))))</f>
        <v xml:space="preserve"> </v>
      </c>
      <c r="Q303" s="65" t="str">
        <f ca="1">IF($P$275&gt;=O270,INDEX($AL$104:$AL$113,MATCH(O270,($AJ$104:$AJ$113),0)),IF($P$279&gt;=O270,INDEX('Spell Tables'!$AN$168:$AN$177,MATCH(O270,('Spell Tables'!$AL$168:$AL$177),0)),IF($P$289&gt;=O270,INDEX('Spell Tables'!$AN$48:$AN$56,MATCH(O270,('Spell Tables'!$AL$48:$AL$56),0)),IF($P$291&gt;=O270,INDEX('Spell Tables'!$AN$26:$AN$35,MATCH(O270,('Spell Tables'!$AL$26:$AL$35),0)),IF($P$293&gt;=O270,INDEX('Spell Tables'!$AN$2:$AN$8,MATCH(O270,('Spell Tables'!$AL$2:$AL$8),0))," ")))))</f>
        <v xml:space="preserve"> </v>
      </c>
      <c r="R303" s="65" t="str">
        <f ca="1">IF($Q$275&gt;=O270,INDEX($AL$116:$AL$125,MATCH(O270,($AJ$116:$AJ$125),0)),IF($Q$279&gt;=O270,INDEX('Spell Tables'!$AR$168:$AR$175,MATCH(O270,('Spell Tables'!$AP$168:$AP$175),0)),IF($Q$289&gt;=O270,INDEX('Spell Tables'!$AR$48:$AR$52,MATCH(O270,('Spell Tables'!$AP$48:$AP$52),0)),IF($Q$291&gt;=O270,INDEX('Spell Tables'!$AR$26:$AR$33,MATCH(O270,('Spell Tables'!$AP$26:$AP$33),0)),IF($Q$293&gt;=O270,INDEX('Spell Tables'!$AR$2:$AR$11,MATCH(O270,('Spell Tables'!$AL$2:$AL$11),0))," ")))))</f>
        <v xml:space="preserve"> </v>
      </c>
      <c r="S303" s="65" t="str">
        <f ca="1">IF($R$275&gt;=O270,INDEX($AL$128:$AL$137,MATCH(O270,($AJ$128:$AJ$137),0)),IF($R$279&gt;=O270,INDEX('Spell Tables'!$AV$168:$AV$172,MATCH(O270,('Spell Tables'!$AT$168:$AT$172),0)),IF($R$289&gt;=O270,INDEX('Spell Tables'!$AV$48:$AV$54,MATCH(O270,('Spell Tables'!$AT$48:$AT$54),0)),IF($R$291&gt;=O270,INDEX('Spell Tables'!$AV$26:$AV$29,MATCH(O270,('Spell Tables'!$AT$26:$AT$29),0)),IF($R$293&gt;=O270,INDEX('Spell Tables'!$AV$2:$AV$6,MATCH(O270,('Spell Tables'!$AT$2:$AT$6),0))," ")))))</f>
        <v xml:space="preserve"> </v>
      </c>
      <c r="T303" s="66" t="str">
        <f ca="1">IF($S$289&gt;=O270,INDEX($AL$140:$AL$149,MATCH(O270,($AJ$140:$AJ$149),0)),IF($S$275&gt;=O270,INDEX('Spell Tables'!$AZ$242:$AZ$253,MATCH(O270,('Spell Tables'!$AX$242:$AX$253),0)),IF($S$279&gt;=O270,INDEX('Spell Tables'!$AZ$168:$AZ$172,MATCH(O270,('Spell Tables'!$AX$168:$AX$172),0)),IF($S$291&gt;=O270,INDEX('Spell Tables'!$AZ$26:$AZ$29,MATCH(O270,('Spell Tables'!$AX$26:$AX$29),0)),IF($S$293&gt;=O270,INDEX('Spell Tables'!$AZ$2:$AZ$5,MATCH(O270,('Spell Tables'!$AX$2:$AX$5),0))," ")))))</f>
        <v xml:space="preserve"> </v>
      </c>
    </row>
    <row r="304" spans="14:20" ht="19.5" thickBot="1" x14ac:dyDescent="0.35">
      <c r="N304" s="72"/>
      <c r="O304" s="134">
        <v>10</v>
      </c>
      <c r="P304" s="67" t="str">
        <f ca="1">IF(AND($Q$15="Otherworldly patron - great old one",O$277&gt;=O202),INDEX('Spell Tables'!$AJ$226:$AJ$231,MATCH(O202,('Spell Tables'!$AH$226:$AH$231),0)),IF(AND($Q$15="Otherworldly patron - fiend",O$277&gt;=O202),INDEX('Spell Tables'!$AJ$210:$AJ$215,MATCH(O202,('Spell Tables'!$AH$210:$AH$215),0)),IF(AND($Q$15="Otherworldly patron - archfey",O$277&gt;=O202),INDEX('Spell Tables'!$AJ$194:$AJ$199,MATCH(O202,('Spell Tables'!$AH$194:$AH$199),0)),IF($O$275&gt;=O202,INDEX($AL$92:$AL$101,MATCH(O202,($AJ$92:$AJ$101),0)),IF($O$279&gt;=O202,INDEX('Spell Tables'!$AJ$168:$AJ$178,MATCH(O202,('Spell Tables'!$AH$168:$AH$178),0)),IF($O$283&gt;=O202,INDEX('Spell Tables'!$AF$119:$AF$122,MATCH(O202,('Spell Tables'!$AD$119:$AD$122),0)),IF($O$285&gt;=O202,INDEX('Spell Tables'!$AF$97:$AF$102,MATCH(O202,('Spell Tables'!$AD$97:$AD$102),0)),IF($O$289&gt;=O202,INDEX('Spell Tables'!$AJ$48:$AJ$61,MATCH(O202,('Spell Tables'!$AH$48:$AH$61),0)),IF($O$291&gt;=O202,INDEX('Spell Tables'!$AJ$26:$AJ$38,MATCH(O202,('Spell Tables'!$AH$26:$AH$38),0)),IF($O$293&gt;=O202,INDEX('Spell Tables'!$AJ$2:$AJ$17,MATCH(O202,('Spell Tables'!$AH$2:$AH$17),0))," "))))))))))</f>
        <v xml:space="preserve"> </v>
      </c>
      <c r="Q304" s="67" t="str">
        <f ca="1">IF($P$275&gt;=O271,INDEX($AL$104:$AL$113,MATCH(O271,($AJ$104:$AJ$113),0)),IF($P$279&gt;=O271,INDEX('Spell Tables'!$AN$168:$AN$177,MATCH(O271,('Spell Tables'!$AL$168:$AL$177),0)),IF($P$289&gt;=O271,INDEX('Spell Tables'!$AN$48:$AN$56,MATCH(O271,('Spell Tables'!$AL$48:$AL$56),0)),IF($P$291&gt;=O271,INDEX('Spell Tables'!$AN$26:$AN$35,MATCH(O271,('Spell Tables'!$AL$26:$AL$35),0)),IF($P$293&gt;=O271,INDEX('Spell Tables'!$AN$2:$AN$8,MATCH(O271,('Spell Tables'!$AL$2:$AL$8),0))," ")))))</f>
        <v xml:space="preserve"> </v>
      </c>
      <c r="R304" s="67" t="str">
        <f ca="1">IF($Q$275&gt;=O271,INDEX($AL$116:$AL$125,MATCH(O271,($AJ$116:$AJ$125),0)),IF($Q$279&gt;=O271,INDEX('Spell Tables'!$AR$168:$AR$175,MATCH(O271,('Spell Tables'!$AP$168:$AP$175),0)),IF($Q$289&gt;=O271,INDEX('Spell Tables'!$AR$48:$AR$52,MATCH(O271,('Spell Tables'!$AP$48:$AP$52),0)),IF($Q$291&gt;=O271,INDEX('Spell Tables'!$AR$26:$AR$33,MATCH(O271,('Spell Tables'!$AP$26:$AP$33),0)),IF($Q$293&gt;=O271,INDEX('Spell Tables'!$AR$2:$AR$11,MATCH(O271,('Spell Tables'!$AL$2:$AL$11),0))," ")))))</f>
        <v xml:space="preserve"> </v>
      </c>
      <c r="S304" s="67" t="str">
        <f ca="1">IF($R$275&gt;=O271,INDEX($AL$128:$AL$137,MATCH(O271,($AJ$128:$AJ$137),0)),IF($R$279&gt;=O271,INDEX('Spell Tables'!$AV$168:$AV$172,MATCH(O271,('Spell Tables'!$AT$168:$AT$172),0)),IF($R$289&gt;=O271,INDEX('Spell Tables'!$AV$48:$AV$54,MATCH(O271,('Spell Tables'!$AT$48:$AT$54),0)),IF($R$291&gt;=O271,INDEX('Spell Tables'!$AV$26:$AV$29,MATCH(O271,('Spell Tables'!$AT$26:$AT$29),0)),IF($R$293&gt;=O271,INDEX('Spell Tables'!$AV$2:$AV$6,MATCH(O271,('Spell Tables'!$AT$2:$AT$6),0))," ")))))</f>
        <v xml:space="preserve"> </v>
      </c>
      <c r="T304" s="68" t="str">
        <f ca="1">IF($S$289&gt;=O271,INDEX($AL$140:$AL$149,MATCH(O271,($AJ$140:$AJ$149),0)),IF($S$275&gt;=O271,INDEX('Spell Tables'!$AZ$242:$AZ$253,MATCH(O271,('Spell Tables'!$AX$242:$AX$253),0)),IF($S$279&gt;=O271,INDEX('Spell Tables'!$AZ$168:$AZ$172,MATCH(O271,('Spell Tables'!$AX$168:$AX$172),0)),IF($S$291&gt;=O271,INDEX('Spell Tables'!$AZ$26:$AZ$29,MATCH(O271,('Spell Tables'!$AX$26:$AX$29),0)),IF($S$293&gt;=O271,INDEX('Spell Tables'!$AZ$2:$AZ$5,MATCH(O271,('Spell Tables'!$AX$2:$AX$5),0))," ")))))</f>
        <v xml:space="preserve"> </v>
      </c>
    </row>
    <row r="305" spans="2:20" ht="19.5" thickBot="1" x14ac:dyDescent="0.35"/>
    <row r="306" spans="2:20" ht="30.75" thickBot="1" x14ac:dyDescent="0.45">
      <c r="B306" s="105" t="s">
        <v>1271</v>
      </c>
    </row>
    <row r="307" spans="2:20" ht="19.5" hidden="1" thickBot="1" x14ac:dyDescent="0.35">
      <c r="P307" s="29" t="s">
        <v>1166</v>
      </c>
      <c r="Q307" s="29" t="s">
        <v>1167</v>
      </c>
      <c r="R307" s="29" t="s">
        <v>1168</v>
      </c>
      <c r="S307" s="29" t="s">
        <v>676</v>
      </c>
    </row>
    <row r="308" spans="2:20" ht="19.5" hidden="1" thickBot="1" x14ac:dyDescent="0.35">
      <c r="B308" s="29" t="s">
        <v>1270</v>
      </c>
      <c r="O308" s="29" t="s">
        <v>530</v>
      </c>
      <c r="P308" s="29" t="str">
        <f ca="1">IF(AND(O11="wizard",O12&gt;=3),"x",IF(O11="wizard","xx"," "))</f>
        <v xml:space="preserve"> </v>
      </c>
      <c r="Q308" s="29" t="str">
        <f ca="1">IF(AND(O11="wizard",O12&gt;=9),"xxxx",IF(AND(O11="wizard",O12&gt;=5),"x",IF(AND($O$11="wizard",$O$12&gt;3),"xx",IF(AND(O11="wizard",O12=3),"xxx"," "))))</f>
        <v xml:space="preserve"> </v>
      </c>
      <c r="R308" s="29" t="str">
        <f ca="1">IF(AND(O11="wizard",O12&gt;=11),"xxxx",IF(AND(O11="wizard",O12&gt;=7),"x",IF(AND($O$11="wizard",$O$12&gt;5),"xx",IF(AND(O11="wizard",O12=5),"xxx"," "))))</f>
        <v xml:space="preserve"> </v>
      </c>
      <c r="S308" s="29" t="str">
        <f ca="1">IF(AND(O11="wizard",O12&gt;=13),"xxxx",IF(AND(O11="wizard",O12&gt;=9),"x",IF(AND($O$11="wizard",$O$12&gt;7),"xx",IF(AND(O11="wizard",O12=7),"xxx"," "))))</f>
        <v xml:space="preserve"> </v>
      </c>
    </row>
    <row r="309" spans="2:20" ht="19.5" hidden="1" thickBot="1" x14ac:dyDescent="0.35">
      <c r="B309" s="29" t="s">
        <v>1271</v>
      </c>
      <c r="O309" s="29" t="str">
        <f ca="1">IF(O11="wizard",((O12-1)*2)+6," ")</f>
        <v xml:space="preserve"> </v>
      </c>
      <c r="P309" s="29">
        <f ca="1">IF(AND(O11="wizard",O12=2),O309,IF(AND(O11="wizard",O12=1),$O$309,IF(AND(O11="wizard",O12&gt;=3),MAX(8,O309-SUM(U216:X216)),0)))</f>
        <v>0</v>
      </c>
      <c r="Q309" s="29">
        <f ca="1">IF(Q$308="xxxx",MAX(R173,(RANDBETWEEN(5,6))),IF(Q308="x",MAX(R173,(RANDBETWEEN(3,6))),IF(Q308="xx",MAX(R173,(RANDBETWEEN(2,4))),IF(Q308="xxx",MAX(R173,(2)),0))))</f>
        <v>0</v>
      </c>
      <c r="R309" s="29">
        <f ca="1">IF($R308="xxxx",MAX(S173,(RANDBETWEEN(5,6))),IF(R308="x",MAX(S173,(RANDBETWEEN(3,6))),IF(R308="xx",MAX(S173,(RANDBETWEEN(2,4))),IF(R308="xxx",MAX(S173,(2)),0))))</f>
        <v>0</v>
      </c>
      <c r="S309" s="29">
        <f ca="1">IF(S$308="xxxx",MAX(T173,(RANDBETWEEN(5,6))),IF(S308="x",MAX(T173,(RANDBETWEEN(3,6))),IF(S308="xx",MAX(T173,(RANDBETWEEN(2,4))),IF(S308="xxx",MAX(T173,(2)),0))))</f>
        <v>0</v>
      </c>
    </row>
    <row r="310" spans="2:20" ht="19.5" hidden="1" thickBot="1" x14ac:dyDescent="0.35">
      <c r="P310" s="98" t="s">
        <v>1166</v>
      </c>
      <c r="Q310" s="98" t="s">
        <v>1167</v>
      </c>
      <c r="R310" s="98" t="s">
        <v>1168</v>
      </c>
      <c r="S310" s="98" t="s">
        <v>676</v>
      </c>
    </row>
    <row r="311" spans="2:20" ht="19.5" hidden="1" thickBot="1" x14ac:dyDescent="0.35">
      <c r="P311" s="98" t="str">
        <f ca="1">IF(AND(Q11="wizard",Q12&gt;=3),"x",IF(Q11="wizard","xx"," "))</f>
        <v xml:space="preserve"> </v>
      </c>
      <c r="Q311" s="98" t="str">
        <f ca="1">IF(AND(Q11="wizard",Q12&gt;=9),"xxxx",IF(AND(Q11="wizard",Q12&gt;=5),"x",IF(AND($Q$11="wizard",$Q$12&gt;3),"xx",IF(AND(Q11="wizard",Q12=3),"xxx"," "))))</f>
        <v xml:space="preserve"> </v>
      </c>
      <c r="R311" s="98" t="str">
        <f ca="1">IF(AND(Q11="wizard",Q12&gt;=11),"xxxx",IF(AND(Q11="wizard",Q12&gt;=7),"x",IF(AND($Q$11="wizard",$Q$12&gt;5),"xx",IF(AND(Q11="wizard",Q12=5),"xxx"," "))))</f>
        <v xml:space="preserve"> </v>
      </c>
      <c r="S311" s="98" t="str">
        <f ca="1">IF(AND(Q11="wizard",Q12&gt;=13),"xxxx",IF(AND(Q11="wizard",Q12&gt;=9),"x",IF(AND($Q$11="wizard",$Q$12&gt;7),"xx",IF(AND(Q11="wizard",Q12=7),"xxx"," "))))</f>
        <v xml:space="preserve"> </v>
      </c>
    </row>
    <row r="312" spans="2:20" ht="19.5" hidden="1" thickBot="1" x14ac:dyDescent="0.35">
      <c r="P312" s="98">
        <f ca="1">IF(AND(Q11="wizard",Q12=2),AK41,IF(AND(Q11="wizard",Q12=1),$AK$41,IF(AND(Q11="wizard",Q12&gt;=3),MAX(8,AK41-SUM(U219:X219)),0)))</f>
        <v>0</v>
      </c>
      <c r="Q312" s="98">
        <f ca="1">IF(Q$311="xxxx",MAX(R242,(RANDBETWEEN(5,6))),IF(Q311="x",MAX(R242,(RANDBETWEEN(3,6))),IF(Q311="xx",MAX(R242,(RANDBETWEEN(2,4))),IF(Q311="xxx",MAX(R242,(2)),0))))</f>
        <v>0</v>
      </c>
      <c r="R312" s="98">
        <f ca="1">IF($R311="xxxx",MAX(S242,(RANDBETWEEN(5,6))),IF(R311="x",MAX(S242,(RANDBETWEEN(3,6))),IF(R311="xx",MAX(S242,(RANDBETWEEN(2,4))),IF(R311="xxx",MAX(S242,(2)),0))))</f>
        <v>0</v>
      </c>
      <c r="S312" s="98">
        <f ca="1">IF(S$311="xxxx",MAX(T242,(RANDBETWEEN(5,6))),IF(S311="x",MAX(T242,(RANDBETWEEN(3,6))),IF(S311="xx",MAX(T242,(RANDBETWEEN(2,4))),IF(S311="xxx",MAX(T242,(2)),0))))</f>
        <v>0</v>
      </c>
    </row>
    <row r="313" spans="2:20" ht="19.5" hidden="1" thickBot="1" x14ac:dyDescent="0.35"/>
    <row r="314" spans="2:20" x14ac:dyDescent="0.3">
      <c r="B314" s="79"/>
      <c r="C314" s="27"/>
      <c r="D314" s="27"/>
      <c r="E314" s="27"/>
      <c r="F314" s="27"/>
      <c r="G314" s="27"/>
      <c r="H314" s="27"/>
      <c r="I314" s="27"/>
      <c r="J314" s="27"/>
      <c r="K314" s="27"/>
      <c r="L314" s="27"/>
      <c r="M314" s="27"/>
      <c r="N314" s="27"/>
      <c r="O314" s="27"/>
      <c r="P314" s="76" t="s">
        <v>1124</v>
      </c>
      <c r="Q314" s="76" t="s">
        <v>1166</v>
      </c>
      <c r="R314" s="76" t="s">
        <v>1167</v>
      </c>
      <c r="S314" s="76" t="s">
        <v>1168</v>
      </c>
      <c r="T314" s="77" t="s">
        <v>676</v>
      </c>
    </row>
    <row r="315" spans="2:20" x14ac:dyDescent="0.3">
      <c r="B315" s="79"/>
      <c r="C315" s="33"/>
      <c r="D315" s="33"/>
      <c r="E315" s="33"/>
      <c r="F315" s="33"/>
      <c r="G315" s="33"/>
      <c r="H315" s="33"/>
      <c r="I315" s="33"/>
      <c r="J315" s="33"/>
      <c r="K315" s="33"/>
      <c r="L315" s="33"/>
      <c r="M315" s="33"/>
      <c r="N315" s="33"/>
      <c r="O315" s="34">
        <v>1</v>
      </c>
      <c r="P315" s="33" t="str">
        <f t="shared" ref="P315:P324" ca="1" si="67">IF($O$11="wizard",P193,IF($Q$11="wizard",P262," "))</f>
        <v xml:space="preserve"> </v>
      </c>
      <c r="Q315" s="33" t="str">
        <f ca="1">IF(AND($O$11="wizard",$P$309&gt;=O315),INDEX('Spell Tables'!$T$242:$T$271,MATCH(1,(O315:O324),0)),IF(AND($Q$11="wizard",$P$312&gt;=O315),INDEX('Spell Tables'!$T$242:$T$271,MATCH(O315,('Spell Tables'!$R$242:$R$271),0))," "))</f>
        <v xml:space="preserve"> </v>
      </c>
      <c r="R315" s="33" t="str">
        <f ca="1">IF($Q$309&gt;=O315,INDEX('Spell Tables'!$X$242:$X$275,MATCH(O315,('Spell Tables'!$V$242:$V$275),0)),IF(AND($Q$11="wizard",$Q$312&gt;=O315),INDEX('Spell Tables'!$X$242:$X$275,MATCH(O315,('Spell Tables'!$V$242:$V$275),0))," "))</f>
        <v xml:space="preserve"> </v>
      </c>
      <c r="S315" s="33" t="str">
        <f ca="1">IF($R$309&gt;=O315,INDEX('Spell Tables'!$AB$242:$AB$270,MATCH(O315,('Spell Tables'!$Z$242:$Z$270),0)),IF(AND($Q$11="wizard",$R$312&gt;=O315),INDEX('Spell Tables'!$AB$242:$AB$270,MATCH(O315,('Spell Tables'!$Z$242:$Z$270),0))," "))</f>
        <v xml:space="preserve"> </v>
      </c>
      <c r="T315" s="72" t="str">
        <f ca="1">IF($S$309&gt;=O315,INDEX('Spell Tables'!$AF$242:$AF$264,MATCH(O315,('Spell Tables'!$AD$242:$AD$264),0)),IF(AND($Q$11="wizard",$S$312&gt;=O315),INDEX('Spell Tables'!$AF$242:$AF$264,MATCH(O315,('Spell Tables'!$AD$242:$AD$264),0))," "))</f>
        <v xml:space="preserve"> </v>
      </c>
    </row>
    <row r="316" spans="2:20" x14ac:dyDescent="0.3">
      <c r="B316" s="79"/>
      <c r="C316" s="33"/>
      <c r="D316" s="33"/>
      <c r="E316" s="33"/>
      <c r="F316" s="33"/>
      <c r="G316" s="33"/>
      <c r="H316" s="33"/>
      <c r="I316" s="33"/>
      <c r="J316" s="33"/>
      <c r="K316" s="33"/>
      <c r="L316" s="33"/>
      <c r="M316" s="33"/>
      <c r="N316" s="33"/>
      <c r="O316" s="34">
        <v>2</v>
      </c>
      <c r="P316" s="33" t="str">
        <f t="shared" ca="1" si="67"/>
        <v xml:space="preserve"> </v>
      </c>
      <c r="Q316" s="33" t="str">
        <f ca="1">IF(AND($O$11="wizard",$P$309&gt;=O316),INDEX('Spell Tables'!$T$242:$T$271,MATCH(O316,('Spell Tables'!$R$242:$R$271),0)),IF(AND($Q$11="wizard",$P$312&gt;=O316),INDEX('Spell Tables'!$T$242:$T$271,MATCH(O316,('Spell Tables'!$R$242:$R$271),0))," "))</f>
        <v xml:space="preserve"> </v>
      </c>
      <c r="R316" s="33" t="str">
        <f ca="1">IF($Q$309&gt;=O316,INDEX('Spell Tables'!$X$242:$X$275,MATCH(O316,('Spell Tables'!$V$242:$V$275),0)),IF(AND($Q$11="wizard",$Q$312&gt;=O316),INDEX('Spell Tables'!$X$242:$X$275,MATCH(O316,('Spell Tables'!$V$242:$V$275),0))," "))</f>
        <v xml:space="preserve"> </v>
      </c>
      <c r="S316" s="33" t="str">
        <f ca="1">IF($R$309&gt;=O316,INDEX('Spell Tables'!$AB$242:$AB$270,MATCH(O316,('Spell Tables'!$Z$242:$Z$270),0)),IF(AND($Q$11="wizard",$R$312&gt;=O316),INDEX('Spell Tables'!$AB$242:$AB$270,MATCH(O316,('Spell Tables'!$Z$242:$Z$270),0))," "))</f>
        <v xml:space="preserve"> </v>
      </c>
      <c r="T316" s="72" t="str">
        <f ca="1">IF($S$309&gt;=O316,INDEX('Spell Tables'!$AF$242:$AF$264,MATCH(O316,('Spell Tables'!$AD$242:$AD$264),0)),IF(AND($Q$11="wizard",$S$312&gt;=O316),INDEX('Spell Tables'!$AF$242:$AF$264,MATCH(O316,('Spell Tables'!$AD$242:$AD$264),0))," "))</f>
        <v xml:space="preserve"> </v>
      </c>
    </row>
    <row r="317" spans="2:20" x14ac:dyDescent="0.3">
      <c r="B317" s="79"/>
      <c r="C317" s="33"/>
      <c r="D317" s="33"/>
      <c r="E317" s="33"/>
      <c r="F317" s="33"/>
      <c r="G317" s="33"/>
      <c r="H317" s="33"/>
      <c r="I317" s="33"/>
      <c r="J317" s="33"/>
      <c r="K317" s="33"/>
      <c r="L317" s="33"/>
      <c r="M317" s="33"/>
      <c r="N317" s="33"/>
      <c r="O317" s="34">
        <v>3</v>
      </c>
      <c r="P317" s="33" t="str">
        <f t="shared" ca="1" si="67"/>
        <v xml:space="preserve"> </v>
      </c>
      <c r="Q317" s="33" t="str">
        <f ca="1">IF(AND($O$11="wizard",$P$309&gt;=O317),INDEX('Spell Tables'!$T$242:$T$271,MATCH(O317,('Spell Tables'!$R$242:$R$271),0)),IF(AND($Q$11="wizard",$P$312&gt;=O317),INDEX('Spell Tables'!$T$242:$T$271,MATCH(O317,('Spell Tables'!$R$242:$R$271),0))," "))</f>
        <v xml:space="preserve"> </v>
      </c>
      <c r="R317" s="33" t="str">
        <f ca="1">IF($Q$309&gt;=O317,INDEX('Spell Tables'!$X$242:$X$275,MATCH(O317,('Spell Tables'!$V$242:$V$275),0)),IF(AND($Q$11="wizard",$Q$312&gt;=O317),INDEX('Spell Tables'!$X$242:$X$275,MATCH(O317,('Spell Tables'!$V$242:$V$275),0))," "))</f>
        <v xml:space="preserve"> </v>
      </c>
      <c r="S317" s="33" t="str">
        <f ca="1">IF($R$309&gt;=O317,INDEX('Spell Tables'!$AB$242:$AB$270,MATCH(O317,('Spell Tables'!$Z$242:$Z$270),0)),IF(AND($Q$11="wizard",$R$312&gt;=O317),INDEX('Spell Tables'!$AB$242:$AB$270,MATCH(O317,('Spell Tables'!$Z$242:$Z$270),0))," "))</f>
        <v xml:space="preserve"> </v>
      </c>
      <c r="T317" s="72" t="str">
        <f ca="1">IF($S$309&gt;=O317,INDEX('Spell Tables'!$AF$242:$AF$264,MATCH(O317,('Spell Tables'!$AD$242:$AD$264),0)),IF(AND($Q$11="wizard",$S$312&gt;=O317),INDEX('Spell Tables'!$AF$242:$AF$264,MATCH(O317,('Spell Tables'!$AD$242:$AD$264),0))," "))</f>
        <v xml:space="preserve"> </v>
      </c>
    </row>
    <row r="318" spans="2:20" x14ac:dyDescent="0.3">
      <c r="B318" s="79"/>
      <c r="C318" s="33"/>
      <c r="D318" s="33"/>
      <c r="E318" s="33"/>
      <c r="F318" s="33"/>
      <c r="G318" s="33"/>
      <c r="H318" s="33"/>
      <c r="I318" s="33"/>
      <c r="J318" s="33"/>
      <c r="K318" s="33"/>
      <c r="L318" s="33"/>
      <c r="M318" s="33"/>
      <c r="N318" s="33"/>
      <c r="O318" s="34">
        <v>4</v>
      </c>
      <c r="P318" s="33" t="str">
        <f t="shared" ca="1" si="67"/>
        <v xml:space="preserve"> </v>
      </c>
      <c r="Q318" s="33" t="str">
        <f ca="1">IF(AND($O$11="wizard",$P$309&gt;=O318),INDEX('Spell Tables'!$T$242:$T$271,MATCH(O318,('Spell Tables'!$R$242:$R$271),0)),IF(AND($Q$11="wizard",$P$312&gt;=O318),INDEX('Spell Tables'!$T$242:$T$271,MATCH(O318,('Spell Tables'!$R$242:$R$271),0))," "))</f>
        <v xml:space="preserve"> </v>
      </c>
      <c r="R318" s="33" t="str">
        <f ca="1">IF($Q$309&gt;=O318,INDEX('Spell Tables'!$X$242:$X$275,MATCH(O318,('Spell Tables'!$V$242:$V$275),0)),IF(AND($Q$11="wizard",$Q$312&gt;=O318),INDEX('Spell Tables'!$X$242:$X$275,MATCH(O318,('Spell Tables'!$V$242:$V$275),0))," "))</f>
        <v xml:space="preserve"> </v>
      </c>
      <c r="S318" s="33" t="str">
        <f ca="1">IF($R$309&gt;=O318,INDEX('Spell Tables'!$AB$242:$AB$270,MATCH(O318,('Spell Tables'!$Z$242:$Z$270),0)),IF(AND($Q$11="wizard",$R$312&gt;=O318),INDEX('Spell Tables'!$AB$242:$AB$270,MATCH(O318,('Spell Tables'!$Z$242:$Z$270),0))," "))</f>
        <v xml:space="preserve"> </v>
      </c>
      <c r="T318" s="72" t="str">
        <f ca="1">IF($S$309&gt;=O318,INDEX('Spell Tables'!$AF$242:$AF$264,MATCH(O318,('Spell Tables'!$AD$242:$AD$264),0)),IF(AND($Q$11="wizard",$S$312&gt;=O318),INDEX('Spell Tables'!$AF$242:$AF$264,MATCH(O318,('Spell Tables'!$AD$242:$AD$264),0))," "))</f>
        <v xml:space="preserve"> </v>
      </c>
    </row>
    <row r="319" spans="2:20" x14ac:dyDescent="0.3">
      <c r="B319" s="79"/>
      <c r="C319" s="33"/>
      <c r="D319" s="33"/>
      <c r="E319" s="33"/>
      <c r="F319" s="33"/>
      <c r="G319" s="33"/>
      <c r="H319" s="33"/>
      <c r="I319" s="33"/>
      <c r="J319" s="33"/>
      <c r="K319" s="33"/>
      <c r="L319" s="33"/>
      <c r="M319" s="33"/>
      <c r="N319" s="33"/>
      <c r="O319" s="34">
        <v>5</v>
      </c>
      <c r="P319" s="33" t="str">
        <f t="shared" ca="1" si="67"/>
        <v xml:space="preserve"> </v>
      </c>
      <c r="Q319" s="33" t="str">
        <f ca="1">IF(AND($O$11="wizard",$P$309&gt;=O319),INDEX('Spell Tables'!$T$242:$T$271,MATCH(O319,('Spell Tables'!$R$242:$R$271),0)),IF(AND($Q$11="wizard",$P$312&gt;=O319),INDEX('Spell Tables'!$T$242:$T$271,MATCH(O319,('Spell Tables'!$R$242:$R$271),0))," "))</f>
        <v xml:space="preserve"> </v>
      </c>
      <c r="R319" s="33" t="str">
        <f ca="1">IF($Q$309&gt;=O319,INDEX('Spell Tables'!$X$242:$X$275,MATCH(O319,('Spell Tables'!$V$242:$V$275),0)),IF(AND($Q$11="wizard",$Q$312&gt;=O319),INDEX('Spell Tables'!$X$242:$X$275,MATCH(O319,('Spell Tables'!$V$242:$V$275),0))," "))</f>
        <v xml:space="preserve"> </v>
      </c>
      <c r="S319" s="33" t="str">
        <f ca="1">IF($R$309&gt;=O319,INDEX('Spell Tables'!$AB$242:$AB$270,MATCH(O319,('Spell Tables'!$Z$242:$Z$270),0)),IF(AND($Q$11="wizard",$R$312&gt;=O319),INDEX('Spell Tables'!$AB$242:$AB$270,MATCH(O319,('Spell Tables'!$Z$242:$Z$270),0))," "))</f>
        <v xml:space="preserve"> </v>
      </c>
      <c r="T319" s="72" t="str">
        <f ca="1">IF($S$309&gt;=O319,INDEX('Spell Tables'!$AF$242:$AF$264,MATCH(O319,('Spell Tables'!$AD$242:$AD$264),0)),IF(AND($Q$11="wizard",$S$312&gt;=O319),INDEX('Spell Tables'!$AF$242:$AF$264,MATCH(O319,('Spell Tables'!$AD$242:$AD$264),0))," "))</f>
        <v xml:space="preserve"> </v>
      </c>
    </row>
    <row r="320" spans="2:20" x14ac:dyDescent="0.3">
      <c r="B320" s="79"/>
      <c r="C320" s="33"/>
      <c r="D320" s="33"/>
      <c r="E320" s="33"/>
      <c r="F320" s="33"/>
      <c r="G320" s="33"/>
      <c r="H320" s="33"/>
      <c r="I320" s="33"/>
      <c r="J320" s="33"/>
      <c r="K320" s="33"/>
      <c r="L320" s="33"/>
      <c r="M320" s="33"/>
      <c r="N320" s="33"/>
      <c r="O320" s="34">
        <v>6</v>
      </c>
      <c r="P320" s="33" t="str">
        <f t="shared" ca="1" si="67"/>
        <v xml:space="preserve"> </v>
      </c>
      <c r="Q320" s="33" t="str">
        <f ca="1">IF(AND($O$11="wizard",$P$309&gt;=O320),INDEX('Spell Tables'!$T$242:$T$271,MATCH(O320,('Spell Tables'!$R$242:$R$271),0)),IF(AND($Q$11="wizard",$P$312&gt;=O320),INDEX('Spell Tables'!$T$242:$T$271,MATCH(O320,('Spell Tables'!$R$242:$R$271),0))," "))</f>
        <v xml:space="preserve"> </v>
      </c>
      <c r="R320" s="33" t="str">
        <f ca="1">IF($Q$309&gt;=O320,INDEX('Spell Tables'!$X$242:$X$275,MATCH(O320,('Spell Tables'!$V$242:$V$275),0)),IF(AND($Q$11="wizard",$Q$312&gt;=O320),INDEX('Spell Tables'!$X$242:$X$275,MATCH(O320,('Spell Tables'!$V$242:$V$275),0))," "))</f>
        <v xml:space="preserve"> </v>
      </c>
      <c r="S320" s="33" t="str">
        <f ca="1">IF($R$309&gt;=O320,INDEX('Spell Tables'!$AB$242:$AB$270,MATCH(O320,('Spell Tables'!$Z$242:$Z$270),0)),IF(AND($Q$11="wizard",$R$312&gt;=O320),INDEX('Spell Tables'!$AB$242:$AB$270,MATCH(O320,('Spell Tables'!$Z$242:$Z$270),0))," "))</f>
        <v xml:space="preserve"> </v>
      </c>
      <c r="T320" s="72" t="str">
        <f ca="1">IF($S$309&gt;=O320,INDEX('Spell Tables'!$AF$242:$AF$264,MATCH(O320,('Spell Tables'!$AD$242:$AD$264),0)),IF(AND($Q$11="wizard",$S$312&gt;=O320),INDEX('Spell Tables'!$AF$242:$AF$264,MATCH(O320,('Spell Tables'!$AD$242:$AD$264),0))," "))</f>
        <v xml:space="preserve"> </v>
      </c>
    </row>
    <row r="321" spans="1:20" x14ac:dyDescent="0.3">
      <c r="B321" s="79"/>
      <c r="C321" s="33"/>
      <c r="D321" s="33"/>
      <c r="E321" s="33"/>
      <c r="F321" s="33"/>
      <c r="G321" s="33"/>
      <c r="H321" s="33"/>
      <c r="I321" s="33"/>
      <c r="J321" s="33"/>
      <c r="K321" s="33"/>
      <c r="L321" s="33"/>
      <c r="M321" s="33"/>
      <c r="N321" s="33"/>
      <c r="O321" s="34">
        <v>7</v>
      </c>
      <c r="P321" s="33" t="str">
        <f t="shared" ca="1" si="67"/>
        <v xml:space="preserve"> </v>
      </c>
      <c r="Q321" s="33" t="str">
        <f ca="1">IF(AND($O$11="wizard",$P$309&gt;=O321),INDEX('Spell Tables'!$T$242:$T$271,MATCH(O321,('Spell Tables'!$R$242:$R$271),0)),IF(AND($Q$11="wizard",$P$312&gt;=O321),INDEX('Spell Tables'!$T$242:$T$271,MATCH(O321,('Spell Tables'!$R$242:$R$271),0))," "))</f>
        <v xml:space="preserve"> </v>
      </c>
      <c r="R321" s="33" t="str">
        <f ca="1">IF($Q$309&gt;=O321,INDEX('Spell Tables'!$X$242:$X$275,MATCH(O321,('Spell Tables'!$V$242:$V$275),0)),IF(AND($Q$11="wizard",$Q$312&gt;=O321),INDEX('Spell Tables'!$X$242:$X$275,MATCH(O321,('Spell Tables'!$V$242:$V$275),0))," "))</f>
        <v xml:space="preserve"> </v>
      </c>
      <c r="S321" s="33" t="str">
        <f ca="1">IF($R$309&gt;=O321,INDEX('Spell Tables'!$AB$242:$AB$270,MATCH(O321,('Spell Tables'!$Z$242:$Z$270),0)),IF(AND($Q$11="wizard",$R$312&gt;=O321),INDEX('Spell Tables'!$AB$242:$AB$270,MATCH(O321,('Spell Tables'!$Z$242:$Z$270),0))," "))</f>
        <v xml:space="preserve"> </v>
      </c>
      <c r="T321" s="72" t="str">
        <f ca="1">IF($S$309&gt;=O321,INDEX('Spell Tables'!$AF$242:$AF$264,MATCH(O321,('Spell Tables'!$AD$242:$AD$264),0)),IF(AND($Q$11="wizard",$S$312&gt;=O321),INDEX('Spell Tables'!$AF$242:$AF$264,MATCH(O321,('Spell Tables'!$AD$242:$AD$264),0))," "))</f>
        <v xml:space="preserve"> </v>
      </c>
    </row>
    <row r="322" spans="1:20" x14ac:dyDescent="0.3">
      <c r="B322" s="79"/>
      <c r="C322" s="33"/>
      <c r="D322" s="33"/>
      <c r="E322" s="33"/>
      <c r="F322" s="33"/>
      <c r="G322" s="33"/>
      <c r="H322" s="33"/>
      <c r="I322" s="33"/>
      <c r="J322" s="33"/>
      <c r="K322" s="33"/>
      <c r="L322" s="33"/>
      <c r="M322" s="33"/>
      <c r="N322" s="33"/>
      <c r="O322" s="34">
        <v>8</v>
      </c>
      <c r="P322" s="33" t="str">
        <f t="shared" ca="1" si="67"/>
        <v xml:space="preserve"> </v>
      </c>
      <c r="Q322" s="33" t="str">
        <f ca="1">IF(AND($O$11="wizard",$P$309&gt;=O322),INDEX('Spell Tables'!$T$242:$T$271,MATCH(O322,('Spell Tables'!$R$242:$R$271),0)),IF(AND($Q$11="wizard",$P$312&gt;=O322),INDEX('Spell Tables'!$T$242:$T$271,MATCH(O322,('Spell Tables'!$R$242:$R$271),0))," "))</f>
        <v xml:space="preserve"> </v>
      </c>
      <c r="R322" s="33" t="str">
        <f ca="1">IF($Q$309&gt;=O322,INDEX('Spell Tables'!$X$242:$X$275,MATCH(O322,('Spell Tables'!$V$242:$V$275),0)),IF(AND($Q$11="wizard",$Q$312&gt;=O322),INDEX('Spell Tables'!$X$242:$X$275,MATCH(O322,('Spell Tables'!$V$242:$V$275),0))," "))</f>
        <v xml:space="preserve"> </v>
      </c>
      <c r="S322" s="33" t="str">
        <f ca="1">IF($R$309&gt;=O322,INDEX('Spell Tables'!$AB$242:$AB$270,MATCH(O322,('Spell Tables'!$Z$242:$Z$270),0)),IF(AND($Q$11="wizard",$R$312&gt;=O322),INDEX('Spell Tables'!$AB$242:$AB$270,MATCH(O322,('Spell Tables'!$Z$242:$Z$270),0))," "))</f>
        <v xml:space="preserve"> </v>
      </c>
      <c r="T322" s="72" t="str">
        <f ca="1">IF($S$309&gt;=O322,INDEX('Spell Tables'!$AF$242:$AF$264,MATCH(O322,('Spell Tables'!$AD$242:$AD$264),0)),IF(AND($Q$11="wizard",$S$312&gt;=O322),INDEX('Spell Tables'!$AF$242:$AF$264,MATCH(O322,('Spell Tables'!$AD$242:$AD$264),0))," "))</f>
        <v xml:space="preserve"> </v>
      </c>
    </row>
    <row r="323" spans="1:20" x14ac:dyDescent="0.3">
      <c r="B323" s="79"/>
      <c r="C323" s="33"/>
      <c r="D323" s="33"/>
      <c r="E323" s="33"/>
      <c r="F323" s="33"/>
      <c r="G323" s="33"/>
      <c r="H323" s="33"/>
      <c r="I323" s="33"/>
      <c r="J323" s="33"/>
      <c r="K323" s="33"/>
      <c r="L323" s="33"/>
      <c r="M323" s="33"/>
      <c r="N323" s="33"/>
      <c r="O323" s="34">
        <v>9</v>
      </c>
      <c r="P323" s="33" t="str">
        <f t="shared" ca="1" si="67"/>
        <v xml:space="preserve"> </v>
      </c>
      <c r="Q323" s="33" t="str">
        <f ca="1">IF(AND($O$11="wizard",$P$309&gt;=O323),INDEX('Spell Tables'!$T$242:$T$271,MATCH(O323,('Spell Tables'!$R$242:$R$271),0)),IF(AND($Q$11="wizard",$P$312&gt;=O323),INDEX('Spell Tables'!$T$242:$T$271,MATCH(O323,('Spell Tables'!$R$242:$R$271),0))," "))</f>
        <v xml:space="preserve"> </v>
      </c>
      <c r="R323" s="33" t="str">
        <f ca="1">IF($Q$309&gt;=O323,INDEX('Spell Tables'!$X$242:$X$275,MATCH(O323,('Spell Tables'!$V$242:$V$275),0)),IF(AND($Q$11="wizard",$Q$312&gt;=O323),INDEX('Spell Tables'!$X$242:$X$275,MATCH(O323,('Spell Tables'!$V$242:$V$275),0))," "))</f>
        <v xml:space="preserve"> </v>
      </c>
      <c r="S323" s="33" t="str">
        <f ca="1">IF($R$309&gt;=O323,INDEX('Spell Tables'!$AB$242:$AB$270,MATCH(O323,('Spell Tables'!$Z$242:$Z$270),0)),IF(AND($Q$11="wizard",$R$312&gt;=O323),INDEX('Spell Tables'!$AB$242:$AB$270,MATCH(O323,('Spell Tables'!$Z$242:$Z$270),0))," "))</f>
        <v xml:space="preserve"> </v>
      </c>
      <c r="T323" s="72" t="str">
        <f ca="1">IF($S$309&gt;=O323,INDEX('Spell Tables'!$AF$242:$AF$264,MATCH(O323,('Spell Tables'!$AD$242:$AD$264),0)),IF(AND($Q$11="wizard",$S$312&gt;=O323),INDEX('Spell Tables'!$AF$242:$AF$264,MATCH(O323,('Spell Tables'!$AD$242:$AD$264),0))," "))</f>
        <v xml:space="preserve"> </v>
      </c>
    </row>
    <row r="324" spans="1:20" ht="19.5" thickBot="1" x14ac:dyDescent="0.35">
      <c r="B324" s="80"/>
      <c r="C324" s="38"/>
      <c r="D324" s="38"/>
      <c r="E324" s="38"/>
      <c r="F324" s="38"/>
      <c r="G324" s="38"/>
      <c r="H324" s="38"/>
      <c r="I324" s="38"/>
      <c r="J324" s="38"/>
      <c r="K324" s="38"/>
      <c r="L324" s="38"/>
      <c r="M324" s="38"/>
      <c r="N324" s="38"/>
      <c r="O324" s="82">
        <v>10</v>
      </c>
      <c r="P324" s="38" t="str">
        <f t="shared" ca="1" si="67"/>
        <v xml:space="preserve"> </v>
      </c>
      <c r="Q324" s="38" t="str">
        <f ca="1">IF(AND($O$11="wizard",$P$309&gt;=O324),INDEX('Spell Tables'!$T$242:$T$271,MATCH(O324,('Spell Tables'!$R$242:$R$271),0)),IF(AND($Q$11="wizard",$P$312&gt;=O324),INDEX('Spell Tables'!$T$242:$T$271,MATCH(O324,('Spell Tables'!$R$242:$R$271),0))," "))</f>
        <v xml:space="preserve"> </v>
      </c>
      <c r="R324" s="38" t="str">
        <f ca="1">IF($Q$309&gt;=O324,INDEX('Spell Tables'!$X$242:$X$275,MATCH(O324,('Spell Tables'!$V$242:$V$275),0)),IF(AND($Q$11="wizard",$Q$312&gt;=O324),INDEX('Spell Tables'!$X$242:$X$275,MATCH(O324,('Spell Tables'!$V$242:$V$275),0))," "))</f>
        <v xml:space="preserve"> </v>
      </c>
      <c r="S324" s="38" t="str">
        <f ca="1">IF($R$309&gt;=O324,INDEX('Spell Tables'!$AB$242:$AB$270,MATCH(O324,('Spell Tables'!$Z$242:$Z$270),0)),IF(AND($Q$11="wizard",$R$312&gt;=O324),INDEX('Spell Tables'!$AB$242:$AB$270,MATCH(O324,('Spell Tables'!$Z$242:$Z$270),0))," "))</f>
        <v xml:space="preserve"> </v>
      </c>
      <c r="T324" s="73" t="str">
        <f ca="1">IF($S$309&gt;=O324,INDEX('Spell Tables'!$AF$242:$AF$264,MATCH(O324,('Spell Tables'!$AD$242:$AD$264),0)),IF(AND($Q$11="wizard",$S$312&gt;=O324),INDEX('Spell Tables'!$AF$242:$AF$264,MATCH(O324,('Spell Tables'!$AD$242:$AD$264),0))," "))</f>
        <v xml:space="preserve"> </v>
      </c>
    </row>
    <row r="325" spans="1:20" ht="19.5" thickBot="1" x14ac:dyDescent="0.35">
      <c r="K325" s="100"/>
      <c r="L325" s="60"/>
      <c r="O325" s="99"/>
    </row>
    <row r="326" spans="1:20" ht="19.5" hidden="1" thickBot="1" x14ac:dyDescent="0.35">
      <c r="K326" s="100"/>
      <c r="L326" s="60"/>
      <c r="O326" s="65" t="s">
        <v>1169</v>
      </c>
      <c r="P326" s="65" t="s">
        <v>1170</v>
      </c>
      <c r="Q326" s="65" t="s">
        <v>1171</v>
      </c>
      <c r="R326" s="65" t="s">
        <v>677</v>
      </c>
      <c r="S326" s="101" t="s">
        <v>1172</v>
      </c>
    </row>
    <row r="327" spans="1:20" ht="19.5" hidden="1" thickBot="1" x14ac:dyDescent="0.35">
      <c r="K327" s="100"/>
      <c r="L327" s="60"/>
      <c r="O327" s="60" t="str">
        <f ca="1">IF(AND(O11="wizard",O12&gt;=15),"xxxx",IF(AND(O11="wizard",O12&gt;=11),"x",IF(AND($O$11="wizard",$O$12&gt;9),"xx",IF(AND(O11="wizard",O12=9),"xxx"," "))))</f>
        <v xml:space="preserve"> </v>
      </c>
      <c r="P327" s="60" t="str">
        <f ca="1">IF(AND(O11="wizard",O12&gt;=17),"xxxx",IF(AND(O11="wizard",O12&gt;=13),"x",IF(AND($O$11="wizard",$O$12&gt;11),"xx",IF(AND(O11="wizard",O12=11),"xxx"," "))))</f>
        <v xml:space="preserve"> </v>
      </c>
      <c r="Q327" s="60" t="str">
        <f ca="1">IF(AND(O11="wizard",O12&gt;=19),"xxxx",IF(AND(O11="wizard",O12&gt;=15),"x",IF(AND($O$11="wizard",$O$12&gt;13),"xx",IF(AND(O11="wizard",O12=13),"xxx"," "))))</f>
        <v xml:space="preserve"> </v>
      </c>
      <c r="R327" s="60" t="str">
        <f ca="1">IF(AND(O11="wizard",O12&gt;=17),"x",IF(AND($O$11="wizard",$O$12&gt;15),"xx",IF(AND(O11="wizard",O12=15),"xxx"," ")))</f>
        <v xml:space="preserve"> </v>
      </c>
      <c r="S327" s="102" t="str">
        <f ca="1">IF(AND($O$11="wizard",$O$12&gt;17),"xx",IF(AND(O11="wizard",O12=17),"xxx"," "))</f>
        <v xml:space="preserve"> </v>
      </c>
    </row>
    <row r="328" spans="1:20" ht="19.5" hidden="1" thickBot="1" x14ac:dyDescent="0.35">
      <c r="K328" s="100"/>
      <c r="L328" s="60"/>
      <c r="O328" s="65">
        <f ca="1">IF($O327="xxxx",MAX(P208,(RANDBETWEEN(5,6))),IF(O327="x",MAX(P208,(RANDBETWEEN(3,6))),IF(O327="xx",MAX(P208,(RANDBETWEEN(2,4))),IF(O327="xxx",MAX(P208,(2)),0))))</f>
        <v>0</v>
      </c>
      <c r="P328" s="65">
        <f ca="1">IF($P327="xxxx",RANDBETWEEN(5,6),IF(P327="x",RANDBETWEEN(3,6),IF(P327="xx",RANDBETWEEN(2,4),IF(P327="xxx",2,0))))</f>
        <v>0</v>
      </c>
      <c r="Q328" s="65">
        <f ca="1">IF($Q327="xxxx",RANDBETWEEN(5,6),IF(Q327="x",RANDBETWEEN(3,6),IF(Q327="xx",RANDBETWEEN(2,4),IF(Q327="xxx",2,0))))</f>
        <v>0</v>
      </c>
      <c r="R328" s="65">
        <f ca="1">IF(OR(R327="x",R327="xx"),RANDBETWEEN(2,4),IF(R327="xxx",2,0))</f>
        <v>0</v>
      </c>
      <c r="S328" s="101">
        <f ca="1">IF(S327="xx",RANDBETWEEN(2,4),IF(S327="xxx",2,0))</f>
        <v>0</v>
      </c>
    </row>
    <row r="329" spans="1:20" ht="19.5" hidden="1" thickBot="1" x14ac:dyDescent="0.35">
      <c r="K329" s="100"/>
      <c r="L329" s="60"/>
      <c r="O329" s="60" t="s">
        <v>1169</v>
      </c>
      <c r="P329" s="60" t="s">
        <v>1170</v>
      </c>
      <c r="Q329" s="60" t="s">
        <v>1171</v>
      </c>
      <c r="R329" s="60" t="s">
        <v>677</v>
      </c>
      <c r="S329" s="102" t="s">
        <v>1172</v>
      </c>
    </row>
    <row r="330" spans="1:20" ht="19.5" hidden="1" thickBot="1" x14ac:dyDescent="0.35">
      <c r="K330" s="100"/>
      <c r="L330" s="60"/>
      <c r="O330" s="65" t="str">
        <f ca="1">IF(AND(Q11="wizard",Q12&gt;=15),"xxxx",IF(AND(Q11="wizard",Q12&gt;=11),"x",IF(AND($Q$11="wizard",$Q$12&gt;9),"xx",IF(AND(Q11="wizard",Q12=9),"xxx"," "))))</f>
        <v xml:space="preserve"> </v>
      </c>
      <c r="P330" s="65" t="str">
        <f ca="1">IF(AND(Q11="wizard",Q12&gt;=17),"xxxx",IF(AND(Q11="wizard",Q12&gt;=13),"x",IF(AND($Q$11="wizard",$Q$12&gt;11),"xx",IF(AND(Q11="wizard",Q12=11),"xxx"," "))))</f>
        <v xml:space="preserve"> </v>
      </c>
      <c r="Q330" s="65" t="str">
        <f ca="1">IF(AND(Q11="wizard",Q12&gt;=19),"xxxx",IF(AND(Q11="wizard",Q12&gt;=15),"x",IF(AND($Q$11="wizard",$Q$12&gt;13),"xx",IF(AND(Q11="wizard",Q12=13),"xxx"," "))))</f>
        <v xml:space="preserve"> </v>
      </c>
      <c r="R330" s="65" t="str">
        <f ca="1">IF(AND(Q11="wizard",Q12&gt;=17),"x",IF(AND($Q$11="wizard",$Q$12&gt;15),"xx",IF(AND(Q11="wizard",Q12=15),"xxx"," ")))</f>
        <v xml:space="preserve"> </v>
      </c>
      <c r="S330" s="101" t="str">
        <f ca="1">IF(AND($Q$11="wizard",$Q$12&gt;17),"xx",IF(AND(Q11="wizard",Q12=17),"xxx"," "))</f>
        <v xml:space="preserve"> </v>
      </c>
    </row>
    <row r="331" spans="1:20" ht="19.5" hidden="1" thickBot="1" x14ac:dyDescent="0.35">
      <c r="K331" s="100"/>
      <c r="L331" s="60"/>
      <c r="O331" s="60">
        <f ca="1">IF($O330="xxxx",MAX(O275,(RANDBETWEEN(5,6))),IF(O330="x",MAX(O275,(RANDBETWEEN(3,6))),IF(O330="xx",MAX(O275,(RANDBETWEEN(2,4))),IF(O330="xxx",MAX(O275,(2)),0))))</f>
        <v>0</v>
      </c>
      <c r="P331" s="60">
        <f ca="1">IF($P330="xxxx",RANDBETWEEN(5,6),IF(P330="x",RANDBETWEEN(3,6),IF(P330="xx",RANDBETWEEN(2,4),IF(P330="xxx",2,0))))</f>
        <v>0</v>
      </c>
      <c r="Q331" s="60">
        <f ca="1">IF($Q330="xxxx",RANDBETWEEN(5,6),IF(Q330="x",RANDBETWEEN(3,6),IF(Q330="xx",RANDBETWEEN(2,4),IF(Q330="xxx",2,0))))</f>
        <v>0</v>
      </c>
      <c r="R331" s="60">
        <f ca="1">IF(OR(R330="x",R330="xx"),RANDBETWEEN(2,4),IF(R330="xxx",2,0))</f>
        <v>0</v>
      </c>
      <c r="S331" s="102">
        <f ca="1">IF(S330="xx",RANDBETWEEN(2,4),IF(S330="xxx",2,0))</f>
        <v>0</v>
      </c>
    </row>
    <row r="332" spans="1:20" ht="19.5" hidden="1" thickBot="1" x14ac:dyDescent="0.35">
      <c r="K332" s="100"/>
      <c r="L332" s="60"/>
      <c r="O332" s="65"/>
      <c r="P332" s="65"/>
      <c r="Q332" s="65"/>
      <c r="R332" s="65"/>
      <c r="S332" s="101"/>
    </row>
    <row r="333" spans="1:20" x14ac:dyDescent="0.3">
      <c r="A333" s="33"/>
      <c r="B333" s="72"/>
      <c r="K333" s="100"/>
      <c r="L333" s="60"/>
      <c r="P333" s="103" t="s">
        <v>1169</v>
      </c>
      <c r="Q333" s="103" t="s">
        <v>1170</v>
      </c>
      <c r="R333" s="103" t="s">
        <v>1171</v>
      </c>
      <c r="S333" s="103" t="s">
        <v>677</v>
      </c>
      <c r="T333" s="104" t="s">
        <v>1172</v>
      </c>
    </row>
    <row r="334" spans="1:20" x14ac:dyDescent="0.3">
      <c r="A334" s="33"/>
      <c r="B334" s="72"/>
      <c r="K334" s="100"/>
      <c r="L334" s="60"/>
      <c r="O334" s="83">
        <v>1</v>
      </c>
      <c r="P334" s="65" t="str">
        <f ca="1">IF($O$328&gt;=O315,INDEX('Spell Tables'!$AJ$242:$AJ$264,MATCH(O315,('Spell Tables'!$AH$242:$AH$264),0)),IF(AND($Q$11="wizard",$O$331&gt;=O315),INDEX('Spell Tables'!$AJ$242:$AJ$264,MATCH(O315,('Spell Tables'!$AH$242:$AH$264),0))," "))</f>
        <v xml:space="preserve"> </v>
      </c>
      <c r="Q334" s="65" t="str">
        <f ca="1">IF($P$328&gt;=O$315,INDEX('Spell Tables'!$AN$242:$AN$260,MATCH(O$315,('Spell Tables'!$AL$242:$AL$260),0))," ")</f>
        <v xml:space="preserve"> </v>
      </c>
      <c r="R334" s="65" t="str">
        <f ca="1">IF($Q$328&gt;=O$315,INDEX('Spell Tables'!$AR$242:$AR$256,MATCH(O$315,('Spell Tables'!$AP$242:$AP$256),0))," ")</f>
        <v xml:space="preserve"> </v>
      </c>
      <c r="S334" s="65" t="str">
        <f ca="1">IF($R$328&gt;=O$315,INDEX('Spell Tables'!$AV$242:$AV$255,MATCH(O$315,('Spell Tables'!$AT$242:$AT$255),0))," ")</f>
        <v xml:space="preserve"> </v>
      </c>
      <c r="T334" s="66" t="str">
        <f ca="1">IF($S$328&gt;=O$315,INDEX('Spell Tables'!$AZ$242:$AZ$253,MATCH(O$315,('Spell Tables'!$AX$242:$AX$253),0))," ")</f>
        <v xml:space="preserve"> </v>
      </c>
    </row>
    <row r="335" spans="1:20" x14ac:dyDescent="0.3">
      <c r="A335" s="33"/>
      <c r="B335" s="72"/>
      <c r="O335" s="84">
        <v>2</v>
      </c>
      <c r="P335" s="60" t="str">
        <f ca="1">IF($O$328&gt;=O316,INDEX('Spell Tables'!$AJ$242:$AJ$264,MATCH(O316,('Spell Tables'!$AH$242:$AH$264),0)),IF(AND($Q$11="wizard",$O$331&gt;=O316),INDEX('Spell Tables'!$AJ$242:$AJ$264,MATCH(O316,('Spell Tables'!$AH$242:$AH$264),0))," "))</f>
        <v xml:space="preserve"> </v>
      </c>
      <c r="Q335" s="60" t="str">
        <f ca="1">IF($P$328&gt;=O$316,INDEX('Spell Tables'!$AN$242:$AN$260,MATCH(O$316,('Spell Tables'!$AL$242:$AL$260),0))," ")</f>
        <v xml:space="preserve"> </v>
      </c>
      <c r="R335" s="60" t="str">
        <f ca="1">IF($Q$328&gt;=O$316,INDEX('Spell Tables'!$AR$242:$AR$256,MATCH(O$316,('Spell Tables'!$AP$242:$AP$256),0))," ")</f>
        <v xml:space="preserve"> </v>
      </c>
      <c r="S335" s="60" t="str">
        <f ca="1">IF($R$328&gt;=O$316,INDEX('Spell Tables'!$AV$242:$AV$255,MATCH(O$316,('Spell Tables'!$AT$242:$AT$255),0))," ")</f>
        <v xml:space="preserve"> </v>
      </c>
      <c r="T335" s="63" t="str">
        <f ca="1">IF($S$328&gt;=O$316,INDEX('Spell Tables'!$AZ$242:$AZ$253,MATCH(O$316,('Spell Tables'!$AX$242:$AX$253),0))," ")</f>
        <v xml:space="preserve"> </v>
      </c>
    </row>
    <row r="336" spans="1:20" x14ac:dyDescent="0.3">
      <c r="A336" s="33"/>
      <c r="B336" s="72"/>
      <c r="O336" s="83">
        <v>3</v>
      </c>
      <c r="P336" s="65" t="str">
        <f ca="1">IF($O$328&gt;=O317,INDEX('Spell Tables'!$AJ$242:$AJ$264,MATCH(O317,('Spell Tables'!$AH$242:$AH$264),0)),IF(AND($Q$11="wizard",$O$331&gt;=O317),INDEX('Spell Tables'!$AJ$242:$AJ$264,MATCH(O317,('Spell Tables'!$AH$242:$AH$264),0))," "))</f>
        <v xml:space="preserve"> </v>
      </c>
      <c r="Q336" s="65" t="str">
        <f ca="1">IF($P$328&gt;=O$317,INDEX('Spell Tables'!$AN$242:$AN$260,MATCH(O$317,('Spell Tables'!$AL$242:$AL$260),0))," ")</f>
        <v xml:space="preserve"> </v>
      </c>
      <c r="R336" s="65" t="str">
        <f ca="1">IF($Q$328&gt;=O$317,INDEX('Spell Tables'!$AR$242:$AR$256,MATCH(O$317,('Spell Tables'!$AP$242:$AP$256),0))," ")</f>
        <v xml:space="preserve"> </v>
      </c>
      <c r="S336" s="65" t="str">
        <f ca="1">IF($R$328&gt;=O$317,INDEX('Spell Tables'!$AV$242:$AV$255,MATCH(O$317,('Spell Tables'!$AT$242:$AT$255),0))," ")</f>
        <v xml:space="preserve"> </v>
      </c>
      <c r="T336" s="66" t="str">
        <f ca="1">IF($S$328&gt;=O$317,INDEX('Spell Tables'!$AZ$242:$AZ$253,MATCH(O$317,('Spell Tables'!$AX$242:$AX$253),0))," ")</f>
        <v xml:space="preserve"> </v>
      </c>
    </row>
    <row r="337" spans="1:20" x14ac:dyDescent="0.3">
      <c r="A337" s="33"/>
      <c r="B337" s="72"/>
      <c r="O337" s="84">
        <v>4</v>
      </c>
      <c r="P337" s="60" t="str">
        <f ca="1">IF($O$328&gt;=O318,INDEX('Spell Tables'!$AJ$242:$AJ$264,MATCH(O318,('Spell Tables'!$AH$242:$AH$264),0)),IF(AND($Q$11="wizard",$O$331&gt;=O318),INDEX('Spell Tables'!$AJ$242:$AJ$264,MATCH(O318,('Spell Tables'!$AH$242:$AH$264),0))," "))</f>
        <v xml:space="preserve"> </v>
      </c>
      <c r="Q337" s="60" t="str">
        <f ca="1">IF($P$328&gt;=O$318,INDEX('Spell Tables'!$AN$242:$AN$260,MATCH(O$318,('Spell Tables'!$AL$242:$AL$260),0))," ")</f>
        <v xml:space="preserve"> </v>
      </c>
      <c r="R337" s="60" t="str">
        <f ca="1">IF($Q$328&gt;=O$318,INDEX('Spell Tables'!$AR$242:$AR$256,MATCH(O$318,('Spell Tables'!$AP$242:$AP$256),0))," ")</f>
        <v xml:space="preserve"> </v>
      </c>
      <c r="S337" s="60" t="str">
        <f ca="1">IF($R$328&gt;=O$318,INDEX('Spell Tables'!$AV$242:$AV$255,MATCH(O$318,('Spell Tables'!$AT$242:$AT$255),0))," ")</f>
        <v xml:space="preserve"> </v>
      </c>
      <c r="T337" s="63" t="str">
        <f ca="1">IF($S$328&gt;=O$318,INDEX('Spell Tables'!$AZ$242:$AZ$253,MATCH(O$318,('Spell Tables'!$AX$242:$AX$253),0))," ")</f>
        <v xml:space="preserve"> </v>
      </c>
    </row>
    <row r="338" spans="1:20" x14ac:dyDescent="0.3">
      <c r="A338" s="33"/>
      <c r="B338" s="72"/>
      <c r="O338" s="83">
        <v>5</v>
      </c>
      <c r="P338" s="65" t="str">
        <f ca="1">IF($O$328&gt;=O319,INDEX('Spell Tables'!$AJ$242:$AJ$264,MATCH(O319,('Spell Tables'!$AH$242:$AH$264),0)),IF(AND($Q$11="wizard",$O$331&gt;=O319),INDEX('Spell Tables'!$AJ$242:$AJ$264,MATCH(O319,('Spell Tables'!$AH$242:$AH$264),0))," "))</f>
        <v xml:space="preserve"> </v>
      </c>
      <c r="Q338" s="65" t="str">
        <f ca="1">IF($P$328&gt;=O$319,INDEX('Spell Tables'!$AN$242:$AN$260,MATCH(O$319,('Spell Tables'!$AL$242:$AL$260),0))," ")</f>
        <v xml:space="preserve"> </v>
      </c>
      <c r="R338" s="65" t="str">
        <f ca="1">IF($Q$328&gt;=O$319,INDEX('Spell Tables'!$AR$242:$AR$256,MATCH(O$319,('Spell Tables'!$AP$242:$AP$256),0))," ")</f>
        <v xml:space="preserve"> </v>
      </c>
      <c r="S338" s="65" t="str">
        <f ca="1">IF($R$328&gt;=O$319,INDEX('Spell Tables'!$AV$242:$AV$255,MATCH(O$319,('Spell Tables'!$AT$242:$AT$255),0))," ")</f>
        <v xml:space="preserve"> </v>
      </c>
      <c r="T338" s="66" t="str">
        <f ca="1">IF($S$328&gt;=O$319,INDEX('Spell Tables'!$AZ$242:$AZ$253,MATCH(O$319,('Spell Tables'!$AX$242:$AX$253),0))," ")</f>
        <v xml:space="preserve"> </v>
      </c>
    </row>
    <row r="339" spans="1:20" x14ac:dyDescent="0.3">
      <c r="A339" s="33"/>
      <c r="B339" s="72"/>
      <c r="K339" s="100"/>
      <c r="L339" s="60"/>
      <c r="O339" s="84">
        <v>6</v>
      </c>
      <c r="P339" s="60" t="str">
        <f ca="1">IF($O$328&gt;=O320,INDEX('Spell Tables'!$AJ$242:$AJ$264,MATCH(O320,('Spell Tables'!$AH$242:$AH$264),0)),IF(AND($Q$11="wizard",$O$331&gt;=O320),INDEX('Spell Tables'!$AJ$242:$AJ$264,MATCH(O320,('Spell Tables'!$AH$242:$AH$264),0))," "))</f>
        <v xml:space="preserve"> </v>
      </c>
      <c r="Q339" s="60" t="str">
        <f ca="1">IF($P$328&gt;=O$320,INDEX('Spell Tables'!$AN$242:$AN$260,MATCH(O$320,('Spell Tables'!$AL$242:$AL$260),0))," ")</f>
        <v xml:space="preserve"> </v>
      </c>
      <c r="R339" s="60" t="str">
        <f ca="1">IF($Q$328&gt;=O$320,INDEX('Spell Tables'!$AR$242:$AR$256,MATCH(O$320,('Spell Tables'!$AP$242:$AP$256),0))," ")</f>
        <v xml:space="preserve"> </v>
      </c>
      <c r="S339" s="60" t="str">
        <f ca="1">IF($R$328&gt;=O$320,INDEX('Spell Tables'!$AV$242:$AV$255,MATCH(O$320,('Spell Tables'!$AT$242:$AT$255),0))," ")</f>
        <v xml:space="preserve"> </v>
      </c>
      <c r="T339" s="63" t="str">
        <f ca="1">IF($S$328&gt;=O$320,INDEX('Spell Tables'!$AZ$242:$AZ$253,MATCH(O$320,('Spell Tables'!$AX$242:$AX$253),0))," ")</f>
        <v xml:space="preserve"> </v>
      </c>
    </row>
    <row r="340" spans="1:20" x14ac:dyDescent="0.3">
      <c r="A340" s="33"/>
      <c r="B340" s="72"/>
      <c r="K340" s="100"/>
      <c r="L340" s="60"/>
      <c r="O340" s="83">
        <v>7</v>
      </c>
      <c r="P340" s="65" t="str">
        <f ca="1">IF($O$328&gt;=O321,INDEX('Spell Tables'!$AJ$242:$AJ$264,MATCH(O321,('Spell Tables'!$AH$242:$AH$264),0)),IF(AND($Q$11="wizard",$O$331&gt;=O321),INDEX('Spell Tables'!$AJ$242:$AJ$264,MATCH(O321,('Spell Tables'!$AH$242:$AH$264),0))," "))</f>
        <v xml:space="preserve"> </v>
      </c>
      <c r="Q340" s="65" t="str">
        <f ca="1">IF($P$328&gt;=O$321,INDEX('Spell Tables'!$AN$242:$AN$260,MATCH(O$321,('Spell Tables'!$AL$242:$AL$260),0))," ")</f>
        <v xml:space="preserve"> </v>
      </c>
      <c r="R340" s="65" t="str">
        <f ca="1">IF($Q$328&gt;=O$321,INDEX('Spell Tables'!$AR$242:$AR$256,MATCH(O$321,('Spell Tables'!$AP$242:$AP$256),0))," ")</f>
        <v xml:space="preserve"> </v>
      </c>
      <c r="S340" s="65" t="str">
        <f ca="1">IF($R$328&gt;=O$321,INDEX('Spell Tables'!$AV$242:$AV$255,MATCH(O$321,('Spell Tables'!$AT$242:$AT$255),0))," ")</f>
        <v xml:space="preserve"> </v>
      </c>
      <c r="T340" s="66" t="str">
        <f ca="1">IF($S$328&gt;=O$321,INDEX('Spell Tables'!$AZ$242:$AZ$253,MATCH(O$321,('Spell Tables'!$AX$242:$AX$253),0))," ")</f>
        <v xml:space="preserve"> </v>
      </c>
    </row>
    <row r="341" spans="1:20" x14ac:dyDescent="0.3">
      <c r="A341" s="33"/>
      <c r="B341" s="72"/>
      <c r="K341" s="100"/>
      <c r="L341" s="60"/>
      <c r="O341" s="84">
        <v>8</v>
      </c>
      <c r="P341" s="60" t="str">
        <f ca="1">IF($O$328&gt;=O322,INDEX('Spell Tables'!$AJ$242:$AJ$264,MATCH(O322,('Spell Tables'!$AH$242:$AH$264),0)),IF(AND($Q$11="wizard",$O$331&gt;=O322),INDEX('Spell Tables'!$AJ$242:$AJ$264,MATCH(O322,('Spell Tables'!$AH$242:$AH$264),0))," "))</f>
        <v xml:space="preserve"> </v>
      </c>
      <c r="Q341" s="60" t="str">
        <f ca="1">IF($P$328&gt;=O$322,INDEX('Spell Tables'!$AN$242:$AN$260,MATCH(O$322,('Spell Tables'!$AL$242:$AL$260),0))," ")</f>
        <v xml:space="preserve"> </v>
      </c>
      <c r="R341" s="60" t="str">
        <f ca="1">IF($Q$328&gt;=O$322,INDEX('Spell Tables'!$AR$242:$AR$256,MATCH(O$322,('Spell Tables'!$AP$242:$AP$256),0))," ")</f>
        <v xml:space="preserve"> </v>
      </c>
      <c r="S341" s="60" t="str">
        <f ca="1">IF($R$328&gt;=O$322,INDEX('Spell Tables'!$AV$242:$AV$255,MATCH(O$322,('Spell Tables'!$AT$242:$AT$255),0))," ")</f>
        <v xml:space="preserve"> </v>
      </c>
      <c r="T341" s="63" t="str">
        <f ca="1">IF($S$328&gt;=O$322,INDEX('Spell Tables'!$AZ$242:$AZ$253,MATCH(O$322,('Spell Tables'!$AX$242:$AX$253),0))," ")</f>
        <v xml:space="preserve"> </v>
      </c>
    </row>
    <row r="342" spans="1:20" x14ac:dyDescent="0.3">
      <c r="A342" s="33"/>
      <c r="B342" s="72"/>
      <c r="O342" s="83">
        <v>9</v>
      </c>
      <c r="P342" s="65" t="str">
        <f ca="1">IF($O$328&gt;=O323,INDEX('Spell Tables'!$AJ$242:$AJ$264,MATCH(O323,('Spell Tables'!$AH$242:$AH$264),0)),IF(AND($Q$11="wizard",$O$331&gt;=O323),INDEX('Spell Tables'!$AJ$242:$AJ$264,MATCH(O323,('Spell Tables'!$AH$242:$AH$264),0))," "))</f>
        <v xml:space="preserve"> </v>
      </c>
      <c r="Q342" s="65" t="str">
        <f ca="1">IF($P$328&gt;=O$323,INDEX('Spell Tables'!$AN$242:$AN$260,MATCH(O$323,('Spell Tables'!$AL$242:$AL$260),0))," ")</f>
        <v xml:space="preserve"> </v>
      </c>
      <c r="R342" s="65" t="str">
        <f ca="1">IF($Q$328&gt;=O$323,INDEX('Spell Tables'!$AR$242:$AR$256,MATCH(O$323,('Spell Tables'!$AP$242:$AP$256),0))," ")</f>
        <v xml:space="preserve"> </v>
      </c>
      <c r="S342" s="65" t="str">
        <f ca="1">IF($R$328&gt;=O$323,INDEX('Spell Tables'!$AV$242:$AV$255,MATCH(O$323,('Spell Tables'!$AT$242:$AT$255),0))," ")</f>
        <v xml:space="preserve"> </v>
      </c>
      <c r="T342" s="66" t="str">
        <f ca="1">IF($S$328&gt;=O$323,INDEX('Spell Tables'!$AZ$242:$AZ$253,MATCH(O$323,('Spell Tables'!$AX$242:$AX$253),0))," ")</f>
        <v xml:space="preserve"> </v>
      </c>
    </row>
    <row r="343" spans="1:20" ht="19.5" thickBot="1" x14ac:dyDescent="0.35">
      <c r="A343" s="33"/>
      <c r="B343" s="72"/>
      <c r="K343" s="31"/>
      <c r="O343" s="85">
        <v>10</v>
      </c>
      <c r="P343" s="67" t="str">
        <f ca="1">IF($O$328&gt;=O324,INDEX('Spell Tables'!$AJ$242:$AJ$264,MATCH(O324,('Spell Tables'!$AH$242:$AH$264),0)),IF(AND($Q$11="wizard",$O$331&gt;=O324),INDEX('Spell Tables'!$AJ$242:$AJ$264,MATCH(O324,('Spell Tables'!$AH$242:$AH$264),0))," "))</f>
        <v xml:space="preserve"> </v>
      </c>
      <c r="Q343" s="67" t="str">
        <f ca="1">IF($P$328&gt;=O$324,INDEX('Spell Tables'!$AN$242:$AN$260,MATCH(O$324,('Spell Tables'!$AL$242:$AL$260),0))," ")</f>
        <v xml:space="preserve"> </v>
      </c>
      <c r="R343" s="67" t="str">
        <f ca="1">IF($Q$328&gt;=O$324,INDEX('Spell Tables'!$AR$242:$AR$256,MATCH(O$324,('Spell Tables'!$AP$242:$AP$256),0))," ")</f>
        <v xml:space="preserve"> </v>
      </c>
      <c r="S343" s="67" t="str">
        <f ca="1">IF($R$328&gt;=O$324,INDEX('Spell Tables'!$AV$242:$AV$255,MATCH(O$324,('Spell Tables'!$AT$242:$AT$255),0))," ")</f>
        <v xml:space="preserve"> </v>
      </c>
      <c r="T343" s="68" t="str">
        <f ca="1">IF($S$328&gt;=O$324,INDEX('Spell Tables'!$AZ$242:$AZ$253,MATCH(O$324,('Spell Tables'!$AX$242:$AX$253),0))," ")</f>
        <v xml:space="preserve"> </v>
      </c>
    </row>
  </sheetData>
  <sheetProtection sheet="1" objects="1" scenarios="1"/>
  <hyperlinks>
    <hyperlink ref="A1" location="'Character Overview'!A1" display="Back to Overview" xr:uid="{EAB6802E-F07D-4C56-8892-CC4C99ADA651}"/>
  </hyperlinks>
  <pageMargins left="0.25" right="0.25" top="0.75" bottom="0.75" header="0.3" footer="0.3"/>
  <pageSetup scale="34" orientation="landscape" horizontalDpi="4294967293" r:id="rId1"/>
  <drawing r:id="rId2"/>
  <tableParts count="56">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 r:id="rId50"/>
    <tablePart r:id="rId51"/>
    <tablePart r:id="rId52"/>
    <tablePart r:id="rId53"/>
    <tablePart r:id="rId54"/>
    <tablePart r:id="rId55"/>
    <tablePart r:id="rId56"/>
    <tablePart r:id="rId57"/>
    <tablePart r:id="rId58"/>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6C2F3-274C-45DF-A284-91595C8B6234}">
  <sheetPr codeName="Аркуш8">
    <pageSetUpPr fitToPage="1"/>
  </sheetPr>
  <dimension ref="A1:CJ343"/>
  <sheetViews>
    <sheetView showGridLines="0" showRowColHeaders="0" topLeftCell="A11" zoomScale="54" zoomScaleNormal="54" workbookViewId="0"/>
  </sheetViews>
  <sheetFormatPr defaultColWidth="8.85546875" defaultRowHeight="18.75" x14ac:dyDescent="0.3"/>
  <cols>
    <col min="1" max="1" width="23.140625" style="29" customWidth="1"/>
    <col min="2" max="2" width="62.7109375" style="29" customWidth="1"/>
    <col min="3" max="3" width="13.7109375" style="29" hidden="1" customWidth="1"/>
    <col min="4" max="5" width="3.85546875" style="29" hidden="1" customWidth="1"/>
    <col min="6" max="8" width="5" style="29" hidden="1" customWidth="1"/>
    <col min="9" max="9" width="11.7109375" style="29" hidden="1" customWidth="1"/>
    <col min="10" max="10" width="2.28515625" style="29" hidden="1" customWidth="1"/>
    <col min="11" max="11" width="14.7109375" style="29" hidden="1" customWidth="1"/>
    <col min="12" max="12" width="13.28515625" style="29" hidden="1" customWidth="1"/>
    <col min="13" max="13" width="7.28515625" style="29" hidden="1" customWidth="1"/>
    <col min="14" max="14" width="2.140625" style="29" hidden="1" customWidth="1"/>
    <col min="15" max="19" width="50.7109375" style="29" customWidth="1"/>
    <col min="20" max="20" width="34" style="29" customWidth="1"/>
    <col min="21" max="21" width="34.28515625" style="29" customWidth="1"/>
    <col min="22" max="22" width="34.140625" style="29" customWidth="1"/>
    <col min="23" max="23" width="29.85546875" style="29" customWidth="1"/>
    <col min="24" max="24" width="18.5703125" style="29" customWidth="1"/>
    <col min="25" max="25" width="34.28515625" style="29" bestFit="1" customWidth="1"/>
    <col min="26" max="26" width="32.7109375" style="29" customWidth="1"/>
    <col min="27" max="27" width="9.7109375" style="29" bestFit="1" customWidth="1"/>
    <col min="28" max="28" width="12.140625" style="29" bestFit="1" customWidth="1"/>
    <col min="29" max="29" width="8.85546875" style="29"/>
    <col min="30" max="30" width="0" style="29" hidden="1" customWidth="1"/>
    <col min="31" max="31" width="10.28515625" style="29" hidden="1" customWidth="1"/>
    <col min="32" max="32" width="23.5703125" style="29" hidden="1" customWidth="1"/>
    <col min="33" max="33" width="8.85546875" style="29" hidden="1" customWidth="1"/>
    <col min="34" max="34" width="17.85546875" style="29" hidden="1" customWidth="1"/>
    <col min="35" max="35" width="3.5703125" style="29" hidden="1" customWidth="1"/>
    <col min="36" max="36" width="21.85546875" style="29" hidden="1" customWidth="1"/>
    <col min="37" max="37" width="14.140625" style="29" hidden="1" customWidth="1"/>
    <col min="38" max="38" width="21.85546875" style="29" hidden="1" customWidth="1"/>
    <col min="39" max="39" width="5.7109375" style="29" hidden="1" customWidth="1"/>
    <col min="40" max="40" width="27.7109375" style="29" hidden="1" customWidth="1"/>
    <col min="41" max="41" width="10.7109375" style="29" hidden="1" customWidth="1"/>
    <col min="42" max="42" width="13.28515625" style="29" hidden="1" customWidth="1"/>
    <col min="43" max="43" width="13" style="29" hidden="1" customWidth="1"/>
    <col min="44" max="44" width="8.85546875" style="29" hidden="1" customWidth="1"/>
    <col min="45" max="45" width="11.7109375" style="29" hidden="1" customWidth="1"/>
    <col min="46" max="47" width="8.85546875" style="29" hidden="1" customWidth="1"/>
    <col min="48" max="49" width="15.28515625" style="29" hidden="1" customWidth="1"/>
    <col min="50" max="50" width="14.140625" style="29" hidden="1" customWidth="1"/>
    <col min="51" max="51" width="9.85546875" style="29" hidden="1" customWidth="1"/>
    <col min="52" max="52" width="12.140625" style="29" hidden="1" customWidth="1"/>
    <col min="53" max="53" width="15.28515625" style="29" hidden="1" customWidth="1"/>
    <col min="54" max="54" width="12.140625" style="29" hidden="1" customWidth="1"/>
    <col min="55" max="55" width="9" style="29" hidden="1" customWidth="1"/>
    <col min="56" max="57" width="10.42578125" style="29" hidden="1" customWidth="1"/>
    <col min="58" max="58" width="9.7109375" style="29" hidden="1" customWidth="1"/>
    <col min="59" max="59" width="10.42578125" style="29" hidden="1" customWidth="1"/>
    <col min="60" max="60" width="7.140625" style="29" hidden="1" customWidth="1"/>
    <col min="61" max="61" width="10.42578125" style="29" hidden="1" customWidth="1"/>
    <col min="62" max="62" width="11.7109375" style="29" hidden="1" customWidth="1"/>
    <col min="63" max="63" width="14.140625" style="29" hidden="1" customWidth="1"/>
    <col min="64" max="64" width="8.85546875" style="29" hidden="1" customWidth="1"/>
    <col min="65" max="65" width="15.7109375" style="29" hidden="1" customWidth="1"/>
    <col min="66" max="66" width="10" style="29" hidden="1" customWidth="1"/>
    <col min="67" max="67" width="13.42578125" style="29" hidden="1" customWidth="1"/>
    <col min="68" max="68" width="15.28515625" style="29" hidden="1" customWidth="1"/>
    <col min="69" max="69" width="15" style="29" hidden="1" customWidth="1"/>
    <col min="70" max="70" width="7.28515625" style="29" hidden="1" customWidth="1"/>
    <col min="71" max="71" width="17.85546875" style="29" hidden="1" customWidth="1"/>
    <col min="72" max="72" width="14.140625" style="29" hidden="1" customWidth="1"/>
    <col min="73" max="73" width="8.28515625" style="29" hidden="1" customWidth="1"/>
    <col min="74" max="74" width="15.28515625" style="29" hidden="1" customWidth="1"/>
    <col min="75" max="79" width="8.85546875" style="29" hidden="1" customWidth="1"/>
    <col min="80" max="80" width="21.140625" style="29" hidden="1" customWidth="1"/>
    <col min="81" max="81" width="12" style="29" hidden="1" customWidth="1"/>
    <col min="82" max="82" width="15.28515625" style="29" hidden="1" customWidth="1"/>
    <col min="83" max="88" width="8.85546875" style="29" hidden="1" customWidth="1"/>
    <col min="89" max="115" width="8.85546875" style="29" customWidth="1"/>
    <col min="116" max="16384" width="8.85546875" style="29"/>
  </cols>
  <sheetData>
    <row r="1" spans="1:83" ht="26.25" thickBot="1" x14ac:dyDescent="0.4">
      <c r="A1" s="153" t="s">
        <v>2755</v>
      </c>
      <c r="B1" s="30"/>
      <c r="C1" s="99"/>
      <c r="D1" s="99"/>
      <c r="E1" s="99"/>
      <c r="F1" s="99"/>
      <c r="G1" s="99"/>
      <c r="H1" s="99"/>
      <c r="I1" s="99"/>
      <c r="J1" s="99"/>
      <c r="K1" s="99"/>
      <c r="L1" s="99"/>
      <c r="M1" s="99"/>
      <c r="N1" s="99"/>
      <c r="O1" s="125" t="s">
        <v>0</v>
      </c>
      <c r="P1" s="126" t="str">
        <f ca="1">IF(AND(Q2="dwarf",O2="male"),VLOOKUP(RANDBETWEEN(1,30),Table4[],2),IF(AND(Q2="dwarf",O2="female"),VLOOKUP(RANDBETWEEN(1,23),Table13[],2),IF(AND(Q2="elf",O2="male"),VLOOKUP(RANDBETWEEN(1,38),Table6[],2),IF(AND(Q2="elf",O2="female"),VLOOKUP(RANDBETWEEN(1,36),Table15[],2),IF(AND(Q2="halfling",O2="male"),VLOOKUP(RANDBETWEEN(1,17),Table10[],2),IF(AND(Q2="halfling",O2="female"),VLOOKUP(RANDBETWEEN(1,18),Table16[],2),IF(AND(Q2="human",O2="male"),VLOOKUP(RANDBETWEEN(1,70),Table17[],2),IF(AND(Q2="human",O2="female"),VLOOKUP(RANDBETWEEN(1,67),Table19[],2),IF(AND(Q2="dragonborn",O2="male"),VLOOKUP(RANDBETWEEN(1,17),Table21[],2),IF(AND(Q2="dragonborn",O2="female"),VLOOKUP(RANDBETWEEN(1,17),Table22[],2),IF(AND(Q2="gnome",O2="male"),VLOOKUP(RANDBETWEEN(1,23),Table28[],2),IF(AND(Q2="gnome",O2="female"),VLOOKUP(RANDBETWEEN(1,22),Table29[],2),IF(AND(Q2="half-elf",O2="male"),VLOOKUP(RANDBETWEEN(1,108),Table31[],2),IF(AND(Q2="half-elf",O2="female"),VLOOKUP(RANDBETWEEN(1,103),Table32[],2),IF(AND(Q2="half-orc",O2="male"),VLOOKUP(RANDBETWEEN(1,10),Table35[],2),IF(AND(Q2="half-orc",O2="female"),VLOOKUP(RANDBETWEEN(1,13),Table36[],2),IF(AND(Q2="tiefling",O2="male"),VLOOKUP(RANDBETWEEN(1,33),Table37[],2),IF(AND(Q2="tiefling",O2="female"),VLOOKUP(RANDBETWEEN(1,34),Table38[],2)," "))))))))))))))))))</f>
        <v>Pelaios</v>
      </c>
      <c r="Q1" s="127" t="str">
        <f ca="1">IF(Q2="dwarf",VLOOKUP(RANDBETWEEN(1,53),Table5[],2),IF(Q2="elf",VLOOKUP(RANDBETWEEN(1,73),Table7[],2),IF(Q2="halfling",VLOOKUP(RANDBETWEEN(1,20),Table11[],2),IF(Q2="human",VLOOKUP(RANDBETWEEN(1,52),Table18[],2),IF(Q2="dragonborn",VLOOKUP(RANDBETWEEN(1,18),Table24[],2),IF(Q2="gnome",VLOOKUP(RANDBETWEEN(1,13),Table27[],2),IF(Q2="half-elf",VLOOKUP(RANDBETWEEN(1,62),Table33[],2)," ")))))))</f>
        <v xml:space="preserve"> </v>
      </c>
      <c r="R1" s="30"/>
      <c r="S1" s="30"/>
      <c r="AF1" s="29" t="s">
        <v>674</v>
      </c>
      <c r="AH1" s="29" t="s">
        <v>711</v>
      </c>
      <c r="AI1" s="29">
        <f ca="1">IF(O11="non-classed",RANDBETWEEN(1,10),IF(O11="wizard",SUM(6,4*O12,-4),IF(O11="warlock",SUM(8,5*O12,-5),IF(O11="sorcerer",SUM(6,4*O12,-6),IF(O11="rogue",SUM(8,5*O12,-5),IF(O11="ranger",SUM(10,6*O12,-6),IF(O11="paladin",SUM(10,6*O12,-6),IF(O11="barbarian",SUM(12,7*O12,-7),IF(O11="bard",SUM(8,5*O12,-5),IF(O11="cleric",SUM(8,5*O12,-5),IF(O11="druid",SUM(8,5*O12,-5),IF(O11="fighter",SUM(10,6*O12,-6),IF(O11="monk",SUM(8,5*O12,-5)," ")))))))))))))</f>
        <v>50</v>
      </c>
      <c r="AJ1" s="29" t="s">
        <v>714</v>
      </c>
      <c r="AK1" s="29">
        <f ca="1">(P40*P6)</f>
        <v>24</v>
      </c>
      <c r="CB1" s="31" t="s">
        <v>670</v>
      </c>
      <c r="CE1" s="31"/>
    </row>
    <row r="2" spans="1:83" x14ac:dyDescent="0.3">
      <c r="A2" s="30"/>
      <c r="B2" s="30"/>
      <c r="C2" s="33"/>
      <c r="D2" s="33"/>
      <c r="E2" s="33"/>
      <c r="F2" s="33"/>
      <c r="G2" s="33"/>
      <c r="H2" s="33"/>
      <c r="I2" s="33"/>
      <c r="J2" s="33"/>
      <c r="K2" s="33"/>
      <c r="L2" s="33"/>
      <c r="M2" s="33"/>
      <c r="N2" s="33"/>
      <c r="O2" s="110" t="str">
        <f ca="1">VLOOKUP(RANDBETWEEN(1,2),Table14[],2)</f>
        <v>Male</v>
      </c>
      <c r="P2" s="33" t="str">
        <f ca="1">IF(Q2="dwarf",VLOOKUP(RANDBETWEEN(1,2),Table8[],2),IF(Q2="elf",VLOOKUP(RANDBETWEEN(1,3),Table9[],2),IF(Q2="halfling",VLOOKUP(RANDBETWEEN(1,2),Table12[],2),IF(Q2="Dragonborn",VLOOKUP(RANDBETWEEN(1,10),Table25[],2),IF(Q2="Gnome",VLOOKUP(RANDBETWEEN(1,2),Table30[],2)," ")))))</f>
        <v xml:space="preserve"> </v>
      </c>
      <c r="Q2" s="72" t="str">
        <f ca="1">VLOOKUP(RANDBETWEEN(1,9),Table2[],2)</f>
        <v>Tiefling</v>
      </c>
      <c r="R2" s="30"/>
      <c r="S2" s="30"/>
      <c r="AE2" s="29" t="s">
        <v>676</v>
      </c>
      <c r="AF2" s="29" t="str">
        <f ca="1">IF($P$6&gt;=4,VLOOKUP(RANDBETWEEN(1,6),Table41[],2)," ")</f>
        <v>Dexterity</v>
      </c>
      <c r="AH2" s="29" t="s">
        <v>712</v>
      </c>
      <c r="AI2" s="29" t="str">
        <f ca="1">IF(Q11="wizard",4*Q12,IF(Q11="warlock",5*Q12,IF(Q11="sorcerer",4*Q12,IF(Q11="rogue",5*Q12,IF(Q11="ranger",6*Q12,IF(Q11="paladin",6*Q12,IF(Q11="barbarian",7*Q12,IF(Q11="bard",5*Q12,IF(Q11="cleric",5*Q12,IF(Q11="druid",5*Q12,IF(Q11="fighter",6*Q12,IF(Q11="monk",5*Q12," "))))))))))))</f>
        <v xml:space="preserve"> </v>
      </c>
      <c r="CB2" s="35">
        <f t="shared" ref="CB2:CB7" ca="1" si="0">_xlfn.RANK.EQ(CC2,$CC$2:$CC$7)</f>
        <v>4</v>
      </c>
      <c r="CC2" s="36">
        <f ca="1">IF(BM7&gt;0,0,RAND())</f>
        <v>0.21206222980531197</v>
      </c>
      <c r="CD2" s="29" t="s">
        <v>29</v>
      </c>
    </row>
    <row r="3" spans="1:83" ht="19.5" thickBot="1" x14ac:dyDescent="0.35">
      <c r="A3" s="30"/>
      <c r="B3" s="30"/>
      <c r="C3" s="38"/>
      <c r="D3" s="38"/>
      <c r="E3" s="38"/>
      <c r="F3" s="38"/>
      <c r="G3" s="38"/>
      <c r="H3" s="38"/>
      <c r="I3" s="38"/>
      <c r="J3" s="38"/>
      <c r="K3" s="38"/>
      <c r="L3" s="38"/>
      <c r="M3" s="38"/>
      <c r="N3" s="38"/>
      <c r="O3" s="37" t="str">
        <f ca="1">VLOOKUP(RANDBETWEEN(1,20),Table253[],2)</f>
        <v>Adult</v>
      </c>
      <c r="P3" s="38" t="str">
        <f ca="1">IF(AND(Q2="tiefling",O3="young adult"),SUM(17,RANDBETWEEN(1,23))&amp;" years old",IF(AND(Q2="tiefling",O3="adult"),SUM(40,RANDBETWEEN(1,30))&amp;" years old",IF(AND(Q2="tiefling",O3="elderly"),SUM(70,RANDBETWEEN(1,30))&amp;" years old",IF(AND(Q2="half-orc",O3="young adult"),SUM(13,RANDBETWEEN(1,32))&amp;" years old",IF(AND(Q2="half-orc",O3="adult"),SUM(45,RANDBETWEEN(1,15))&amp;" years old",IF(AND(Q2="half-orc",O3="elderly"),SUM(60,RANDBETWEEN(1,15))&amp;" years old",IF(AND(Q2="half-elf",O3="young adult"),SUM(19,RANDBETWEEN(1,30))&amp;" years old",IF(AND(Q2="half-elf",O3="adult"),SUM(50,RANDBETWEEN(1,100))&amp;" years old",IF(AND(Q2="half-elf",O3="elderly"),SUM(150,RANDBETWEEN(1,30))&amp;" years old",IF(AND(Q2="gnome",O3="young adult"),SUM(19,RANDBETWEEN(1,20))&amp;" years old",IF(AND(Q2="gnome",O3="adult"),SUM(40,RANDBETWEEN(1,160))&amp;" years old",IF(AND(Q2="gnome",O3="elderly"),SUM(200,RANDBETWEEN(1,200))&amp;" years old",IF(AND(Q2="dragonborn",O3="young adult"),SUM(14,RANDBETWEEN(1,5))&amp;" years old",IF(AND(Q2="dragonborn",O3="adult"),SUM(20,RANDBETWEEN(1,30))&amp;" years old",IF(AND(Q2="dragonborn",O3="elderly"),SUM(50,RANDBETWEEN(1,30))&amp;" years old",IF(AND(Q2="halfling",O3="young adult"),SUM(19,RANDBETWEEN(1,20))&amp;" years old",IF(AND(Q2="halfling",O3="adult"),SUM(40,RANDBETWEEN(1,110))&amp;" years old",IF(AND(Q2="halfling",O3="elderly"),SUM(150,RANDBETWEEN(1,100))&amp;" years old",IF(AND(Q2="elf",O3="young adult"),SUM(99,RANDBETWEEN(1,350))&amp;" years old",IF(AND(Q2="elf",O3="adult"),SUM(450,RANDBETWEEN(1,200))&amp;" years old",IF(AND(Q2="elf",O3="elderly"),SUM(650,RANDBETWEEN(1,100))&amp;" years old",IF(AND(Q2="dwarf",O3="young adult"),SUM(17,RANDBETWEEN(1,32))&amp;" years old",IF(AND(Q2="dwarf",O3="adult"),SUM(50,RANDBETWEEN(1,150))&amp;" years old",IF(AND(Q2="dwarf",O3="elderly"),SUM(200,RANDBETWEEN(1,150))&amp;" years old",IF(AND(Q2="human",O3="young adult"),SUM(17,RANDBETWEEN(1,12))&amp;" years old",IF(AND(Q2="human",O3="adult"),SUM(30,RANDBETWEEN(1,35))&amp;" years old",IF(AND(Q2="human",O3="elderly"),SUM(65,RANDBETWEEN(1,25))&amp;" years old"," ")))))))))))))))))))))))))))</f>
        <v>47 years old</v>
      </c>
      <c r="Q3" s="113"/>
      <c r="R3" s="30"/>
      <c r="AE3" s="29" t="s">
        <v>676</v>
      </c>
      <c r="AF3" s="29" t="str">
        <f ca="1">IF($P$6&gt;=4,VLOOKUP(RANDBETWEEN(1,6),Table41[],2)," ")</f>
        <v>Wisdom</v>
      </c>
      <c r="AH3" s="29" t="s">
        <v>713</v>
      </c>
      <c r="AI3" s="29" t="str">
        <f ca="1">IF(P2="hill",(P6)," ")</f>
        <v xml:space="preserve"> </v>
      </c>
      <c r="CB3" s="35">
        <f t="shared" ca="1" si="0"/>
        <v>1</v>
      </c>
      <c r="CC3" s="36">
        <f ca="1">IF(BM9&gt;0,0,RAND())</f>
        <v>0.84330084458624166</v>
      </c>
      <c r="CD3" s="29" t="s">
        <v>14</v>
      </c>
    </row>
    <row r="4" spans="1:83" ht="19.5" thickBot="1" x14ac:dyDescent="0.35">
      <c r="A4" s="33"/>
      <c r="B4" s="30"/>
      <c r="C4" s="39"/>
      <c r="D4" s="39"/>
      <c r="E4" s="39"/>
      <c r="F4" s="39"/>
      <c r="G4" s="39"/>
      <c r="H4" s="39"/>
      <c r="I4" s="39"/>
      <c r="J4" s="39"/>
      <c r="K4" s="39"/>
      <c r="L4" s="39"/>
      <c r="M4" s="39"/>
      <c r="N4" s="39"/>
      <c r="O4" s="40"/>
      <c r="Q4" s="41"/>
      <c r="R4" s="41"/>
      <c r="AE4" s="29" t="s">
        <v>677</v>
      </c>
      <c r="AF4" s="29" t="str">
        <f ca="1">IF($P$6&gt;=8,VLOOKUP(RANDBETWEEN(1,6),Table41[],2)," ")</f>
        <v>Intelligence</v>
      </c>
      <c r="AH4" s="29" t="s">
        <v>1592</v>
      </c>
      <c r="AI4" s="29" t="str">
        <f ca="1">IF(OR(P15="draconic bloodline",R15="draconic bloodline"),O12," ")</f>
        <v xml:space="preserve"> </v>
      </c>
      <c r="CB4" s="35">
        <f t="shared" ca="1" si="0"/>
        <v>2</v>
      </c>
      <c r="CC4" s="36">
        <f ca="1">IF(BM13&gt;0,0,RAND())</f>
        <v>0.76214829230821757</v>
      </c>
      <c r="CD4" s="29" t="s">
        <v>18</v>
      </c>
    </row>
    <row r="5" spans="1:83" ht="19.5" thickBot="1" x14ac:dyDescent="0.35">
      <c r="B5" s="42" t="s">
        <v>35</v>
      </c>
      <c r="O5" s="43" t="s">
        <v>41</v>
      </c>
      <c r="P5" s="43" t="s">
        <v>1881</v>
      </c>
      <c r="Q5" s="44" t="str">
        <f ca="1">"Max. HP: "&amp;SUM(AI1,AI2,AI3,AK1,AI4)</f>
        <v>Max. HP: 74</v>
      </c>
      <c r="R5" s="45" t="s">
        <v>33</v>
      </c>
      <c r="AE5" s="29" t="s">
        <v>677</v>
      </c>
      <c r="AF5" s="29" t="str">
        <f ca="1">IF($P$6&gt;=8,VLOOKUP(RANDBETWEEN(1,6),Table41[],2)," ")</f>
        <v>Intelligence</v>
      </c>
      <c r="AV5" s="29" t="s">
        <v>744</v>
      </c>
      <c r="BM5" s="29" t="s">
        <v>1825</v>
      </c>
      <c r="BN5" s="29" t="s">
        <v>744</v>
      </c>
      <c r="BO5" s="29" t="s">
        <v>728</v>
      </c>
      <c r="BP5" s="29" t="s">
        <v>745</v>
      </c>
      <c r="BQ5" s="29" t="s">
        <v>1569</v>
      </c>
      <c r="BR5" s="29" t="s">
        <v>211</v>
      </c>
      <c r="BS5" s="29" t="s">
        <v>1343</v>
      </c>
      <c r="BT5" s="29" t="s">
        <v>1344</v>
      </c>
      <c r="BU5" s="29" t="s">
        <v>739</v>
      </c>
      <c r="CB5" s="35">
        <f t="shared" ca="1" si="0"/>
        <v>5</v>
      </c>
      <c r="CC5" s="36">
        <f ca="1">IF(BM16&gt;0,0,RAND())</f>
        <v>9.0783266160323728E-2</v>
      </c>
      <c r="CD5" s="29" t="s">
        <v>21</v>
      </c>
    </row>
    <row r="6" spans="1:83" ht="20.25" thickTop="1" thickBot="1" x14ac:dyDescent="0.35">
      <c r="B6" s="32">
        <f ca="1">P39</f>
        <v>2</v>
      </c>
      <c r="O6" s="46" t="str">
        <f ca="1">IF(OR(Q2="dwarf",Q2="elf",Q2="human",Q2="dragonborn",Q2="half-elf",Q2="half-orc",Q2="tiefling"),"Medium",IF(OR(Q2="gnome",Q2="halfling"),"Small"," "))</f>
        <v>Medium</v>
      </c>
      <c r="P6" s="47">
        <f ca="1">IF(AF14=1,O12,IF(AF14=2,SUM(O12,Q12)))</f>
        <v>12</v>
      </c>
      <c r="Q6" s="48" t="s">
        <v>1882</v>
      </c>
      <c r="R6" s="47" t="str">
        <f ca="1">VLOOKUP(RANDBETWEEN(1,100),Table92[],2)</f>
        <v>Neutral Good</v>
      </c>
      <c r="U6" s="49"/>
      <c r="AE6" s="29" t="s">
        <v>678</v>
      </c>
      <c r="AF6" s="29" t="str">
        <f ca="1">IF($P$6&gt;=12,VLOOKUP(RANDBETWEEN(1,6),Table41[],2)," ")</f>
        <v>Wisdom</v>
      </c>
      <c r="AH6" s="29" t="s">
        <v>12</v>
      </c>
      <c r="AI6" s="29">
        <f ca="1">$P$39</f>
        <v>2</v>
      </c>
      <c r="AJ6" s="29" t="str">
        <f t="shared" ref="AJ6:AU6" ca="1" si="1">IF(COUNTIF(AJ$27:AJ$33,$AH$6),$P$8," ")</f>
        <v xml:space="preserve"> </v>
      </c>
      <c r="AK6" s="29" t="str">
        <f t="shared" ca="1" si="1"/>
        <v xml:space="preserve"> </v>
      </c>
      <c r="AL6" s="29" t="str">
        <f t="shared" ca="1" si="1"/>
        <v xml:space="preserve"> </v>
      </c>
      <c r="AM6" s="29" t="str">
        <f t="shared" ca="1" si="1"/>
        <v xml:space="preserve"> </v>
      </c>
      <c r="AN6" s="29" t="str">
        <f t="shared" ca="1" si="1"/>
        <v xml:space="preserve"> </v>
      </c>
      <c r="AO6" s="29" t="str">
        <f t="shared" ca="1" si="1"/>
        <v xml:space="preserve"> </v>
      </c>
      <c r="AP6" s="29" t="str">
        <f t="shared" ca="1" si="1"/>
        <v xml:space="preserve"> </v>
      </c>
      <c r="AQ6" s="29" t="str">
        <f t="shared" ca="1" si="1"/>
        <v xml:space="preserve"> </v>
      </c>
      <c r="AR6" s="29" t="str">
        <f t="shared" ca="1" si="1"/>
        <v xml:space="preserve"> </v>
      </c>
      <c r="AS6" s="29" t="str">
        <f t="shared" ca="1" si="1"/>
        <v xml:space="preserve"> </v>
      </c>
      <c r="AT6" s="29" t="str">
        <f t="shared" ca="1" si="1"/>
        <v xml:space="preserve"> </v>
      </c>
      <c r="AU6" s="29" t="str">
        <f t="shared" ca="1" si="1"/>
        <v xml:space="preserve"> </v>
      </c>
      <c r="AV6" s="29">
        <f ca="1">SUM(AJ6:AU6)</f>
        <v>0</v>
      </c>
      <c r="AW6" s="29" t="s">
        <v>12</v>
      </c>
      <c r="BA6" s="29" t="str">
        <f ca="1">IF(S11="Entertainer",P8," ")</f>
        <v xml:space="preserve"> </v>
      </c>
      <c r="BM6" s="29">
        <f t="shared" ref="BM6:BM23" ca="1" si="2">SUM(AX6:BL6)</f>
        <v>0</v>
      </c>
      <c r="BN6" s="29">
        <f ca="1">AV6</f>
        <v>0</v>
      </c>
      <c r="BO6" s="29" t="str">
        <f t="shared" ref="BO6:BO23" ca="1" si="3">IF(AND($O$11="bard",$O$12&gt;=3,BN26=1),$P$8,IF(AND($O$11="bard",$O$12&gt;=3,BN26=2),$P$8,IF(AND($O$11="bard",$O$12&gt;=10,BN26=3,$P$15="college of lore"),$P$8,IF(AND($O$11="bard",$O$12&gt;=10,BN26=4,$P$15="college of lore"),$P$8,IF(AND($Q$11="bard",$Q$12&gt;=3,BN26=1),$P$8,IF(AND($Q$11="bard",$Q$12&gt;=3,BN26=2),$P$8,IF(AND($Q$11="bard",$Q$12&gt;=10,BN26=3,$P$15="college of lore"),$P$8,IF(AND($Q$11="bard",$Q$12&gt;=10,BN26=4,$P$15="college of lore"),$P$8," "))))))))</f>
        <v xml:space="preserve"> </v>
      </c>
      <c r="BP6" s="29" t="str">
        <f t="shared" ref="BP6:BP23" ca="1" si="4">IF(AND($O$11="bard",$O$12&gt;=2,AV6&lt;=0),ROUNDDOWN($P$8*0.5,0),IF(AND($Q$11="bard",$Q$12&gt;=2,AV6&lt;=0),ROUNDDOWN($P$8*0.5,0)," "))</f>
        <v xml:space="preserve"> </v>
      </c>
      <c r="BQ6" s="29" t="str">
        <f t="shared" ref="BQ6:BQ23" ca="1" si="5">IF(AND($O$11="rogue",BN26=1),$P$8,IF(AND($O$11="rogue",BN26=2,$AF$25=1),$P$8,IF(AND($O$11="rogue",$O$12&gt;6,BN26=3),$P$8,IF(AND($O$11="rogue",$O$12&gt;6,BN26=4),$P$8," "))))</f>
        <v xml:space="preserve"> </v>
      </c>
      <c r="BR6" s="29">
        <f t="shared" ref="BR6:BR23" ca="1" si="6">IF(AND($Q$2="half-elf",BR26=1),$P$8,IF(AND($Q$2="half-elf",BR26=2),$P$8,0))</f>
        <v>0</v>
      </c>
      <c r="BU6" s="29">
        <f ca="1">SUM(BM6:BT6,AI6)</f>
        <v>2</v>
      </c>
      <c r="BV6" s="29" t="s">
        <v>12</v>
      </c>
      <c r="CB6" s="35">
        <f t="shared" ca="1" si="0"/>
        <v>3</v>
      </c>
      <c r="CC6" s="36">
        <f ca="1">IF(BM17&gt;0,0,RAND())</f>
        <v>0.266650264131985</v>
      </c>
      <c r="CD6" s="29" t="s">
        <v>22</v>
      </c>
      <c r="CE6" s="31"/>
    </row>
    <row r="7" spans="1:83" ht="19.5" thickBot="1" x14ac:dyDescent="0.35">
      <c r="B7" s="42" t="s">
        <v>36</v>
      </c>
      <c r="O7" s="50" t="str">
        <f ca="1">IF(Q2="Tiefling","Height: "&amp;SUM(57,AE31)&amp;" inches",IF(Q2="half-orc","Height: "&amp;SUM(58,AE32)&amp;" inches",IF(Q2="Half-elf","Height: "&amp;SUM(57,AE31)&amp;" inches",IF(Q2="Gnome","Height: "&amp;SUM(35,AE29)&amp;" inches",IF(Q2="Dragonborn","Height: "&amp;SUM(66,AE31)&amp;" inches",IF(Q2="Halfling","Height: "&amp;SUM(31,AE29)&amp;" inches",IF(P2="dark","Height: "&amp;SUM(53,AE30)&amp;" inches",IF(P2="wood","Height: "&amp;SUM(54,AE32)&amp;" inches",IF(P2="high","Height: "&amp;SUM(54,AE32)&amp;" inches",IF(P2="mountain","Height: "&amp;SUM(48,AE29)&amp;" inches",IF(P2="hill","Height: "&amp;SUM(44,AE29)&amp;" inches",IF(Q2="human","Height: "&amp;SUM(56,AE32)&amp;" inches"," "))))))))))))</f>
        <v>Height: 73 inches</v>
      </c>
      <c r="P7" s="43" t="s">
        <v>34</v>
      </c>
      <c r="AE7" s="29" t="s">
        <v>678</v>
      </c>
      <c r="AF7" s="29" t="str">
        <f ca="1">IF($P$6&gt;=12,VLOOKUP(RANDBETWEEN(1,6),Table41[],2)," ")</f>
        <v>Intelligence</v>
      </c>
      <c r="AH7" s="29" t="s">
        <v>29</v>
      </c>
      <c r="AI7" s="29">
        <f ca="1">$P$42</f>
        <v>3</v>
      </c>
      <c r="AJ7" s="29" t="str">
        <f t="shared" ref="AJ7:AU7" ca="1" si="7">IF(COUNTIF(AJ$27:AJ$33,$AH$7),$P$8," ")</f>
        <v xml:space="preserve"> </v>
      </c>
      <c r="AK7" s="29" t="str">
        <f t="shared" ca="1" si="7"/>
        <v xml:space="preserve"> </v>
      </c>
      <c r="AL7" s="29" t="str">
        <f t="shared" ca="1" si="7"/>
        <v xml:space="preserve"> </v>
      </c>
      <c r="AM7" s="29" t="str">
        <f t="shared" ca="1" si="7"/>
        <v xml:space="preserve"> </v>
      </c>
      <c r="AN7" s="29" t="str">
        <f t="shared" ca="1" si="7"/>
        <v xml:space="preserve"> </v>
      </c>
      <c r="AO7" s="29" t="str">
        <f t="shared" ca="1" si="7"/>
        <v xml:space="preserve"> </v>
      </c>
      <c r="AP7" s="29" t="str">
        <f t="shared" ca="1" si="7"/>
        <v xml:space="preserve"> </v>
      </c>
      <c r="AQ7" s="29" t="str">
        <f t="shared" ca="1" si="7"/>
        <v xml:space="preserve"> </v>
      </c>
      <c r="AR7" s="29" t="str">
        <f t="shared" ca="1" si="7"/>
        <v xml:space="preserve"> </v>
      </c>
      <c r="AS7" s="29" t="str">
        <f t="shared" ca="1" si="7"/>
        <v xml:space="preserve"> </v>
      </c>
      <c r="AT7" s="29" t="str">
        <f t="shared" ca="1" si="7"/>
        <v xml:space="preserve"> </v>
      </c>
      <c r="AU7" s="29" t="str">
        <f t="shared" ca="1" si="7"/>
        <v xml:space="preserve"> </v>
      </c>
      <c r="AV7" s="29">
        <f t="shared" ref="AV7:AV23" ca="1" si="8">SUM(AJ7:AU7)</f>
        <v>0</v>
      </c>
      <c r="AW7" s="29" t="s">
        <v>29</v>
      </c>
      <c r="BB7" s="29" t="str">
        <f ca="1">IF(S11="Folk Hero",P8," ")</f>
        <v xml:space="preserve"> </v>
      </c>
      <c r="BM7" s="29">
        <f t="shared" ca="1" si="2"/>
        <v>0</v>
      </c>
      <c r="BN7" s="29">
        <f t="shared" ref="BN7:BN23" ca="1" si="9">AV7</f>
        <v>0</v>
      </c>
      <c r="BO7" s="29" t="str">
        <f t="shared" ca="1" si="3"/>
        <v xml:space="preserve"> </v>
      </c>
      <c r="BP7" s="29" t="str">
        <f t="shared" ca="1" si="4"/>
        <v xml:space="preserve"> </v>
      </c>
      <c r="BQ7" s="29" t="str">
        <f t="shared" ca="1" si="5"/>
        <v xml:space="preserve"> </v>
      </c>
      <c r="BR7" s="29">
        <f t="shared" ca="1" si="6"/>
        <v>0</v>
      </c>
      <c r="BT7" s="29">
        <f ca="1">IF(AND(BY30=1,OR($P$15="nature",$R$15="nature")),$P$8,0)</f>
        <v>0</v>
      </c>
      <c r="BU7" s="29">
        <f t="shared" ref="BU7:BU23" ca="1" si="10">SUM(BM7:BT7)</f>
        <v>0</v>
      </c>
      <c r="BV7" s="29" t="s">
        <v>29</v>
      </c>
      <c r="CB7" s="35">
        <f t="shared" ca="1" si="0"/>
        <v>6</v>
      </c>
      <c r="CC7" s="36">
        <f ca="1">IF(BM23&gt;0,0,RAND())</f>
        <v>6.135721425739038E-3</v>
      </c>
      <c r="CD7" s="29" t="s">
        <v>28</v>
      </c>
    </row>
    <row r="8" spans="1:83" ht="20.25" thickTop="1" thickBot="1" x14ac:dyDescent="0.35">
      <c r="B8" s="51" t="str">
        <f ca="1">IF(AND(B89="unarmored defense",B90&lt;&gt;"shield",Q12&gt;=2,Q11="monk",OR(Q2="dwarf",Q2="halfling",Q2="gnome")),SUM(15,INDEX('Class Tables'!L98:L117,MATCH(O12,('Class Tables'!I98:I117),0)))&amp;" ft.",IF(AND(B89="unarmored defense",B90&lt;&gt;"Shield",Q12&gt;=2,Q11="monk",P2="wood"),SUM(25,INDEX('Class Tables'!L98:L117,MATCH(O12,('Class Tables'!I98:I117),0)))&amp;" ft.",IF(AND(B89="unarmored defense",B90&lt;&gt;"shield",Q12&gt;=2,Q11="monk",OR(Q2="human",Q2="elf",Q2="dragonborn",Q2="half-elf",Q2="half-orc",Q2="tiefling")),SUM(20,INDEX('Class Tables'!L98:L117,MATCH(O12,('Class Tables'!I98:I117),0)))&amp;" ft.",IF(AND(B89="unarmored defense",B90&lt;&gt;"shield",O12&gt;=2,O11="monk",OR(Q2="dwarf",Q2="halfling",Q2="gnome")),SUM(25,INDEX('Class Tables'!L98:L117,MATCH(O12,('Class Tables'!I98:I117),0)))&amp;" ft.",IF(AND(B89="unarmored defense",B90&lt;&gt;"Shield",O12&gt;=2,O11="monk",P2="wood"),SUM(35,INDEX('Class Tables'!L98:L117,MATCH(O12,('Class Tables'!I98:I117),0)))&amp;" ft.",IF(AND(B89="unarmored defense",B90&lt;&gt;"shield",O12&gt;=2,O11="monk",OR(Q2="human",Q2="elf",Q2="dragonborn",Q2="half-elf",Q2="half-orc",Q2="tiefling")),SUM(30,INDEX('Class Tables'!L98:L117,MATCH(O12,('Class Tables'!I98:I117),0)))&amp;" ft.",IF(AND(B89="unarmored defense",Q12&gt;=5,Q11="barbarian",OR(Q2="dwarf",Q2="halfling",Q2="gnome")),"35 ft.",IF(AND(B89="unarmored defense",Q12&gt;=5,Q11="barbarian",P2="wood"),"45 ft.",IF(AND(B89="unarmored defense",Q12&gt;=5,Q11="barbarian",OR(Q2="human",Q2="elf",Q2="dragonborn",Q2="half-elf",Q2="half-orc",Q2="tiefling")),"40 ft.",IF(AND(B89="unarmored defense",O12&gt;=5,O11="barbarian",OR(Q2="dwarf",Q2="halfling",Q2="gnome")),"35 ft.",IF(AND(B89="unarmored defense",O12&gt;=O11="barbarian",P2="wood"),"45 ft.",IF(AND(B89="unarmored defense",O12&gt;=5,O11="barbarian",OR(Q2="human",Q2="elf",Q2="dragonborn",Q2="half-elf",Q2="half-orc",Q2="tiefling")),"40 ft.",IF(OR(Q2="dwarf",Q2="halfling",Q2="gnome"),"25 ft.",IF(P2="wood","35 ft.",IF(OR(Q2="human",Q2="elf",Q2="dragonborn",Q2="half-elf",Q2="half-orc",Q2="tiefling"),"30 ft."," ")))))))))))))))</f>
        <v>30 ft.</v>
      </c>
      <c r="O8" s="47" t="str">
        <f ca="1">IF(P2="dark","Weight: "&amp;SUM(AE30*RANDBETWEEN(1,6),75)&amp;" lbs.",IF(P2="wood","Weight: "&amp;SUM(AE32*RANDBETWEEN(1,4),100)&amp;" lbs.",IF(P2="high","Weight: "&amp;SUM(AE32*RANDBETWEEN(1,4),90)&amp;" lbs.",IF(P2="mountain","Weight: "&amp;SUM(AE29*RANDBETWEEN(2,12),130)&amp;" lbs.",IF(P2="hill","Weight: "&amp;SUM(AE29*RANDBETWEEN(2,12),115)&amp;" lbs.",IF(Q2="tiefling","Weight: "&amp;SUM(AE31*RANDBETWEEN(2,8),110)&amp;" lbs.",IF(Q2="Half-orc","Weight: "&amp;SUM(AE32*RANDBETWEEN(2,12),140),IF(Q2="Half-elf","Weight: "&amp;SUM(AE31*RANDBETWEEN(2,8),110),IF(Q2="Gnome","Weight: "&amp;SUM(AE29,35),IF(Q2="Dragonborn","Weight: "&amp;SUM(AE31*RANDBETWEEN(2,12),175)&amp;" lbs.",IF(Q2="Halfling","Weight: "&amp;SUM(AE29,35)&amp;" lbs.",IF(Q2="Human","Weight: "&amp;SUM(AE32*RANDBETWEEN(2,8),110)&amp;" lbs."," "))))))))))))</f>
        <v>Weight: 206 lbs.</v>
      </c>
      <c r="P8" s="111">
        <f ca="1">VLOOKUP(P6,Table26[],2)</f>
        <v>4</v>
      </c>
      <c r="Q8" s="33"/>
      <c r="R8" s="33"/>
      <c r="AE8" s="29" t="s">
        <v>679</v>
      </c>
      <c r="AF8" s="29" t="str">
        <f ca="1">IF($P$6&gt;=16,VLOOKUP(RANDBETWEEN(1,6),Table41[],2)," ")</f>
        <v xml:space="preserve"> </v>
      </c>
      <c r="AH8" s="29" t="s">
        <v>13</v>
      </c>
      <c r="AI8" s="29">
        <f ca="1">$P$41</f>
        <v>3</v>
      </c>
      <c r="AJ8" s="29" t="str">
        <f t="shared" ref="AJ8:AU8" ca="1" si="11">IF(COUNTIF(AJ$27:AJ$33,$AH$8),$P$8," ")</f>
        <v xml:space="preserve"> </v>
      </c>
      <c r="AK8" s="29" t="str">
        <f t="shared" ca="1" si="11"/>
        <v xml:space="preserve"> </v>
      </c>
      <c r="AL8" s="29" t="str">
        <f t="shared" ca="1" si="11"/>
        <v xml:space="preserve"> </v>
      </c>
      <c r="AM8" s="29" t="str">
        <f t="shared" ca="1" si="11"/>
        <v xml:space="preserve"> </v>
      </c>
      <c r="AN8" s="29" t="str">
        <f t="shared" ca="1" si="11"/>
        <v xml:space="preserve"> </v>
      </c>
      <c r="AO8" s="29" t="str">
        <f t="shared" ca="1" si="11"/>
        <v xml:space="preserve"> </v>
      </c>
      <c r="AP8" s="29" t="str">
        <f t="shared" ca="1" si="11"/>
        <v xml:space="preserve"> </v>
      </c>
      <c r="AQ8" s="29" t="str">
        <f t="shared" ca="1" si="11"/>
        <v xml:space="preserve"> </v>
      </c>
      <c r="AR8" s="29" t="str">
        <f t="shared" ca="1" si="11"/>
        <v xml:space="preserve"> </v>
      </c>
      <c r="AS8" s="29" t="str">
        <f t="shared" ca="1" si="11"/>
        <v xml:space="preserve"> </v>
      </c>
      <c r="AT8" s="29" t="str">
        <f t="shared" ca="1" si="11"/>
        <v xml:space="preserve"> </v>
      </c>
      <c r="AU8" s="29" t="str">
        <f t="shared" ca="1" si="11"/>
        <v xml:space="preserve"> </v>
      </c>
      <c r="AV8" s="29">
        <f t="shared" ca="1" si="8"/>
        <v>0</v>
      </c>
      <c r="AW8" s="29" t="s">
        <v>13</v>
      </c>
      <c r="BI8" s="29" t="str">
        <f ca="1">IF(S11="Sage",P8," ")</f>
        <v xml:space="preserve"> </v>
      </c>
      <c r="BM8" s="29">
        <f t="shared" ca="1" si="2"/>
        <v>0</v>
      </c>
      <c r="BN8" s="29">
        <f t="shared" ca="1" si="9"/>
        <v>0</v>
      </c>
      <c r="BO8" s="29" t="str">
        <f t="shared" ca="1" si="3"/>
        <v xml:space="preserve"> </v>
      </c>
      <c r="BP8" s="29" t="str">
        <f t="shared" ca="1" si="4"/>
        <v xml:space="preserve"> </v>
      </c>
      <c r="BQ8" s="29" t="str">
        <f t="shared" ca="1" si="5"/>
        <v xml:space="preserve"> </v>
      </c>
      <c r="BR8" s="29">
        <f t="shared" ca="1" si="6"/>
        <v>0</v>
      </c>
      <c r="BS8" s="29">
        <f ca="1">IF(AND($BY$26=1,OR($P$15="knowledge",$R$15="knowledge")),$P$8*2,IF(AND($BY$26=2,OR($P$15="knowledge",$R$15="knowledge")),$P$8*2,0))</f>
        <v>0</v>
      </c>
      <c r="BU8" s="29">
        <f t="shared" ca="1" si="10"/>
        <v>0</v>
      </c>
      <c r="BV8" s="29" t="s">
        <v>13</v>
      </c>
      <c r="CB8" s="52"/>
      <c r="CC8" s="52"/>
    </row>
    <row r="9" spans="1:83" ht="19.5" thickBot="1" x14ac:dyDescent="0.35">
      <c r="AE9" s="29" t="s">
        <v>679</v>
      </c>
      <c r="AF9" s="29" t="str">
        <f ca="1">IF($P$6&gt;=16,VLOOKUP(RANDBETWEEN(1,6),Table41[],2)," ")</f>
        <v xml:space="preserve"> </v>
      </c>
      <c r="AH9" s="29" t="s">
        <v>14</v>
      </c>
      <c r="AI9" s="29">
        <f ca="1">$P$38</f>
        <v>2</v>
      </c>
      <c r="AJ9" s="29" t="str">
        <f t="shared" ref="AJ9:AU9" ca="1" si="12">IF(COUNTIF(AJ$27:AJ$33,$AH$9),$P$8," ")</f>
        <v xml:space="preserve"> </v>
      </c>
      <c r="AK9" s="29" t="str">
        <f t="shared" ca="1" si="12"/>
        <v xml:space="preserve"> </v>
      </c>
      <c r="AL9" s="29" t="str">
        <f t="shared" ca="1" si="12"/>
        <v xml:space="preserve"> </v>
      </c>
      <c r="AM9" s="29" t="str">
        <f t="shared" ca="1" si="12"/>
        <v xml:space="preserve"> </v>
      </c>
      <c r="AN9" s="29" t="str">
        <f t="shared" ca="1" si="12"/>
        <v xml:space="preserve"> </v>
      </c>
      <c r="AO9" s="29" t="str">
        <f t="shared" ca="1" si="12"/>
        <v xml:space="preserve"> </v>
      </c>
      <c r="AP9" s="29" t="str">
        <f t="shared" ca="1" si="12"/>
        <v xml:space="preserve"> </v>
      </c>
      <c r="AQ9" s="29" t="str">
        <f t="shared" ca="1" si="12"/>
        <v xml:space="preserve"> </v>
      </c>
      <c r="AR9" s="29" t="str">
        <f t="shared" ca="1" si="12"/>
        <v xml:space="preserve"> </v>
      </c>
      <c r="AS9" s="29" t="str">
        <f t="shared" ca="1" si="12"/>
        <v xml:space="preserve"> </v>
      </c>
      <c r="AT9" s="29" t="str">
        <f t="shared" ca="1" si="12"/>
        <v xml:space="preserve"> </v>
      </c>
      <c r="AU9" s="29" t="str">
        <f t="shared" ca="1" si="12"/>
        <v xml:space="preserve"> </v>
      </c>
      <c r="AV9" s="29">
        <f t="shared" ca="1" si="8"/>
        <v>0</v>
      </c>
      <c r="AW9" s="29" t="s">
        <v>14</v>
      </c>
      <c r="BG9" s="29" t="str">
        <f ca="1">IF(S11="Outlander",P8," ")</f>
        <v xml:space="preserve"> </v>
      </c>
      <c r="BH9" s="29" t="str">
        <f ca="1">IF(S11="Pirate",P8," ")</f>
        <v xml:space="preserve"> </v>
      </c>
      <c r="BJ9" s="29" t="str">
        <f ca="1">IF(S11="Sailor",P8," ")</f>
        <v xml:space="preserve"> </v>
      </c>
      <c r="BK9" s="29" t="str">
        <f ca="1">IF(S11="Soldier",P8," ")</f>
        <v xml:space="preserve"> </v>
      </c>
      <c r="BM9" s="29">
        <f t="shared" ca="1" si="2"/>
        <v>0</v>
      </c>
      <c r="BN9" s="29">
        <f t="shared" ca="1" si="9"/>
        <v>0</v>
      </c>
      <c r="BO9" s="29" t="str">
        <f t="shared" ca="1" si="3"/>
        <v xml:space="preserve"> </v>
      </c>
      <c r="BP9" s="29" t="str">
        <f t="shared" ca="1" si="4"/>
        <v xml:space="preserve"> </v>
      </c>
      <c r="BQ9" s="29" t="str">
        <f t="shared" ca="1" si="5"/>
        <v xml:space="preserve"> </v>
      </c>
      <c r="BR9" s="29">
        <f t="shared" ca="1" si="6"/>
        <v>0</v>
      </c>
      <c r="BU9" s="29">
        <f t="shared" ca="1" si="10"/>
        <v>0</v>
      </c>
      <c r="BV9" s="29" t="s">
        <v>14</v>
      </c>
      <c r="CB9" s="31" t="s">
        <v>740</v>
      </c>
      <c r="CC9" s="31" t="s">
        <v>742</v>
      </c>
      <c r="CD9" s="31"/>
    </row>
    <row r="10" spans="1:83" ht="26.25" thickBot="1" x14ac:dyDescent="0.4">
      <c r="O10" s="124" t="s">
        <v>681</v>
      </c>
      <c r="Q10" s="124" t="s">
        <v>682</v>
      </c>
      <c r="R10" s="49"/>
      <c r="S10" s="123" t="s">
        <v>32</v>
      </c>
      <c r="AE10" s="29" t="s">
        <v>680</v>
      </c>
      <c r="AF10" s="29" t="str">
        <f ca="1">IF($P$6&gt;=19,VLOOKUP(RANDBETWEEN(1,6),Table41[],2)," ")</f>
        <v xml:space="preserve"> </v>
      </c>
      <c r="AH10" s="29" t="s">
        <v>15</v>
      </c>
      <c r="AI10" s="29">
        <f ca="1">$P$43</f>
        <v>4</v>
      </c>
      <c r="AJ10" s="29" t="str">
        <f t="shared" ref="AJ10:AU10" ca="1" si="13">IF(COUNTIF(AJ$27:AJ$33,$AH$10),$P$8," ")</f>
        <v xml:space="preserve"> </v>
      </c>
      <c r="AK10" s="29" t="str">
        <f t="shared" ca="1" si="13"/>
        <v xml:space="preserve"> </v>
      </c>
      <c r="AL10" s="29" t="str">
        <f t="shared" ca="1" si="13"/>
        <v xml:space="preserve"> </v>
      </c>
      <c r="AM10" s="29" t="str">
        <f t="shared" ca="1" si="13"/>
        <v xml:space="preserve"> </v>
      </c>
      <c r="AN10" s="29" t="str">
        <f t="shared" ca="1" si="13"/>
        <v xml:space="preserve"> </v>
      </c>
      <c r="AO10" s="29" t="str">
        <f t="shared" ca="1" si="13"/>
        <v xml:space="preserve"> </v>
      </c>
      <c r="AP10" s="29" t="str">
        <f t="shared" ca="1" si="13"/>
        <v xml:space="preserve"> </v>
      </c>
      <c r="AQ10" s="29" t="str">
        <f t="shared" ca="1" si="13"/>
        <v xml:space="preserve"> </v>
      </c>
      <c r="AR10" s="29" t="str">
        <f t="shared" ca="1" si="13"/>
        <v xml:space="preserve"> </v>
      </c>
      <c r="AS10" s="29" t="str">
        <f t="shared" ca="1" si="13"/>
        <v xml:space="preserve"> </v>
      </c>
      <c r="AT10" s="29" t="str">
        <f t="shared" ca="1" si="13"/>
        <v xml:space="preserve"> </v>
      </c>
      <c r="AU10" s="29" t="str">
        <f t="shared" ca="1" si="13"/>
        <v xml:space="preserve"> </v>
      </c>
      <c r="AV10" s="29">
        <f t="shared" ca="1" si="8"/>
        <v>0</v>
      </c>
      <c r="AW10" s="29" t="s">
        <v>15</v>
      </c>
      <c r="AY10" s="29" t="str">
        <f ca="1">IF(S11="Charlatan",P8," ")</f>
        <v xml:space="preserve"> </v>
      </c>
      <c r="AZ10" s="29" t="str">
        <f ca="1">IF(S11="Criminal",P8," ")</f>
        <v xml:space="preserve"> </v>
      </c>
      <c r="BE10" s="29" t="str">
        <f ca="1">IF(S11="Knight",P8," ")</f>
        <v xml:space="preserve"> </v>
      </c>
      <c r="BF10" s="29" t="str">
        <f ca="1">IF(S11="Noble",P8," ")</f>
        <v xml:space="preserve"> </v>
      </c>
      <c r="BM10" s="29">
        <f t="shared" ca="1" si="2"/>
        <v>0</v>
      </c>
      <c r="BN10" s="29">
        <f t="shared" ca="1" si="9"/>
        <v>0</v>
      </c>
      <c r="BO10" s="29" t="str">
        <f t="shared" ca="1" si="3"/>
        <v xml:space="preserve"> </v>
      </c>
      <c r="BP10" s="29" t="str">
        <f t="shared" ca="1" si="4"/>
        <v xml:space="preserve"> </v>
      </c>
      <c r="BQ10" s="29" t="str">
        <f t="shared" ca="1" si="5"/>
        <v xml:space="preserve"> </v>
      </c>
      <c r="BR10" s="29">
        <f t="shared" ca="1" si="6"/>
        <v>0</v>
      </c>
      <c r="BU10" s="29">
        <f t="shared" ca="1" si="10"/>
        <v>0</v>
      </c>
      <c r="BV10" s="29" t="s">
        <v>15</v>
      </c>
      <c r="CB10" s="35">
        <f t="shared" ref="CB10:CB27" ca="1" si="14">_xlfn.RANK.EQ(CC10,$CC$10:$CC$27)</f>
        <v>2</v>
      </c>
      <c r="CC10" s="36">
        <f t="shared" ref="CC10:CC27" ca="1" si="15">IF(BM6&gt;0,0,RAND())</f>
        <v>0.78908288596733578</v>
      </c>
      <c r="CD10" s="29" t="s">
        <v>12</v>
      </c>
    </row>
    <row r="11" spans="1:83" ht="19.5" thickTop="1" x14ac:dyDescent="0.3">
      <c r="O11" s="46" t="str">
        <f ca="1">VLOOKUP(RANDBETWEEN(1,16),Table43[],2)</f>
        <v>Wizard</v>
      </c>
      <c r="Q11" s="139" t="str">
        <f ca="1">IF(O11="non-classed",VLOOKUP(RANDBETWEEN(1,124),Table252[],2),IF(AND(O11="barbarian",AF14=2),VLOOKUP(RANDBETWEEN(1,11),Table43[],3),IF(AND(O11="bard",AF14=2),VLOOKUP(RANDBETWEEN(1,11),Table43[],4),IF(AND(O11="cleric",AF14=2),VLOOKUP(RANDBETWEEN(1,11),Table43[],5),IF(AND(O11="druid",AF14=2),VLOOKUP(RANDBETWEEN(1,11),Table43[],6),IF(AND(O11="fighter",AF14=2),VLOOKUP(RANDBETWEEN(1,11),Table43[],7),IF(AND(O11="Monk",AF14=2),VLOOKUP(RANDBETWEEN(1,11),Table43[],8),IF(AND(O11="Paladin",AF14=2),VLOOKUP(RANDBETWEEN(1,11),Table43[],9),IF(AND(O11="Ranger",AF14=2),VLOOKUP(RANDBETWEEN(1,11),Table43[],10),IF(AND(O11="Rogue",AF14=2),VLOOKUP(RANDBETWEEN(1,11),Table43[],11),IF(AND(O11="sorcerer",AF14=2),VLOOKUP(RANDBETWEEN(1,11),Table43[],12),IF(AND(O11="warlock",AF14=2),VLOOKUP(RANDBETWEEN(1,11),Table43[],13),IF(AND(O11="wizard",AF14=2),VLOOKUP(RANDBETWEEN(1,11),Table43[],14)," ")))))))))))))</f>
        <v xml:space="preserve"> </v>
      </c>
      <c r="R11" s="49"/>
      <c r="S11" s="33" t="str">
        <f ca="1">IF(O11&lt;&gt;"non-classed",VLOOKUP(RANDBETWEEN(1,15),Table254[],2)," ")</f>
        <v>Guild Artisan</v>
      </c>
      <c r="AE11" s="29" t="s">
        <v>680</v>
      </c>
      <c r="AF11" s="29" t="str">
        <f ca="1">IF($P$6&gt;=19,VLOOKUP(RANDBETWEEN(1,6),Table41[],2)," ")</f>
        <v xml:space="preserve"> </v>
      </c>
      <c r="AH11" s="29" t="s">
        <v>16</v>
      </c>
      <c r="AI11" s="29">
        <f ca="1">$P$41</f>
        <v>3</v>
      </c>
      <c r="AJ11" s="29" t="str">
        <f t="shared" ref="AJ11:AU11" ca="1" si="16">IF(COUNTIF(AJ$27:AJ$33,$AH$11),$P$8," ")</f>
        <v xml:space="preserve"> </v>
      </c>
      <c r="AK11" s="29" t="str">
        <f t="shared" ca="1" si="16"/>
        <v xml:space="preserve"> </v>
      </c>
      <c r="AL11" s="29" t="str">
        <f t="shared" ca="1" si="16"/>
        <v xml:space="preserve"> </v>
      </c>
      <c r="AM11" s="29" t="str">
        <f t="shared" ca="1" si="16"/>
        <v xml:space="preserve"> </v>
      </c>
      <c r="AN11" s="29" t="str">
        <f t="shared" ca="1" si="16"/>
        <v xml:space="preserve"> </v>
      </c>
      <c r="AO11" s="29" t="str">
        <f t="shared" ca="1" si="16"/>
        <v xml:space="preserve"> </v>
      </c>
      <c r="AP11" s="29" t="str">
        <f t="shared" ca="1" si="16"/>
        <v xml:space="preserve"> </v>
      </c>
      <c r="AQ11" s="29" t="str">
        <f t="shared" ca="1" si="16"/>
        <v xml:space="preserve"> </v>
      </c>
      <c r="AR11" s="29" t="str">
        <f t="shared" ca="1" si="16"/>
        <v xml:space="preserve"> </v>
      </c>
      <c r="AS11" s="29" t="str">
        <f t="shared" ca="1" si="16"/>
        <v xml:space="preserve"> </v>
      </c>
      <c r="AT11" s="29" t="str">
        <f t="shared" ca="1" si="16"/>
        <v xml:space="preserve"> </v>
      </c>
      <c r="AU11" s="29" t="str">
        <f t="shared" ca="1" si="16"/>
        <v xml:space="preserve"> </v>
      </c>
      <c r="AV11" s="29">
        <f t="shared" ca="1" si="8"/>
        <v>0</v>
      </c>
      <c r="AW11" s="29" t="s">
        <v>16</v>
      </c>
      <c r="BI11" s="29" t="str">
        <f ca="1">IF(S11="Sage",P8," ")</f>
        <v xml:space="preserve"> </v>
      </c>
      <c r="BM11" s="29">
        <f t="shared" ca="1" si="2"/>
        <v>0</v>
      </c>
      <c r="BN11" s="29">
        <f t="shared" ca="1" si="9"/>
        <v>0</v>
      </c>
      <c r="BO11" s="29" t="str">
        <f t="shared" ca="1" si="3"/>
        <v xml:space="preserve"> </v>
      </c>
      <c r="BP11" s="29" t="str">
        <f t="shared" ca="1" si="4"/>
        <v xml:space="preserve"> </v>
      </c>
      <c r="BQ11" s="29" t="str">
        <f t="shared" ca="1" si="5"/>
        <v xml:space="preserve"> </v>
      </c>
      <c r="BR11" s="29">
        <f t="shared" ca="1" si="6"/>
        <v>0</v>
      </c>
      <c r="BS11" s="29">
        <f ca="1">IF(AND($BY$27=1,OR($P$15="knowledge",$R$15="knowledge")),$P$8*2,IF(AND($BY$27=2,OR($P$15="knowledge",$R$15="knowledge")),$P$8*2,0))</f>
        <v>0</v>
      </c>
      <c r="BU11" s="29">
        <f t="shared" ca="1" si="10"/>
        <v>0</v>
      </c>
      <c r="BV11" s="29" t="s">
        <v>16</v>
      </c>
      <c r="CB11" s="35">
        <f t="shared" ca="1" si="14"/>
        <v>12</v>
      </c>
      <c r="CC11" s="36">
        <f t="shared" ca="1" si="15"/>
        <v>0.1462034647839362</v>
      </c>
      <c r="CD11" s="29" t="s">
        <v>29</v>
      </c>
    </row>
    <row r="12" spans="1:83" ht="19.5" thickBot="1" x14ac:dyDescent="0.35">
      <c r="O12" s="24">
        <f ca="1">IF($AF$14=1,RANDBETWEEN(1,20),IF(Q12=1,RANDBETWEEN(1,19),IF(Q12=2,RANDBETWEEN(2,18),IF(Q12=3,RANDBETWEEN(3,17),IF(Q12=4,RANDBETWEEN(4,16),IF(Q12=5,RANDBETWEEN(5,15),IF(Q12=6,RANDBETWEEN(6,14),IF(Q12=7,RANDBETWEEN(7,13),IF(Q12=8,RANDBETWEEN(8,12),IF(Q12=9,RANDBETWEEN(9,11),IF(Q12=10,10," ")))))))))))</f>
        <v>12</v>
      </c>
      <c r="Q12" s="54" t="str">
        <f ca="1">IF(O11="non-classed"," ",IF(AF14=1," ",IF(AF14=2,RANDBETWEEN(1,10))))</f>
        <v xml:space="preserve"> </v>
      </c>
      <c r="AH12" s="29" t="s">
        <v>17</v>
      </c>
      <c r="AI12" s="29">
        <f ca="1">$P$42</f>
        <v>3</v>
      </c>
      <c r="AJ12" s="29" t="str">
        <f t="shared" ref="AJ12:AU12" ca="1" si="17">IF(COUNTIF(AJ$27:AJ$33,$AH$12),$P$8," ")</f>
        <v xml:space="preserve"> </v>
      </c>
      <c r="AK12" s="29" t="str">
        <f t="shared" ca="1" si="17"/>
        <v xml:space="preserve"> </v>
      </c>
      <c r="AL12" s="29" t="str">
        <f t="shared" ca="1" si="17"/>
        <v xml:space="preserve"> </v>
      </c>
      <c r="AM12" s="29" t="str">
        <f t="shared" ca="1" si="17"/>
        <v xml:space="preserve"> </v>
      </c>
      <c r="AN12" s="29" t="str">
        <f t="shared" ca="1" si="17"/>
        <v xml:space="preserve"> </v>
      </c>
      <c r="AO12" s="29" t="str">
        <f t="shared" ca="1" si="17"/>
        <v xml:space="preserve"> </v>
      </c>
      <c r="AP12" s="29" t="str">
        <f t="shared" ca="1" si="17"/>
        <v xml:space="preserve"> </v>
      </c>
      <c r="AQ12" s="29" t="str">
        <f t="shared" ca="1" si="17"/>
        <v xml:space="preserve"> </v>
      </c>
      <c r="AR12" s="29" t="str">
        <f t="shared" ca="1" si="17"/>
        <v xml:space="preserve"> </v>
      </c>
      <c r="AS12" s="29" t="str">
        <f t="shared" ca="1" si="17"/>
        <v xml:space="preserve"> </v>
      </c>
      <c r="AT12" s="29" t="str">
        <f t="shared" ca="1" si="17"/>
        <v xml:space="preserve"> </v>
      </c>
      <c r="AU12" s="29" t="str">
        <f t="shared" ca="1" si="17"/>
        <v xml:space="preserve"> </v>
      </c>
      <c r="AV12" s="29">
        <f t="shared" ca="1" si="8"/>
        <v>0</v>
      </c>
      <c r="AW12" s="29" t="s">
        <v>17</v>
      </c>
      <c r="AX12" s="29" t="str">
        <f ca="1">IF(S11="acolyte",P8," ")</f>
        <v xml:space="preserve"> </v>
      </c>
      <c r="BC12" s="29">
        <f ca="1">IF(S11="Guild Artisan",P8," ")</f>
        <v>4</v>
      </c>
      <c r="BM12" s="29">
        <f t="shared" ca="1" si="2"/>
        <v>4</v>
      </c>
      <c r="BN12" s="29">
        <f t="shared" ca="1" si="9"/>
        <v>0</v>
      </c>
      <c r="BO12" s="29" t="str">
        <f t="shared" ca="1" si="3"/>
        <v xml:space="preserve"> </v>
      </c>
      <c r="BP12" s="29" t="str">
        <f t="shared" ca="1" si="4"/>
        <v xml:space="preserve"> </v>
      </c>
      <c r="BQ12" s="29" t="str">
        <f t="shared" ca="1" si="5"/>
        <v xml:space="preserve"> </v>
      </c>
      <c r="BR12" s="29">
        <f t="shared" ca="1" si="6"/>
        <v>0</v>
      </c>
      <c r="BU12" s="29">
        <f t="shared" ca="1" si="10"/>
        <v>4</v>
      </c>
      <c r="BV12" s="29" t="s">
        <v>17</v>
      </c>
      <c r="CB12" s="35">
        <f t="shared" ca="1" si="14"/>
        <v>6</v>
      </c>
      <c r="CC12" s="36">
        <f t="shared" ca="1" si="15"/>
        <v>0.41150105494556599</v>
      </c>
      <c r="CD12" s="29" t="s">
        <v>13</v>
      </c>
    </row>
    <row r="13" spans="1:83" x14ac:dyDescent="0.3">
      <c r="AF13" s="29" t="s">
        <v>683</v>
      </c>
      <c r="AH13" s="29" t="s">
        <v>18</v>
      </c>
      <c r="AI13" s="29">
        <f ca="1">$P$43</f>
        <v>4</v>
      </c>
      <c r="AJ13" s="29" t="str">
        <f t="shared" ref="AJ13:AU13" ca="1" si="18">IF(COUNTIF(AJ$27:AJ$33,$AH$13),$P$8," ")</f>
        <v xml:space="preserve"> </v>
      </c>
      <c r="AK13" s="29" t="str">
        <f t="shared" ca="1" si="18"/>
        <v xml:space="preserve"> </v>
      </c>
      <c r="AL13" s="29" t="str">
        <f t="shared" ca="1" si="18"/>
        <v xml:space="preserve"> </v>
      </c>
      <c r="AM13" s="29" t="str">
        <f t="shared" ca="1" si="18"/>
        <v xml:space="preserve"> </v>
      </c>
      <c r="AN13" s="29" t="str">
        <f t="shared" ca="1" si="18"/>
        <v xml:space="preserve"> </v>
      </c>
      <c r="AO13" s="29" t="str">
        <f t="shared" ca="1" si="18"/>
        <v xml:space="preserve"> </v>
      </c>
      <c r="AP13" s="29" t="str">
        <f t="shared" ca="1" si="18"/>
        <v xml:space="preserve"> </v>
      </c>
      <c r="AQ13" s="29" t="str">
        <f t="shared" ca="1" si="18"/>
        <v xml:space="preserve"> </v>
      </c>
      <c r="AR13" s="29" t="str">
        <f t="shared" ca="1" si="18"/>
        <v xml:space="preserve"> </v>
      </c>
      <c r="AS13" s="29" t="str">
        <f t="shared" ca="1" si="18"/>
        <v xml:space="preserve"> </v>
      </c>
      <c r="AT13" s="29" t="str">
        <f t="shared" ca="1" si="18"/>
        <v xml:space="preserve"> </v>
      </c>
      <c r="AU13" s="29" t="str">
        <f t="shared" ca="1" si="18"/>
        <v xml:space="preserve"> </v>
      </c>
      <c r="AV13" s="29">
        <f t="shared" ca="1" si="8"/>
        <v>0</v>
      </c>
      <c r="AW13" s="29" t="s">
        <v>18</v>
      </c>
      <c r="BK13" s="29" t="str">
        <f ca="1">IF(S11="Soldier",P8," ")</f>
        <v xml:space="preserve"> </v>
      </c>
      <c r="BM13" s="29">
        <f t="shared" ca="1" si="2"/>
        <v>0</v>
      </c>
      <c r="BN13" s="29">
        <f t="shared" ca="1" si="9"/>
        <v>0</v>
      </c>
      <c r="BO13" s="29" t="str">
        <f t="shared" ca="1" si="3"/>
        <v xml:space="preserve"> </v>
      </c>
      <c r="BP13" s="29" t="str">
        <f t="shared" ca="1" si="4"/>
        <v xml:space="preserve"> </v>
      </c>
      <c r="BQ13" s="29" t="str">
        <f t="shared" ca="1" si="5"/>
        <v xml:space="preserve"> </v>
      </c>
      <c r="BR13" s="29">
        <f t="shared" ca="1" si="6"/>
        <v>0</v>
      </c>
      <c r="BU13" s="29">
        <f t="shared" ca="1" si="10"/>
        <v>0</v>
      </c>
      <c r="BV13" s="29" t="s">
        <v>18</v>
      </c>
      <c r="CB13" s="35">
        <f t="shared" ca="1" si="14"/>
        <v>5</v>
      </c>
      <c r="CC13" s="36">
        <f t="shared" ca="1" si="15"/>
        <v>0.50052568414354182</v>
      </c>
      <c r="CD13" s="29" t="s">
        <v>14</v>
      </c>
    </row>
    <row r="14" spans="1:83" ht="26.25" thickBot="1" x14ac:dyDescent="0.4">
      <c r="B14" s="123" t="s">
        <v>45</v>
      </c>
      <c r="O14" s="123" t="s">
        <v>709</v>
      </c>
      <c r="P14" s="123" t="s">
        <v>743</v>
      </c>
      <c r="Q14" s="123" t="s">
        <v>698</v>
      </c>
      <c r="R14" s="123" t="s">
        <v>743</v>
      </c>
      <c r="S14" s="123" t="s">
        <v>1826</v>
      </c>
      <c r="AF14" s="29">
        <f ca="1">IF(O11="non-classed",1,VLOOKUP(RANDBETWEEN(1,10),Table42[],2))</f>
        <v>1</v>
      </c>
      <c r="AH14" s="29" t="s">
        <v>19</v>
      </c>
      <c r="AI14" s="29">
        <f ca="1">$P$41</f>
        <v>3</v>
      </c>
      <c r="AJ14" s="29" t="str">
        <f t="shared" ref="AJ14:AU14" ca="1" si="19">IF(COUNTIF(AJ$27:AJ$33,$AH$14),$P$8," ")</f>
        <v xml:space="preserve"> </v>
      </c>
      <c r="AK14" s="29" t="str">
        <f t="shared" ca="1" si="19"/>
        <v xml:space="preserve"> </v>
      </c>
      <c r="AL14" s="29" t="str">
        <f t="shared" ca="1" si="19"/>
        <v xml:space="preserve"> </v>
      </c>
      <c r="AM14" s="29" t="str">
        <f t="shared" ca="1" si="19"/>
        <v xml:space="preserve"> </v>
      </c>
      <c r="AN14" s="29" t="str">
        <f t="shared" ca="1" si="19"/>
        <v xml:space="preserve"> </v>
      </c>
      <c r="AO14" s="29" t="str">
        <f t="shared" ca="1" si="19"/>
        <v xml:space="preserve"> </v>
      </c>
      <c r="AP14" s="29" t="str">
        <f t="shared" ca="1" si="19"/>
        <v xml:space="preserve"> </v>
      </c>
      <c r="AQ14" s="29" t="str">
        <f t="shared" ca="1" si="19"/>
        <v xml:space="preserve"> </v>
      </c>
      <c r="AR14" s="29" t="str">
        <f t="shared" ca="1" si="19"/>
        <v xml:space="preserve"> </v>
      </c>
      <c r="AS14" s="29" t="str">
        <f t="shared" ca="1" si="19"/>
        <v xml:space="preserve"> </v>
      </c>
      <c r="AT14" s="29" t="str">
        <f t="shared" ca="1" si="19"/>
        <v xml:space="preserve"> </v>
      </c>
      <c r="AU14" s="29" t="str">
        <f t="shared" ca="1" si="19"/>
        <v xml:space="preserve"> </v>
      </c>
      <c r="AV14" s="29">
        <f t="shared" ca="1" si="8"/>
        <v>0</v>
      </c>
      <c r="AW14" s="29" t="s">
        <v>19</v>
      </c>
      <c r="BM14" s="29">
        <f t="shared" si="2"/>
        <v>0</v>
      </c>
      <c r="BN14" s="29">
        <f t="shared" ca="1" si="9"/>
        <v>0</v>
      </c>
      <c r="BO14" s="29" t="str">
        <f t="shared" ca="1" si="3"/>
        <v xml:space="preserve"> </v>
      </c>
      <c r="BP14" s="29" t="str">
        <f t="shared" ca="1" si="4"/>
        <v xml:space="preserve"> </v>
      </c>
      <c r="BQ14" s="29" t="str">
        <f t="shared" ca="1" si="5"/>
        <v xml:space="preserve"> </v>
      </c>
      <c r="BR14" s="29">
        <f t="shared" ca="1" si="6"/>
        <v>0</v>
      </c>
      <c r="BU14" s="29">
        <f t="shared" ca="1" si="10"/>
        <v>0</v>
      </c>
      <c r="BV14" s="29" t="s">
        <v>19</v>
      </c>
      <c r="CB14" s="35">
        <f t="shared" ca="1" si="14"/>
        <v>7</v>
      </c>
      <c r="CC14" s="36">
        <f t="shared" ca="1" si="15"/>
        <v>0.40855555808726096</v>
      </c>
      <c r="CD14" s="29" t="s">
        <v>15</v>
      </c>
      <c r="CE14" s="31"/>
    </row>
    <row r="15" spans="1:83" ht="19.5" thickTop="1" x14ac:dyDescent="0.3">
      <c r="B15" s="33" t="str">
        <f ca="1">IF(P2="dark","Darkvision 120 ft.",IF(OR(Q2="dwarf",Q2="elf",Q2="gnome",Q2="half-elf",Q2="half-orc",Q2="tiefling"),"Darkvision 60 ft.",IF(Q2="halfling","Lucky",IF(Q2="dragonborn","Breath Weapon"," "))))</f>
        <v>Darkvision 60 ft.</v>
      </c>
      <c r="O15" s="33" t="str">
        <f ca="1">IF(O11="wizard","Ritual Casting",IF(O11="warlock","Otherworldly Patron - "&amp;VLOOKUP(RANDBETWEEN(1,2),Table226[],2),IF(O11="sorcerer","Spellcasting Focus",IF(O11="rogue","Sneak Attack - "&amp;INDEX('Class Tables'!E56:E75,MATCH(O12,('Class Tables'!D56:D75),0)),IF(AND(O11="ranger",AF24=2),"Favored Enemy - "&amp;INDEX('Class Tables'!S177:S220,MATCH(1,('Class Tables'!Q177:Q220),0)),IF(AND(O11="ranger",AF24=1),"Favored Enemy - "&amp;INDEX('Class Tables'!R162:R174,MATCH(1,('Class Tables'!Q162:Q174),0)),IF(O11="paladin","Divine Sense - "&amp;SUM(1,P43)&amp;" Uses",IF(O11="monk","Unarmored Defense",IF(O11="fighter",INDEX('Class Tables'!F48:F53,MATCH(1,('Class Tables'!D48:D53),0)),IF(O11="barbarian","Rage "&amp;INDEX('Class Tables'!J141:J160,MATCH(O12,('Class Tables'!I141:I160),0))&amp; " times, "&amp;INDEX('Class Tables'!K141:K160,MATCH(O12,('Class Tables'!I141:I160),0)),IF(O11="bard","Bardic Inspiration "&amp;P43&amp;" uses at "&amp;INDEX('Class Tables'!M58:M77,MATCH(O12,('Class Tables'!L58:L77),0)),IF(OR(O11="cleric",O11="druid"),"Ritual Casting"," "))))))))))))</f>
        <v>Ritual Casting</v>
      </c>
      <c r="P15" s="33" t="str">
        <f ca="1">IF(AND(O11="wizard",O12&gt;=2),VLOOKUP(RANDBETWEEN(1,8),Table251[],2),IF(O11="warlock",O15,IF(O11="sorcerer",VLOOKUP(RANDBETWEEN(1,2),Table224[],2),IF(AND(O11="ranger",O12&gt;=3),VLOOKUP(RANDBETWEEN(1,2),Table97[],2),IF(AND(O11="paladin",O12&gt;=3),VLOOKUP(RANDBETWEEN(1,3),Table90[],2),IF(AND(O11="monk",O12&gt;=3),VLOOKUP(RANDBETWEEN(1,3),Table82[],2),IF(AND(O11="druid",O12&gt;=2),VLOOKUP(RANDBETWEEN(1,2),Table73[],2),IF(O11="cleric",VLOOKUP(RANDBETWEEN(1,7),Table65[],2),IF(AND($O$11="barbarian",$O$12&gt;=3),VLOOKUP(RANDBETWEEN(1,2),Table40[],2),IF(AND(O11="bard",O12&gt;=3),VLOOKUP(RANDBETWEEN(1,2),Table47[],2),IF(AND(O11="fighter",O12&gt;=3),VLOOKUP(RANDBETWEEN(1,3),Table178[],2),IF(AND(O11="rogue",O12&gt;=3),VLOOKUP(RANDBETWEEN(1,3),Table189[],2)," "))))))))))))</f>
        <v>School of Transmutation</v>
      </c>
      <c r="Q15" s="33" t="str">
        <f ca="1">IF(Q11="wizard","Ritual Casting",IF(Q11="warlock","Otherworldly Patron - "&amp;VLOOKUP(RANDBETWEEN(1,2),Table226[],2),IF(Q11="sorcerer","Spellcasting Focus",IF(Q11="rogue","Sneak Attack - "&amp;INDEX('Class Tables'!E56:E75,MATCH(Q12,('Class Tables'!D56:D75),0)),IF(AND(Q11="ranger",AF24=2),"Favored Enemy - "&amp;INDEX('Class Tables'!S177:S220,MATCH(1,('Class Tables'!Q177:Q220),0)),IF(AND(Q11="ranger",AF24=1),"Favored Enemy - "&amp;INDEX('Class Tables'!R162:R174,MATCH(1,('Class Tables'!Q162:Q174),0)),IF(Q11="paladin","Divine Sense - "&amp;SUM(1,P43)&amp;" Uses",IF(Q11="monk","Unarmored Defense",IF(Q11="fighter",INDEX('Class Tables'!F48:F53,MATCH(1,('Class Tables'!D48:D53),0)),IF(Q11="barbarian","Rage "&amp;INDEX('Class Tables'!J141:J160,MATCH(Q12,('Class Tables'!I141:I160),0))&amp; " times, "&amp;INDEX('Class Tables'!K141:K160,MATCH(Q12,('Class Tables'!I141:I160),0)),IF(Q11="bard","Bardic Inspiration - "&amp;P43&amp;" uses at "&amp;INDEX('Class Tables'!M58:M77,MATCH(Q12,('Class Tables'!L58:L77),0)),IF(OR(Q11="cleric",Q11="druid"),"Ritual Casting"," "))))))))))))</f>
        <v xml:space="preserve"> </v>
      </c>
      <c r="R15" s="33" t="str">
        <f ca="1">IF(Q11="warlock",O15,IF(Q11="sorcerer",VLOOKUP(RANDBETWEEN(1,2),Table224[],2),IF(AND(Q11="ranger",Q12&gt;=3),VLOOKUP(RANDBETWEEN(1,2),Table97[],2),IF(AND(Q11="paladin",Q12&gt;=3),VLOOKUP(RANDBETWEEN(1,3),Table90[],2),IF(AND(Q11="monk",Q12&gt;=3),VLOOKUP(RANDBETWEEN(1,3),Table82[],2),IF(AND(Q11="druid",Q12&gt;=2),VLOOKUP(RANDBETWEEN(1,2),Table73[],2),IF(Q11="cleric",VLOOKUP(RANDBETWEEN(1,7),Table65[],2),IF(AND($Q$11="barbarian",$Q$12&gt;=3),VLOOKUP(RANDBETWEEN(1,2),Table40[],2),IF(AND(Q11="bard",Q12&gt;=3),VLOOKUP(RANDBETWEEN(1,2),Table47[],2),IF(AND($Q$11="fighter",$Q$12&gt;=3),VLOOKUP(RANDBETWEEN(1,3),Table178[],2),IF(AND(Q11="rogue",Q12&gt;=3),VLOOKUP(RANDBETWEEN(1,3),Table189[],2)," ")))))))))))</f>
        <v xml:space="preserve"> </v>
      </c>
      <c r="S15" s="33" t="str">
        <f ca="1">IF(S11="urchin","City Secrets",IF(S11="soldier",VLOOKUP(RANDBETWEEN(1,8),Table263[],2),IF(S11="pirate","Bad Reputation",IF(S11="Sailor","Ship's Passage",IF(S11="sage",VLOOKUP(RANDBETWEEN(1,8),Table262[],2),IF(S11="outlander",VLOOKUP(RANDBETWEEN(1,10),Table261[],2),IF(S11="knight","Retainers",IF(S11="noble","Position of Privlege",IF(S11="hermit","Discovery",IF(S11="guild artisan",VLOOKUP(RANDBETWEEN(1,20),Table260[],2),IF(S11="folk hero","Rustic Hospitality",IF(S11="entertainer",VLOOKUP(RANDBETWEEN(1,10),Table259[],2),IF(S11="Criminal","Criminal Contact",IF(S11="Charlatan","False Identity",IF(S11="acolyte","Shelter of the Faithful"," ")))))))))))))))</f>
        <v>Calligrapher</v>
      </c>
      <c r="AF15" s="29" t="s">
        <v>1336</v>
      </c>
      <c r="AH15" s="29" t="s">
        <v>20</v>
      </c>
      <c r="AI15" s="29">
        <f ca="1">$P$42</f>
        <v>3</v>
      </c>
      <c r="AJ15" s="29" t="str">
        <f t="shared" ref="AJ15:AU15" ca="1" si="20">IF(COUNTIF(AJ$27:AJ$33,$AH$15),$P$8," ")</f>
        <v xml:space="preserve"> </v>
      </c>
      <c r="AK15" s="29" t="str">
        <f t="shared" ca="1" si="20"/>
        <v xml:space="preserve"> </v>
      </c>
      <c r="AL15" s="29" t="str">
        <f t="shared" ca="1" si="20"/>
        <v xml:space="preserve"> </v>
      </c>
      <c r="AM15" s="29" t="str">
        <f t="shared" ca="1" si="20"/>
        <v xml:space="preserve"> </v>
      </c>
      <c r="AN15" s="29" t="str">
        <f t="shared" ca="1" si="20"/>
        <v xml:space="preserve"> </v>
      </c>
      <c r="AO15" s="29" t="str">
        <f t="shared" ca="1" si="20"/>
        <v xml:space="preserve"> </v>
      </c>
      <c r="AP15" s="29" t="str">
        <f t="shared" ca="1" si="20"/>
        <v xml:space="preserve"> </v>
      </c>
      <c r="AQ15" s="29" t="str">
        <f t="shared" ca="1" si="20"/>
        <v xml:space="preserve"> </v>
      </c>
      <c r="AR15" s="29" t="str">
        <f t="shared" ca="1" si="20"/>
        <v xml:space="preserve"> </v>
      </c>
      <c r="AS15" s="29" t="str">
        <f t="shared" ca="1" si="20"/>
        <v xml:space="preserve"> </v>
      </c>
      <c r="AT15" s="29" t="str">
        <f t="shared" ca="1" si="20"/>
        <v xml:space="preserve"> </v>
      </c>
      <c r="AU15" s="29" t="str">
        <f t="shared" ca="1" si="20"/>
        <v xml:space="preserve"> </v>
      </c>
      <c r="AV15" s="29">
        <f t="shared" ca="1" si="8"/>
        <v>0</v>
      </c>
      <c r="AW15" s="29" t="s">
        <v>20</v>
      </c>
      <c r="BD15" s="29" t="str">
        <f ca="1">IF(S11="Hermit",P8," ")</f>
        <v xml:space="preserve"> </v>
      </c>
      <c r="BM15" s="29">
        <f t="shared" ca="1" si="2"/>
        <v>0</v>
      </c>
      <c r="BN15" s="29">
        <f t="shared" ca="1" si="9"/>
        <v>0</v>
      </c>
      <c r="BO15" s="29" t="str">
        <f t="shared" ca="1" si="3"/>
        <v xml:space="preserve"> </v>
      </c>
      <c r="BP15" s="29" t="str">
        <f t="shared" ca="1" si="4"/>
        <v xml:space="preserve"> </v>
      </c>
      <c r="BQ15" s="29" t="str">
        <f t="shared" ca="1" si="5"/>
        <v xml:space="preserve"> </v>
      </c>
      <c r="BR15" s="29">
        <f t="shared" ca="1" si="6"/>
        <v>0</v>
      </c>
      <c r="BU15" s="29">
        <f t="shared" ca="1" si="10"/>
        <v>0</v>
      </c>
      <c r="BV15" s="29" t="s">
        <v>20</v>
      </c>
      <c r="CB15" s="35">
        <f t="shared" ca="1" si="14"/>
        <v>1</v>
      </c>
      <c r="CC15" s="36">
        <f t="shared" ca="1" si="15"/>
        <v>0.99513525902377731</v>
      </c>
      <c r="CD15" s="29" t="s">
        <v>16</v>
      </c>
    </row>
    <row r="16" spans="1:83" x14ac:dyDescent="0.3">
      <c r="B16" s="33" t="str">
        <f ca="1">IF(Q2="dwarf","Dwarven Resilience",IF(OR(Q2="half-elf",Q2="elf"),"Fey Ancestry",IF(Q2="halfling","Brave",IF(Q2="dragonborn","Damage Resistance",IF(Q2="gnome","Gnome Cunning",IF(Q2="half-orc","Menacing",IF(Q2="tiefling","Hellish Resistance"," ")))))))</f>
        <v>Hellish Resistance</v>
      </c>
      <c r="O16" s="33" t="str">
        <f ca="1">IF(O11="wizard","Spellcasting Focus",IF(AND(O11="warlock",O12&gt;=3),VLOOKUP(RANDBETWEEN(1,3),Table227[],2),IF(AND(O11="sorcerer",O12&gt;=2),"Sorcery Points - "&amp;O12,IF(AND(O11="rogue",O12&gt;=2),"Cunning Action",IF(AND(O11="ranger",AF24=2),"Favored Enemy - "&amp;INDEX('Class Tables'!S177:S220,MATCH(2,('Class Tables'!Q177:Q220),0)),IF(O11="paladin","Lay On Hands "&amp;O12*5&amp;" HP",IF(O11="monk","Martial Arts - "&amp;INDEX('Class Tables'!J98:J117,MATCH(O12,('Class Tables'!I98:I117),0)),IF(O11="fighter","Second Wind - 1d10+"&amp;O12&amp;" hp",IF(O11="barbarian","Unarmored Defense",IF(AND(O11="bard",O12&gt;=2),"Jack of All Trades",IF(OR(O11="cleric",O11="druid"),"Spellcasting Focus"," ")))))))))))</f>
        <v>Spellcasting Focus</v>
      </c>
      <c r="P16" s="33" t="str">
        <f ca="1">IF(AND(P15="school of transmutation",O12&gt;=2),"Transmutation Savant",IF(AND(P15="school of necromancy",O12&gt;=2),"Necromancy Savant",IF(AND(P15="school of illusion",O12&gt;=2),"Illusion Savant",IF(AND(P15="school of evocation",O12&gt;=2),"Evocation Savant",IF(AND(P15="school of enchantment",O12&gt;=2),"Enchantment Savant",IF(AND(P15="school of divination",O12&gt;=2),"Divination Savant",IF(AND(P15="school of conjuration",O12&gt;=2),"Conjuration Savant",IF(P15="school of abjuration","Abjuration Savant",IF(AND(P15="otherworldly patron - great old one",O12&gt;=1),"Awakened Mind",IF(AND(P15="otherworldly patron - fiend",O12&gt;=3),"Dark One's Blessing - "&amp;SUM(O12,P43)&amp;" hp",IF(P15="otherworldly patron - Archfey","Fey Presence",IF(P15="wild magic","Wild Magic Surge",IF(P15="draconic bloodline",VLOOKUP(RANDBETWEEN(1,10),Table25[],2)&amp;" Dragon Ancestry",IF(P15="arcane trickster","Mage Hand Legerdemain",IF(P15="assassin","Assassinate",IF(P15="thief","Fast Hands",IF(P15="beastmaster","Companion - "&amp;VLOOKUP(RANDBETWEEN(1,39),Table218[],2),IF(P15="hunter",VLOOKUP(RANDBETWEEN(1,3),Table108[],2),IF(P15="oath of vengeance","Channel Divinity: Abjure Enemy",IF(P15="oath of the ancients","Channel Divinity: Nature's Wrath",IF(P15="Oath of Devotion","Channel Divinity: Sacred Weapon",IF(AND(P15="way of the four elements",O12&gt;=5),"Max. Ki Point for Spell - "&amp;INDEX('Class Tables'!N120:N137,MATCH(O12,('Class Tables'!M120:M137),0)),IF(AND(P15="way of the shadow",O12&gt;=6),"Shadow Step",IF(P15="way of the open hand","Open Hand Technique",IF(P15="eldritch Knight","Weapon Bond",IF(AND(P15="battle master",O12&gt;=7),"Know Your Enemy",IF(P15="champion","Improved Critical",IF(P15="moon","Combat Wild Shape",IF(P15="land","Natural Recovery - "&amp;ROUNDUP(O12*0.5,0)&amp;" slots",IF(AND(P15="war",O12&gt;=1),"War Priest",IF(AND(P15="trickery",O12&gt;=1),"Blessing of the Trickster",IF(AND(P15="tempest",O12&gt;=1),"Wrath of the Storm",IF(AND(P15="nature",O12&gt;=2),"Channel Divinity: Charm Animals and Plants",IF(AND(P15="light",O12&gt;=1),"Warding Flare",IF(P15="life","Disciple of Life",IF(AND(P15="knowledge",O12&gt;=2),"Channel Divinity: Knowledge of the Ages",IF(P15="path of the berserker","Frenzy",IF(P15="path of the totem warrior","Spirit Seeker",IF(P15="college of lore","Cutting Words",IF(P15="college of valor","Combat Inspiration"," "))))))))))))))))))))))))))))))))))))))))</f>
        <v>Transmutation Savant</v>
      </c>
      <c r="Q16" s="33" t="str">
        <f ca="1">IF(Q11="wizard","Spellcasting Focus",IF(AND(Q11="warlock",Q12&gt;=3),VLOOKUP(RANDBETWEEN(1,3),Table227[],2),IF(AND(Q11="sorcerer",Q12&gt;=2),"Sorcery Points - "&amp;Q12,IF(AND(Q11="rogue",Q12&gt;=2),"Cunning Action",IF(AND(Q11="ranger",AF24=2),"Favored Enemy - "&amp;INDEX('Class Tables'!S177:S220,MATCH(2,('Class Tables'!Q177:Q220),0)),IF(Q11="paladin","Lay On Hands "&amp;Q12*5&amp;" HP",IF(Q11="monk","Martial Arts - "&amp;INDEX('Class Tables'!J98:J117,MATCH(Q12,('Class Tables'!I98:I117),0)),IF(Q11="fighter","Second Wind - 1d10+"&amp;Q12&amp;" hp",IF(Q11="barbarian","Unarmored Defense AC "&amp;SUM(10,P39,P40),IF(AND(Q11="bard",Q12&gt;=2),"Jack of All Trades",IF(OR(Q11="cleric",Q11="druid"),"Spellcasting Focus"," ")))))))))))</f>
        <v xml:space="preserve"> </v>
      </c>
      <c r="R16" s="33" t="str">
        <f ca="1">IF(AND(R15="otherworldly patron - great old one",Q12&gt;=1),"Awakened Mind",IF(AND(R15="otherworldly patron - fiend",Q12&gt;=3),"Dark One's Blessing - "&amp;SUM(O12,P43)&amp;" hp",IF(R15="otherworldly patron - Archfey","Fey Presence",IF(R15="wild magic","Wild Magic Surge",IF(R15="draconic bloodline",VLOOKUP(RANDBETWEEN(1,10),Table25[],2)&amp;" Dragon Ancestry",IF(R15="arcane trickster","Mage Hand Legerdemain",IF(R15="assassin","Assassinate",IF(R15="thief","Fast Hands",IF(R15="beastmaster","Companion - "&amp;VLOOKUP(RANDBETWEEN(1,39),Table218[],2),IF(R15="hunter",VLOOKUP(RANDBETWEEN(1,3),Table108[],2),IF(R15="oath of vengeance","Channel Divinity: Abjure Enemy",IF(R15="oath of the ancients","Channel Divinity: Nature's Wrath",IF(R15="Oath of Devotion","Channel Divinity: Sacred Weapon",IF(AND(R15="way of the four elements",Q12&gt;=5),"Max. Ki Point for Spell - "&amp;INDEX('Class Tables'!N120:N137,MATCH(Q12,('Class Tables'!M120:M137),0)),IF(AND(R15="way of the shadow",Q12&gt;=6),"Shadow Step",IF(R15="way of the open hand","Open Hand Technique",IF(R15="eldritch knight","Weapon Bond",IF(AND(R15="battle master",Q12&gt;=7),"Know Your Enemy",IF(R15="champion","Improved Critical",IF(R15="moon","Combat Wild Shape",IF(R15="land","Natural Recovery",IF(AND(R15="war",Q12&gt;=1),"War Priest",IF(AND(R15="trickery",Q12&gt;=1),"Blessing of the Trickster",IF(AND(R15="nature",Q12&gt;=1),"Wrath of the Storm",IF(AND(R15="Nature",Q12&gt;=2),"Channel Divinity: Charm Animals and Plants",IF(AND(R15="light",Q12&gt;=1),"Warding Flare",IF(R15="life","Disciple of Life",IF(AND(R15="knowledge",Q12&gt;=2),"Channel Divinity: Knowledge of the Ages",IF(R15="path of the berserker","Frenzy",IF(R15="path of the totem warrior","Spirit Seeker",IF(R15="college of lore","Cutting Words",IF(R15="college of valor","Combat Inspiration"," "))))))))))))))))))))))))))))))))</f>
        <v xml:space="preserve"> </v>
      </c>
      <c r="S16" s="33" t="str">
        <f ca="1">IF(S11="soldier","Military Rank",IF(S11="sage","Researcher",IF(S11="outlander","Wanderer",IF(S11="guild artisan","Guild Membership",IF(S11="entertainer","By Popular Demand",IF(S11="criminal",VLOOKUP(RANDBETWEEN(1,8),Table256[],2)," "))))))</f>
        <v>Guild Membership</v>
      </c>
      <c r="AE16" s="29" t="s">
        <v>1339</v>
      </c>
      <c r="AF16" s="29">
        <f ca="1">IF(AND(AF14=2,OR(Q11="monk",Q11="barbarian",Q11="warlock"),OR(O11="paladin",O11="ranger",P15="arcane trickster",P15="eldritch knight")),Q12,IF(AND($AF$14=2,OR(O11="bard",O11="druid",O11="cleric",O11="sorcerer",O11="wizard")),O12,IF(AND($AF$14=2,OR(O11="paladin",O11="ranger")),O12*0.5,IF(AND($AF$14=2,OR($P$15="arcane trickster",$P$15="eldritch knight")),O12*0.33,0))))</f>
        <v>0</v>
      </c>
      <c r="AH16" s="29" t="s">
        <v>21</v>
      </c>
      <c r="AI16" s="29">
        <f ca="1">$P$41</f>
        <v>3</v>
      </c>
      <c r="AJ16" s="29" t="str">
        <f t="shared" ref="AJ16:AU16" ca="1" si="21">IF(COUNTIF(AJ$27:AJ$33,$AH$16),$P$8," ")</f>
        <v xml:space="preserve"> </v>
      </c>
      <c r="AK16" s="29" t="str">
        <f t="shared" ca="1" si="21"/>
        <v xml:space="preserve"> </v>
      </c>
      <c r="AL16" s="29" t="str">
        <f t="shared" ca="1" si="21"/>
        <v xml:space="preserve"> </v>
      </c>
      <c r="AM16" s="29" t="str">
        <f t="shared" ca="1" si="21"/>
        <v xml:space="preserve"> </v>
      </c>
      <c r="AN16" s="29" t="str">
        <f t="shared" ca="1" si="21"/>
        <v xml:space="preserve"> </v>
      </c>
      <c r="AO16" s="29" t="str">
        <f t="shared" ca="1" si="21"/>
        <v xml:space="preserve"> </v>
      </c>
      <c r="AP16" s="29" t="str">
        <f t="shared" ca="1" si="21"/>
        <v xml:space="preserve"> </v>
      </c>
      <c r="AQ16" s="29" t="str">
        <f t="shared" ca="1" si="21"/>
        <v xml:space="preserve"> </v>
      </c>
      <c r="AR16" s="29" t="str">
        <f t="shared" ca="1" si="21"/>
        <v xml:space="preserve"> </v>
      </c>
      <c r="AS16" s="29" t="str">
        <f t="shared" ca="1" si="21"/>
        <v xml:space="preserve"> </v>
      </c>
      <c r="AT16" s="29" t="str">
        <f t="shared" ca="1" si="21"/>
        <v xml:space="preserve"> </v>
      </c>
      <c r="AU16" s="29" t="str">
        <f t="shared" ca="1" si="21"/>
        <v xml:space="preserve"> </v>
      </c>
      <c r="AV16" s="29">
        <f t="shared" ca="1" si="8"/>
        <v>0</v>
      </c>
      <c r="AW16" s="29" t="s">
        <v>21</v>
      </c>
      <c r="BM16" s="29">
        <f t="shared" si="2"/>
        <v>0</v>
      </c>
      <c r="BN16" s="29">
        <f t="shared" ca="1" si="9"/>
        <v>0</v>
      </c>
      <c r="BO16" s="29" t="str">
        <f t="shared" ca="1" si="3"/>
        <v xml:space="preserve"> </v>
      </c>
      <c r="BP16" s="29" t="str">
        <f t="shared" ca="1" si="4"/>
        <v xml:space="preserve"> </v>
      </c>
      <c r="BQ16" s="29" t="str">
        <f t="shared" ca="1" si="5"/>
        <v xml:space="preserve"> </v>
      </c>
      <c r="BR16" s="29">
        <f t="shared" ca="1" si="6"/>
        <v>0</v>
      </c>
      <c r="BS16" s="29">
        <f ca="1">IF(AND($BY$28=1,OR($P$15="knowledge",$R$15="knowledge")),$P$8*2,IF(AND($BY$28=2,OR($P$15="knowledge",$R$15="knowledge")),$P$8*2,0))</f>
        <v>0</v>
      </c>
      <c r="BT16" s="29">
        <f ca="1">IF(AND(BY31=1,OR($P$15="nature",$R$15="nature")),$P$8,0)</f>
        <v>0</v>
      </c>
      <c r="BU16" s="29">
        <f t="shared" ca="1" si="10"/>
        <v>0</v>
      </c>
      <c r="BV16" s="29" t="s">
        <v>21</v>
      </c>
      <c r="CB16" s="35">
        <f t="shared" ca="1" si="14"/>
        <v>17</v>
      </c>
      <c r="CC16" s="36">
        <f t="shared" ca="1" si="15"/>
        <v>0</v>
      </c>
      <c r="CD16" s="29" t="s">
        <v>17</v>
      </c>
    </row>
    <row r="17" spans="2:83" ht="26.25" thickBot="1" x14ac:dyDescent="0.4">
      <c r="B17" s="33" t="str">
        <f ca="1">IF(Q2="dwarf","Stonecunning",IF(Q2="elf","Trance",IF(Q2="halfling","Halfling Nimbleness",IF(P2="forest","Speak with Small Beasts",IF(P2="rock","Artificer's Lore",IF(Q2="half-orc","Relentless Endurance",IF(Q2="tiefling","Infernal Legacy"," ")))))))</f>
        <v>Infernal Legacy</v>
      </c>
      <c r="O17" s="33" t="str">
        <f ca="1">IF(O11="wizard","Arcane Recovery - "&amp;ROUNDDOWN(O12*0.5,0)&amp;" slots",IF(AND(O11="warlock",O12&gt;=20),"Eldritch Master",IF(AND(O11="sorcerer",O12&gt;=2),"Flexible Casting",IF(AND(O11="rogue",O12&gt;=5),"Uncanny Dodge",IF(O11="ranger","Natural Explorer: "&amp;INDEX('Class Tables'!F212:F219,MATCH(1,('Class Tables'!D212:D219),0)),IF(AND(O11="paladin",O12&gt;=2),VLOOKUP(RANDBETWEEN(1,4),Table89[],2),IF(AND(O11="monk",O12&gt;=2),"Ki Points - "&amp;INDEX('Class Tables'!K98:K117,MATCH(O12,('Class Tables'!I98:I117),0)),IF(AND(O11="fighter",O12&gt;=2),"Action Surge",IF(AND($O$11="barbarian",$O$12&gt;=2),"Reckless Attack",IF(AND(O11="bard",O12&gt;=2),"Song of Rest - "&amp;INDEX('Class Tables'!N58:N77,MATCH(O12,('Class Tables'!L58:L77),0))&amp;" hp",IF(AND(O11="druid",O12&gt;=2),"Wild Shape - "&amp;INDEX('Class Tables'!R140:R159,MATCH(O12,('Class Tables'!Q140:Q159),0)),IF(AND(O11="cleric",O12&gt;=2),"Channel Divinity - "&amp;INDEX('Class Tables'!N140:N159,MATCH(O12,('Class Tables'!M140:M159),0))&amp;" uses"," "))))))))))))</f>
        <v>Arcane Recovery - 6 slots</v>
      </c>
      <c r="P17" s="33" t="str">
        <f ca="1">IF(AND(P15="school of transmutation",O12&gt;=2),"Minor Alchemy",IF(AND(P15="school of necromancy",O12&gt;=2),"Grim Harvest",IF(AND(P15="school of illusion",O12&gt;=2),"Improved Minor Illusion",IF(AND(P15="school of evocation",O12&gt;=2),"Sculpt Spells",IF(AND(P15="school of enchantment",O12&gt;=2),"Hypnotic Gaze",IF(AND(P15="school of divination",O12&gt;=2),"Portent",IF(AND(P15="school of conjuration",O12&gt;=2),"Minor Conjuration",IF(P15="school of abjuration","Arcane Ward - "&amp;SUM(O12,P41)&amp;" hp",IF(AND(P15="otherworldly patron - great old one",O12&gt;=6),"Entropic Ward",IF(AND(P15="otherworldly patron - fiend",O12&gt;=10),"Fiendish Resilience",IF(AND(P15="otherworldly patron - Archfey",O12&gt;=6),"Misty Escape",IF(P15="wild magic","Tides of Chaos",IF(P15="draconic bloodline","Draconic Resilience - AC "&amp;SUM(13+P39),IF(AND(P15="arcane trickster",O12&gt;=9),"Magical Ambush",IF(AND(P15="assassin",O12&gt;=9),"Infiltration Expertise",IF(P15="thief","Second-Story Work",IF(AND(P15="beastmaster",O12&gt;=7),"Exceptional Training",IF(AND(P15="hunter",O12&gt;=7),VLOOKUP(RANDBETWEEN(1,3),Table126[],2),IF(P15="oath of vengeance","Channel Divinity: Vow of Enmity",IF(P15="oath of the ancients","Channel Divinity: Turn the Faithless",IF(P15="oath of devotion","Channel Divinity: Turn the Unholy",IF(P15="way of the four elements","Elemental Attunement",IF(AND(P15="way of the shadow",O12&gt;=11),"Cloak of Shadows",IF(AND(P15="way of the open hand",O12&gt;=6),"Wholeness of Body "&amp;O12*3&amp;" hp",IF(AND(P15="eldritch knight",O12&gt;=7),"War Magic",IF(AND(P15="battle master",O12&gt;=15),"Relentless",IF(AND(P15="champion",O12&gt;=7),"Remarkable Athlete",IF(P15="moon","Circle Forms - CR: "&amp;ROUNDDOWN(O12*0.33,0),IF(AND(P15="land",O12&gt;=6),"Land's Stride",IF(AND(P15="war",O12&gt;=2),"Channel Divinity: Guided Strike",IF(AND(P15="trickery",O12&gt;=2),"Channel Divinity: Invoke Duplicity",IF(AND(P15="tempest",O12&gt;=2),"Channel Divinity: Destructive Wrath",IF(AND(P15="nature",O12&gt;=6),"Dampen Elements",IF(AND(P15="light",O12&gt;=2),"Channel Divinity: Radiance of the Dawn",IF(AND(P15="life",O12&gt;=2),"Channel Divinity: Preserve Life - "&amp;O12*5&amp;" hp",IF(AND(P15="knowledge",O12&gt;=6),"Channel Divinity: Read Thoughts",IF($P$15="path of the totem warrior",VLOOKUP(RANDBETWEEN(1,3),Table44[],2),IF(AND(P15="college of lore",O12&gt;=14),"Peerless Skill",IF(AND(P15="college of valor",O12&gt;=6),"Extra Attack"," ")))))))))))))))))))))))))))))))))))))))</f>
        <v>Minor Alchemy</v>
      </c>
      <c r="Q17" s="33" t="str">
        <f ca="1">IF(Q11="wizard","Arcane Recovery - "&amp;ROUNDDOWN(Q12*0.5,0)&amp;" slots",IF(AND(Q11="sorcerer",Q12&gt;=2),"Flexible Casting",IF(AND(Q11="rogue",Q12&gt;=5),"Uncanny Dodge",IF(Q11="ranger","Natural Explorer: "&amp;INDEX('Class Tables'!F212:F219,MATCH(1,('Class Tables'!D212:D219),0)),IF(AND(Q11="paladin",Q12&gt;=2),VLOOKUP(RANDBETWEEN(1,4),Table89[],2),IF(AND(Q11="monk",Q12&gt;=2),"Ki Points - "&amp;INDEX('Class Tables'!K98:K117,MATCH(Q12,('Class Tables'!I98:I117),0)),IF(AND(Q11="fighter",Q12&gt;=2),"Action Surge",IF(AND($Q$11="barbarian",$Q$12&gt;=2),"Reckless Attack",IF(AND(Q11="bard",Q12&gt;=2),"Song of Rest - "&amp;INDEX('Class Tables'!N58:N77,MATCH(Q12,('Class Tables'!L58:L77),0))&amp;" hp",IF(AND(Q11="cleric",Q12&gt;=2),"Channel Divinity - "&amp;INDEX('Class Tables'!N140:N159,MATCH(Q12,('Class Tables'!M140:M159),0))&amp;" uses",IF(AND(Q11="druid",Q12&gt;=2),"Wild Shape - "&amp;INDEX('Class Tables'!R140:R159,MATCH(Q12,('Class Tables'!Q140:Q159),0))," ")))))))))))</f>
        <v xml:space="preserve"> </v>
      </c>
      <c r="R17" s="33" t="str">
        <f ca="1">IF(AND(R15="otherworldly patron - great old one",Q12&gt;=6),"Entropic Ward",IF(AND(R15="otherworldly patron - fiend",Q12&gt;=10),"Fiendish Resilience",IF(AND(R15="otherworldly patron - Archfey",Q12&gt;=6),"Misty Escape",IF(R15="wild magic","Tides of Chaos",IF(R15="draconic bloodline","Draconic Resilience - AC "&amp;SUM(13+P39),IF(AND(R15="arcane trickster",Q12&gt;=9),"Magical Ambush",IF(AND(R15="assassin",Q12&gt;=9),"Infiltration Expertise",IF(R15="thief","Second-Story Work",IF(AND(R15="beastmaster",Q12&gt;=7),"Exceptional Training",IF(AND(R15="hunter",Q12&gt;=7),VLOOKUP(RANDBETWEEN(1,3),Table126[],2),IF(R15="oath of vengeance","Channel Divinity: Vow of Enmity",IF(R15="oath of the ancients","Channel Divinity: Turn the Faithless",IF(R15="oath of devotion","Channel Divinity: Turn the Unholy",IF(R15="way of the four elements","Elemental Attunement",IF(AND(R15="way of the open hand",Q12&gt;=6),"Wholeness of Body "&amp;Q12*3&amp;" hp",IF(AND(R15="eldritch knight",Q12&gt;=7),"War Magic",IF(AND(R15="champion",Q12&gt;=7),"Remarkable Athlete",IF(R15="moon","Circle Forms",IF(AND(R15="land",Q12&gt;=6),"Land's Stride",IF(AND(R15="war",Q12&gt;=2),"Channel Divinity: Guided Strike",IF(AND(R15="trickery",Q12&gt;=2),"Channel Divinity: Invoke Duplicity",IF(AND(R15="nature",Q12&gt;=2),"Channel Divinity: Destructive Wrath",IF(AND(R15="nature",Q12&gt;=6),"Dampen Elements",IF(AND(R15="light",Q12&gt;=2),"Channel Divinity: Radiance of the Dawn",IF(AND(R15="life",Q12&gt;=2),"Channel Divinity: Preserve Life - "&amp;Q12*5&amp;" hp",IF(AND(R15="knowledge",Q12&gt;=6),"Channel Divinity: Read Thoughts",IF($R$15="path of the totem warrior",VLOOKUP(RANDBETWEEN(1,3),Table44[],2),IF(AND(Q12&gt;=14,R15="college of lore"),"Peerless Skill",IF(AND(Q12&gt;=6,R15="College of Valor"),"Extra Attack"," ")))))))))))))))))))))))))))))</f>
        <v xml:space="preserve"> </v>
      </c>
      <c r="S17" s="123" t="s">
        <v>40</v>
      </c>
      <c r="AE17" s="29" t="s">
        <v>1337</v>
      </c>
      <c r="AF17" s="29">
        <f ca="1">IF(AND(AF14=2,OR(O11="monk",O11="barbarian",O11="warlock"),OR(Q11="paladin",Q11="ranger",R15="arcane trickster",R15="eldritch knight")),Q12,IF(AND($AF$14=2,OR(Q11="bard",Q11="druid",Q11="cleric",Q11="sorcerer",Q11="wizard")),Q12,IF(AND($AF$14=2,OR(Q11="paladin",Q11="ranger")),Q12*0.5,IF(AND($AF$14=2,OR($R$15="arcane trickster",$R$15="eldritch knight")),Q12*0.33,0))))</f>
        <v>0</v>
      </c>
      <c r="AH17" s="29" t="s">
        <v>22</v>
      </c>
      <c r="AI17" s="29">
        <f ca="1">$P$42</f>
        <v>3</v>
      </c>
      <c r="AJ17" s="29" t="str">
        <f t="shared" ref="AJ17:AU17" ca="1" si="22">IF(COUNTIF(AJ$27:AJ$33,$AH$17),$P$8," ")</f>
        <v xml:space="preserve"> </v>
      </c>
      <c r="AK17" s="29" t="str">
        <f t="shared" ca="1" si="22"/>
        <v xml:space="preserve"> </v>
      </c>
      <c r="AL17" s="29" t="str">
        <f t="shared" ca="1" si="22"/>
        <v xml:space="preserve"> </v>
      </c>
      <c r="AM17" s="29" t="str">
        <f t="shared" ca="1" si="22"/>
        <v xml:space="preserve"> </v>
      </c>
      <c r="AN17" s="29" t="str">
        <f t="shared" ca="1" si="22"/>
        <v xml:space="preserve"> </v>
      </c>
      <c r="AO17" s="29" t="str">
        <f t="shared" ca="1" si="22"/>
        <v xml:space="preserve"> </v>
      </c>
      <c r="AP17" s="29" t="str">
        <f t="shared" ca="1" si="22"/>
        <v xml:space="preserve"> </v>
      </c>
      <c r="AQ17" s="29" t="str">
        <f t="shared" ca="1" si="22"/>
        <v xml:space="preserve"> </v>
      </c>
      <c r="AR17" s="29" t="str">
        <f t="shared" ca="1" si="22"/>
        <v xml:space="preserve"> </v>
      </c>
      <c r="AS17" s="29" t="str">
        <f t="shared" ca="1" si="22"/>
        <v xml:space="preserve"> </v>
      </c>
      <c r="AT17" s="29" t="str">
        <f t="shared" ca="1" si="22"/>
        <v xml:space="preserve"> </v>
      </c>
      <c r="AU17" s="29" t="str">
        <f t="shared" ca="1" si="22"/>
        <v xml:space="preserve"> </v>
      </c>
      <c r="AV17" s="29">
        <f t="shared" ca="1" si="8"/>
        <v>0</v>
      </c>
      <c r="AW17" s="29" t="s">
        <v>22</v>
      </c>
      <c r="BH17" s="29" t="str">
        <f ca="1">IF(S11="Pirate",P8," ")</f>
        <v xml:space="preserve"> </v>
      </c>
      <c r="BJ17" s="29" t="str">
        <f ca="1">IF(S11="Sailor",P8," ")</f>
        <v xml:space="preserve"> </v>
      </c>
      <c r="BM17" s="29">
        <f t="shared" ca="1" si="2"/>
        <v>0</v>
      </c>
      <c r="BN17" s="29">
        <f t="shared" ca="1" si="9"/>
        <v>0</v>
      </c>
      <c r="BO17" s="29" t="str">
        <f t="shared" ca="1" si="3"/>
        <v xml:space="preserve"> </v>
      </c>
      <c r="BP17" s="29" t="str">
        <f t="shared" ca="1" si="4"/>
        <v xml:space="preserve"> </v>
      </c>
      <c r="BQ17" s="29" t="str">
        <f t="shared" ca="1" si="5"/>
        <v xml:space="preserve"> </v>
      </c>
      <c r="BR17" s="29">
        <f t="shared" ca="1" si="6"/>
        <v>0</v>
      </c>
      <c r="BU17" s="29">
        <f t="shared" ca="1" si="10"/>
        <v>0</v>
      </c>
      <c r="BV17" s="29" t="s">
        <v>22</v>
      </c>
      <c r="CB17" s="35">
        <f t="shared" ca="1" si="14"/>
        <v>16</v>
      </c>
      <c r="CC17" s="36">
        <f t="shared" ca="1" si="15"/>
        <v>1.1657020292213605E-2</v>
      </c>
      <c r="CD17" s="29" t="s">
        <v>18</v>
      </c>
    </row>
    <row r="18" spans="2:83" ht="19.5" thickTop="1" x14ac:dyDescent="0.3">
      <c r="B18" s="33" t="str">
        <f ca="1">IF(P2="wood","Mask of the Wild",IF(P2="dark","Sunlight Sensitivity",IF(P2="lightfoot","Naturally Stealthy",IF(P2="stout","Stout Resilience",IF(P2="rock","Tinker",IF(Q2="half-orc","Savage Attacks"," "))))))</f>
        <v xml:space="preserve"> </v>
      </c>
      <c r="O18" s="33" t="str">
        <f ca="1">IF(AND(O11="wizard",O12&gt;=18),"Spell Mastery - "&amp;INDEX(Q193:Q202,MATCH(1,(O193:O202),0)),IF(AND(AF26=2,O11="warlock",O12&gt;=2,COUNTIF(P193:P202,"*"&amp;"eldritch blast"&amp;"*")),"Invocation - Agonizing Blast",IF(AND(O11="warlock",O12&gt;=15),"Invocation - "&amp;INDEX('Class Tables'!F164:F187,MATCH(1,('Class Tables'!D164:D187),0)),IF(AND(O11="warlock",O12&gt;=9),"Invocation - "&amp;INDEX('Class Tables'!F141:F161,MATCH(1,('Class Tables'!D141:D161),0)),IF(AND(O11="warlock",O12&gt;=7),"Invocation - "&amp;INDEX('Class Tables'!F122:F138,MATCH(1,('Class Tables'!D122:D138),0)),IF(AND(O11="warlock",O12&gt;=5),"Invocation - "&amp;INDEX('Class Tables'!F106:F119,MATCH(1,('Class Tables'!D106:D119),0)),IF(AND(O11="warlock",O12&gt;=2),"Invocation - "&amp;INDEX('Class Tables'!F93:F103,MATCH(1,('Class Tables'!D93:D103),0)),IF(AND(O11="sorcerer",O12&gt;=3),"MM - "&amp;INDEX('Class Tables'!F78:F85,MATCH(1,('Class Tables'!D78:D85),0)),IF(AND(O11="rogue",O12&gt;=7),"Evasion",IF(AND(O11="ranger",O12&gt;=2),VLOOKUP(RANDBETWEEN(1,4),Table96[],2),IF(AND(O11="paladin",O12&gt;=2),"Spellcasting Focus",IF(AND(O11="monk",O12&gt;=2),"Ki DC - "&amp;SUM(8,P8,P42),IF(AND(O11="fighter",O12&gt;=5),"Extra Attack -"&amp;INDEX('Class Tables'!U140:U159,MATCH(O12,('Class Tables'!T140:T159),0)),IF(AND($O$11="barbarian",$O$12&gt;=2),"Danger Sense",IF(AND(O11="bard",O12&gt;=5),"Font of Inspiration",IF(AND(O11="druid",O12&gt;=18),"Timeless Body",IF(AND(O11="cleric",O12&gt;=2),"Channel Divinity: Turn Undead"," ")))))))))))))))))</f>
        <v xml:space="preserve"> </v>
      </c>
      <c r="P18" s="33" t="str">
        <f ca="1">IF(AND(P15="school of transmutation",O12&gt;=6),"Transmuter's Stone",IF(AND(P15="school of necromancy",O12&gt;=6),"Undead Thralls",IF(AND(P15="school of illusion",O12&gt;=6),"Malleable Illusions",IF(AND(P15="school of evocation",O12&gt;=6),"Potent Cantrip",IF(AND(P15="school of enchantment",O12&gt;=6),"Instinctive Charm",IF(AND(P15="school of divination",O12&gt;=6),"Expert Divination",IF(AND(P15="school of conjuration",O12&gt;=6),"Benign Transposition",IF(AND(P15="school of abjuration",O12&gt;=6),"Projected Ward",IF(AND(P15="otherworldly patron - great old one",O12&gt;=10),"Thought Shield",IF(AND(P15="otherworldly patron - fiend",O12&gt;=14),"Hurl Through Hell",IF(AND(P15="otherworldly patron - Archfey",O12&gt;=10),"Beguiling Defenses",IF(AND(P15="wild magic",O12&gt;=6),"Bend Luck",IF(AND(P15="draconic bloodline",O12&gt;=6),"Elemental Affinity",IF(AND(P15="arcane trickster",O12&gt;=13),"Versatile Trickster",IF(AND(P15="assassin",O12&gt;=13),"Imposter",IF(AND(P15="thief",O12&gt;=9),"Supreme Sneak",IF(AND(P15="beastmaster",O12&gt;=11),"Beastial Fury",IF(AND(P15="hunter",O12&gt;=11),VLOOKUP(RANDBETWEEN(1,2),Table179[],2),IF(AND(P15="oath of vengeance",O12&gt;=7),"Relentless Avenger",IF(AND(P15="oath of the ancients",O12&gt;=7),"Aura of Warding",IF(AND(P15="oath of devotion",O12&gt;=7),"Aura of Devotion",IF(P15="way of the four elements",INDEX('Class Tables'!K120:K126,MATCH(1,('Class Tables'!I120:I126),0)),IF(AND(P15="way of the shadow",O12&gt;=17),"Opportunist",IF(AND(P15="way of the open hand",O12&gt;=11),"Tranquility DC "&amp;SUM(8,P42,P8),IF(AND(P15="eldritch knight",O12&gt;=10),"Eldritch Strike",IF(P15="battle Master",INDEX('Class Tables'!J58:J77,MATCH(O12,('Class Tables'!I58:I77),0)),IF(AND(P15="champion",O12&gt;=10),INDEX('Class Tables'!F48:F53,MATCH(2,('Class Tables'!D48:D53),0)),IF(AND(P15="moon",O12&gt;=6),"Primal Strike",IF(AND(P15="land",O12&gt;=10),"Nature's Ward",IF(AND(P15="war",O12&gt;=6),"Channel Divinity: War God's Blessing",IF(AND(P15="trickery",O12&gt;=6),"Channel Divinity: Cloak of Shadows",IF(AND(P15="nature",O12&gt;=6),"Thunderbolt Strike",IF(AND(P15="nature",O12&gt;=8),"Divine Strike",IF(AND(P15="light",O12&gt;=6),"Improved Flare",IF(AND(P15="life",O12&gt;=6),"Blessed Healer",IF(AND(P15="knowledge",O12&gt;=8),"Potent Spellcasting",IF(AND(P15="path of the berserker",O12&gt;=6,O11="barbarian"),"Mindless Rage",IF(AND(P15="path of the totem warrior",O12&gt;=6,O11="barbarian"),VLOOKUP(RANDBETWEEN(1,3),Table44[],3),IF(AND(P15="college of valor",O12&gt;=14),"Battle Magic"," ")))))))))))))))))))))))))))))))))))))))</f>
        <v>Transmuter's Stone</v>
      </c>
      <c r="Q18" s="33" t="str">
        <f ca="1">IF(AND(Q11="warlock",Q12&gt;=9),"Invocation - "&amp;INDEX('Class Tables'!F141:F161,MATCH(1,('Class Tables'!D141:D161),0)),IF(AND(Q11="warlock",Q12&gt;=7),"Invocation - "&amp;INDEX('Class Tables'!F122:F138,MATCH(1,('Class Tables'!D122:D138),0)),IF(AND(Q11="warlock",Q12&gt;=5),"Invocation - "&amp;INDEX('Class Tables'!F106:F119,MATCH(1,('Class Tables'!D106:D119),0)),IF(AND(Q11="warlock",Q12&gt;=2),"Invocation - "&amp;INDEX('Class Tables'!F93:F103,MATCH(1,('Class Tables'!D93:D103),0)),IF(AND(Q11="sorcerer",Q12&gt;=3),"MM - "&amp;INDEX('Class Tables'!F78:F85,MATCH(1,('Class Tables'!D78:D85),0)),IF(AND(Q11="rogue",Q12&gt;=7),"Evasion",IF(AND(Q11="ranger",Q12&gt;=2),VLOOKUP(RANDBETWEEN(1,4),Table96[],2),IF(AND(Q11="paladin",Q12&gt;=2),"Spellcasting Focus",IF(AND(Q11="monk",Q12&gt;=2),"Ki DC - "&amp;SUM(8,P8,P42),IF(AND(Q11="fighter",Q12&gt;=5),"Extra Attack - "&amp;INDEX('Class Tables'!U140:U159,MATCH(Q12,('Class Tables'!T140:T159),0)),IF(AND($Q$11="barbarian",$Q$12&gt;=2),"Danger Sense",IF(AND(Q11="bard",Q12&gt;=5),"Font of Inspiration",IF(AND(Q11="cleric",Q12&gt;=2),"Channel Divinity: Turn Undead",IF(AND(Q11="druid",Q12&gt;=18),"Timeless Body"," "))))))))))))))</f>
        <v xml:space="preserve"> </v>
      </c>
      <c r="R18" s="33" t="str">
        <f ca="1">IF(AND(R15="otherworldly patron - great old one",Q12&gt;=10),"Thought Shield",IF(AND(R15="otherworldly patron - Archfey",Q12&gt;=10),"Beguiling Defenses",IF(AND(R15="wild magic",Q12&gt;=6),"Bend Luck",IF(AND(R15="draconic bloodline",Q12&gt;=6),"Elemental Affinity",IF(AND(R15="thief",Q12&gt;=9),"Supreme Sneak",IF(AND(R15="oath of vengeance",Q12&gt;=7),"Relentless Avenger",IF(AND(R15="oath of the ancients",Q12&gt;=7),"Aura of Warding",IF(AND(R15="oath of devotion",Q12&gt;=7),"Aura of Devotion",IF(R15="way of the four elements",INDEX('Class Tables'!K120:K126,MATCH(1,('Class Tables'!I120:I126),0)),IF(AND(R15="eldritch knight",Q12&gt;=10),"Eldritch Strike",IF(R15="battle Master",INDEX('Class Tables'!J58:J77,MATCH(Q12,('Class Tables'!I58:I77),0)),IF(AND(R15="champion",Q12&gt;=10),INDEX('Class Tables'!F48:F53,MATCH(2,('Class Tables'!D48:D53),0)),IF(AND(R15="moon",Q12&gt;=6),"Primal Strike",IF(AND(R15="land",Q12&gt;=10),"Nature's Ward",IF(AND(R15="war",Q12&gt;=6),"War God's Blessing",IF(AND(R15="trickery",Q12&gt;=6),"Channel Divinity: Cloak of Shadows",IF(AND(R15="nature",Q12&gt;=6),"Thunderbolt Strike",IF(AND(R15="nature",Q12&gt;=8),"Divine Strike",IF(AND(R15="light",Q12&gt;=6),"Improved Flare",IF(AND(R15="life",Q12&gt;=6),"Blessed Healer",IF(AND(R15="knowledge",Q12&gt;=8),"Potent Spellcasting",IF(AND(R15="path of the berserker",Q12&gt;=6),"Mindless Rage",IF(AND(R15="path of the totem warrior",Q12&gt;=6),VLOOKUP(RANDBETWEEN(1,3),Table44[],3)," ")))))))))))))))))))))))</f>
        <v xml:space="preserve"> </v>
      </c>
      <c r="S18" s="33" t="s">
        <v>51</v>
      </c>
      <c r="AE18" s="29" t="s">
        <v>1338</v>
      </c>
      <c r="AF18" s="29">
        <f ca="1">ROUNDDOWN(SUM(AF16:AF17),0)</f>
        <v>0</v>
      </c>
      <c r="AH18" s="29" t="s">
        <v>23</v>
      </c>
      <c r="AI18" s="29">
        <f ca="1">$P$43</f>
        <v>4</v>
      </c>
      <c r="AJ18" s="29" t="str">
        <f t="shared" ref="AJ18:AU18" ca="1" si="23">IF(COUNTIF(AJ$27:AJ$33,$AH$18),$P$8," ")</f>
        <v xml:space="preserve"> </v>
      </c>
      <c r="AK18" s="29" t="str">
        <f t="shared" ca="1" si="23"/>
        <v xml:space="preserve"> </v>
      </c>
      <c r="AL18" s="29" t="str">
        <f t="shared" ca="1" si="23"/>
        <v xml:space="preserve"> </v>
      </c>
      <c r="AM18" s="29" t="str">
        <f t="shared" ca="1" si="23"/>
        <v xml:space="preserve"> </v>
      </c>
      <c r="AN18" s="29" t="str">
        <f t="shared" ca="1" si="23"/>
        <v xml:space="preserve"> </v>
      </c>
      <c r="AO18" s="29" t="str">
        <f t="shared" ca="1" si="23"/>
        <v xml:space="preserve"> </v>
      </c>
      <c r="AP18" s="29" t="str">
        <f t="shared" ca="1" si="23"/>
        <v xml:space="preserve"> </v>
      </c>
      <c r="AQ18" s="29" t="str">
        <f t="shared" ca="1" si="23"/>
        <v xml:space="preserve"> </v>
      </c>
      <c r="AR18" s="29" t="str">
        <f t="shared" ca="1" si="23"/>
        <v xml:space="preserve"> </v>
      </c>
      <c r="AS18" s="29" t="str">
        <f t="shared" ca="1" si="23"/>
        <v xml:space="preserve"> </v>
      </c>
      <c r="AT18" s="29" t="str">
        <f t="shared" ca="1" si="23"/>
        <v xml:space="preserve"> </v>
      </c>
      <c r="AU18" s="29" t="str">
        <f t="shared" ca="1" si="23"/>
        <v xml:space="preserve"> </v>
      </c>
      <c r="AV18" s="29">
        <f t="shared" ca="1" si="8"/>
        <v>0</v>
      </c>
      <c r="AW18" s="29" t="s">
        <v>23</v>
      </c>
      <c r="BA18" s="29" t="str">
        <f ca="1">IF(S11="Entertainer",P8," ")</f>
        <v xml:space="preserve"> </v>
      </c>
      <c r="BM18" s="29">
        <f t="shared" ca="1" si="2"/>
        <v>0</v>
      </c>
      <c r="BN18" s="29">
        <f t="shared" ca="1" si="9"/>
        <v>0</v>
      </c>
      <c r="BO18" s="29" t="str">
        <f t="shared" ca="1" si="3"/>
        <v xml:space="preserve"> </v>
      </c>
      <c r="BP18" s="29" t="str">
        <f t="shared" ca="1" si="4"/>
        <v xml:space="preserve"> </v>
      </c>
      <c r="BQ18" s="29" t="str">
        <f t="shared" ca="1" si="5"/>
        <v xml:space="preserve"> </v>
      </c>
      <c r="BR18" s="29">
        <f t="shared" ca="1" si="6"/>
        <v>0</v>
      </c>
      <c r="BU18" s="29">
        <f t="shared" ca="1" si="10"/>
        <v>0</v>
      </c>
      <c r="BV18" s="29" t="s">
        <v>23</v>
      </c>
      <c r="CB18" s="35">
        <f t="shared" ca="1" si="14"/>
        <v>13</v>
      </c>
      <c r="CC18" s="36">
        <f t="shared" ca="1" si="15"/>
        <v>7.5693485492682733E-2</v>
      </c>
      <c r="CD18" s="29" t="s">
        <v>19</v>
      </c>
    </row>
    <row r="19" spans="2:83" x14ac:dyDescent="0.3">
      <c r="B19" s="33" t="str">
        <f ca="1">IF(P2="dark","Drow Magic"," ")</f>
        <v xml:space="preserve"> </v>
      </c>
      <c r="O19" s="33" t="str">
        <f ca="1">IF(AND(O11="wizard",O12&gt;=18),"Spell Mastery - "&amp;INDEX(R193:R202,MATCH(1,(O193:O202),0)),IF(AND(O12&gt;=2,O16="pact of the chain",AF26=1),"Invocation - Voice of the Chain Master",IF(AND(O12&gt;=5,O16="pact of the blade",AF26=1),"Invocation - Thirsting Blade",IF(AND(O11="warlock",O12&gt;=2,O16="pact of the tome",AF26=1),"Invocation - Book of Ancient Secrets",IF(AND(O11="warlock",O12&gt;=2,COUNTIF(P193:P202,"*"&amp;"Eldritch blast"&amp;"*")),"Invocation - Repelling Blast",IF(AND(O11="warlock",O12&gt;=15),"Invocation - "&amp;INDEX('Class Tables'!F164:F187,MATCH(2,('Class Tables'!D164:D187),0)),IF(AND(O11="warlock",O12&gt;=9),"Invocation - "&amp;INDEX('Class Tables'!F141:F161,MATCH(2,('Class Tables'!D141:D161),0)),IF(AND(O11="warlock",O12&gt;=7),"Invocation - "&amp;INDEX('Class Tables'!F122:F138,MATCH(2,('Class Tables'!D122:D138),0)),IF(AND(O11="warlock",O12&gt;=5),"Invocation - "&amp;INDEX('Class Tables'!F106:F119,MATCH(2,('Class Tables'!D106:D119),0)),IF(AND(O11="warlock",O12&gt;=2),"Invocation - "&amp;INDEX('Class Tables'!F93:F103,MATCH(2,('Class Tables'!D93:D103),0)),IF(AND(O11="sorcerer",O12&gt;=10),"MM - "&amp;INDEX('Class Tables'!F78:F85,MATCH(2,('Class Tables'!D78:D85),0)),IF(AND(O11="rogue",O12&gt;=11),"Reliable Talent",IF(AND(O11="ranger",O12&gt;=3),"Primeval Awareness",IF(AND(O11="paladin",O12&gt;=2),"Divine Smite",IF(AND(O11="monk",O12&gt;=2),"Flurry of Blows",IF(AND(O11="fighter",O12&gt;=9),"Indomitable",IF(AND($O$11="barbarian",$O$12&gt;=5),"Extra Attack",IF(AND(O11="bard",O12&gt;=6),"Countercharm",IF(AND(O11="cleric",O12&gt;=5),"Destroy Undead - "&amp;INDEX('Class Tables'!O140:O159,MATCH(O12,('Class Tables'!M140:M159),0)),IF(AND(O11="druid",O12&gt;=18),"Beast Spells"," "))))))))))))))))))))</f>
        <v xml:space="preserve"> </v>
      </c>
      <c r="P19" s="33" t="str">
        <f ca="1">IF(AND(P15="school of transmutation",O12&gt;=10),"Shapechanger",IF(AND(P15="school of necromancy",O12&gt;=10),"Inured to Undeath",IF(AND(P15="school of illusion",O12&gt;=10),"Illusory Self",IF(AND(P15="school of evocation",O12&gt;=10),"Empowered Evocation",IF(AND(P15="school of enchantment",O12&gt;=10),"Split Enchantment",IF(AND(P15="school of divination",O12&gt;=10),"The Third Eye",IF(AND(P15="school of conjuration",O12&gt;=10),"Focused Conjuration",IF(AND(P15="school of abjuration",O12&gt;=10),"Improved Abjuration",IF(AND(P15="otherworldly patron - great old one",O12&gt;=14),"Create Thrall",IF(AND(P15="otherworldly patron - Archfey",O12&gt;=14),"Dark Delirium",IF(AND(P15="wild magic",O12&gt;=14),"Controlled Chaos",IF(AND(P15="draconic bloodline",O12&gt;=14),"Dragon Wings",IF(AND(P15="arcane trickster",O12&gt;=17),"Spell Thief",IF(AND(P15="assassin",O12&gt;=17),"Death Strike DC"&amp;SUM(8,P8,P39),IF(AND(P15="thief",O12&gt;=13),"Use Magic Device",IF(AND(P15="beastmaster",O12&gt;=15),"Share Spells",IF(AND(P15="hunter",O12&gt;=15),VLOOKUP(RANDBETWEEN(1,3),Table199[],2),IF(AND(P15="oath of vengeance",O12&gt;=15),"Soul of Vengeance",IF(AND(P15="oath of the ancients",O12&gt;=15),"Undying Sentinel",(IF(AND(P15="oath of devotion",O12&gt;=15),"Purity of Spirit",IF(P15="way of the four elements",INDEX('Class Tables'!K120:K126,MATCH(2,('Class Tables'!I120:I126),0)),IF(AND(P15="way of the open hand",O12&gt;=17),"Quivering Palm",IF(AND(P15="eldritch Knight",O12&gt;=15),"Arcane Charge",IF(P15="battle master","Maneuver DC "&amp;SUM(P8,8,AF22),IF(AND(P15="champion",O12&gt;=15),"Superior Critcial",IF(AND(P15="moon",O12&gt;=10),"Elemental Wild Strike",IF(AND(P15="land",O12&gt;=14),"Nature's Sanctuary",IF(AND(P15="war",O12&gt;=8),"Divine Strike",IF(AND(P15="trickery",O12&gt;=8),"Divine Strike",IF(AND(P15="nature",O12&gt;=8),"Divine Strike",IF(AND(P15="nature",O12&gt;=17),"Master of Nature",IF(AND(P15="light",O12&gt;=8),"Potent Spellcasting",IF(AND(P15="life",O12&gt;=8),"Divine Strike",IF(AND(P15="knowledge",O12&gt;=17),"Visions of the Past",IF(AND(O12&gt;=10,P15="path of the berserker"),"Intimidating Presence DC "&amp;SUM(8,P8,P43),IF(AND(O12&gt;=10,P15="path of the totem warrior"),"Spirit Walker"," ")))))))))))))))))))))))))))))))))))))</f>
        <v>Shapechanger</v>
      </c>
      <c r="Q19" s="33" t="str">
        <f ca="1">IF(AND(Q11="warlock",Q12&gt;=9),"Invocation - "&amp;INDEX('Class Tables'!F141:F161,MATCH(2,('Class Tables'!D141:D161),0)),IF(AND(Q11="warlock",Q12&gt;=7),"Invocation - "&amp;INDEX('Class Tables'!F122:F138,MATCH(2,('Class Tables'!D122:D138),0)),IF(AND(Q11="warlock",Q12&gt;=5),"Invocation - "&amp;INDEX('Class Tables'!F106:F119,MATCH(2,('Class Tables'!D106:D119),0)),IF(AND(Q11="warlock",Q12&gt;=2),"Invocation - "&amp;INDEX('Class Tables'!F93:F103,MATCH(2,('Class Tables'!D93:D103),0)),IF(AND(Q11="sorcerer",Q12&gt;=10),"MM - "&amp;INDEX('Class Tables'!F78:F85,MATCH(2,('Class Tables'!D78:D85),0)),IF(AND(Q11="ranger",Q12&gt;=3),"Primeval Awareness",IF(AND(Q11="paladin",Q12&gt;=2),"Divine Smite",IF(AND(Q11="monk",Q12&gt;=2),"Flurry of Blows",IF(AND(Q11="fighter",Q12&gt;=9),"Indomitable",IF(AND($Q$11="barbarian",$Q$12&gt;=5),"Extra Attack",IF(AND(Q11="bard",Q12&gt;=6),"Countercharm",IF(AND(Q11="cleric",Q12&gt;=5),"Destroy Undead - "&amp;INDEX('Class Tables'!O140:O159,MATCH(Q12,('Class Tables'!M140:M159),0)),IF(AND(Q11="druid",Q12&gt;=18),"Beast Spells"," ")))))))))))))</f>
        <v xml:space="preserve"> </v>
      </c>
      <c r="R19" s="33" t="str">
        <f ca="1">IF(R15="way of the four elements",INDEX('Class Tables'!K120:K126,MATCH(2,('Class Tables'!I120:I126),0)),IF(R15="battle master","Maneuver DC "&amp;SUM(P8,8,AF22),IF(AND(R15="moon",Q12&gt;=10),"Elemental Wild Shape",IF(AND(R15="war",Q12&gt;=8),"Divine Strike",IF(AND(R15="trickery",Q12&gt;=8),"Divine Strike",IF(AND(R15="nature",Q12&gt;=8),"Divine Strike",IF(AND(R15="light",Q12&gt;=8),"Potent Spellcasting",IF(AND(R15="life",Q12&gt;=8),"Divine Strike",IF(AND(R15="knowledge",Q12&gt;=17),"Visions of the Past",IF(AND(Q12&gt;=10,R15="path of the berserker"),"Intimidating Presence DC "&amp;SUM(8,P8,P43),IF(AND(Q12&gt;=10,R15="path of the totem warrior"),"Spirit Walker"," ")))))))))))</f>
        <v xml:space="preserve"> </v>
      </c>
      <c r="S19" s="33" t="str">
        <f ca="1">IF(Q2="dwarf","Dwarvish",IF(OR(Q2="half-elf",Q2="elf"),"Elvish",IF(Q2="halfling","Halfling",IF(Q2="human",VLOOKUP(RANDBETWEEN(1,8),Table20[],2),IF(Q2="gnome","Gnomish",IF(Q2="half-orc","Orc",IF(Q2="tiefling","Infernal"," ")))))))</f>
        <v>Infernal</v>
      </c>
      <c r="AH19" s="29" t="s">
        <v>24</v>
      </c>
      <c r="AI19" s="29">
        <f ca="1">$P$43</f>
        <v>4</v>
      </c>
      <c r="AJ19" s="29" t="str">
        <f t="shared" ref="AJ19:AU19" ca="1" si="24">IF(COUNTIF(AJ$27:AJ$33,$AH$19),$P$8," ")</f>
        <v xml:space="preserve"> </v>
      </c>
      <c r="AK19" s="29" t="str">
        <f t="shared" ca="1" si="24"/>
        <v xml:space="preserve"> </v>
      </c>
      <c r="AL19" s="29" t="str">
        <f t="shared" ca="1" si="24"/>
        <v xml:space="preserve"> </v>
      </c>
      <c r="AM19" s="29" t="str">
        <f t="shared" ca="1" si="24"/>
        <v xml:space="preserve"> </v>
      </c>
      <c r="AN19" s="29" t="str">
        <f t="shared" ca="1" si="24"/>
        <v xml:space="preserve"> </v>
      </c>
      <c r="AO19" s="29" t="str">
        <f t="shared" ca="1" si="24"/>
        <v xml:space="preserve"> </v>
      </c>
      <c r="AP19" s="29" t="str">
        <f t="shared" ca="1" si="24"/>
        <v xml:space="preserve"> </v>
      </c>
      <c r="AQ19" s="29" t="str">
        <f t="shared" ca="1" si="24"/>
        <v xml:space="preserve"> </v>
      </c>
      <c r="AR19" s="29" t="str">
        <f t="shared" ca="1" si="24"/>
        <v xml:space="preserve"> </v>
      </c>
      <c r="AS19" s="29" t="str">
        <f t="shared" ca="1" si="24"/>
        <v xml:space="preserve"> </v>
      </c>
      <c r="AT19" s="29" t="str">
        <f t="shared" ca="1" si="24"/>
        <v xml:space="preserve"> </v>
      </c>
      <c r="AU19" s="29" t="str">
        <f t="shared" ca="1" si="24"/>
        <v xml:space="preserve"> </v>
      </c>
      <c r="AV19" s="29">
        <f t="shared" ca="1" si="8"/>
        <v>0</v>
      </c>
      <c r="AW19" s="29" t="s">
        <v>24</v>
      </c>
      <c r="BE19" s="29" t="str">
        <f ca="1">IF(S11="Knight",P8," ")</f>
        <v xml:space="preserve"> </v>
      </c>
      <c r="BF19" s="29" t="str">
        <f ca="1">IF(S11="Noble",P8," ")</f>
        <v xml:space="preserve"> </v>
      </c>
      <c r="BM19" s="29">
        <f t="shared" ca="1" si="2"/>
        <v>0</v>
      </c>
      <c r="BN19" s="29">
        <f t="shared" ca="1" si="9"/>
        <v>0</v>
      </c>
      <c r="BO19" s="29" t="str">
        <f t="shared" ca="1" si="3"/>
        <v xml:space="preserve"> </v>
      </c>
      <c r="BP19" s="29" t="str">
        <f t="shared" ca="1" si="4"/>
        <v xml:space="preserve"> </v>
      </c>
      <c r="BQ19" s="29" t="str">
        <f t="shared" ca="1" si="5"/>
        <v xml:space="preserve"> </v>
      </c>
      <c r="BR19" s="29">
        <f t="shared" ca="1" si="6"/>
        <v>0</v>
      </c>
      <c r="BU19" s="29">
        <f t="shared" ca="1" si="10"/>
        <v>0</v>
      </c>
      <c r="BV19" s="29" t="s">
        <v>24</v>
      </c>
      <c r="CB19" s="35">
        <f t="shared" ca="1" si="14"/>
        <v>3</v>
      </c>
      <c r="CC19" s="36">
        <f t="shared" ca="1" si="15"/>
        <v>0.54744214428888627</v>
      </c>
      <c r="CD19" s="29" t="s">
        <v>20</v>
      </c>
      <c r="CE19" s="31"/>
    </row>
    <row r="20" spans="2:83" x14ac:dyDescent="0.3">
      <c r="O20" s="33" t="str">
        <f ca="1">IF(AND(O11="warlock",O12&gt;=2,AF26=2,COUNTIF(P193:P202,"*"&amp;"Eldritch blast"&amp;"*")),"Invocation - Eldritch Spear",IF(AND(O11="warlock",O12&gt;=15),"Invocation - "&amp;INDEX('Class Tables'!F164:F187,MATCH(3,('Class Tables'!D164:D187),0)),IF(AND(O11="warlock",O12&gt;=9),"Invocation - "&amp;INDEX('Class Tables'!F141:F161,MATCH(3,('Class Tables'!D141:D161),0)),IF(AND(O11="warlock",O12&gt;=7),"Invocation - "&amp;INDEX('Class Tables'!F122:F138,MATCH(3,('Class Tables'!D122:D138),0)),IF(AND(O11="warlock",O12&gt;=5),"Invocation - "&amp;INDEX('Class Tables'!F106:F119,MATCH(3,('Class Tables'!D106:D119),0)),IF(AND(O11="sorcerer",O12&gt;=20),"Sorcerous Restoration",IF(AND(O11="sorcerer",O12&gt;=17),"MM - "&amp;INDEX('Class Tables'!F78:F85,MATCH(3,('Class Tables'!D78:D85),0)),IF(AND(O11="rogue",O12&gt;=14),"Blindsense",IF(AND(O11="ranger",O12&gt;=5),"Extra Attack",IF(AND(O11="paladin",O12&gt;=3),"Divine Health",IF(AND(O11="monk",O12&gt;=2),"Patient Defense",IF(AND(O11="barbarian",O12&gt;=5),"Fast Movement",IF(AND(O11="bard",O12&gt;=20),"Superior Inspiration",IF(AND(O11="druid",O12&gt;=20),"Archdruid",IF(AND(O11="cleric",O12&gt;=10),"Divine Intervention"," ")))))))))))))))</f>
        <v xml:space="preserve"> </v>
      </c>
      <c r="P20" s="33" t="str">
        <f ca="1">IF(AND(P15="school of transmutation",O12&gt;=14),"Master Transmuter",IF(AND(P15="school of necromancy",O12&gt;=14),"Command Undead",IF(AND(P15="school of illusion",O12&gt;=14),"Illusory Reality",IF(AND(P15="school of evocation",O12&gt;=14),"Overchannel",IF(AND(P15="school of enchantment",O12&gt;=14),"Alter Memories",IF(AND(P15="school of divination",O12&gt;=14),"Greater Portent",IF(AND(P15="school of conjuration",O12&gt;=14),"Durable Summons",IF(AND(P15="school of abjuration",O12&gt;=14),"Spell Resistance",IF(AND(P15="wild magic",O12&gt;=18),"Spell Bombardment",IF(AND(P15="Draconic Bloodline",O12&gt;=18),"Draconic Presence",IF(AND(P15="thief",O12&gt;=17),"Thief's Reflexes",IF(AND(P15="oath of vengeance",O12&gt;=20),"Avenging Angel",IF(AND(P15="oath of the ancients",O12&gt;=20),"Elder Champion",IF(AND(P15="Oath of Devotion",O12&gt;=20),"Holy Nimbus",IF(AND(P15="way of the four elements",O12&gt;=6),INDEX('Class Tables'!K128:K129,MATCH(1,('Class Tables'!I128:I129),0)),IF(AND(P15="eldritch knight",O12&gt;=18),"Improved War Magic",IF(P15="battle master",INDEX('Class Tables'!K40:K55,MATCH(1,('Class Tables'!I40:I55),0)),IF(AND(P15="champion",O12&gt;=18),"Survivor - "&amp;SUM(5+P48)&amp;" hp",IF(AND(P15="moon",O12&gt;=14),"Thousand Forms",IF(P15="land",VLOOKUP(RANDBETWEEN(1,8),Table74[],2),IF(AND(P15="war",O12&gt;=17),"Avatar of Battle",IF(AND(P15="trickery",O12&gt;=17),"Improved Duplicity",IF(AND(P15="nature",O12&gt;=17),"Stormborn",IF(AND(P15="light",O12&gt;=17),"Corona of Light",IF(AND(P15="life",O12&gt;=17),"Supreme Healing",IF(AND(P15="path of the totem warrior",O12&gt;=14),VLOOKUP(RANDBETWEEN(1,3),Table44[],4)," "))))))))))))))))))))))))))</f>
        <v xml:space="preserve"> </v>
      </c>
      <c r="Q20" s="33" t="str">
        <f ca="1">IF(AND(Q11="warlock",Q12&gt;=9),"Invocation - "&amp;INDEX('Class Tables'!F141:F161,MATCH(3,('Class Tables'!D141:D161),0)),IF(AND(Q11="warlock",Q12&gt;=7),"Invocation - "&amp;INDEX('Class Tables'!F122:F138,MATCH(3,('Class Tables'!D122:D138),0)),IF(AND(Q11="warlock",Q12&gt;=5),"Invocation - "&amp;INDEX('Class Tables'!F106:F119,MATCH(3,('Class Tables'!D106:D119),0)),IF(AND(Q11="ranger",Q12&gt;=5),"Extra Attack",IF(AND(Q11="paladin",Q12&gt;=3),"Divine Health",IF(AND(Q11="monk",Q12&gt;=2),"Patient Defense",IF(AND(Q11="barbarian",Q12&gt;=5),"Fast Movement",IF(AND(Q11="cleric",Q12&gt;=10),"Divine Intervention"," "))))))))</f>
        <v xml:space="preserve"> </v>
      </c>
      <c r="R20" s="33" t="str">
        <f ca="1">IF(AND(R15="way of the four elements",Q12&gt;=6),INDEX('Class Tables'!K128:K129,MATCH(1,('Class Tables'!I128:I129),0)),IF(R15="battle master",INDEX('Class Tables'!K40:K55,MATCH(1,('Class Tables'!I40:I55),0)),IF(R15="land",VLOOKUP(RANDBETWEEN(1,8),Table74[],2)," ")))</f>
        <v xml:space="preserve"> </v>
      </c>
      <c r="S20" s="33" t="str">
        <f ca="1">IF(P2="high",INDEX('Class Tables'!S177:S220,MATCH(1,('Class Tables'!Q177:Q220),0))," ")</f>
        <v xml:space="preserve"> </v>
      </c>
      <c r="AE20" s="29" t="s">
        <v>1990</v>
      </c>
      <c r="AF20" s="29">
        <f ca="1">RANDBETWEEN(1,3)</f>
        <v>3</v>
      </c>
      <c r="AH20" s="29" t="s">
        <v>25</v>
      </c>
      <c r="AI20" s="29">
        <f ca="1">$P$41</f>
        <v>3</v>
      </c>
      <c r="AJ20" s="29" t="str">
        <f t="shared" ref="AJ20:AU20" ca="1" si="25">IF(COUNTIF(AJ$27:AJ$33,$AH$20),$P$8," ")</f>
        <v xml:space="preserve"> </v>
      </c>
      <c r="AK20" s="29" t="str">
        <f t="shared" ca="1" si="25"/>
        <v xml:space="preserve"> </v>
      </c>
      <c r="AL20" s="29" t="str">
        <f t="shared" ca="1" si="25"/>
        <v xml:space="preserve"> </v>
      </c>
      <c r="AM20" s="29" t="str">
        <f t="shared" ca="1" si="25"/>
        <v xml:space="preserve"> </v>
      </c>
      <c r="AN20" s="29" t="str">
        <f t="shared" ca="1" si="25"/>
        <v xml:space="preserve"> </v>
      </c>
      <c r="AO20" s="29" t="str">
        <f t="shared" ca="1" si="25"/>
        <v xml:space="preserve"> </v>
      </c>
      <c r="AP20" s="29" t="str">
        <f t="shared" ca="1" si="25"/>
        <v xml:space="preserve"> </v>
      </c>
      <c r="AQ20" s="29" t="str">
        <f t="shared" ca="1" si="25"/>
        <v xml:space="preserve"> </v>
      </c>
      <c r="AR20" s="29" t="str">
        <f t="shared" ca="1" si="25"/>
        <v xml:space="preserve"> </v>
      </c>
      <c r="AS20" s="29" t="str">
        <f t="shared" ca="1" si="25"/>
        <v xml:space="preserve"> </v>
      </c>
      <c r="AT20" s="29" t="str">
        <f t="shared" ca="1" si="25"/>
        <v xml:space="preserve"> </v>
      </c>
      <c r="AU20" s="29" t="str">
        <f t="shared" ca="1" si="25"/>
        <v xml:space="preserve"> </v>
      </c>
      <c r="AV20" s="29">
        <f t="shared" ca="1" si="8"/>
        <v>0</v>
      </c>
      <c r="AW20" s="29" t="s">
        <v>25</v>
      </c>
      <c r="AX20" s="29" t="str">
        <f ca="1">IF(S11="acolyte",P8," ")</f>
        <v xml:space="preserve"> </v>
      </c>
      <c r="BC20" s="29">
        <f ca="1">IF(S11="Guild Artisan",P8," ")</f>
        <v>4</v>
      </c>
      <c r="BD20" s="29" t="str">
        <f ca="1">IF(S11="Hermit",P8," ")</f>
        <v xml:space="preserve"> </v>
      </c>
      <c r="BM20" s="29">
        <f t="shared" ca="1" si="2"/>
        <v>4</v>
      </c>
      <c r="BN20" s="29">
        <f t="shared" ca="1" si="9"/>
        <v>0</v>
      </c>
      <c r="BO20" s="29" t="str">
        <f t="shared" ca="1" si="3"/>
        <v xml:space="preserve"> </v>
      </c>
      <c r="BP20" s="29" t="str">
        <f t="shared" ca="1" si="4"/>
        <v xml:space="preserve"> </v>
      </c>
      <c r="BQ20" s="29" t="str">
        <f t="shared" ca="1" si="5"/>
        <v xml:space="preserve"> </v>
      </c>
      <c r="BR20" s="29">
        <f t="shared" ca="1" si="6"/>
        <v>0</v>
      </c>
      <c r="BS20" s="29">
        <f ca="1">IF(AND($BY$29=1,OR($P$15="knowledge",$R$15="knowledge")),$P$8*2,IF(AND($BY$29=2,OR($P$15="knowledge",$R$15="knowledge")),$P$8*2,0))</f>
        <v>0</v>
      </c>
      <c r="BU20" s="29">
        <f t="shared" ca="1" si="10"/>
        <v>4</v>
      </c>
      <c r="BV20" s="29" t="s">
        <v>25</v>
      </c>
      <c r="CB20" s="35">
        <f t="shared" ca="1" si="14"/>
        <v>9</v>
      </c>
      <c r="CC20" s="36">
        <f t="shared" ca="1" si="15"/>
        <v>0.37350216071790632</v>
      </c>
      <c r="CD20" s="29" t="s">
        <v>21</v>
      </c>
    </row>
    <row r="21" spans="2:83" x14ac:dyDescent="0.3">
      <c r="O21" s="33" t="str">
        <f ca="1">IF(AND(O11="warlock",O12&gt;=15),"Invocation - "&amp;INDEX('Class Tables'!F164:F187,MATCH(4,('Class Tables'!D164:D187),0)),IF(AND(O11="warlock",O12&gt;=9),"Invocation - "&amp;INDEX('Class Tables'!F141:F161,MATCH(4,('Class Tables'!D141:D161),0)),IF(AND(O11="warlock",O12&gt;=7),"Invocation - "&amp;INDEX('Class Tables'!F122:F138,MATCH(4,('Class Tables'!D122:D138),0)),IF(AND(O11="rogue",O12&gt;=15),"Slippery Mind",IF(AND(O11="ranger",O12&gt;=8),"Land's Stride",IF(AND(O11="paladin",O12&gt;=5),"Extra Attack",IF(AND(O11="monk",O12&gt;=2),"Step of the Wind",IF(AND($O$11="barbarian",$O$12&gt;=7),"Feral Instinct"," "))))))))</f>
        <v xml:space="preserve"> </v>
      </c>
      <c r="P21" s="33" t="str">
        <f ca="1">IF(AND(P15="way of the four elements",O12&gt;=11),INDEX('Class Tables'!K131:K134,MATCH(1,('Class Tables'!I131:I134),0)),IF(P15="battle master",INDEX('Class Tables'!K40:K55,MATCH(2,('Class Tables'!I40:I55),0))," "))</f>
        <v xml:space="preserve"> </v>
      </c>
      <c r="Q21" s="33" t="str">
        <f ca="1">IF(AND(Q11="warlock",Q12&gt;=9),"Invocation - "&amp;INDEX('Class Tables'!F141:F161,MATCH(4,('Class Tables'!D141:D161),0)),IF(AND(Q11="warlock",Q12&gt;=7),"Invocation - "&amp;INDEX('Class Tables'!F122:F138,MATCH(4,('Class Tables'!D122:D138),0)),IF(AND(Q11="ranger",Q12&gt;=8),"Land's Stride",IF(AND(Q11="paladin",Q12&gt;=5),"Extra Attack",IF(AND(Q11="monk",Q12&gt;=2),"Step of the Wind",IF(AND($Q$11="barbarian",$Q$12&gt;=7),"Feral Instinct"," "))))))</f>
        <v xml:space="preserve"> </v>
      </c>
      <c r="R21" s="33" t="str">
        <f ca="1">IF(R15="battle master",INDEX('Class Tables'!K40:K55,MATCH(2,('Class Tables'!I40:I55),0))," ")</f>
        <v xml:space="preserve"> </v>
      </c>
      <c r="S21" s="33" t="str">
        <f ca="1">IF(OR(P15="knowledge",R15="knowledge"),INDEX('Class Tables'!S177:S220,MATCH(2,('Class Tables'!Q177:Q220),0))," ")</f>
        <v xml:space="preserve"> </v>
      </c>
      <c r="AE21" s="29" t="s">
        <v>1989</v>
      </c>
      <c r="AF21" s="29">
        <f ca="1">RANDBETWEEN(1,2)</f>
        <v>1</v>
      </c>
      <c r="AH21" s="29" t="s">
        <v>26</v>
      </c>
      <c r="AI21" s="29">
        <f ca="1">$P$39</f>
        <v>2</v>
      </c>
      <c r="AJ21" s="29" t="str">
        <f t="shared" ref="AJ21:AU21" ca="1" si="26">IF(COUNTIF(AJ$27:AJ$33,$AH$21),$P$8," ")</f>
        <v xml:space="preserve"> </v>
      </c>
      <c r="AK21" s="29" t="str">
        <f t="shared" ca="1" si="26"/>
        <v xml:space="preserve"> </v>
      </c>
      <c r="AL21" s="29" t="str">
        <f t="shared" ca="1" si="26"/>
        <v xml:space="preserve"> </v>
      </c>
      <c r="AM21" s="29" t="str">
        <f t="shared" ca="1" si="26"/>
        <v xml:space="preserve"> </v>
      </c>
      <c r="AN21" s="29" t="str">
        <f t="shared" ca="1" si="26"/>
        <v xml:space="preserve"> </v>
      </c>
      <c r="AO21" s="29" t="str">
        <f t="shared" ca="1" si="26"/>
        <v xml:space="preserve"> </v>
      </c>
      <c r="AP21" s="29" t="str">
        <f t="shared" ca="1" si="26"/>
        <v xml:space="preserve"> </v>
      </c>
      <c r="AQ21" s="29" t="str">
        <f t="shared" ca="1" si="26"/>
        <v xml:space="preserve"> </v>
      </c>
      <c r="AR21" s="29" t="str">
        <f t="shared" ca="1" si="26"/>
        <v xml:space="preserve"> </v>
      </c>
      <c r="AS21" s="29" t="str">
        <f t="shared" ca="1" si="26"/>
        <v xml:space="preserve"> </v>
      </c>
      <c r="AT21" s="29" t="str">
        <f t="shared" ca="1" si="26"/>
        <v xml:space="preserve"> </v>
      </c>
      <c r="AU21" s="29" t="str">
        <f t="shared" ca="1" si="26"/>
        <v xml:space="preserve"> </v>
      </c>
      <c r="AV21" s="29">
        <f t="shared" ca="1" si="8"/>
        <v>0</v>
      </c>
      <c r="AW21" s="29" t="s">
        <v>26</v>
      </c>
      <c r="AY21" s="29" t="str">
        <f ca="1">IF(S11="Charlatan",P8," ")</f>
        <v xml:space="preserve"> </v>
      </c>
      <c r="BL21" s="29" t="str">
        <f ca="1">IF(S11="urchin",P8," ")</f>
        <v xml:space="preserve"> </v>
      </c>
      <c r="BM21" s="29">
        <f t="shared" ca="1" si="2"/>
        <v>0</v>
      </c>
      <c r="BN21" s="29">
        <f t="shared" ca="1" si="9"/>
        <v>0</v>
      </c>
      <c r="BO21" s="29" t="str">
        <f t="shared" ca="1" si="3"/>
        <v xml:space="preserve"> </v>
      </c>
      <c r="BP21" s="29" t="str">
        <f t="shared" ca="1" si="4"/>
        <v xml:space="preserve"> </v>
      </c>
      <c r="BQ21" s="29" t="str">
        <f t="shared" ca="1" si="5"/>
        <v xml:space="preserve"> </v>
      </c>
      <c r="BR21" s="29">
        <f t="shared" ca="1" si="6"/>
        <v>0</v>
      </c>
      <c r="BU21" s="29">
        <f t="shared" ca="1" si="10"/>
        <v>0</v>
      </c>
      <c r="BV21" s="29" t="s">
        <v>26</v>
      </c>
      <c r="CB21" s="35">
        <f t="shared" ca="1" si="14"/>
        <v>11</v>
      </c>
      <c r="CC21" s="36">
        <f t="shared" ca="1" si="15"/>
        <v>0.22114402482457729</v>
      </c>
      <c r="CD21" s="29" t="s">
        <v>22</v>
      </c>
    </row>
    <row r="22" spans="2:83" x14ac:dyDescent="0.3">
      <c r="O22" s="33" t="str">
        <f ca="1">(IF(AND(O16="pact of the blade",O12&gt;=12,AF26=1),"Invocation - Lifedrinker",IF(AND(O11="warlock",O12&gt;=15),"Invocation - "&amp;INDEX('Class Tables'!F164:F187,MATCH(5,('Class Tables'!D164:D187),0)),IF(AND(O11="warlock",O12&gt;=9),"Invocation - "&amp;INDEX('Class Tables'!F141:F161,MATCH(5,('Class Tables'!D141:D161),0)),IF(AND(O11="rogue",O12&gt;=18),"Elusive Foe",IF(AND(O11="ranger",O12&gt;=10),"Hide in Plain Sight",IF(AND(O11="paladin",O12&gt;=6),"Aura of Protection +"&amp;MAX(P43,1),IF(AND(O11="monk",O12&gt;=2),"Unarmored Movement - "&amp;INDEX('Class Tables'!L98:L117,MATCH(O12,('Class Tables'!I98:I117),0))&amp;" ft.",IF(AND($O$11="barbarian",$O$12&gt;=9),"Brutal Critical"," ")))))))))</f>
        <v xml:space="preserve"> </v>
      </c>
      <c r="P22" s="33" t="str">
        <f ca="1">IF(AND(P15="way of the four elements",O12&gt;=17),INDEX('Class Tables'!K136:K138,MATCH(1,('Class Tables'!I136:I138),0)),IF(P15="battle master",INDEX('Class Tables'!K40:K55,MATCH(3,('Class Tables'!I40:I55),0))," "))</f>
        <v xml:space="preserve"> </v>
      </c>
      <c r="Q22" s="33" t="str">
        <f ca="1">IF(AND(Q11="warlock",Q12&gt;=9),"Invocation - "&amp;INDEX('Class Tables'!F141:F161,MATCH(5,('Class Tables'!D141:D161),0)),IF(AND(Q11="ranger",Q12&gt;=10),"Hide in Plain Sight",IF(AND(Q11="paladin",Q12&gt;=6),"Aura of Protection +"&amp;MAX(P43,1),IF(AND(Q11="monk",Q12&gt;=2),"Unarmored Movement - "&amp;INDEX('Class Tables'!L98:L117,MATCH(Q12,('Class Tables'!I98:I117),0))&amp;" ft.",IF(AND($Q$11="barbarian",$Q$12&gt;=9),"Brutal Critical"," ")))))</f>
        <v xml:space="preserve"> </v>
      </c>
      <c r="R22" s="33" t="str">
        <f ca="1">IF(R15="battle master",INDEX('Class Tables'!K40:K55,MATCH(3,('Class Tables'!I40:I55),0))," ")</f>
        <v xml:space="preserve"> </v>
      </c>
      <c r="S22" s="33" t="str">
        <f ca="1">IF(OR(P15="knowledge",R15="knowledge"),INDEX('Class Tables'!S177:S220,MATCH(3,('Class Tables'!Q177:Q220),0))," ")</f>
        <v xml:space="preserve"> </v>
      </c>
      <c r="AE22" s="29" t="s">
        <v>1387</v>
      </c>
      <c r="AF22" s="29">
        <f ca="1">SUM(P38:P39)-SMALL(P38:P39,1)</f>
        <v>2</v>
      </c>
      <c r="AH22" s="29" t="s">
        <v>27</v>
      </c>
      <c r="AI22" s="29">
        <f ca="1">$P$39</f>
        <v>2</v>
      </c>
      <c r="AJ22" s="29" t="str">
        <f t="shared" ref="AJ22:AU22" ca="1" si="27">IF(COUNTIF(AJ$27:AJ$33,$AH$22),$P$8," ")</f>
        <v xml:space="preserve"> </v>
      </c>
      <c r="AK22" s="29" t="str">
        <f t="shared" ca="1" si="27"/>
        <v xml:space="preserve"> </v>
      </c>
      <c r="AL22" s="29" t="str">
        <f t="shared" ca="1" si="27"/>
        <v xml:space="preserve"> </v>
      </c>
      <c r="AM22" s="29" t="str">
        <f t="shared" ca="1" si="27"/>
        <v xml:space="preserve"> </v>
      </c>
      <c r="AN22" s="29" t="str">
        <f t="shared" ca="1" si="27"/>
        <v xml:space="preserve"> </v>
      </c>
      <c r="AO22" s="29" t="str">
        <f t="shared" ca="1" si="27"/>
        <v xml:space="preserve"> </v>
      </c>
      <c r="AP22" s="29" t="str">
        <f t="shared" ca="1" si="27"/>
        <v xml:space="preserve"> </v>
      </c>
      <c r="AQ22" s="29" t="str">
        <f t="shared" ca="1" si="27"/>
        <v xml:space="preserve"> </v>
      </c>
      <c r="AR22" s="29" t="str">
        <f t="shared" ca="1" si="27"/>
        <v xml:space="preserve"> </v>
      </c>
      <c r="AS22" s="29" t="str">
        <f t="shared" ca="1" si="27"/>
        <v xml:space="preserve"> </v>
      </c>
      <c r="AT22" s="29" t="str">
        <f t="shared" ca="1" si="27"/>
        <v xml:space="preserve"> </v>
      </c>
      <c r="AU22" s="29" t="str">
        <f t="shared" ca="1" si="27"/>
        <v xml:space="preserve"> </v>
      </c>
      <c r="AV22" s="29">
        <f t="shared" ca="1" si="8"/>
        <v>0</v>
      </c>
      <c r="AW22" s="29" t="s">
        <v>27</v>
      </c>
      <c r="AZ22" s="29" t="str">
        <f ca="1">IF(S11="Criminal",P8," ")</f>
        <v xml:space="preserve"> </v>
      </c>
      <c r="BL22" s="29" t="str">
        <f ca="1">IF(S11="urchin",P8," ")</f>
        <v xml:space="preserve"> </v>
      </c>
      <c r="BM22" s="29">
        <f t="shared" ca="1" si="2"/>
        <v>0</v>
      </c>
      <c r="BN22" s="29">
        <f t="shared" ca="1" si="9"/>
        <v>0</v>
      </c>
      <c r="BO22" s="29" t="str">
        <f t="shared" ca="1" si="3"/>
        <v xml:space="preserve"> </v>
      </c>
      <c r="BP22" s="29" t="str">
        <f t="shared" ca="1" si="4"/>
        <v xml:space="preserve"> </v>
      </c>
      <c r="BQ22" s="29" t="str">
        <f t="shared" ca="1" si="5"/>
        <v xml:space="preserve"> </v>
      </c>
      <c r="BR22" s="29">
        <f t="shared" ca="1" si="6"/>
        <v>0</v>
      </c>
      <c r="BU22" s="29">
        <f t="shared" ca="1" si="10"/>
        <v>0</v>
      </c>
      <c r="BV22" s="29" t="s">
        <v>27</v>
      </c>
      <c r="CB22" s="35">
        <f t="shared" ca="1" si="14"/>
        <v>14</v>
      </c>
      <c r="CC22" s="36">
        <f t="shared" ca="1" si="15"/>
        <v>6.2277784789919521E-2</v>
      </c>
      <c r="CD22" s="29" t="s">
        <v>23</v>
      </c>
    </row>
    <row r="23" spans="2:83" x14ac:dyDescent="0.3">
      <c r="O23" s="33" t="str">
        <f ca="1">IF(AND(O11="warlock",O12&gt;=15),"Invocation - "&amp;INDEX('Class Tables'!F164:F187,MATCH(6,('Class Tables'!D164:D187),0)),IF(AND(O11="warlock",O12&gt;=12),"Invocation - "&amp;INDEX('Class Tables'!F141:F161,MATCH(6,('Class Tables'!D141:D161),0)),IF(AND(O11="rogue",O12&gt;=20),"Stroke of Luck",IF(AND(O11="ranger",O12&gt;=14),"Vanish",IF(AND(O11="paladin",O12&gt;=10),"Aura of Courage",IF(AND(O11="monk",O12&gt;=3),"Deflect Missiles - 1d10+"&amp;SUM(P39,O12)&amp;" dmg.",IF(AND($O$11="barbarian",$O$12&gt;=11),"Relentless Rage"," ")))))))</f>
        <v xml:space="preserve"> </v>
      </c>
      <c r="P23" s="33" t="str">
        <f ca="1">IF(AND(P15="battle master",O12&gt;=7),INDEX('Class Tables'!K40:K55,MATCH(4,('Class Tables'!I40:I55),0))," ")</f>
        <v xml:space="preserve"> </v>
      </c>
      <c r="Q23" s="33" t="str">
        <f ca="1">IF(AND(Q11="paladin",Q12&gt;=10),"Aura of Courage",IF(AND(Q11="monk",Q12&gt;=3),"Deflect Missiles 1d10+"&amp;SUM(Q12,P39)&amp;" dmg."," "))</f>
        <v xml:space="preserve"> </v>
      </c>
      <c r="R23" s="33" t="str">
        <f ca="1">IF(AND(R15="battle master",Q12&gt;=7),INDEX('Class Tables'!K40:K55,MATCH(4,('Class Tables'!I40:I55),0))," ")</f>
        <v xml:space="preserve"> </v>
      </c>
      <c r="S23" s="33" t="str">
        <f ca="1">IF(O11="druid","Druidic",IF(O11="rogue","Thieves' Cant"," "))</f>
        <v xml:space="preserve"> </v>
      </c>
      <c r="AE23" s="29" t="s">
        <v>1402</v>
      </c>
      <c r="AF23" s="29">
        <f ca="1">RANDBETWEEN(1,2)</f>
        <v>2</v>
      </c>
      <c r="AH23" s="29" t="s">
        <v>28</v>
      </c>
      <c r="AI23" s="29">
        <f ca="1">$P$42</f>
        <v>3</v>
      </c>
      <c r="AJ23" s="29" t="str">
        <f t="shared" ref="AJ23:AU23" ca="1" si="28">IF(COUNTIF(AJ$27:AJ$33,$AH$23),$P$8," ")</f>
        <v xml:space="preserve"> </v>
      </c>
      <c r="AK23" s="29" t="str">
        <f t="shared" ca="1" si="28"/>
        <v xml:space="preserve"> </v>
      </c>
      <c r="AL23" s="29" t="str">
        <f t="shared" ca="1" si="28"/>
        <v xml:space="preserve"> </v>
      </c>
      <c r="AM23" s="29" t="str">
        <f t="shared" ca="1" si="28"/>
        <v xml:space="preserve"> </v>
      </c>
      <c r="AN23" s="29" t="str">
        <f t="shared" ca="1" si="28"/>
        <v xml:space="preserve"> </v>
      </c>
      <c r="AO23" s="29" t="str">
        <f t="shared" ca="1" si="28"/>
        <v xml:space="preserve"> </v>
      </c>
      <c r="AP23" s="29" t="str">
        <f t="shared" ca="1" si="28"/>
        <v xml:space="preserve"> </v>
      </c>
      <c r="AQ23" s="29" t="str">
        <f t="shared" ca="1" si="28"/>
        <v xml:space="preserve"> </v>
      </c>
      <c r="AR23" s="29" t="str">
        <f t="shared" ca="1" si="28"/>
        <v xml:space="preserve"> </v>
      </c>
      <c r="AS23" s="29" t="str">
        <f t="shared" ca="1" si="28"/>
        <v xml:space="preserve"> </v>
      </c>
      <c r="AT23" s="29" t="str">
        <f t="shared" ca="1" si="28"/>
        <v xml:space="preserve"> </v>
      </c>
      <c r="AU23" s="29" t="str">
        <f t="shared" ca="1" si="28"/>
        <v xml:space="preserve"> </v>
      </c>
      <c r="AV23" s="29">
        <f t="shared" ca="1" si="8"/>
        <v>0</v>
      </c>
      <c r="AW23" s="29" t="s">
        <v>28</v>
      </c>
      <c r="BB23" s="29" t="str">
        <f ca="1">IF(S11="Folk Hero",P8," ")</f>
        <v xml:space="preserve"> </v>
      </c>
      <c r="BG23" s="29" t="str">
        <f ca="1">IF(S11="Outlander",P8," ")</f>
        <v xml:space="preserve"> </v>
      </c>
      <c r="BM23" s="29">
        <f t="shared" ca="1" si="2"/>
        <v>0</v>
      </c>
      <c r="BN23" s="29">
        <f t="shared" ca="1" si="9"/>
        <v>0</v>
      </c>
      <c r="BO23" s="29" t="str">
        <f t="shared" ca="1" si="3"/>
        <v xml:space="preserve"> </v>
      </c>
      <c r="BP23" s="29" t="str">
        <f t="shared" ca="1" si="4"/>
        <v xml:space="preserve"> </v>
      </c>
      <c r="BQ23" s="29" t="str">
        <f t="shared" ca="1" si="5"/>
        <v xml:space="preserve"> </v>
      </c>
      <c r="BR23" s="29">
        <f t="shared" ca="1" si="6"/>
        <v>0</v>
      </c>
      <c r="BT23" s="29">
        <f ca="1">IF(AND(BY32=1,OR($P$15="nature",$R$15="nature")),$P$8,0)</f>
        <v>0</v>
      </c>
      <c r="BU23" s="29">
        <f t="shared" ca="1" si="10"/>
        <v>0</v>
      </c>
      <c r="BV23" s="29" t="s">
        <v>28</v>
      </c>
      <c r="CB23" s="35">
        <f t="shared" ca="1" si="14"/>
        <v>15</v>
      </c>
      <c r="CC23" s="36">
        <f t="shared" ca="1" si="15"/>
        <v>2.6828501556263706E-2</v>
      </c>
      <c r="CD23" s="29" t="s">
        <v>24</v>
      </c>
    </row>
    <row r="24" spans="2:83" x14ac:dyDescent="0.3">
      <c r="O24" s="33" t="str">
        <f ca="1">IF(AND(O11="warlock",O12&gt;=15,AF26=2,O16="pact of the chain"),"Chains of Carceri",IF(AND(O11="warlock",O12&gt;=15),"Invocation - "&amp;INDEX('Class Tables'!F164:F187,MATCH(7,('Class Tables'!D164:D187),0)),IF(AND(O11="ranger",O12&gt;=18),"Feral Senses",IF(AND(O11="paladin",O12&gt;=11),"Improved Divine Smite",IF(AND(O11="monk",O12&gt;=4),"Slow Fall - "&amp;O12*5&amp;" dmg.",IF(AND($O$11="barbarian",$O$12&gt;=15),"Persistent Rage"," "))))))</f>
        <v xml:space="preserve"> </v>
      </c>
      <c r="P24" s="33" t="str">
        <f ca="1">IF(AND(P15="battle master",O12&gt;=7),INDEX('Class Tables'!K40:K55,MATCH(5,('Class Tables'!I40:I55),0))," ")</f>
        <v xml:space="preserve"> </v>
      </c>
      <c r="Q24" s="33" t="str">
        <f ca="1">IF(AND(Q11="paladin",Q12&gt;=11),"Improved Divine Smite",IF(AND(Q11="monk",Q12&gt;=4),"Slow Fall -"&amp;Q12*5&amp;" dmg."," "))</f>
        <v xml:space="preserve"> </v>
      </c>
      <c r="R24" s="33" t="str">
        <f ca="1">IF(AND(R15="battle master",Q12&gt;=7),INDEX('Class Tables'!K40:K55,MATCH(5,('Class Tables'!I40:I55),0))," ")</f>
        <v xml:space="preserve"> </v>
      </c>
      <c r="S24" s="33" t="str">
        <f ca="1">IF(P15="draconic bloodline","Draconic"," ")</f>
        <v xml:space="preserve"> </v>
      </c>
      <c r="AE24" s="29" t="s">
        <v>1509</v>
      </c>
      <c r="AF24" s="29">
        <f ca="1">RANDBETWEEN(1,2)</f>
        <v>1</v>
      </c>
      <c r="CB24" s="35">
        <f t="shared" ca="1" si="14"/>
        <v>17</v>
      </c>
      <c r="CC24" s="36">
        <f t="shared" ca="1" si="15"/>
        <v>0</v>
      </c>
      <c r="CD24" s="29" t="s">
        <v>25</v>
      </c>
    </row>
    <row r="25" spans="2:83" x14ac:dyDescent="0.3">
      <c r="O25" s="33" t="str">
        <f ca="1">IF(AND(O11="warlock",O12&gt;=18),"Invocation - "&amp;INDEX('Class Tables'!F164:F187,MATCH(8,('Class Tables'!D164:D187),0)),IF(AND(O11="ranger",O12&gt;=20),"Foe Slayer",IF(AND(O11="paladin",O12&gt;=14),"Cleansing Touch - "&amp;MAX(1,(P43))&amp;" uses",IF(AND(O11="monk",O12&gt;=5),"Extra Attack",IF(AND($O$11="barbarian",$O$12&gt;=18),"Indomitable Might"," ")))))</f>
        <v xml:space="preserve"> </v>
      </c>
      <c r="P25" s="33" t="str">
        <f ca="1">IF(AND(P15="battle master",O12&gt;=10),INDEX('Class Tables'!K40:K55,MATCH(6,('Class Tables'!I40:I55),0))," ")</f>
        <v xml:space="preserve"> </v>
      </c>
      <c r="Q25" s="33" t="str">
        <f ca="1">IF(AND(Q11="paladin",Q12&gt;=14),"Cleansing Touch - "&amp;MAX(1,(P43))&amp;" uses",IF(AND(Q11="monk",Q12&gt;=5),"Extra Attack"," "))</f>
        <v xml:space="preserve"> </v>
      </c>
      <c r="R25" s="33" t="str">
        <f ca="1">IF(AND(R15="battle master",Q12&gt;=10),INDEX('Class Tables'!K40:K55,MATCH(6,('Class Tables'!I40:I55),0))," ")</f>
        <v xml:space="preserve"> </v>
      </c>
      <c r="S25" s="33" t="str">
        <f ca="1">IF(OR(S11="acolyte",S11="Guild artisan",S11="hermit",S11="noble",S11="knight",S11="outlander",S11="sage"),INDEX('Class Tables'!S177:S220,MATCH(4,('Class Tables'!Q177:Q220),0))," ")</f>
        <v>Wererat</v>
      </c>
      <c r="AE25" s="29" t="s">
        <v>1568</v>
      </c>
      <c r="AF25" s="29">
        <f ca="1">RANDBETWEEN(1,2)</f>
        <v>1</v>
      </c>
      <c r="CB25" s="35">
        <f t="shared" ca="1" si="14"/>
        <v>10</v>
      </c>
      <c r="CC25" s="36">
        <f t="shared" ca="1" si="15"/>
        <v>0.30803430900231066</v>
      </c>
      <c r="CD25" s="29" t="s">
        <v>26</v>
      </c>
      <c r="CE25" s="31"/>
    </row>
    <row r="26" spans="2:83" x14ac:dyDescent="0.3">
      <c r="O26" s="33" t="str">
        <f ca="1">IF(AND(O11="ranger",O12&gt;=6),"Natural Explorer: "&amp;INDEX('Class Tables'!F212:F219,MATCH(2,('Class Tables'!D212:D219),0)),IF(AND(O11="monk",O12&gt;=5),"Stunning Strike",IF(AND($O$11="barbarian",$O$12&gt;=20),"Primal Champion"," ")))</f>
        <v xml:space="preserve"> </v>
      </c>
      <c r="P26" s="33" t="str">
        <f ca="1">IF(AND(P15="battle master",O12&gt;=10),INDEX('Class Tables'!K40:K55,MATCH(7,('Class Tables'!I40:I55),0))," ")</f>
        <v xml:space="preserve"> </v>
      </c>
      <c r="Q26" s="33" t="str">
        <f ca="1">IF(AND(Q11="ranger",Q12&gt;=10),"Natural Explorer: "&amp;INDEX('Class Tables'!F212:F219,MATCH(2,('Class Tables'!D212:D219),0)),IF(AND(Q11="monk",Q12&gt;=5),"Stunning Strike"," "))</f>
        <v xml:space="preserve"> </v>
      </c>
      <c r="R26" s="33" t="str">
        <f ca="1">IF(AND(R15="battle master",Q12&gt;=10),INDEX('Class Tables'!K40:K55,MATCH(7,('Class Tables'!I40:I55),0))," ")</f>
        <v xml:space="preserve"> </v>
      </c>
      <c r="S26" s="33" t="str">
        <f ca="1">IF(OR(S11="acolyte",S11="sage"),INDEX('Class Tables'!S177:S220,MATCH(5,('Class Tables'!Q177:Q220),0))," ")</f>
        <v xml:space="preserve"> </v>
      </c>
      <c r="AE26" s="29" t="s">
        <v>693</v>
      </c>
      <c r="AF26" s="29">
        <f ca="1">RANDBETWEEN(1,2)</f>
        <v>2</v>
      </c>
      <c r="AJ26" s="29" t="s">
        <v>685</v>
      </c>
      <c r="AK26" s="29" t="s">
        <v>686</v>
      </c>
      <c r="AL26" s="29" t="s">
        <v>687</v>
      </c>
      <c r="AM26" s="29" t="s">
        <v>688</v>
      </c>
      <c r="AN26" s="29" t="s">
        <v>689</v>
      </c>
      <c r="AO26" s="29" t="s">
        <v>694</v>
      </c>
      <c r="AP26" s="29" t="s">
        <v>695</v>
      </c>
      <c r="AQ26" s="29" t="s">
        <v>690</v>
      </c>
      <c r="AR26" s="29" t="s">
        <v>691</v>
      </c>
      <c r="AS26" s="29" t="s">
        <v>692</v>
      </c>
      <c r="AT26" s="29" t="s">
        <v>693</v>
      </c>
      <c r="AU26" s="29" t="s">
        <v>696</v>
      </c>
      <c r="AX26" s="29" t="s">
        <v>1810</v>
      </c>
      <c r="AY26" s="29" t="s">
        <v>1811</v>
      </c>
      <c r="AZ26" s="29" t="s">
        <v>1812</v>
      </c>
      <c r="BA26" s="29" t="s">
        <v>1813</v>
      </c>
      <c r="BB26" s="29" t="s">
        <v>1814</v>
      </c>
      <c r="BC26" s="29" t="s">
        <v>1815</v>
      </c>
      <c r="BD26" s="29" t="s">
        <v>1816</v>
      </c>
      <c r="BE26" s="29" t="s">
        <v>1823</v>
      </c>
      <c r="BF26" s="29" t="s">
        <v>1821</v>
      </c>
      <c r="BG26" s="29" t="s">
        <v>1817</v>
      </c>
      <c r="BH26" s="29" t="s">
        <v>1822</v>
      </c>
      <c r="BI26" s="29" t="s">
        <v>1818</v>
      </c>
      <c r="BJ26" s="29" t="s">
        <v>1720</v>
      </c>
      <c r="BK26" s="29" t="s">
        <v>1819</v>
      </c>
      <c r="BL26" s="29" t="s">
        <v>1820</v>
      </c>
      <c r="BN26" s="29">
        <f t="shared" ref="BN26:BN43" ca="1" si="29">_xlfn.RANK.EQ(BO26,$BO$26:$BO$43)</f>
        <v>3</v>
      </c>
      <c r="BO26" s="29">
        <f ca="1">IF(BP26="Acrobatics",RAND(),0)</f>
        <v>0</v>
      </c>
      <c r="BP26" s="29" t="str">
        <f ca="1">IF(OR(BM6&gt;=1,AV6&gt;=1),AH6," ")</f>
        <v xml:space="preserve"> </v>
      </c>
      <c r="BR26" s="29">
        <f t="shared" ref="BR26:BR43" ca="1" si="30">_xlfn.RANK.EQ(BS26,$BS$26:$BS$43)</f>
        <v>14</v>
      </c>
      <c r="BS26" s="29">
        <f t="shared" ref="BS26:BS43" ca="1" si="31">IF(BO26=0,RAND(),0)</f>
        <v>0.12454913342944463</v>
      </c>
      <c r="BU26" s="29">
        <f ca="1">_xlfn.RANK.EQ(BV26,$BV$26:$BV$29)</f>
        <v>1</v>
      </c>
      <c r="BV26" s="29">
        <f ca="1">IF(BW26="Arcana",RAND(),0)</f>
        <v>0</v>
      </c>
      <c r="BW26" s="29" t="str">
        <f ca="1">IF(OR($AV$8&gt;=1,$BR$8&gt;=1,BM8&gt;=1),"Arcana"," ")</f>
        <v xml:space="preserve"> </v>
      </c>
      <c r="BY26" s="29">
        <f ca="1">_xlfn.RANK.EQ(BZ26,$BZ$26:$BZ$29)</f>
        <v>2</v>
      </c>
      <c r="BZ26" s="29">
        <f t="shared" ref="BZ26:BZ32" ca="1" si="32">IF(BV26=0,RAND(),0)</f>
        <v>0.47176012206757845</v>
      </c>
      <c r="CB26" s="35">
        <f t="shared" ca="1" si="14"/>
        <v>4</v>
      </c>
      <c r="CC26" s="36">
        <f t="shared" ca="1" si="15"/>
        <v>0.54256626543060327</v>
      </c>
      <c r="CD26" s="29" t="s">
        <v>27</v>
      </c>
    </row>
    <row r="27" spans="2:83" x14ac:dyDescent="0.3">
      <c r="O27" s="33" t="str">
        <f ca="1">IF(AND(O11="ranger",O12&gt;=10),"Natural Explorer: "&amp;INDEX('Class Tables'!F212:F219,MATCH(3,('Class Tables'!D212:D219),0)),IF(AND(O11="monk",O12&gt;=6),"Ki-Empowered Strikes"," "))</f>
        <v xml:space="preserve"> </v>
      </c>
      <c r="P27" s="33" t="str">
        <f ca="1">IF(AND(P15="battle master",O12&gt;=15),INDEX('Class Tables'!K40:K55,MATCH(8,('Class Tables'!I40:I55),0))," ")</f>
        <v xml:space="preserve"> </v>
      </c>
      <c r="Q27" s="33" t="str">
        <f ca="1">IF(AND(Q11="ranger",Q12&gt;=10),"Natural Explorer: "&amp;INDEX('Class Tables'!F212:F219,MATCH(3,('Class Tables'!D212:D219),0)),IF(AND(Q11="monk",Q12&gt;=6),"Ki-Empowered Strikes"," "))</f>
        <v xml:space="preserve"> </v>
      </c>
      <c r="AI27" s="29">
        <v>1</v>
      </c>
      <c r="AJ27" s="29" t="str">
        <f ca="1">IF(O11="barbarian",INDEX(#REF!,MATCH($AI$27,(#REF!),0))," ")</f>
        <v xml:space="preserve"> </v>
      </c>
      <c r="AK27" s="29" t="str">
        <f ca="1">IF(OR(O11="bard",Q11="bard"),INDEX(#REF!,MATCH($AI$27,(#REF!),0))," ")</f>
        <v xml:space="preserve"> </v>
      </c>
      <c r="AL27" s="29" t="str">
        <f ca="1">IF(O11="cleric",INDEX(#REF!,MATCH(AI27,(#REF!),0))," ")</f>
        <v xml:space="preserve"> </v>
      </c>
      <c r="AM27" s="29" t="str">
        <f ca="1">IF(O11="Druid",INDEX(#REF!,MATCH(AI27,(#REF!),0))," ")</f>
        <v xml:space="preserve"> </v>
      </c>
      <c r="AN27" s="29" t="str">
        <f ca="1">IF(O11="fighter",INDEX(#REF!,MATCH(AI27,(#REF!),0))," ")</f>
        <v xml:space="preserve"> </v>
      </c>
      <c r="AO27" s="29" t="str">
        <f ca="1">IF(O11="monk",INDEX(#REF!,MATCH(AI27,(#REF!),0))," ")</f>
        <v xml:space="preserve"> </v>
      </c>
      <c r="AP27" s="29" t="str">
        <f ca="1">IF(O11="Paladin",INDEX(#REF!,MATCH(AI27,(#REF!),0))," ")</f>
        <v xml:space="preserve"> </v>
      </c>
      <c r="AQ27" s="29" t="str">
        <f ca="1">IF(OR(O11="ranger",Q11="ranger"),INDEX(#REF!,MATCH(AI27,(#REF!),0))," ")</f>
        <v xml:space="preserve"> </v>
      </c>
      <c r="AR27" s="29" t="str">
        <f ca="1">IF(OR(O11="rogue",Q11="rogue"),INDEX(#REF!,MATCH(AI27,(#REF!),0))," ")</f>
        <v xml:space="preserve"> </v>
      </c>
      <c r="AS27" s="29" t="str">
        <f ca="1">IF(O11="sorcerer",INDEX(#REF!,MATCH(AI27,(#REF!),0))," ")</f>
        <v xml:space="preserve"> </v>
      </c>
      <c r="AT27" s="29" t="str">
        <f ca="1">IF(O11="Warlock",INDEX(#REF!,MATCH(AI27,(#REF!),0))," ")</f>
        <v xml:space="preserve"> </v>
      </c>
      <c r="AU27" s="29" t="e">
        <f ca="1">IF(O11="wizard",INDEX(#REF!,MATCH(AI27,(#REF!),0))," ")</f>
        <v>#REF!</v>
      </c>
      <c r="AX27" s="29" t="s">
        <v>17</v>
      </c>
      <c r="AY27" s="29" t="s">
        <v>15</v>
      </c>
      <c r="AZ27" s="29" t="s">
        <v>15</v>
      </c>
      <c r="BA27" s="29" t="s">
        <v>12</v>
      </c>
      <c r="BB27" s="29" t="s">
        <v>29</v>
      </c>
      <c r="BC27" s="29" t="s">
        <v>17</v>
      </c>
      <c r="BD27" s="29" t="s">
        <v>20</v>
      </c>
      <c r="BE27" s="29" t="s">
        <v>1824</v>
      </c>
      <c r="BF27" s="29" t="s">
        <v>16</v>
      </c>
      <c r="BG27" s="29" t="s">
        <v>14</v>
      </c>
      <c r="BH27" s="29" t="s">
        <v>14</v>
      </c>
      <c r="BI27" s="29" t="s">
        <v>13</v>
      </c>
      <c r="BJ27" s="29" t="s">
        <v>14</v>
      </c>
      <c r="BK27" s="29" t="s">
        <v>14</v>
      </c>
      <c r="BL27" s="29" t="s">
        <v>26</v>
      </c>
      <c r="BN27" s="29">
        <f t="shared" ca="1" si="29"/>
        <v>3</v>
      </c>
      <c r="BO27" s="29">
        <f ca="1">IF(BP27="Animal Handling",RAND(),0)</f>
        <v>0</v>
      </c>
      <c r="BP27" s="29" t="str">
        <f t="shared" ref="BP27:BP43" ca="1" si="33">IF(OR(BM7&gt;=1,AV7&gt;=1),AH7," ")</f>
        <v xml:space="preserve"> </v>
      </c>
      <c r="BR27" s="29">
        <f t="shared" ca="1" si="30"/>
        <v>9</v>
      </c>
      <c r="BS27" s="29">
        <f t="shared" ca="1" si="31"/>
        <v>0.51977978871153474</v>
      </c>
      <c r="BU27" s="29">
        <f ca="1">_xlfn.RANK.EQ(BV27,$BV$26:$BV$29)</f>
        <v>1</v>
      </c>
      <c r="BV27" s="29">
        <f ca="1">IF(BW27="History",RAND(),0)</f>
        <v>0</v>
      </c>
      <c r="BW27" s="29" t="str">
        <f ca="1">IF(OR($AV$11&gt;=1,$BR$11&gt;=1,BM11&gt;=1),"History"," ")</f>
        <v xml:space="preserve"> </v>
      </c>
      <c r="BY27" s="29">
        <f ca="1">_xlfn.RANK.EQ(BZ27,$BZ$26:$BZ$29)</f>
        <v>1</v>
      </c>
      <c r="BZ27" s="29">
        <f t="shared" ca="1" si="32"/>
        <v>0.92797741352262297</v>
      </c>
      <c r="CB27" s="35">
        <f t="shared" ca="1" si="14"/>
        <v>8</v>
      </c>
      <c r="CC27" s="36">
        <f t="shared" ca="1" si="15"/>
        <v>0.39433203658799743</v>
      </c>
      <c r="CD27" s="29" t="s">
        <v>28</v>
      </c>
    </row>
    <row r="28" spans="2:83" x14ac:dyDescent="0.3">
      <c r="O28" s="33" t="str">
        <f ca="1">IF(AND(O11="monk",O12&gt;=7),"Evasion"," ")</f>
        <v xml:space="preserve"> </v>
      </c>
      <c r="P28" s="33" t="str">
        <f ca="1">IF(AND(P15="battle master",O12&gt;=15),INDEX('Class Tables'!K40:K55,MATCH(9,('Class Tables'!I40:I55),0))," ")</f>
        <v xml:space="preserve"> </v>
      </c>
      <c r="Q28" s="33" t="str">
        <f ca="1">IF(AND(Q11="monk",Q12&gt;=7),"Evasion"," ")</f>
        <v xml:space="preserve"> </v>
      </c>
      <c r="AE28" s="29" t="s">
        <v>1804</v>
      </c>
      <c r="AI28" s="29">
        <v>2</v>
      </c>
      <c r="AJ28" s="29" t="str">
        <f ca="1">IF(O11="barbarian",INDEX(#REF!,MATCH($AI$28,(#REF!),0))," ")</f>
        <v xml:space="preserve"> </v>
      </c>
      <c r="AK28" s="29" t="str">
        <f ca="1">IF(O11="bard",INDEX(#REF!,MATCH(AI28,(#REF!),0))," ")</f>
        <v xml:space="preserve"> </v>
      </c>
      <c r="AL28" s="29" t="str">
        <f ca="1">IF(O11="cleric",INDEX(#REF!,MATCH(AI28,(#REF!),0))," ")</f>
        <v xml:space="preserve"> </v>
      </c>
      <c r="AM28" s="29" t="str">
        <f ca="1">IF(O11="druid",INDEX(#REF!,MATCH(AI28,(#REF!),0))," ")</f>
        <v xml:space="preserve"> </v>
      </c>
      <c r="AN28" s="29" t="str">
        <f ca="1">IF(O11="fighter",INDEX(#REF!,MATCH(AI28,(#REF!),0))," ")</f>
        <v xml:space="preserve"> </v>
      </c>
      <c r="AO28" s="29" t="str">
        <f ca="1">IF(O11="monk",INDEX(#REF!,MATCH(AI28,(#REF!),0))," ")</f>
        <v xml:space="preserve"> </v>
      </c>
      <c r="AP28" s="29" t="str">
        <f ca="1">IF(O11="paladin",INDEX(#REF!,MATCH(AI28,(#REF!),0))," ")</f>
        <v xml:space="preserve"> </v>
      </c>
      <c r="AQ28" s="29" t="str">
        <f ca="1">IF(O11="ranger",INDEX(#REF!,MATCH(AI28,(#REF!),0))," ")</f>
        <v xml:space="preserve"> </v>
      </c>
      <c r="AR28" s="29" t="str">
        <f ca="1">IF(O11="rogue",INDEX(#REF!,MATCH(AI28,(#REF!),0))," ")</f>
        <v xml:space="preserve"> </v>
      </c>
      <c r="AS28" s="29" t="str">
        <f ca="1">IF(O11="sorcerer",INDEX(#REF!,MATCH(AI28,(#REF!),0))," ")</f>
        <v xml:space="preserve"> </v>
      </c>
      <c r="AT28" s="29" t="str">
        <f ca="1">IF(O11="warlock",INDEX(#REF!,MATCH(AI28,(#REF!),0))," ")</f>
        <v xml:space="preserve"> </v>
      </c>
      <c r="AU28" s="29" t="e">
        <f ca="1">IF(O11="wizard",INDEX(#REF!,MATCH(AI28,(#REF!),0))," ")</f>
        <v>#REF!</v>
      </c>
      <c r="AX28" s="29" t="s">
        <v>25</v>
      </c>
      <c r="AY28" s="29" t="s">
        <v>26</v>
      </c>
      <c r="AZ28" s="29" t="s">
        <v>27</v>
      </c>
      <c r="BA28" s="29" t="s">
        <v>23</v>
      </c>
      <c r="BB28" s="29" t="s">
        <v>28</v>
      </c>
      <c r="BC28" s="29" t="s">
        <v>24</v>
      </c>
      <c r="BD28" s="29" t="s">
        <v>25</v>
      </c>
      <c r="BE28" s="29" t="s">
        <v>24</v>
      </c>
      <c r="BF28" s="29" t="s">
        <v>24</v>
      </c>
      <c r="BG28" s="29" t="s">
        <v>28</v>
      </c>
      <c r="BH28" s="29" t="s">
        <v>22</v>
      </c>
      <c r="BI28" s="29" t="s">
        <v>16</v>
      </c>
      <c r="BJ28" s="29" t="s">
        <v>22</v>
      </c>
      <c r="BK28" s="29" t="s">
        <v>18</v>
      </c>
      <c r="BL28" s="29" t="s">
        <v>27</v>
      </c>
      <c r="BN28" s="29">
        <f t="shared" ca="1" si="29"/>
        <v>3</v>
      </c>
      <c r="BO28" s="29">
        <f ca="1">IF(BP28="Arcana",RAND(),0)</f>
        <v>0</v>
      </c>
      <c r="BP28" s="29" t="str">
        <f t="shared" ca="1" si="33"/>
        <v xml:space="preserve"> </v>
      </c>
      <c r="BR28" s="29">
        <f t="shared" ca="1" si="30"/>
        <v>11</v>
      </c>
      <c r="BS28" s="29">
        <f t="shared" ca="1" si="31"/>
        <v>0.1938100220398169</v>
      </c>
      <c r="BU28" s="29">
        <f ca="1">_xlfn.RANK.EQ(BV28,$BV$26:$BV$29)</f>
        <v>1</v>
      </c>
      <c r="BV28" s="29">
        <f ca="1">IF(BW28="Nature",RAND(),0)</f>
        <v>0</v>
      </c>
      <c r="BW28" s="29" t="str">
        <f ca="1">IF(OR($AV$16&gt;=1,$BR$16&gt;=1,BM16&gt;=1),"Nature"," ")</f>
        <v xml:space="preserve"> </v>
      </c>
      <c r="BY28" s="29">
        <f ca="1">_xlfn.RANK.EQ(BZ28,$BZ$26:$BZ$29)</f>
        <v>4</v>
      </c>
      <c r="BZ28" s="29">
        <f t="shared" ca="1" si="32"/>
        <v>0.16721532030735287</v>
      </c>
    </row>
    <row r="29" spans="2:83" x14ac:dyDescent="0.3">
      <c r="O29" s="33" t="str">
        <f ca="1">IF(AND(O11="monk",O12&gt;=7),"Stillness of Mind"," ")</f>
        <v xml:space="preserve"> </v>
      </c>
      <c r="Q29" s="33" t="str">
        <f ca="1">IF(AND(Q11="monk",Q12&gt;=7),"Stillness of Mind"," ")</f>
        <v xml:space="preserve"> </v>
      </c>
      <c r="AE29" s="29">
        <f ca="1">RANDBETWEEN(2,8)</f>
        <v>2</v>
      </c>
      <c r="BN29" s="29">
        <f t="shared" ca="1" si="29"/>
        <v>3</v>
      </c>
      <c r="BO29" s="29">
        <f ca="1">IF(BP29="Athletics",RAND(),0)</f>
        <v>0</v>
      </c>
      <c r="BP29" s="29" t="str">
        <f t="shared" ca="1" si="33"/>
        <v xml:space="preserve"> </v>
      </c>
      <c r="BR29" s="29">
        <f t="shared" ca="1" si="30"/>
        <v>12</v>
      </c>
      <c r="BS29" s="29">
        <f t="shared" ca="1" si="31"/>
        <v>0.18514448630513325</v>
      </c>
      <c r="BU29" s="29">
        <f ca="1">_xlfn.RANK.EQ(BV29,$BV$26:$BV$29)</f>
        <v>1</v>
      </c>
      <c r="BV29" s="29">
        <f ca="1">IF(BW29="Religion",RAND(),0)</f>
        <v>0</v>
      </c>
      <c r="BW29" s="29" t="str">
        <f ca="1">IF(AND($AV$20&gt;=1,$BR$20&gt;=1,BM20&gt;=1),"Religion"," ")</f>
        <v xml:space="preserve"> </v>
      </c>
      <c r="BY29" s="29">
        <f ca="1">_xlfn.RANK.EQ(BZ29,$BZ$26:$BZ$29)</f>
        <v>3</v>
      </c>
      <c r="BZ29" s="29">
        <f t="shared" ca="1" si="32"/>
        <v>0.20427019135316282</v>
      </c>
      <c r="CB29" s="31" t="s">
        <v>729</v>
      </c>
      <c r="CC29" s="36"/>
    </row>
    <row r="30" spans="2:83" x14ac:dyDescent="0.3">
      <c r="O30" s="33" t="str">
        <f ca="1">IF(AND(O11="monk",O12&gt;=10),"Purity of Body"," ")</f>
        <v xml:space="preserve"> </v>
      </c>
      <c r="Q30" s="33" t="str">
        <f ca="1">IF(AND(Q11="monk",Q12&gt;=10),"Purity of Body"," ")</f>
        <v xml:space="preserve"> </v>
      </c>
      <c r="AE30" s="29">
        <f ca="1">RANDBETWEEN(2,12)</f>
        <v>9</v>
      </c>
      <c r="AI30" s="29">
        <v>3</v>
      </c>
      <c r="AK30" s="29" t="str">
        <f ca="1">IF(O11="bard",INDEX(#REF!,MATCH(AI30,(#REF!),0))," ")</f>
        <v xml:space="preserve"> </v>
      </c>
      <c r="AP30" s="29" t="str">
        <f ca="1">IF($AG$30="druid",VLOOKUP(RANDBETWEEN(1,8),Table51350464806863920336393615[],2)," ")</f>
        <v xml:space="preserve"> </v>
      </c>
      <c r="AQ30" s="29" t="str">
        <f ca="1">IF(O11="ranger",INDEX(#REF!,MATCH(AI30,(#REF!),0))," ")</f>
        <v xml:space="preserve"> </v>
      </c>
      <c r="AR30" s="29" t="str">
        <f ca="1">IF(O11="rogue",INDEX(#REF!,MATCH(AI30,(#REF!),0))," ")</f>
        <v xml:space="preserve"> </v>
      </c>
      <c r="AT30" s="29" t="str">
        <f ca="1">IF(OR(COUNTIF(O18:O25,"*"&amp;"beguiling influence"&amp;"*"),COUNTIF(O13:O13,"*"&amp;"beguiling influence"&amp;"*")),"Deception"," ")</f>
        <v xml:space="preserve"> </v>
      </c>
      <c r="BN30" s="29">
        <f t="shared" ca="1" si="29"/>
        <v>3</v>
      </c>
      <c r="BO30" s="29">
        <f ca="1">IF(BP30="Deception",RAND(),0)</f>
        <v>0</v>
      </c>
      <c r="BP30" s="29" t="str">
        <f t="shared" ca="1" si="33"/>
        <v xml:space="preserve"> </v>
      </c>
      <c r="BR30" s="29">
        <f t="shared" ca="1" si="30"/>
        <v>4</v>
      </c>
      <c r="BS30" s="29">
        <f t="shared" ca="1" si="31"/>
        <v>0.74037982290205129</v>
      </c>
      <c r="BU30" s="29">
        <f ca="1">_xlfn.RANK.EQ(BV30,$BV$30:$BV$32)</f>
        <v>1</v>
      </c>
      <c r="BV30" s="29">
        <f ca="1">IF(BW30="Animal Handling",RAND(),0)</f>
        <v>0</v>
      </c>
      <c r="BW30" s="29" t="str">
        <f ca="1">IF(OR($AV$7&gt;=1,$BR$7&gt;=1,BM7&gt;=1),"Animal Handling"," ")</f>
        <v xml:space="preserve"> </v>
      </c>
      <c r="BY30" s="29">
        <f ca="1">_xlfn.RANK.EQ(BZ30,$BZ$30:$BZ$32)</f>
        <v>1</v>
      </c>
      <c r="BZ30" s="29">
        <f t="shared" ca="1" si="32"/>
        <v>0.99255622445202096</v>
      </c>
      <c r="CB30" s="35">
        <f ca="1">_xlfn.RANK.EQ(CC30,$CC$30:$CC$34)</f>
        <v>3</v>
      </c>
      <c r="CC30" s="36">
        <f ca="1">IF(BM11&gt;0,0,RAND())</f>
        <v>0.14067122991508085</v>
      </c>
      <c r="CD30" s="29" t="s">
        <v>16</v>
      </c>
    </row>
    <row r="31" spans="2:83" x14ac:dyDescent="0.3">
      <c r="O31" s="33" t="str">
        <f ca="1">IF(AND(O11="monk",O12&gt;=13),"Tongue of the Sun and Moon"," ")</f>
        <v xml:space="preserve"> </v>
      </c>
      <c r="AE31" s="29">
        <f ca="1">RANDBETWEEN(2,16)</f>
        <v>16</v>
      </c>
      <c r="AI31" s="29">
        <v>4</v>
      </c>
      <c r="AK31" s="29" t="str">
        <f ca="1">IF(P15="college of lore",INDEX(#REF!,MATCH(AI31,(#REF!),0))," ")</f>
        <v xml:space="preserve"> </v>
      </c>
      <c r="AR31" s="29" t="str">
        <f ca="1">IF(O11="rogue",INDEX(#REF!,MATCH(AI31,(#REF!),0))," ")</f>
        <v xml:space="preserve"> </v>
      </c>
      <c r="AT31" s="29" t="str">
        <f ca="1">IF(OR(COUNTIF(O18:O25,"*"&amp;"beguiling influence"&amp;"*"),COUNTIF(O13:O13,"*"&amp;"beguiling influence"&amp;"*")),"Persuasion"," ")</f>
        <v xml:space="preserve"> </v>
      </c>
      <c r="BN31" s="29">
        <f t="shared" ca="1" si="29"/>
        <v>3</v>
      </c>
      <c r="BO31" s="29">
        <f ca="1">IF(BP31="History",RAND(),0)</f>
        <v>0</v>
      </c>
      <c r="BP31" s="29" t="str">
        <f t="shared" ca="1" si="33"/>
        <v xml:space="preserve"> </v>
      </c>
      <c r="BR31" s="29">
        <f t="shared" ca="1" si="30"/>
        <v>15</v>
      </c>
      <c r="BS31" s="29">
        <f t="shared" ca="1" si="31"/>
        <v>9.6079659278303864E-2</v>
      </c>
      <c r="BU31" s="29">
        <f ca="1">_xlfn.RANK.EQ(BV31,$BV$30:$BV$32)</f>
        <v>1</v>
      </c>
      <c r="BV31" s="29">
        <f ca="1">IF(BW31="Nature",RAND(),0)</f>
        <v>0</v>
      </c>
      <c r="BW31" s="29" t="str">
        <f ca="1">IF(OR($AV$16&gt;=1,$BR$16&gt;=1,BM16&gt;=1),"Nature"," ")</f>
        <v xml:space="preserve"> </v>
      </c>
      <c r="BY31" s="29">
        <f ca="1">_xlfn.RANK.EQ(BZ31,$BZ$30:$BZ$32)</f>
        <v>3</v>
      </c>
      <c r="BZ31" s="29">
        <f t="shared" ca="1" si="32"/>
        <v>7.331191579711982E-2</v>
      </c>
      <c r="CB31" s="35">
        <f ca="1">_xlfn.RANK.EQ(CC31,$CC$30:$CC$34)</f>
        <v>4</v>
      </c>
      <c r="CC31" s="36">
        <f ca="1">IF(BM12&gt;0,0,RAND())</f>
        <v>0</v>
      </c>
      <c r="CD31" s="29" t="s">
        <v>17</v>
      </c>
      <c r="CE31" s="31"/>
    </row>
    <row r="32" spans="2:83" x14ac:dyDescent="0.3">
      <c r="O32" s="33" t="str">
        <f ca="1">IF(AND(O11="monk",O12&gt;=14),"Diamond Soul"," ")</f>
        <v xml:space="preserve"> </v>
      </c>
      <c r="AE32" s="29">
        <f ca="1">RANDBETWEEN(2,20)</f>
        <v>13</v>
      </c>
      <c r="AI32" s="29">
        <v>5</v>
      </c>
      <c r="AK32" s="29" t="str">
        <f ca="1">IF(P15="college of lore",INDEX(#REF!,MATCH(AI32,(#REF!),0))," ")</f>
        <v xml:space="preserve"> </v>
      </c>
      <c r="BN32" s="29">
        <f t="shared" ca="1" si="29"/>
        <v>1</v>
      </c>
      <c r="BO32" s="29">
        <f ca="1">IF(BP32="Insight",RAND(),0)</f>
        <v>0.80156256341763199</v>
      </c>
      <c r="BP32" s="29" t="str">
        <f t="shared" ca="1" si="33"/>
        <v>Insight</v>
      </c>
      <c r="BR32" s="29">
        <f t="shared" ca="1" si="30"/>
        <v>17</v>
      </c>
      <c r="BS32" s="29">
        <f t="shared" ca="1" si="31"/>
        <v>0</v>
      </c>
      <c r="BU32" s="29">
        <f ca="1">_xlfn.RANK.EQ(BV32,$BV$30:$BV$32)</f>
        <v>1</v>
      </c>
      <c r="BV32" s="29">
        <f ca="1">IF(BW32="Survival",RAND(),0)</f>
        <v>0</v>
      </c>
      <c r="BW32" s="29" t="str">
        <f ca="1">IF(OR($AV$23&gt;=1,$BR$23&gt;=1,BM23&gt;=1),"Survival"," ")</f>
        <v xml:space="preserve"> </v>
      </c>
      <c r="BY32" s="29">
        <f ca="1">_xlfn.RANK.EQ(BZ32,$BZ$30:$BZ$32)</f>
        <v>2</v>
      </c>
      <c r="BZ32" s="29">
        <f t="shared" ca="1" si="32"/>
        <v>0.87582519273215542</v>
      </c>
      <c r="CB32" s="35">
        <f ca="1">_xlfn.RANK.EQ(CC32,$CC$30:$CC$34)</f>
        <v>2</v>
      </c>
      <c r="CC32" s="36">
        <f ca="1">IF(BM15&gt;0,0,RAND())</f>
        <v>0.2952686678113261</v>
      </c>
      <c r="CD32" s="29" t="s">
        <v>20</v>
      </c>
    </row>
    <row r="33" spans="1:83" x14ac:dyDescent="0.3">
      <c r="O33" s="33" t="str">
        <f ca="1">IF(AND(O11="monk",O12&gt;=15),"Timeless Body"," ")</f>
        <v xml:space="preserve"> </v>
      </c>
      <c r="AI33" s="29">
        <v>6</v>
      </c>
      <c r="AK33" s="29" t="str">
        <f ca="1">IF(P15="college of lore",INDEX(#REF!,MATCH(AI33,(#REF!),0))," ")</f>
        <v xml:space="preserve"> </v>
      </c>
      <c r="BN33" s="29">
        <f t="shared" ca="1" si="29"/>
        <v>3</v>
      </c>
      <c r="BO33" s="29">
        <f ca="1">IF(BP33="Intimidation",RAND(),0)</f>
        <v>0</v>
      </c>
      <c r="BP33" s="29" t="str">
        <f t="shared" ca="1" si="33"/>
        <v xml:space="preserve"> </v>
      </c>
      <c r="BR33" s="29">
        <f t="shared" ca="1" si="30"/>
        <v>7</v>
      </c>
      <c r="BS33" s="29">
        <f t="shared" ca="1" si="31"/>
        <v>0.53948726065103791</v>
      </c>
      <c r="CB33" s="35">
        <f ca="1">_xlfn.RANK.EQ(CC33,$CC$30:$CC$34)</f>
        <v>1</v>
      </c>
      <c r="CC33" s="36">
        <f ca="1">IF(BM19&gt;0,0,RAND())</f>
        <v>0.97976198049977714</v>
      </c>
      <c r="CD33" s="29" t="s">
        <v>24</v>
      </c>
    </row>
    <row r="34" spans="1:83" x14ac:dyDescent="0.3">
      <c r="O34" s="33" t="str">
        <f ca="1">IF(AND(O11="Monk",O12&gt;=18),"Empty Body"," ")</f>
        <v xml:space="preserve"> </v>
      </c>
      <c r="BN34" s="29">
        <f t="shared" ca="1" si="29"/>
        <v>3</v>
      </c>
      <c r="BO34" s="29">
        <f ca="1">IF(BP34="Investigation",RAND(),0)</f>
        <v>0</v>
      </c>
      <c r="BP34" s="29" t="str">
        <f t="shared" ca="1" si="33"/>
        <v xml:space="preserve"> </v>
      </c>
      <c r="BR34" s="29">
        <f t="shared" ca="1" si="30"/>
        <v>6</v>
      </c>
      <c r="BS34" s="29">
        <f t="shared" ca="1" si="31"/>
        <v>0.58497591887615497</v>
      </c>
      <c r="CB34" s="35">
        <f ca="1">_xlfn.RANK.EQ(CC34,$CC$30:$CC$34)</f>
        <v>4</v>
      </c>
      <c r="CC34" s="36">
        <f ca="1">IF(BM20&gt;0,0,RAND())</f>
        <v>0</v>
      </c>
      <c r="CD34" s="29" t="s">
        <v>25</v>
      </c>
    </row>
    <row r="35" spans="1:83" x14ac:dyDescent="0.3">
      <c r="O35" s="33" t="str">
        <f ca="1">IF(AND(O11="monk",O12&gt;=20),"Perfect Body"," ")</f>
        <v xml:space="preserve"> </v>
      </c>
      <c r="AE35" s="29" t="s">
        <v>2255</v>
      </c>
      <c r="AF35" s="29">
        <f ca="1">RANDBETWEEN(1,3)</f>
        <v>1</v>
      </c>
      <c r="BN35" s="29">
        <f t="shared" ca="1" si="29"/>
        <v>3</v>
      </c>
      <c r="BO35" s="29">
        <f ca="1">IF(BP35="Medicine",RAND(),0)</f>
        <v>0</v>
      </c>
      <c r="BP35" s="29" t="str">
        <f t="shared" ca="1" si="33"/>
        <v xml:space="preserve"> </v>
      </c>
      <c r="BR35" s="29">
        <f t="shared" ca="1" si="30"/>
        <v>16</v>
      </c>
      <c r="BS35" s="29">
        <f t="shared" ca="1" si="31"/>
        <v>8.9485435418999226E-2</v>
      </c>
    </row>
    <row r="36" spans="1:83" ht="19.5" thickBot="1" x14ac:dyDescent="0.35">
      <c r="A36" s="33"/>
      <c r="B36" s="38"/>
      <c r="C36" s="38"/>
      <c r="D36" s="38"/>
      <c r="E36" s="38"/>
      <c r="F36" s="38"/>
      <c r="G36" s="38"/>
      <c r="H36" s="38"/>
      <c r="I36" s="38"/>
      <c r="J36" s="38"/>
      <c r="K36" s="38"/>
      <c r="L36" s="38"/>
      <c r="M36" s="38"/>
      <c r="N36" s="38"/>
      <c r="O36" s="38"/>
      <c r="P36" s="38"/>
      <c r="AE36" s="29" t="s">
        <v>2256</v>
      </c>
      <c r="AF36" s="29">
        <f ca="1">RANDBETWEEN(1,2)</f>
        <v>2</v>
      </c>
      <c r="BN36" s="29">
        <f t="shared" ca="1" si="29"/>
        <v>3</v>
      </c>
      <c r="BO36" s="29">
        <f ca="1">IF(BP36="Nature",RAND(),0)</f>
        <v>0</v>
      </c>
      <c r="BP36" s="29" t="str">
        <f t="shared" ca="1" si="33"/>
        <v xml:space="preserve"> </v>
      </c>
      <c r="BR36" s="29">
        <f t="shared" ca="1" si="30"/>
        <v>5</v>
      </c>
      <c r="BS36" s="29">
        <f t="shared" ca="1" si="31"/>
        <v>0.59940157209666556</v>
      </c>
      <c r="CB36" s="31" t="s">
        <v>730</v>
      </c>
      <c r="CE36" s="31"/>
    </row>
    <row r="37" spans="1:83" ht="30.75" thickBot="1" x14ac:dyDescent="0.45">
      <c r="A37" s="137"/>
      <c r="B37" s="122" t="s">
        <v>10</v>
      </c>
      <c r="C37" s="53" t="s">
        <v>710</v>
      </c>
      <c r="D37" s="53" t="s">
        <v>676</v>
      </c>
      <c r="E37" s="53" t="s">
        <v>677</v>
      </c>
      <c r="F37" s="53" t="s">
        <v>678</v>
      </c>
      <c r="G37" s="53" t="s">
        <v>679</v>
      </c>
      <c r="H37" s="53" t="s">
        <v>680</v>
      </c>
      <c r="I37" s="53" t="s">
        <v>675</v>
      </c>
      <c r="J37" s="53"/>
      <c r="K37" s="53"/>
      <c r="L37" s="53"/>
      <c r="M37" s="53"/>
      <c r="N37" s="53"/>
      <c r="O37" s="53" t="s">
        <v>8</v>
      </c>
      <c r="P37" s="116" t="s">
        <v>9</v>
      </c>
      <c r="BN37" s="29">
        <f t="shared" ca="1" si="29"/>
        <v>3</v>
      </c>
      <c r="BO37" s="29">
        <f ca="1">IF(BP37="Perception",RAND(),0)</f>
        <v>0</v>
      </c>
      <c r="BP37" s="29" t="str">
        <f t="shared" ca="1" si="33"/>
        <v xml:space="preserve"> </v>
      </c>
      <c r="BR37" s="29">
        <f t="shared" ca="1" si="30"/>
        <v>3</v>
      </c>
      <c r="BS37" s="29">
        <f t="shared" ca="1" si="31"/>
        <v>0.83422092334846842</v>
      </c>
      <c r="CB37" s="35">
        <f t="shared" ref="CB37:CB44" ca="1" si="34">_xlfn.RANK.EQ(CC37,$CC$37:$CC$44)</f>
        <v>3</v>
      </c>
      <c r="CC37" s="36">
        <f ca="1">IF(BM8&gt;0,0,RAND())</f>
        <v>0.86410594177824418</v>
      </c>
      <c r="CD37" s="29" t="s">
        <v>13</v>
      </c>
    </row>
    <row r="38" spans="1:83" ht="19.5" thickTop="1" x14ac:dyDescent="0.3">
      <c r="A38" s="137"/>
      <c r="B38" s="33" t="s">
        <v>1</v>
      </c>
      <c r="C38" s="33" t="str">
        <f ca="1">IF(O26="Primal Champion",4," ")</f>
        <v xml:space="preserve"> </v>
      </c>
      <c r="D38" s="33" t="str">
        <f ca="1">IF(AND($AF$2="strength",$AF$3="strength"),2,IF(OR($AF$2="strength",$AF$3="strength"),1," "))</f>
        <v xml:space="preserve"> </v>
      </c>
      <c r="E38" s="33" t="str">
        <f ca="1">IF(AND($AF$4="strength",$AF$5="strength"),2,IF(OR($AF$4="strength",$AF$5="strength"),1," "))</f>
        <v xml:space="preserve"> </v>
      </c>
      <c r="F38" s="33" t="str">
        <f ca="1">IF(AND($AF$6="strength",$AF$7="strength"),2,IF(OR($AF$6="strength",$AF$7="strength"),1," "))</f>
        <v xml:space="preserve"> </v>
      </c>
      <c r="G38" s="33" t="str">
        <f ca="1">IF(AND($AF$8="strength",$AF$9="strength"),2,IF(OR($AF$8="strength",$AF$9="strength"),1," "))</f>
        <v xml:space="preserve"> </v>
      </c>
      <c r="H38" s="33" t="str">
        <f ca="1">IF(AND($AF$10="strength",$AF$11="strength"),2,IF(OR($AF$10="strength",$AF$11="strength"),1," "))</f>
        <v xml:space="preserve"> </v>
      </c>
      <c r="I38" s="33">
        <f ca="1">IF(OR(Q2="dragonborn",P2="mountain",Q2="Half-orc"),SUM(J38:M38)-SMALL(J38:M38,1)+2,IF(Q2="human",(SUM(J38:M38)-SMALL(J38:M38,1)+1),(SUM(J38:M38)-SMALL(J38:M38,1))))</f>
        <v>14</v>
      </c>
      <c r="J38" s="33">
        <f t="shared" ref="J38:M43" ca="1" si="35">RANDBETWEEN(1,6)</f>
        <v>1</v>
      </c>
      <c r="K38" s="33">
        <f t="shared" ca="1" si="35"/>
        <v>2</v>
      </c>
      <c r="L38" s="33">
        <f t="shared" ca="1" si="35"/>
        <v>6</v>
      </c>
      <c r="M38" s="33">
        <f t="shared" ca="1" si="35"/>
        <v>6</v>
      </c>
      <c r="N38" s="33"/>
      <c r="O38" s="33">
        <f ca="1">IF(OR(O11="barbarian",O11="fighter",O11="paladin"),MAX(13,(SUM(C38:I38))),IF(OR(Q11="barbarian",Q11="fighter",Q11="paladin"),MAX(13,(SUM(C38:I38))),SUM(C38:I38)))</f>
        <v>14</v>
      </c>
      <c r="P38" s="117">
        <f ca="1">VLOOKUP(O38,Table1[],2)</f>
        <v>2</v>
      </c>
      <c r="BN38" s="29">
        <f t="shared" ca="1" si="29"/>
        <v>3</v>
      </c>
      <c r="BO38" s="29">
        <f ca="1">IF(BP38="Performance",RAND(),0)</f>
        <v>0</v>
      </c>
      <c r="BP38" s="29" t="str">
        <f t="shared" ca="1" si="33"/>
        <v xml:space="preserve"> </v>
      </c>
      <c r="BR38" s="29">
        <f t="shared" ca="1" si="30"/>
        <v>10</v>
      </c>
      <c r="BS38" s="29">
        <f t="shared" ca="1" si="31"/>
        <v>0.32322270366661432</v>
      </c>
      <c r="CB38" s="35">
        <f t="shared" ca="1" si="34"/>
        <v>6</v>
      </c>
      <c r="CC38" s="36">
        <f ca="1">IF(BM7&gt;0,0,RAND())</f>
        <v>0.32190526361144434</v>
      </c>
      <c r="CD38" s="29" t="s">
        <v>29</v>
      </c>
    </row>
    <row r="39" spans="1:83" x14ac:dyDescent="0.3">
      <c r="A39" s="137"/>
      <c r="B39" s="33" t="s">
        <v>2</v>
      </c>
      <c r="C39" s="33"/>
      <c r="D39" s="33">
        <f ca="1">IF(AND($AF$2="dexterity",$AF$3="dexterity"),2,IF(OR($AF$2="dexterity",$AF$3="dexterity"),1," "))</f>
        <v>1</v>
      </c>
      <c r="E39" s="33" t="str">
        <f ca="1">IF(AND($AF$4="dexterity",$AF$5="dexterity"),2,IF(OR($AF$4="dexterity",$AF$5="dexterity"),1," "))</f>
        <v xml:space="preserve"> </v>
      </c>
      <c r="F39" s="33" t="str">
        <f ca="1">IF(AND($AF$6="dexterity",$AF$7="dexterity"),2,IF(OR($AF$6="dexterity",$AF$7="dexterity"),1," "))</f>
        <v xml:space="preserve"> </v>
      </c>
      <c r="G39" s="33" t="str">
        <f ca="1">IF(AND($AF$8="dexterity",$AF$9="dexterity"),2,IF(OR($AF$8="dexterity",$AF$9="dexterity"),1," "))</f>
        <v xml:space="preserve"> </v>
      </c>
      <c r="H39" s="33" t="str">
        <f ca="1">IF(AND($AF$10="dexterity",$AF$11="dexterity"),2,IF(OR($AF$10="dexterity",$AF$11="dexterity"),1," "))</f>
        <v xml:space="preserve"> </v>
      </c>
      <c r="I39" s="33">
        <f ca="1">IF(OR(Q2="elf",Q2="halfling"),SUM(J39:M39)-SMALL(J39:M39,1)+2,IF(OR(Q2="human",P2="forest",Q2="half-elf"),SUM(J39:M39)-SMALL(J39:M39,1)+1,SUM(J39:M39)-SMALL(J39:M39,1)))</f>
        <v>13</v>
      </c>
      <c r="J39" s="33">
        <f t="shared" ca="1" si="35"/>
        <v>4</v>
      </c>
      <c r="K39" s="33">
        <f t="shared" ca="1" si="35"/>
        <v>1</v>
      </c>
      <c r="L39" s="33">
        <f t="shared" ca="1" si="35"/>
        <v>4</v>
      </c>
      <c r="M39" s="33">
        <f t="shared" ca="1" si="35"/>
        <v>5</v>
      </c>
      <c r="N39" s="33"/>
      <c r="O39" s="33">
        <f ca="1">IF(OR(O11="fighter",O11="ranger",O11="rogue"),MAX(13,(SUM(C39:I39))),IF(OR(Q11="fighter",Q11="ranger",Q11="rogue"),MAX(13,(SUM(C39:I39))),SUM(C39:I39)))</f>
        <v>14</v>
      </c>
      <c r="P39" s="117">
        <f ca="1">VLOOKUP(O39,Table1[],2)</f>
        <v>2</v>
      </c>
      <c r="BN39" s="29">
        <f t="shared" ca="1" si="29"/>
        <v>3</v>
      </c>
      <c r="BO39" s="29">
        <f ca="1">IF(BP39="Persuasion",RAND(),0)</f>
        <v>0</v>
      </c>
      <c r="BP39" s="29" t="str">
        <f t="shared" ca="1" si="33"/>
        <v xml:space="preserve"> </v>
      </c>
      <c r="BR39" s="29">
        <f t="shared" ca="1" si="30"/>
        <v>8</v>
      </c>
      <c r="BS39" s="29">
        <f t="shared" ca="1" si="31"/>
        <v>0.52208814094312073</v>
      </c>
      <c r="CB39" s="35">
        <f t="shared" ca="1" si="34"/>
        <v>7</v>
      </c>
      <c r="CC39" s="36">
        <f ca="1">IF(BM12&gt;0,0,RAND())</f>
        <v>0</v>
      </c>
      <c r="CD39" s="29" t="s">
        <v>17</v>
      </c>
    </row>
    <row r="40" spans="1:83" x14ac:dyDescent="0.3">
      <c r="A40" s="137"/>
      <c r="B40" s="33" t="s">
        <v>3</v>
      </c>
      <c r="C40" s="33" t="str">
        <f ca="1">IF(O26="primal Champion",4," ")</f>
        <v xml:space="preserve"> </v>
      </c>
      <c r="D40" s="33" t="str">
        <f ca="1">IF(AND($AF$2="constitution",$AF$3="constitution"),2,IF(OR($AF$2="constitution",$AF$3="constitution"),1," "))</f>
        <v xml:space="preserve"> </v>
      </c>
      <c r="E40" s="33" t="str">
        <f ca="1">IF(AND($AF$4="constitution",$AF$5="constitution"),2,IF(OR($AF$4="constitution",$AF$5="constitution"),1," "))</f>
        <v xml:space="preserve"> </v>
      </c>
      <c r="F40" s="33" t="str">
        <f ca="1">IF(AND($AF$6="constitution",$AF$7="constitution"),2,IF(OR($AF$6="constitution",$AF$7="constitution"),1," "))</f>
        <v xml:space="preserve"> </v>
      </c>
      <c r="G40" s="33" t="str">
        <f ca="1">IF(AND($AF$8="constitution",$AF$9="constitution"),2,IF(OR($AF$8="constitution",$AF$9="constitution"),1," "))</f>
        <v xml:space="preserve"> </v>
      </c>
      <c r="H40" s="33" t="str">
        <f ca="1">IF(AND($AF$10="constitution",$AF$11="constitution"),2,IF(OR($AF$10="constitution",$AF$11="constitution"),1," "))</f>
        <v xml:space="preserve"> </v>
      </c>
      <c r="I40" s="33">
        <f ca="1">IF(Q2="dwarf",SUM(J40:M40)-SMALL(J40:M40,1)+2,IF(OR(P2="stout",Q2="human",P2="rock",Q2="half-elf",Q2="half-orc"),SUM(J40:M40)-SMALL(J40:M40,1)+1,SUM(J40:M40)-SMALL(J40:M40,1)))</f>
        <v>14</v>
      </c>
      <c r="J40" s="33">
        <f t="shared" ca="1" si="35"/>
        <v>6</v>
      </c>
      <c r="K40" s="33">
        <f t="shared" ca="1" si="35"/>
        <v>2</v>
      </c>
      <c r="L40" s="33">
        <f t="shared" ca="1" si="35"/>
        <v>1</v>
      </c>
      <c r="M40" s="33">
        <f t="shared" ca="1" si="35"/>
        <v>6</v>
      </c>
      <c r="N40" s="33"/>
      <c r="O40" s="33">
        <f ca="1">SUM(C40:I40)</f>
        <v>14</v>
      </c>
      <c r="P40" s="117">
        <f ca="1">IF(P2="hill",VLOOKUP(O40,Table1[],2)+1,VLOOKUP(O40,Table1[],2))</f>
        <v>2</v>
      </c>
      <c r="AJ40" s="29" t="s">
        <v>1650</v>
      </c>
      <c r="AK40" s="29" t="s">
        <v>530</v>
      </c>
      <c r="BN40" s="29">
        <f t="shared" ca="1" si="29"/>
        <v>2</v>
      </c>
      <c r="BO40" s="29">
        <f ca="1">IF(BP40="Religion",RAND(),0)</f>
        <v>7.6341893008715189E-2</v>
      </c>
      <c r="BP40" s="29" t="str">
        <f t="shared" ca="1" si="33"/>
        <v>Religion</v>
      </c>
      <c r="BR40" s="29">
        <f t="shared" ca="1" si="30"/>
        <v>17</v>
      </c>
      <c r="BS40" s="29">
        <f t="shared" ca="1" si="31"/>
        <v>0</v>
      </c>
      <c r="CB40" s="35">
        <f t="shared" ca="1" si="34"/>
        <v>5</v>
      </c>
      <c r="CC40" s="36">
        <f ca="1">IF(BM15&gt;0,0,RAND())</f>
        <v>0.56966203544258998</v>
      </c>
      <c r="CD40" s="29" t="s">
        <v>20</v>
      </c>
    </row>
    <row r="41" spans="1:83" x14ac:dyDescent="0.3">
      <c r="A41" s="137"/>
      <c r="B41" s="33" t="s">
        <v>4</v>
      </c>
      <c r="C41" s="33"/>
      <c r="D41" s="33" t="str">
        <f ca="1">IF(AND($AF$2="intelligence",$AF$3="intelligence"),2,IF(OR($AF$2="Intelligence",$AF$3="intelligence"),1," "))</f>
        <v xml:space="preserve"> </v>
      </c>
      <c r="E41" s="33">
        <f ca="1">IF(AND($AF$4="intelligence",$AF$5="intelligence"),2,IF(OR($AF$4="Intelligence",$AF$5="intelligence"),1," "))</f>
        <v>2</v>
      </c>
      <c r="F41" s="33">
        <f ca="1">IF(AND($AF$6="intelligence",$AF$7="intelligence"),2,IF(OR($AF$6="Intelligence",$AF$7="intelligence"),1," "))</f>
        <v>1</v>
      </c>
      <c r="G41" s="33" t="str">
        <f ca="1">IF(AND($AF$8="intelligence",$AF$9="intelligence"),2,IF(OR($AF$8="Intelligence",$AF$9="intelligence"),1," "))</f>
        <v xml:space="preserve"> </v>
      </c>
      <c r="H41" s="33" t="str">
        <f ca="1">IF(AND($AF$10="intelligence",$AF$11="intelligence"),2,IF(OR($AF$10="Intelligence",$AF$11="intelligence"),1," "))</f>
        <v xml:space="preserve"> </v>
      </c>
      <c r="I41" s="33">
        <f ca="1">IF(OR(P2="high",Q2="human",Q2="tiefling"),SUM(J41:M41)-SMALL(J41:M41,1)+1,IF(Q2="gnome",SUM(J41:M41)-SMALL(J41:M41,1)+2,SUM(J41:M41)-SMALL(J41:M41,1)))</f>
        <v>13</v>
      </c>
      <c r="J41" s="33">
        <f t="shared" ca="1" si="35"/>
        <v>1</v>
      </c>
      <c r="K41" s="33">
        <f t="shared" ca="1" si="35"/>
        <v>2</v>
      </c>
      <c r="L41" s="33">
        <f t="shared" ca="1" si="35"/>
        <v>5</v>
      </c>
      <c r="M41" s="33">
        <f t="shared" ca="1" si="35"/>
        <v>5</v>
      </c>
      <c r="N41" s="33"/>
      <c r="O41" s="33">
        <f ca="1">IF(O11="wizard",MAX(13,(SUM(C41:I41))),IF(Q11="wizard",MAX(13,(SUM(C41:I41))),SUM(C41:I41)))</f>
        <v>16</v>
      </c>
      <c r="P41" s="117">
        <f ca="1">VLOOKUP(O41,Table1[],2)</f>
        <v>3</v>
      </c>
      <c r="AJ41" s="29" t="s">
        <v>1649</v>
      </c>
      <c r="AK41" s="29" t="str">
        <f ca="1">IF(Q11="wizard",((Q12-1)*2)+6," ")</f>
        <v xml:space="preserve"> </v>
      </c>
      <c r="BN41" s="29">
        <f t="shared" ca="1" si="29"/>
        <v>3</v>
      </c>
      <c r="BO41" s="29">
        <f ca="1">IF(BP41="Sleight of Hand",RAND(),0)</f>
        <v>0</v>
      </c>
      <c r="BP41" s="29" t="str">
        <f t="shared" ca="1" si="33"/>
        <v xml:space="preserve"> </v>
      </c>
      <c r="BR41" s="29">
        <f t="shared" ca="1" si="30"/>
        <v>1</v>
      </c>
      <c r="BS41" s="29">
        <f t="shared" ca="1" si="31"/>
        <v>0.97107552187383772</v>
      </c>
      <c r="CB41" s="35">
        <f t="shared" ca="1" si="34"/>
        <v>4</v>
      </c>
      <c r="CC41" s="36">
        <f ca="1">IF(BM16&gt;0,0,RAND())</f>
        <v>0.58574646658853413</v>
      </c>
      <c r="CD41" s="29" t="s">
        <v>21</v>
      </c>
      <c r="CE41" s="31"/>
    </row>
    <row r="42" spans="1:83" x14ac:dyDescent="0.3">
      <c r="A42" s="137"/>
      <c r="B42" s="33" t="s">
        <v>5</v>
      </c>
      <c r="C42" s="33"/>
      <c r="D42" s="33">
        <f ca="1">IF(AND($AF$2="wisdom",$AF$3="wisdom"),2,IF(OR($AF$2="wisdom",$AF$3="wisdom"),1," "))</f>
        <v>1</v>
      </c>
      <c r="E42" s="33" t="str">
        <f ca="1">IF(AND($AF$4="wisdom",$AF$5="wisdom"),2,IF(OR($AF$4="wisdom",$AF$5="wisdom"),1," "))</f>
        <v xml:space="preserve"> </v>
      </c>
      <c r="F42" s="33">
        <f ca="1">IF(AND($AF$6="wisdom",$AF$7="wisdom"),2,IF(OR($AF$6="wisdom",$AF$7="wisdom"),1," "))</f>
        <v>1</v>
      </c>
      <c r="G42" s="33" t="str">
        <f ca="1">IF(AND($AF$8="wisdom",$AF$9="wisdom"),2,IF(OR($AF$8="wisdom",$AF$9="wisdom"),1," "))</f>
        <v xml:space="preserve"> </v>
      </c>
      <c r="H42" s="33" t="str">
        <f ca="1">IF(AND($AF$10="wisdom",$AF$11="wisdom"),2,IF(OR($AF$10="wisdom",$AF$11="wisdom"),1," "))</f>
        <v xml:space="preserve"> </v>
      </c>
      <c r="I42" s="33">
        <f ca="1">IF(OR(P2="hill",P2="wood",Q2="human"),SUM(J42:M42)-SMALL(J42:M42,1)+1,SUM(J42:M42)-SMALL(J42:M42,1))</f>
        <v>15</v>
      </c>
      <c r="J42" s="33">
        <f t="shared" ca="1" si="35"/>
        <v>6</v>
      </c>
      <c r="K42" s="33">
        <f t="shared" ca="1" si="35"/>
        <v>4</v>
      </c>
      <c r="L42" s="33">
        <f t="shared" ca="1" si="35"/>
        <v>4</v>
      </c>
      <c r="M42" s="33">
        <f t="shared" ca="1" si="35"/>
        <v>5</v>
      </c>
      <c r="N42" s="33"/>
      <c r="O42" s="33">
        <f ca="1">IF(OR(O11="cleric",O11="druid",O11="monk",O11="ranger"),MAX(13,(SUM(C42:I42))),IF(OR(Q11="cleric",Q11="druid",Q11="monk",Q11="ranger"),MAX(13,(SUM(C42:I42))),SUM(C42:I42)))</f>
        <v>17</v>
      </c>
      <c r="P42" s="117">
        <f ca="1">VLOOKUP(O42,Table1[],2)</f>
        <v>3</v>
      </c>
      <c r="BN42" s="29">
        <f t="shared" ca="1" si="29"/>
        <v>3</v>
      </c>
      <c r="BO42" s="29">
        <f ca="1">IF(BP42="Stealth",RAND(),0)</f>
        <v>0</v>
      </c>
      <c r="BP42" s="29" t="str">
        <f t="shared" ca="1" si="33"/>
        <v xml:space="preserve"> </v>
      </c>
      <c r="BR42" s="29">
        <f t="shared" ca="1" si="30"/>
        <v>13</v>
      </c>
      <c r="BS42" s="29">
        <f t="shared" ca="1" si="31"/>
        <v>0.14191340506553063</v>
      </c>
      <c r="CB42" s="35">
        <f t="shared" ca="1" si="34"/>
        <v>2</v>
      </c>
      <c r="CC42" s="36">
        <f ca="1">IF(BM17&gt;0,0,RAND())</f>
        <v>0.87126026476886986</v>
      </c>
      <c r="CD42" s="29" t="s">
        <v>22</v>
      </c>
    </row>
    <row r="43" spans="1:83" ht="19.5" thickBot="1" x14ac:dyDescent="0.35">
      <c r="A43" s="137"/>
      <c r="B43" s="38" t="s">
        <v>6</v>
      </c>
      <c r="C43" s="38"/>
      <c r="D43" s="38" t="str">
        <f ca="1">IF(AND($AF$2="charisma",$AF$3="charisma"),2,IF(OR($AF$2="charisma",$AF$3="charisma"),1," "))</f>
        <v xml:space="preserve"> </v>
      </c>
      <c r="E43" s="38" t="str">
        <f ca="1">IF(AND($AF$4="charisma",$AF$5="charisma"),2,IF(OR($AF$4="charisma",$AF$5="charisma"),1," "))</f>
        <v xml:space="preserve"> </v>
      </c>
      <c r="F43" s="38" t="str">
        <f ca="1">IF(AND($AF$6="charisma",$AF$7="charisma"),2,IF(OR($AF$6="charisma",$AF$7="charisma"),1," "))</f>
        <v xml:space="preserve"> </v>
      </c>
      <c r="G43" s="38" t="str">
        <f ca="1">IF(AND($AF$8="charisma",$AF$9="charisma"),2,IF(OR($AF$8="charisma",$AF$9="charisma"),1," "))</f>
        <v xml:space="preserve"> </v>
      </c>
      <c r="H43" s="38" t="str">
        <f ca="1">IF(AND($AF$10="charisma",$AF$11="charisma"),2,IF(OR($AF$10="charisma",$AF$11="charisma"),1," "))</f>
        <v xml:space="preserve"> </v>
      </c>
      <c r="I43" s="38">
        <f ca="1">IF(OR(P2="dark",P2="lightfoot",Q2="human",Q2="dragonborn"),SUM(J43:M43)-SMALL(J43:M43,1)+1,IF(OR(Q2="half-elf",Q2="tiefling"),SUM(J43:M43)-SMALL(J43:M43,1)+2,SUM(J43:M43)-SMALL(J43:M43,1)))</f>
        <v>18</v>
      </c>
      <c r="J43" s="38">
        <f t="shared" ca="1" si="35"/>
        <v>4</v>
      </c>
      <c r="K43" s="38">
        <f t="shared" ca="1" si="35"/>
        <v>3</v>
      </c>
      <c r="L43" s="38">
        <f t="shared" ca="1" si="35"/>
        <v>6</v>
      </c>
      <c r="M43" s="38">
        <f t="shared" ca="1" si="35"/>
        <v>6</v>
      </c>
      <c r="N43" s="38"/>
      <c r="O43" s="38">
        <f ca="1">IF(OR(O11="bard",O11="paladin",O11="sorcerer",O11="warlock"),MAX(13,(SUM(C43:I43))),IF(OR(Q11="bard",Q11="paladin",Q11="sorcerer",Q11="warlock"),MAX(13,(SUM(C43:I43))),SUM(C43:I43)))</f>
        <v>18</v>
      </c>
      <c r="P43" s="118">
        <f ca="1">VLOOKUP(O43,Table1[],2)</f>
        <v>4</v>
      </c>
      <c r="AJ43" s="31" t="s">
        <v>1166</v>
      </c>
      <c r="AO43" s="57"/>
      <c r="AP43" s="57"/>
      <c r="AQ43" s="57"/>
      <c r="BN43" s="29">
        <f t="shared" ca="1" si="29"/>
        <v>3</v>
      </c>
      <c r="BO43" s="29">
        <f ca="1">IF(BP43="Survival",RAND(),0)</f>
        <v>0</v>
      </c>
      <c r="BP43" s="29" t="str">
        <f t="shared" ca="1" si="33"/>
        <v xml:space="preserve"> </v>
      </c>
      <c r="BR43" s="29">
        <f t="shared" ca="1" si="30"/>
        <v>2</v>
      </c>
      <c r="BS43" s="29">
        <f t="shared" ca="1" si="31"/>
        <v>0.88711498140261236</v>
      </c>
      <c r="CB43" s="35">
        <f t="shared" ca="1" si="34"/>
        <v>7</v>
      </c>
      <c r="CC43" s="36">
        <f ca="1">IF(BM20&gt;0,0,RAND())</f>
        <v>0</v>
      </c>
      <c r="CD43" s="29" t="s">
        <v>25</v>
      </c>
    </row>
    <row r="44" spans="1:83" ht="19.5" thickBot="1" x14ac:dyDescent="0.35">
      <c r="A44" s="33"/>
      <c r="B44" s="38"/>
      <c r="C44" s="38"/>
      <c r="D44" s="38"/>
      <c r="E44" s="38"/>
      <c r="F44" s="38"/>
      <c r="G44" s="38"/>
      <c r="H44" s="38"/>
      <c r="I44" s="38"/>
      <c r="J44" s="38"/>
      <c r="K44" s="38"/>
      <c r="L44" s="38"/>
      <c r="M44" s="38"/>
      <c r="N44" s="38"/>
      <c r="O44" s="38"/>
      <c r="P44" s="38"/>
      <c r="AJ44" s="58">
        <f ca="1">IF(Table200335449791848905314378600[[#This Row],[Column2]]=0," ",_xlfn.RANK.EQ(AK44,$AK$44:$AK$53))</f>
        <v>5</v>
      </c>
      <c r="AK44" s="29">
        <f ca="1">IF(Table200335449791848905314378600[[#This Row],[Column3]]=" ", 0,RAND())</f>
        <v>0.40185532179689942</v>
      </c>
      <c r="AL44" s="29" t="str">
        <f t="shared" ref="AL44:AL53" ca="1" si="36">Q315</f>
        <v>Alarm</v>
      </c>
      <c r="AO44" s="29" t="s">
        <v>1962</v>
      </c>
      <c r="CB44" s="35">
        <f t="shared" ca="1" si="34"/>
        <v>1</v>
      </c>
      <c r="CC44" s="36">
        <f ca="1">IF(BM23&gt;0,0,RAND())</f>
        <v>0.98144785321034744</v>
      </c>
      <c r="CD44" s="29" t="s">
        <v>28</v>
      </c>
    </row>
    <row r="45" spans="1:83" ht="30.75" thickBot="1" x14ac:dyDescent="0.45">
      <c r="A45" s="115"/>
      <c r="B45" s="122" t="s">
        <v>37</v>
      </c>
      <c r="C45" s="53"/>
      <c r="D45" s="53"/>
      <c r="E45" s="53"/>
      <c r="F45" s="53"/>
      <c r="G45" s="53"/>
      <c r="H45" s="53"/>
      <c r="I45" s="53"/>
      <c r="J45" s="53"/>
      <c r="K45" s="53"/>
      <c r="L45" s="53"/>
      <c r="M45" s="53"/>
      <c r="N45" s="53"/>
      <c r="O45" s="53" t="s">
        <v>30</v>
      </c>
      <c r="P45" s="116" t="s">
        <v>38</v>
      </c>
      <c r="AJ45" s="58">
        <f ca="1">IF(Table200335449791848905314378600[[#This Row],[Column2]]=0," ",_xlfn.RANK.EQ(AK45,$AK$44:$AK$53))</f>
        <v>1</v>
      </c>
      <c r="AK45" s="29">
        <f ca="1">IF(Table200335449791848905314378600[[#This Row],[Column3]]=" ", 0,RAND())</f>
        <v>0.94093285031881035</v>
      </c>
      <c r="AL45" s="29" t="str">
        <f t="shared" ca="1" si="36"/>
        <v>Shield</v>
      </c>
      <c r="AO45" s="29" t="str">
        <f ca="1">IF(Table293375489831888945361417639[[#This Row],[Column2]]=0," ",_xlfn.RANK.EQ(Table293375489831888945361417639[[#This Row],[Column2]],$AP$45:$AP$59))</f>
        <v xml:space="preserve"> </v>
      </c>
      <c r="AP45" s="29">
        <f ca="1">IF(OR(Table293375489831888945361417639[[#This Row],[Column3]]=" ",Table293375489831888945361417639[[#This Row],[Column3]]="simple weapons"), 0,RAND())</f>
        <v>0</v>
      </c>
      <c r="AQ45" s="29" t="str">
        <f ca="1">P76</f>
        <v xml:space="preserve"> </v>
      </c>
    </row>
    <row r="46" spans="1:83" ht="19.5" thickTop="1" x14ac:dyDescent="0.3">
      <c r="A46" s="137"/>
      <c r="B46" s="33" t="s">
        <v>1</v>
      </c>
      <c r="C46" s="33"/>
      <c r="D46" s="33"/>
      <c r="E46" s="33"/>
      <c r="F46" s="33"/>
      <c r="G46" s="33"/>
      <c r="H46" s="33"/>
      <c r="I46" s="33"/>
      <c r="J46" s="33"/>
      <c r="K46" s="33"/>
      <c r="L46" s="33"/>
      <c r="M46" s="33"/>
      <c r="N46" s="33"/>
      <c r="O46" s="33" t="str">
        <f ca="1">IF(OR($O$11="barbarian",O11="fighter",O11="monk",O11="ranger"),"x"," ")</f>
        <v xml:space="preserve"> </v>
      </c>
      <c r="P46" s="72">
        <f t="shared" ref="P46:P51" ca="1" si="37">IF(O46="x",SUM(P38,$P$8),P38)</f>
        <v>2</v>
      </c>
      <c r="T46" s="49"/>
      <c r="U46" s="49"/>
      <c r="AJ46" s="58">
        <f ca="1">IF(Table200335449791848905314378600[[#This Row],[Column2]]=0," ",_xlfn.RANK.EQ(AK46,$AK$44:$AK$53))</f>
        <v>2</v>
      </c>
      <c r="AK46" s="29">
        <f ca="1">IF(Table200335449791848905314378600[[#This Row],[Column3]]=" ", 0,RAND())</f>
        <v>0.92419261690930932</v>
      </c>
      <c r="AL46" s="29" t="str">
        <f t="shared" ca="1" si="36"/>
        <v>Charm Person</v>
      </c>
      <c r="AO46" s="29" t="str">
        <f ca="1">IF(Table293375489831888945361417639[[#This Row],[Column2]]=0," ",_xlfn.RANK.EQ(Table293375489831888945361417639[[#This Row],[Column2]],$AP$45:$AP$59))</f>
        <v xml:space="preserve"> </v>
      </c>
      <c r="AP46" s="29">
        <f ca="1">IF(OR(Table293375489831888945361417639[[#This Row],[Column3]]=" ",Table293375489831888945361417639[[#This Row],[Column3]]="martial weapons"), 0,RAND())</f>
        <v>0</v>
      </c>
      <c r="AQ46" s="29" t="str">
        <f ca="1">P77</f>
        <v xml:space="preserve"> </v>
      </c>
      <c r="CB46" s="31" t="s">
        <v>731</v>
      </c>
      <c r="CE46" s="31"/>
    </row>
    <row r="47" spans="1:83" x14ac:dyDescent="0.3">
      <c r="A47" s="137"/>
      <c r="B47" s="33" t="s">
        <v>2</v>
      </c>
      <c r="C47" s="33"/>
      <c r="D47" s="33"/>
      <c r="E47" s="33"/>
      <c r="F47" s="33"/>
      <c r="G47" s="33"/>
      <c r="H47" s="33"/>
      <c r="I47" s="33"/>
      <c r="J47" s="33"/>
      <c r="K47" s="33"/>
      <c r="L47" s="33"/>
      <c r="M47" s="33"/>
      <c r="N47" s="33"/>
      <c r="O47" s="33" t="str">
        <f ca="1">IF(OR($O$11="bard",O11="monk",O11="ranger",O11="rogue"),"x"," ")</f>
        <v xml:space="preserve"> </v>
      </c>
      <c r="P47" s="72">
        <f t="shared" ca="1" si="37"/>
        <v>2</v>
      </c>
      <c r="T47" s="49"/>
      <c r="U47" s="49"/>
      <c r="AJ47" s="58">
        <f ca="1">IF(Table200335449791848905314378600[[#This Row],[Column2]]=0," ",_xlfn.RANK.EQ(AK47,$AK$44:$AK$53))</f>
        <v>10</v>
      </c>
      <c r="AK47" s="29">
        <f ca="1">IF(Table200335449791848905314378600[[#This Row],[Column3]]=" ", 0,RAND())</f>
        <v>6.1267270292318488E-2</v>
      </c>
      <c r="AL47" s="29" t="str">
        <f t="shared" ca="1" si="36"/>
        <v>Expeditious Retreat</v>
      </c>
      <c r="AO47" s="29" t="str">
        <f ca="1">IF(Table293375489831888945361417639[[#This Row],[Column2]]=0," ",_xlfn.RANK.EQ(Table293375489831888945361417639[[#This Row],[Column2]],$AP$45:$AP$59))</f>
        <v xml:space="preserve"> </v>
      </c>
      <c r="AP47" s="29">
        <f ca="1">IF(Table293375489831888945361417639[[#This Row],[Column3]]=" ", 0,RAND())</f>
        <v>0</v>
      </c>
      <c r="AQ47" s="29" t="str">
        <f ca="1">P78</f>
        <v xml:space="preserve"> </v>
      </c>
      <c r="CB47" s="35">
        <f t="shared" ref="CB47:CB54" ca="1" si="38">_xlfn.RANK.EQ(CC47,$CC$47:$CC$54)</f>
        <v>2</v>
      </c>
      <c r="CC47" s="36">
        <f ca="1">IF(BM6&gt;0,0,RAND())</f>
        <v>0.87630575207584327</v>
      </c>
      <c r="CD47" s="29" t="s">
        <v>12</v>
      </c>
    </row>
    <row r="48" spans="1:83" x14ac:dyDescent="0.3">
      <c r="A48" s="137"/>
      <c r="B48" s="33" t="s">
        <v>3</v>
      </c>
      <c r="C48" s="33"/>
      <c r="D48" s="33"/>
      <c r="E48" s="33"/>
      <c r="F48" s="33"/>
      <c r="G48" s="33"/>
      <c r="H48" s="33"/>
      <c r="I48" s="33"/>
      <c r="J48" s="33"/>
      <c r="K48" s="33"/>
      <c r="L48" s="33"/>
      <c r="M48" s="33"/>
      <c r="N48" s="33"/>
      <c r="O48" s="33" t="str">
        <f ca="1">IF(OR(O11="barbarian",O11="fighter",O11="sorcerer"),"x"," ")</f>
        <v xml:space="preserve"> </v>
      </c>
      <c r="P48" s="72">
        <f t="shared" ca="1" si="37"/>
        <v>2</v>
      </c>
      <c r="T48" s="49"/>
      <c r="U48" s="49"/>
      <c r="AJ48" s="58">
        <f ca="1">IF(Table200335449791848905314378600[[#This Row],[Column2]]=0," ",_xlfn.RANK.EQ(AK48,$AK$44:$AK$53))</f>
        <v>3</v>
      </c>
      <c r="AK48" s="29">
        <f ca="1">IF(Table200335449791848905314378600[[#This Row],[Column3]]=" ", 0,RAND())</f>
        <v>0.7750769665918934</v>
      </c>
      <c r="AL48" s="29" t="str">
        <f t="shared" ca="1" si="36"/>
        <v>Protection from Evil and Good</v>
      </c>
      <c r="AO48" s="29" t="str">
        <f ca="1">IF(Table293375489831888945361417639[[#This Row],[Column2]]=0," ",_xlfn.RANK.EQ(Table293375489831888945361417639[[#This Row],[Column2]],$AP$45:$AP$59))</f>
        <v xml:space="preserve"> </v>
      </c>
      <c r="AP48" s="29">
        <f ca="1">IF(Table293375489831888945361417639[[#This Row],[Column3]]=" ", 0,RAND())</f>
        <v>0</v>
      </c>
      <c r="AQ48" s="29" t="str">
        <f ca="1">P79</f>
        <v xml:space="preserve"> </v>
      </c>
      <c r="CB48" s="35">
        <f t="shared" ca="1" si="38"/>
        <v>4</v>
      </c>
      <c r="CC48" s="36">
        <f ca="1">IF(BM7&gt;0,0,RAND())</f>
        <v>0.5741068881696848</v>
      </c>
      <c r="CD48" s="29" t="s">
        <v>29</v>
      </c>
    </row>
    <row r="49" spans="1:83" x14ac:dyDescent="0.3">
      <c r="A49" s="137"/>
      <c r="B49" s="33" t="s">
        <v>4</v>
      </c>
      <c r="C49" s="33"/>
      <c r="D49" s="33"/>
      <c r="E49" s="33"/>
      <c r="F49" s="33"/>
      <c r="G49" s="33"/>
      <c r="H49" s="33"/>
      <c r="I49" s="33"/>
      <c r="J49" s="33"/>
      <c r="K49" s="33"/>
      <c r="L49" s="33"/>
      <c r="M49" s="33"/>
      <c r="N49" s="33"/>
      <c r="O49" s="33" t="str">
        <f ca="1">IF(OR(O11="rogue",O11="druid",O11="wizard"),"x"," ")</f>
        <v>x</v>
      </c>
      <c r="P49" s="72">
        <f t="shared" ca="1" si="37"/>
        <v>7</v>
      </c>
      <c r="T49" s="49"/>
      <c r="U49" s="49"/>
      <c r="AJ49" s="58">
        <f ca="1">IF(Table200335449791848905314378600[[#This Row],[Column2]]=0," ",_xlfn.RANK.EQ(AK49,$AK$44:$AK$53))</f>
        <v>7</v>
      </c>
      <c r="AK49" s="29">
        <f ca="1">IF(Table200335449791848905314378600[[#This Row],[Column3]]=" ", 0,RAND())</f>
        <v>0.1772266197941551</v>
      </c>
      <c r="AL49" s="29" t="str">
        <f t="shared" ca="1" si="36"/>
        <v>Feather Fall</v>
      </c>
      <c r="AO49" s="29" t="str">
        <f ca="1">IF(Table293375489831888945361417639[[#This Row],[Column2]]=0," ",_xlfn.RANK.EQ(Table293375489831888945361417639[[#This Row],[Column2]],$AP$45:$AP$59))</f>
        <v xml:space="preserve"> </v>
      </c>
      <c r="AP49" s="29">
        <f ca="1">IF(Table293375489831888945361417639[[#This Row],[Column3]]=" ", 0,RAND())</f>
        <v>0</v>
      </c>
      <c r="AQ49" s="29" t="str">
        <f ca="1">P80</f>
        <v xml:space="preserve"> </v>
      </c>
      <c r="CB49" s="35">
        <f t="shared" ca="1" si="38"/>
        <v>3</v>
      </c>
      <c r="CC49" s="36">
        <f ca="1">IF(BM9&gt;0,0,RAND())</f>
        <v>0.62353252165086315</v>
      </c>
      <c r="CD49" s="29" t="s">
        <v>14</v>
      </c>
    </row>
    <row r="50" spans="1:83" x14ac:dyDescent="0.3">
      <c r="A50" s="137"/>
      <c r="B50" s="33" t="s">
        <v>39</v>
      </c>
      <c r="C50" s="33"/>
      <c r="D50" s="33"/>
      <c r="E50" s="33"/>
      <c r="F50" s="33"/>
      <c r="G50" s="33"/>
      <c r="H50" s="33"/>
      <c r="I50" s="33"/>
      <c r="J50" s="33"/>
      <c r="K50" s="33"/>
      <c r="L50" s="33"/>
      <c r="M50" s="33"/>
      <c r="N50" s="33"/>
      <c r="O50" s="33" t="str">
        <f ca="1">IF(OR(O11="cleric",O11="druid",O11="paladin",O11="warlock",O11="wizard"),"x",IF(AND(O11="rogue",O12&gt;=15),"x"," "))</f>
        <v>x</v>
      </c>
      <c r="P50" s="72">
        <f t="shared" ca="1" si="37"/>
        <v>7</v>
      </c>
      <c r="T50" s="49"/>
      <c r="U50" s="49"/>
      <c r="AJ50" s="58">
        <f ca="1">IF(Table200335449791848905314378600[[#This Row],[Column2]]=0," ",_xlfn.RANK.EQ(AK50,$AK$44:$AK$53))</f>
        <v>4</v>
      </c>
      <c r="AK50" s="29">
        <f ca="1">IF(Table200335449791848905314378600[[#This Row],[Column3]]=" ", 0,RAND())</f>
        <v>0.44737180943691812</v>
      </c>
      <c r="AL50" s="29" t="str">
        <f t="shared" ca="1" si="36"/>
        <v>Silent Image</v>
      </c>
      <c r="AO50" s="29" t="str">
        <f ca="1">IF(Table293375489831888945361417639[[#This Row],[Column2]]=0," ",_xlfn.RANK.EQ(Table293375489831888945361417639[[#This Row],[Column2]],$AP$45:$AP$59))</f>
        <v xml:space="preserve"> </v>
      </c>
      <c r="AP50" s="29">
        <f ca="1">IF(Table293375489831888945361417639[[#This Row],[Column3]]=" ", 0,RAND())</f>
        <v>0</v>
      </c>
      <c r="AQ50" s="29" t="str">
        <f ca="1">Q76</f>
        <v xml:space="preserve"> </v>
      </c>
      <c r="CB50" s="35">
        <f t="shared" ca="1" si="38"/>
        <v>5</v>
      </c>
      <c r="CC50" s="36">
        <f ca="1">IF(BM11&gt;0,0,RAND())</f>
        <v>0.36825575244176023</v>
      </c>
      <c r="CD50" s="29" t="s">
        <v>16</v>
      </c>
    </row>
    <row r="51" spans="1:83" ht="19.5" thickBot="1" x14ac:dyDescent="0.35">
      <c r="A51" s="137"/>
      <c r="B51" s="38" t="s">
        <v>6</v>
      </c>
      <c r="C51" s="38"/>
      <c r="D51" s="38"/>
      <c r="E51" s="38"/>
      <c r="F51" s="38"/>
      <c r="G51" s="38"/>
      <c r="H51" s="38"/>
      <c r="I51" s="38"/>
      <c r="J51" s="38"/>
      <c r="K51" s="38"/>
      <c r="L51" s="38"/>
      <c r="M51" s="38"/>
      <c r="N51" s="38"/>
      <c r="O51" s="38" t="str">
        <f ca="1">IF(OR($O$11="bard",O11="cleric",O11="paladin",O11="sorcerer",O11="warlock"),"x"," ")</f>
        <v xml:space="preserve"> </v>
      </c>
      <c r="P51" s="73">
        <f t="shared" ca="1" si="37"/>
        <v>4</v>
      </c>
      <c r="AJ51" s="58">
        <f ca="1">IF(Table200335449791848905314378600[[#This Row],[Column2]]=0," ",_xlfn.RANK.EQ(AK51,$AK$44:$AK$53))</f>
        <v>8</v>
      </c>
      <c r="AK51" s="29">
        <f ca="1">IF(Table200335449791848905314378600[[#This Row],[Column3]]=" ", 0,RAND())</f>
        <v>0.14011580683393954</v>
      </c>
      <c r="AL51" s="29" t="str">
        <f t="shared" ca="1" si="36"/>
        <v>Fog Cloud</v>
      </c>
      <c r="AO51" s="29">
        <f ca="1">IF(Table293375489831888945361417639[[#This Row],[Column2]]=0," ",_xlfn.RANK.EQ(Table293375489831888945361417639[[#This Row],[Column2]],$AP$45:$AP$59))</f>
        <v>3</v>
      </c>
      <c r="AP51" s="29">
        <f ca="1">IF(Table293375489831888945361417639[[#This Row],[Column3]]=" ", 0,RAND())</f>
        <v>0.48216573194293366</v>
      </c>
      <c r="AQ51" s="29" t="str">
        <f ca="1">Q77</f>
        <v>Dagger</v>
      </c>
      <c r="CB51" s="35">
        <f t="shared" ca="1" si="38"/>
        <v>8</v>
      </c>
      <c r="CC51" s="36">
        <f ca="1">IF(BM12&gt;0,0,RAND())</f>
        <v>0</v>
      </c>
      <c r="CD51" s="29" t="s">
        <v>17</v>
      </c>
      <c r="CE51" s="31"/>
    </row>
    <row r="52" spans="1:83" ht="19.5" thickBot="1" x14ac:dyDescent="0.35">
      <c r="A52" s="138"/>
      <c r="B52" s="99"/>
      <c r="C52" s="99"/>
      <c r="D52" s="99"/>
      <c r="E52" s="99"/>
      <c r="F52" s="99"/>
      <c r="G52" s="99"/>
      <c r="H52" s="99"/>
      <c r="I52" s="99"/>
      <c r="J52" s="99"/>
      <c r="K52" s="99"/>
      <c r="L52" s="99"/>
      <c r="M52" s="99"/>
      <c r="N52" s="99"/>
      <c r="O52" s="99"/>
      <c r="P52" s="99"/>
      <c r="AJ52" s="58">
        <f ca="1">IF(Table200335449791848905314378600[[#This Row],[Column2]]=0," ",_xlfn.RANK.EQ(AK52,$AK$44:$AK$53))</f>
        <v>9</v>
      </c>
      <c r="AK52" s="29">
        <f ca="1">IF(Table200335449791848905314378600[[#This Row],[Column3]]=" ", 0,RAND())</f>
        <v>7.2785400271472511E-2</v>
      </c>
      <c r="AL52" s="29" t="str">
        <f t="shared" ca="1" si="36"/>
        <v>Alarm</v>
      </c>
      <c r="AO52" s="29">
        <f ca="1">IF(Table293375489831888945361417639[[#This Row],[Column2]]=0," ",_xlfn.RANK.EQ(Table293375489831888945361417639[[#This Row],[Column2]],$AP$45:$AP$59))</f>
        <v>4</v>
      </c>
      <c r="AP52" s="29">
        <f ca="1">IF(Table293375489831888945361417639[[#This Row],[Column3]]=" ", 0,RAND())</f>
        <v>0.41691021547590568</v>
      </c>
      <c r="AQ52" s="29" t="str">
        <f ca="1">Q78</f>
        <v>Dart</v>
      </c>
      <c r="CB52" s="35">
        <f t="shared" ca="1" si="38"/>
        <v>7</v>
      </c>
      <c r="CC52" s="36">
        <f ca="1">IF(BM13&gt;0,0,RAND())</f>
        <v>6.9794749502719577E-2</v>
      </c>
      <c r="CD52" s="29" t="s">
        <v>18</v>
      </c>
    </row>
    <row r="53" spans="1:83" ht="30.75" thickBot="1" x14ac:dyDescent="0.45">
      <c r="A53" s="137"/>
      <c r="B53" s="122" t="s">
        <v>11</v>
      </c>
      <c r="C53" s="33"/>
      <c r="D53" s="33"/>
      <c r="E53" s="33"/>
      <c r="F53" s="33"/>
      <c r="G53" s="33"/>
      <c r="H53" s="33"/>
      <c r="I53" s="33"/>
      <c r="J53" s="33"/>
      <c r="K53" s="33"/>
      <c r="L53" s="33"/>
      <c r="M53" s="33"/>
      <c r="N53" s="33"/>
      <c r="O53" s="53" t="s">
        <v>30</v>
      </c>
      <c r="P53" s="119" t="s">
        <v>529</v>
      </c>
      <c r="AJ53" s="58">
        <f ca="1">IF(Table200335449791848905314378600[[#This Row],[Column2]]=0," ",_xlfn.RANK.EQ(AK53,$AK$44:$AK$53))</f>
        <v>6</v>
      </c>
      <c r="AK53" s="29">
        <f ca="1">IF(Table200335449791848905314378600[[#This Row],[Column3]]=" ", 0,RAND())</f>
        <v>0.26655665253722816</v>
      </c>
      <c r="AL53" s="29" t="str">
        <f t="shared" ca="1" si="36"/>
        <v>Disguise Self</v>
      </c>
      <c r="AO53" s="29">
        <f ca="1">IF(Table293375489831888945361417639[[#This Row],[Column2]]=0," ",_xlfn.RANK.EQ(Table293375489831888945361417639[[#This Row],[Column2]],$AP$45:$AP$59))</f>
        <v>2</v>
      </c>
      <c r="AP53" s="29">
        <f ca="1">IF(Table293375489831888945361417639[[#This Row],[Column3]]=" ", 0,RAND())</f>
        <v>0.62814239568164709</v>
      </c>
      <c r="AQ53" s="29" t="str">
        <f ca="1">Q79</f>
        <v>Light Crossbow</v>
      </c>
      <c r="CB53" s="35">
        <f t="shared" ca="1" si="38"/>
        <v>6</v>
      </c>
      <c r="CC53" s="36">
        <f ca="1">IF(BM17&gt;0,0,RAND())</f>
        <v>0.34829467314150997</v>
      </c>
      <c r="CD53" s="29" t="s">
        <v>22</v>
      </c>
    </row>
    <row r="54" spans="1:83" ht="19.5" thickTop="1" x14ac:dyDescent="0.3">
      <c r="A54" s="137"/>
      <c r="B54" s="33" t="s">
        <v>12</v>
      </c>
      <c r="C54" s="59"/>
      <c r="D54" s="33"/>
      <c r="E54" s="33"/>
      <c r="F54" s="33"/>
      <c r="G54" s="33"/>
      <c r="H54" s="33"/>
      <c r="I54" s="33"/>
      <c r="J54" s="33"/>
      <c r="K54" s="33"/>
      <c r="L54" s="33"/>
      <c r="M54" s="33"/>
      <c r="N54" s="33"/>
      <c r="O54" s="33" t="str">
        <f t="shared" ref="O54:O71" ca="1" si="39">IF(BU6&gt;0,"x"," ")</f>
        <v>x</v>
      </c>
      <c r="P54" s="120">
        <f ca="1">SUM(BU6,P39)</f>
        <v>4</v>
      </c>
      <c r="AO54" s="29" t="str">
        <f ca="1">IF(Table293375489831888945361417639[[#This Row],[Column2]]=0," ",_xlfn.RANK.EQ(Table293375489831888945361417639[[#This Row],[Column2]],$AP$45:$AP$59))</f>
        <v xml:space="preserve"> </v>
      </c>
      <c r="AP54" s="29">
        <f ca="1">IF(Table293375489831888945361417639[[#This Row],[Column3]]=" ", 0,RAND())</f>
        <v>0</v>
      </c>
      <c r="AQ54" s="29" t="str">
        <f ca="1">Q80</f>
        <v xml:space="preserve"> </v>
      </c>
      <c r="CB54" s="35">
        <f t="shared" ca="1" si="38"/>
        <v>1</v>
      </c>
      <c r="CC54" s="36">
        <f ca="1">IF(BM23&gt;0,0,RAND())</f>
        <v>0.92453990970128375</v>
      </c>
      <c r="CD54" s="29" t="s">
        <v>28</v>
      </c>
    </row>
    <row r="55" spans="1:83" x14ac:dyDescent="0.3">
      <c r="A55" s="137"/>
      <c r="B55" s="33" t="s">
        <v>29</v>
      </c>
      <c r="C55" s="59"/>
      <c r="D55" s="33"/>
      <c r="E55" s="33"/>
      <c r="F55" s="33"/>
      <c r="G55" s="33"/>
      <c r="H55" s="33"/>
      <c r="I55" s="33"/>
      <c r="J55" s="33"/>
      <c r="K55" s="33"/>
      <c r="L55" s="33"/>
      <c r="M55" s="33"/>
      <c r="N55" s="33"/>
      <c r="O55" s="33" t="str">
        <f t="shared" ca="1" si="39"/>
        <v xml:space="preserve"> </v>
      </c>
      <c r="P55" s="120">
        <f ca="1">SUM(BU7,P42)</f>
        <v>3</v>
      </c>
      <c r="AJ55" s="31" t="s">
        <v>1167</v>
      </c>
      <c r="AO55" s="29">
        <f ca="1">IF(Table293375489831888945361417639[[#This Row],[Column2]]=0," ",_xlfn.RANK.EQ(Table293375489831888945361417639[[#This Row],[Column2]],$AP$45:$AP$59))</f>
        <v>5</v>
      </c>
      <c r="AP55" s="29">
        <f ca="1">IF(Table293375489831888945361417639[[#This Row],[Column3]]=" ", 0,RAND())</f>
        <v>0.14784571820075509</v>
      </c>
      <c r="AQ55" s="29" t="str">
        <f ca="1">R76</f>
        <v>Quarterstaff</v>
      </c>
    </row>
    <row r="56" spans="1:83" x14ac:dyDescent="0.3">
      <c r="A56" s="137"/>
      <c r="B56" s="33" t="s">
        <v>13</v>
      </c>
      <c r="C56" s="33"/>
      <c r="D56" s="33"/>
      <c r="E56" s="33"/>
      <c r="F56" s="33"/>
      <c r="G56" s="33"/>
      <c r="H56" s="33"/>
      <c r="I56" s="33"/>
      <c r="J56" s="33"/>
      <c r="K56" s="33"/>
      <c r="L56" s="33"/>
      <c r="M56" s="33"/>
      <c r="N56" s="33"/>
      <c r="O56" s="33" t="str">
        <f t="shared" ca="1" si="39"/>
        <v xml:space="preserve"> </v>
      </c>
      <c r="P56" s="120">
        <f ca="1">SUM(BU8,P41)</f>
        <v>3</v>
      </c>
      <c r="AJ56" s="58">
        <f ca="1">IF(Table201336450792849906315379601[[#This Row],[Column2]]=0," ",_xlfn.RANK.EQ(AK56,$AK$56:$AK$65))</f>
        <v>4</v>
      </c>
      <c r="AK56" s="29">
        <f ca="1">IF(AL56=" ", 0,RAND())</f>
        <v>0.41743632499544003</v>
      </c>
      <c r="AL56" s="29" t="str">
        <f t="shared" ref="AL56:AL65" ca="1" si="40">R315</f>
        <v>Invisibility</v>
      </c>
      <c r="AO56" s="29" t="str">
        <f ca="1">IF(Table293375489831888945361417639[[#This Row],[Column2]]=0," ",_xlfn.RANK.EQ(Table293375489831888945361417639[[#This Row],[Column2]],$AP$45:$AP$59))</f>
        <v xml:space="preserve"> </v>
      </c>
      <c r="AP56" s="29">
        <f ca="1">IF(Table293375489831888945361417639[[#This Row],[Column3]]=" ", 0,RAND())</f>
        <v>0</v>
      </c>
      <c r="AQ56" s="29" t="str">
        <f ca="1">R77</f>
        <v xml:space="preserve"> </v>
      </c>
      <c r="CB56" s="31" t="s">
        <v>732</v>
      </c>
      <c r="CE56" s="31"/>
    </row>
    <row r="57" spans="1:83" x14ac:dyDescent="0.3">
      <c r="A57" s="137"/>
      <c r="B57" s="33" t="s">
        <v>14</v>
      </c>
      <c r="C57" s="33"/>
      <c r="D57" s="33"/>
      <c r="E57" s="33"/>
      <c r="F57" s="33"/>
      <c r="G57" s="33"/>
      <c r="H57" s="33"/>
      <c r="I57" s="33"/>
      <c r="J57" s="33"/>
      <c r="K57" s="33"/>
      <c r="L57" s="33"/>
      <c r="M57" s="33"/>
      <c r="N57" s="33"/>
      <c r="O57" s="33" t="str">
        <f t="shared" ca="1" si="39"/>
        <v xml:space="preserve"> </v>
      </c>
      <c r="P57" s="120">
        <f ca="1">SUM(BU9,P38)</f>
        <v>2</v>
      </c>
      <c r="AJ57" s="58">
        <f ca="1">IF(Table201336450792849906315379601[[#This Row],[Column2]]=0," ",_xlfn.RANK.EQ(AK57,$AK$56:$AK$65))</f>
        <v>1</v>
      </c>
      <c r="AK57" s="29">
        <f t="shared" ref="AK57:AK65" ca="1" si="41">IF(AL57=" ", 0,RAND())</f>
        <v>0.86376033718850187</v>
      </c>
      <c r="AL57" s="29" t="str">
        <f t="shared" ca="1" si="40"/>
        <v>Alter Self</v>
      </c>
      <c r="AO57" s="29" t="str">
        <f ca="1">IF(Table293375489831888945361417639[[#This Row],[Column2]]=0," ",_xlfn.RANK.EQ(Table293375489831888945361417639[[#This Row],[Column2]],$AP$45:$AP$59))</f>
        <v xml:space="preserve"> </v>
      </c>
      <c r="AP57" s="29">
        <f ca="1">IF(Table293375489831888945361417639[[#This Row],[Column3]]=" ", 0,RAND())</f>
        <v>0</v>
      </c>
      <c r="AQ57" s="29" t="str">
        <f ca="1">R78</f>
        <v xml:space="preserve"> </v>
      </c>
      <c r="CB57" s="35">
        <f t="shared" ref="CB57:CB62" ca="1" si="42">_xlfn.RANK.EQ(CC57,$CC$57:$CC$62)</f>
        <v>2</v>
      </c>
      <c r="CC57" s="36">
        <f ca="1">IF(BM6&gt;0,0,RAND())</f>
        <v>0.70916009645146239</v>
      </c>
      <c r="CD57" s="29" t="s">
        <v>12</v>
      </c>
    </row>
    <row r="58" spans="1:83" x14ac:dyDescent="0.3">
      <c r="A58" s="137"/>
      <c r="B58" s="33" t="s">
        <v>15</v>
      </c>
      <c r="C58" s="33"/>
      <c r="D58" s="33"/>
      <c r="E58" s="33"/>
      <c r="F58" s="33"/>
      <c r="G58" s="33"/>
      <c r="H58" s="33"/>
      <c r="I58" s="33"/>
      <c r="J58" s="33"/>
      <c r="K58" s="33"/>
      <c r="L58" s="33"/>
      <c r="M58" s="33"/>
      <c r="N58" s="33"/>
      <c r="O58" s="33" t="str">
        <f t="shared" ca="1" si="39"/>
        <v xml:space="preserve"> </v>
      </c>
      <c r="P58" s="120">
        <f ca="1">SUM(BU10,P43)</f>
        <v>4</v>
      </c>
      <c r="AJ58" s="58">
        <f ca="1">IF(Table201336450792849906315379601[[#This Row],[Column2]]=0," ",_xlfn.RANK.EQ(AK58,$AK$56:$AK$65))</f>
        <v>5</v>
      </c>
      <c r="AK58" s="29">
        <f t="shared" ca="1" si="41"/>
        <v>0.27369689334608105</v>
      </c>
      <c r="AL58" s="29" t="str">
        <f t="shared" ca="1" si="40"/>
        <v>Mirror Image</v>
      </c>
      <c r="AO58" s="29">
        <f ca="1">IF(Table293375489831888945361417639[[#This Row],[Column2]]=0," ",_xlfn.RANK.EQ(Table293375489831888945361417639[[#This Row],[Column2]],$AP$45:$AP$59))</f>
        <v>1</v>
      </c>
      <c r="AP58" s="29">
        <f ca="1">IF(Table293375489831888945361417639[[#This Row],[Column3]]=" ", 0,RAND())</f>
        <v>0.71883853446814605</v>
      </c>
      <c r="AQ58" s="29" t="str">
        <f ca="1">R79</f>
        <v>Sling</v>
      </c>
      <c r="CB58" s="35">
        <f t="shared" ca="1" si="42"/>
        <v>1</v>
      </c>
      <c r="CC58" s="36">
        <f ca="1">IF(BM9&gt;0,0,RAND())</f>
        <v>0.9310096183654889</v>
      </c>
      <c r="CD58" s="29" t="s">
        <v>14</v>
      </c>
    </row>
    <row r="59" spans="1:83" x14ac:dyDescent="0.3">
      <c r="A59" s="137"/>
      <c r="B59" s="33" t="s">
        <v>16</v>
      </c>
      <c r="C59" s="33"/>
      <c r="D59" s="33"/>
      <c r="E59" s="33"/>
      <c r="F59" s="33"/>
      <c r="G59" s="33"/>
      <c r="H59" s="33"/>
      <c r="I59" s="33"/>
      <c r="J59" s="33"/>
      <c r="K59" s="33"/>
      <c r="L59" s="33"/>
      <c r="M59" s="33"/>
      <c r="N59" s="33"/>
      <c r="O59" s="33" t="str">
        <f t="shared" ca="1" si="39"/>
        <v xml:space="preserve"> </v>
      </c>
      <c r="P59" s="120">
        <f ca="1">SUM(P41,BU11)</f>
        <v>3</v>
      </c>
      <c r="AJ59" s="58">
        <f ca="1">IF(Table201336450792849906315379601[[#This Row],[Column2]]=0," ",_xlfn.RANK.EQ(AK59,$AK$56:$AK$65))</f>
        <v>3</v>
      </c>
      <c r="AK59" s="29">
        <f t="shared" ca="1" si="41"/>
        <v>0.4925973043678058</v>
      </c>
      <c r="AL59" s="29" t="str">
        <f t="shared" ca="1" si="40"/>
        <v>Magic Mouth</v>
      </c>
      <c r="AO59" s="29" t="str">
        <f ca="1">IF(Table293375489831888945361417639[[#This Row],[Column2]]=0," ",_xlfn.RANK.EQ(Table293375489831888945361417639[[#This Row],[Column2]],$AP$45:$AP$59))</f>
        <v xml:space="preserve"> </v>
      </c>
      <c r="AP59" s="29">
        <f ca="1">IF(Table293375489831888945361417639[[#This Row],[Column3]]=" ", 0,RAND())</f>
        <v>0</v>
      </c>
      <c r="AQ59" s="29" t="str">
        <f ca="1">R80</f>
        <v xml:space="preserve"> </v>
      </c>
      <c r="CB59" s="35">
        <f t="shared" ca="1" si="42"/>
        <v>4</v>
      </c>
      <c r="CC59" s="36">
        <f ca="1">IF(BM11&gt;0,0,RAND())</f>
        <v>9.5305258638789359E-2</v>
      </c>
      <c r="CD59" s="29" t="s">
        <v>16</v>
      </c>
    </row>
    <row r="60" spans="1:83" x14ac:dyDescent="0.3">
      <c r="A60" s="137"/>
      <c r="B60" s="33" t="s">
        <v>17</v>
      </c>
      <c r="C60" s="33"/>
      <c r="D60" s="33"/>
      <c r="E60" s="33"/>
      <c r="F60" s="33"/>
      <c r="G60" s="33"/>
      <c r="H60" s="33"/>
      <c r="I60" s="33"/>
      <c r="J60" s="33"/>
      <c r="K60" s="33"/>
      <c r="L60" s="33"/>
      <c r="M60" s="33"/>
      <c r="N60" s="33"/>
      <c r="O60" s="33" t="str">
        <f t="shared" ca="1" si="39"/>
        <v>x</v>
      </c>
      <c r="P60" s="120">
        <f ca="1">SUM(BU12,P42)</f>
        <v>7</v>
      </c>
      <c r="AJ60" s="58">
        <f ca="1">IF(Table201336450792849906315379601[[#This Row],[Column2]]=0," ",_xlfn.RANK.EQ(AK60,$AK$56:$AK$65))</f>
        <v>2</v>
      </c>
      <c r="AK60" s="29">
        <f t="shared" ca="1" si="41"/>
        <v>0.78328514275548</v>
      </c>
      <c r="AL60" s="29" t="str">
        <f t="shared" ca="1" si="40"/>
        <v>Darkvision</v>
      </c>
      <c r="CB60" s="35">
        <f t="shared" ca="1" si="42"/>
        <v>5</v>
      </c>
      <c r="CC60" s="36">
        <f ca="1">IF(BM12&gt;0,0,RAND())</f>
        <v>0</v>
      </c>
      <c r="CD60" s="29" t="s">
        <v>17</v>
      </c>
    </row>
    <row r="61" spans="1:83" x14ac:dyDescent="0.3">
      <c r="A61" s="137"/>
      <c r="B61" s="33" t="s">
        <v>18</v>
      </c>
      <c r="C61" s="33"/>
      <c r="D61" s="33"/>
      <c r="E61" s="33"/>
      <c r="F61" s="33"/>
      <c r="G61" s="33"/>
      <c r="H61" s="33"/>
      <c r="I61" s="33"/>
      <c r="J61" s="33"/>
      <c r="K61" s="33"/>
      <c r="L61" s="33"/>
      <c r="M61" s="33"/>
      <c r="N61" s="33"/>
      <c r="O61" s="33" t="str">
        <f t="shared" ca="1" si="39"/>
        <v xml:space="preserve"> </v>
      </c>
      <c r="P61" s="120">
        <f ca="1">SUM(BU13,P43)</f>
        <v>4</v>
      </c>
      <c r="AJ61" s="58" t="str">
        <f ca="1">IF(Table201336450792849906315379601[[#This Row],[Column2]]=0," ",_xlfn.RANK.EQ(AK61,$AK$56:$AK$65))</f>
        <v xml:space="preserve"> </v>
      </c>
      <c r="AK61" s="29">
        <f t="shared" ca="1" si="41"/>
        <v>0</v>
      </c>
      <c r="AL61" s="29" t="str">
        <f t="shared" ca="1" si="40"/>
        <v xml:space="preserve"> </v>
      </c>
      <c r="CB61" s="35">
        <f t="shared" ca="1" si="42"/>
        <v>5</v>
      </c>
      <c r="CC61" s="36">
        <f ca="1">IF(BM20&gt;0,0,RAND())</f>
        <v>0</v>
      </c>
      <c r="CD61" s="29" t="s">
        <v>25</v>
      </c>
    </row>
    <row r="62" spans="1:83" x14ac:dyDescent="0.3">
      <c r="A62" s="137"/>
      <c r="B62" s="33" t="s">
        <v>19</v>
      </c>
      <c r="C62" s="33"/>
      <c r="D62" s="33"/>
      <c r="E62" s="33"/>
      <c r="F62" s="33"/>
      <c r="G62" s="33"/>
      <c r="H62" s="33"/>
      <c r="I62" s="33"/>
      <c r="J62" s="33"/>
      <c r="K62" s="33"/>
      <c r="L62" s="33"/>
      <c r="M62" s="33"/>
      <c r="N62" s="33"/>
      <c r="O62" s="33" t="str">
        <f t="shared" ca="1" si="39"/>
        <v xml:space="preserve"> </v>
      </c>
      <c r="P62" s="120">
        <f ca="1">SUM(BU14,P41)</f>
        <v>3</v>
      </c>
      <c r="AJ62" s="58" t="str">
        <f ca="1">IF(Table201336450792849906315379601[[#This Row],[Column2]]=0," ",_xlfn.RANK.EQ(AK62,$AK$56:$AK$65))</f>
        <v xml:space="preserve"> </v>
      </c>
      <c r="AK62" s="29">
        <f t="shared" ca="1" si="41"/>
        <v>0</v>
      </c>
      <c r="AL62" s="29" t="str">
        <f t="shared" ca="1" si="40"/>
        <v xml:space="preserve"> </v>
      </c>
      <c r="CB62" s="35">
        <f t="shared" ca="1" si="42"/>
        <v>3</v>
      </c>
      <c r="CC62" s="36">
        <f ca="1">IF(BM22&gt;0,0,RAND())</f>
        <v>0.20092646941558423</v>
      </c>
      <c r="CD62" s="29" t="s">
        <v>27</v>
      </c>
      <c r="CE62" s="31"/>
    </row>
    <row r="63" spans="1:83" x14ac:dyDescent="0.3">
      <c r="A63" s="137"/>
      <c r="B63" s="33" t="s">
        <v>20</v>
      </c>
      <c r="C63" s="33"/>
      <c r="D63" s="33"/>
      <c r="E63" s="33"/>
      <c r="F63" s="33"/>
      <c r="G63" s="33"/>
      <c r="H63" s="33"/>
      <c r="I63" s="33"/>
      <c r="J63" s="33"/>
      <c r="K63" s="33"/>
      <c r="L63" s="33"/>
      <c r="M63" s="33"/>
      <c r="N63" s="33"/>
      <c r="O63" s="33" t="str">
        <f t="shared" ca="1" si="39"/>
        <v xml:space="preserve"> </v>
      </c>
      <c r="P63" s="120">
        <f ca="1">SUM(BU15,P42)</f>
        <v>3</v>
      </c>
      <c r="AJ63" s="58" t="str">
        <f ca="1">IF(Table201336450792849906315379601[[#This Row],[Column2]]=0," ",_xlfn.RANK.EQ(AK63,$AK$56:$AK$65))</f>
        <v xml:space="preserve"> </v>
      </c>
      <c r="AK63" s="29">
        <f t="shared" ca="1" si="41"/>
        <v>0</v>
      </c>
      <c r="AL63" s="29" t="str">
        <f t="shared" ca="1" si="40"/>
        <v xml:space="preserve"> </v>
      </c>
    </row>
    <row r="64" spans="1:83" x14ac:dyDescent="0.3">
      <c r="A64" s="137"/>
      <c r="B64" s="33" t="s">
        <v>21</v>
      </c>
      <c r="C64" s="33"/>
      <c r="D64" s="33"/>
      <c r="E64" s="33"/>
      <c r="F64" s="33"/>
      <c r="G64" s="33"/>
      <c r="H64" s="33"/>
      <c r="I64" s="33"/>
      <c r="J64" s="33"/>
      <c r="K64" s="33"/>
      <c r="L64" s="33"/>
      <c r="M64" s="33"/>
      <c r="N64" s="33"/>
      <c r="O64" s="33" t="str">
        <f t="shared" ca="1" si="39"/>
        <v xml:space="preserve"> </v>
      </c>
      <c r="P64" s="120">
        <f ca="1">SUM(BU16,P41)</f>
        <v>3</v>
      </c>
      <c r="AJ64" s="58" t="str">
        <f ca="1">IF(Table201336450792849906315379601[[#This Row],[Column2]]=0," ",_xlfn.RANK.EQ(AK64,$AK$56:$AK$65))</f>
        <v xml:space="preserve"> </v>
      </c>
      <c r="AK64" s="29">
        <f t="shared" ca="1" si="41"/>
        <v>0</v>
      </c>
      <c r="AL64" s="29" t="str">
        <f t="shared" ca="1" si="40"/>
        <v xml:space="preserve"> </v>
      </c>
      <c r="CB64" s="31" t="s">
        <v>733</v>
      </c>
    </row>
    <row r="65" spans="1:82" x14ac:dyDescent="0.3">
      <c r="A65" s="137"/>
      <c r="B65" s="33" t="s">
        <v>22</v>
      </c>
      <c r="C65" s="33"/>
      <c r="D65" s="33"/>
      <c r="E65" s="33"/>
      <c r="F65" s="33"/>
      <c r="G65" s="33"/>
      <c r="H65" s="33"/>
      <c r="I65" s="33"/>
      <c r="J65" s="33"/>
      <c r="K65" s="33"/>
      <c r="L65" s="33"/>
      <c r="M65" s="33"/>
      <c r="N65" s="33"/>
      <c r="O65" s="33" t="str">
        <f t="shared" ca="1" si="39"/>
        <v xml:space="preserve"> </v>
      </c>
      <c r="P65" s="120">
        <f ca="1">SUM(BU17,P42)</f>
        <v>3</v>
      </c>
      <c r="AJ65" s="58" t="str">
        <f ca="1">IF(Table201336450792849906315379601[[#This Row],[Column2]]=0," ",_xlfn.RANK.EQ(AK65,$AK$56:$AK$65))</f>
        <v xml:space="preserve"> </v>
      </c>
      <c r="AK65" s="29">
        <f t="shared" ca="1" si="41"/>
        <v>0</v>
      </c>
      <c r="AL65" s="29" t="str">
        <f t="shared" ca="1" si="40"/>
        <v xml:space="preserve"> </v>
      </c>
      <c r="CB65" s="35">
        <f t="shared" ref="CB65:CB70" ca="1" si="43">_xlfn.RANK.EQ(CC65,$CC$65:$CC$70)</f>
        <v>3</v>
      </c>
      <c r="CC65" s="36">
        <f ca="1">IF(BM9&gt;0,0,RAND())</f>
        <v>0.61943559179431829</v>
      </c>
      <c r="CD65" s="29" t="s">
        <v>14</v>
      </c>
    </row>
    <row r="66" spans="1:82" x14ac:dyDescent="0.3">
      <c r="A66" s="137"/>
      <c r="B66" s="33" t="s">
        <v>23</v>
      </c>
      <c r="C66" s="33"/>
      <c r="D66" s="33"/>
      <c r="E66" s="33"/>
      <c r="F66" s="33"/>
      <c r="G66" s="33"/>
      <c r="H66" s="33"/>
      <c r="I66" s="33"/>
      <c r="J66" s="33"/>
      <c r="K66" s="33"/>
      <c r="L66" s="33"/>
      <c r="M66" s="33"/>
      <c r="N66" s="33"/>
      <c r="O66" s="33" t="str">
        <f t="shared" ca="1" si="39"/>
        <v xml:space="preserve"> </v>
      </c>
      <c r="P66" s="120">
        <f ca="1">SUM(BU18,P43)</f>
        <v>4</v>
      </c>
      <c r="CB66" s="35">
        <f t="shared" ca="1" si="43"/>
        <v>5</v>
      </c>
      <c r="CC66" s="36">
        <f ca="1">IF(BM12&gt;0,0,RAND())</f>
        <v>0</v>
      </c>
      <c r="CD66" s="29" t="s">
        <v>17</v>
      </c>
    </row>
    <row r="67" spans="1:82" x14ac:dyDescent="0.3">
      <c r="A67" s="137"/>
      <c r="B67" s="33" t="s">
        <v>24</v>
      </c>
      <c r="C67" s="33"/>
      <c r="D67" s="33"/>
      <c r="E67" s="33"/>
      <c r="F67" s="33"/>
      <c r="G67" s="33"/>
      <c r="H67" s="33"/>
      <c r="I67" s="33"/>
      <c r="J67" s="33"/>
      <c r="K67" s="33"/>
      <c r="L67" s="33"/>
      <c r="M67" s="33"/>
      <c r="N67" s="33"/>
      <c r="O67" s="33" t="str">
        <f t="shared" ca="1" si="39"/>
        <v xml:space="preserve"> </v>
      </c>
      <c r="P67" s="120">
        <f ca="1">SUM(BU19,P43)</f>
        <v>4</v>
      </c>
      <c r="AJ67" s="31" t="s">
        <v>1168</v>
      </c>
      <c r="CB67" s="35">
        <f t="shared" ca="1" si="43"/>
        <v>1</v>
      </c>
      <c r="CC67" s="36">
        <f ca="1">IF(BM13&gt;0,0,RAND())</f>
        <v>0.97824705392392142</v>
      </c>
      <c r="CD67" s="29" t="s">
        <v>18</v>
      </c>
    </row>
    <row r="68" spans="1:82" x14ac:dyDescent="0.3">
      <c r="A68" s="137"/>
      <c r="B68" s="33" t="s">
        <v>25</v>
      </c>
      <c r="C68" s="33"/>
      <c r="D68" s="33"/>
      <c r="E68" s="33"/>
      <c r="F68" s="33"/>
      <c r="G68" s="33"/>
      <c r="H68" s="33"/>
      <c r="I68" s="33"/>
      <c r="J68" s="33"/>
      <c r="K68" s="33"/>
      <c r="L68" s="33"/>
      <c r="M68" s="33"/>
      <c r="N68" s="33"/>
      <c r="O68" s="33" t="str">
        <f t="shared" ca="1" si="39"/>
        <v>x</v>
      </c>
      <c r="P68" s="120">
        <f ca="1">SUM(BU20,P41)</f>
        <v>7</v>
      </c>
      <c r="AJ68" s="58">
        <f ca="1">IF(Table202337451793850907320380602[[#This Row],[Column2]]=0," ",_xlfn.RANK.EQ(AK68,$AK$68:$AK$77))</f>
        <v>4</v>
      </c>
      <c r="AK68" s="60">
        <f t="shared" ref="AK68:AK77" ca="1" si="44">IF(AL68=" ", 0,RAND())</f>
        <v>0.67494272840824476</v>
      </c>
      <c r="AL68" s="29" t="str">
        <f t="shared" ref="AL68:AL77" ca="1" si="45">S315</f>
        <v>Clairvoyance</v>
      </c>
      <c r="CB68" s="35">
        <f t="shared" ca="1" si="43"/>
        <v>2</v>
      </c>
      <c r="CC68" s="36">
        <f ca="1">IF(BM15&gt;0,0,RAND())</f>
        <v>0.75551667183771032</v>
      </c>
      <c r="CD68" s="29" t="s">
        <v>20</v>
      </c>
    </row>
    <row r="69" spans="1:82" x14ac:dyDescent="0.3">
      <c r="A69" s="137"/>
      <c r="B69" s="33" t="s">
        <v>26</v>
      </c>
      <c r="C69" s="33"/>
      <c r="D69" s="33"/>
      <c r="E69" s="33"/>
      <c r="F69" s="33"/>
      <c r="G69" s="33"/>
      <c r="H69" s="33"/>
      <c r="I69" s="33"/>
      <c r="J69" s="33"/>
      <c r="K69" s="33"/>
      <c r="L69" s="33"/>
      <c r="M69" s="33"/>
      <c r="N69" s="33"/>
      <c r="O69" s="33" t="str">
        <f t="shared" ca="1" si="39"/>
        <v xml:space="preserve"> </v>
      </c>
      <c r="P69" s="120">
        <f ca="1">SUM(BU21,P39)</f>
        <v>2</v>
      </c>
      <c r="AJ69" s="58">
        <f ca="1">IF(Table202337451793850907320380602[[#This Row],[Column2]]=0," ",_xlfn.RANK.EQ(AK69,$AK$68:$AK$77))</f>
        <v>6</v>
      </c>
      <c r="AK69" s="60">
        <f t="shared" ca="1" si="44"/>
        <v>0.43799708391583436</v>
      </c>
      <c r="AL69" s="29" t="str">
        <f t="shared" ca="1" si="45"/>
        <v>Protection from Energy</v>
      </c>
      <c r="CB69" s="35">
        <f t="shared" ca="1" si="43"/>
        <v>4</v>
      </c>
      <c r="CC69" s="36">
        <f ca="1">IF(BM19&gt;0,0,RAND())</f>
        <v>0.57190969651287926</v>
      </c>
      <c r="CD69" s="29" t="s">
        <v>24</v>
      </c>
    </row>
    <row r="70" spans="1:82" x14ac:dyDescent="0.3">
      <c r="A70" s="137"/>
      <c r="B70" s="33" t="s">
        <v>27</v>
      </c>
      <c r="C70" s="33"/>
      <c r="D70" s="33"/>
      <c r="E70" s="33"/>
      <c r="F70" s="33"/>
      <c r="G70" s="33"/>
      <c r="H70" s="33"/>
      <c r="I70" s="33"/>
      <c r="J70" s="33"/>
      <c r="K70" s="33"/>
      <c r="L70" s="33"/>
      <c r="M70" s="33"/>
      <c r="N70" s="33"/>
      <c r="O70" s="33" t="str">
        <f t="shared" ca="1" si="39"/>
        <v xml:space="preserve"> </v>
      </c>
      <c r="P70" s="120">
        <f ca="1">SUM(BU22,P39)</f>
        <v>2</v>
      </c>
      <c r="AJ70" s="58">
        <f ca="1">IF(Table202337451793850907320380602[[#This Row],[Column2]]=0," ",_xlfn.RANK.EQ(AK70,$AK$68:$AK$77))</f>
        <v>9</v>
      </c>
      <c r="AK70" s="60">
        <f t="shared" ca="1" si="44"/>
        <v>0.25002429107024526</v>
      </c>
      <c r="AL70" s="29" t="str">
        <f t="shared" ca="1" si="45"/>
        <v>Magic Circle</v>
      </c>
      <c r="CB70" s="35">
        <f t="shared" ca="1" si="43"/>
        <v>5</v>
      </c>
      <c r="CC70" s="36">
        <f ca="1">IF(BM20&gt;0,0,RAND())</f>
        <v>0</v>
      </c>
      <c r="CD70" s="29" t="s">
        <v>25</v>
      </c>
    </row>
    <row r="71" spans="1:82" x14ac:dyDescent="0.3">
      <c r="A71" s="137"/>
      <c r="B71" s="33" t="s">
        <v>28</v>
      </c>
      <c r="C71" s="33"/>
      <c r="D71" s="33"/>
      <c r="E71" s="33"/>
      <c r="F71" s="33"/>
      <c r="G71" s="33"/>
      <c r="H71" s="33"/>
      <c r="I71" s="33"/>
      <c r="J71" s="33"/>
      <c r="K71" s="33"/>
      <c r="L71" s="33"/>
      <c r="M71" s="33"/>
      <c r="N71" s="33"/>
      <c r="O71" s="33" t="str">
        <f t="shared" ca="1" si="39"/>
        <v xml:space="preserve"> </v>
      </c>
      <c r="P71" s="120">
        <f ca="1">SUM(BU23,P42)</f>
        <v>3</v>
      </c>
      <c r="AJ71" s="58">
        <f ca="1">IF(Table202337451793850907320380602[[#This Row],[Column2]]=0," ",_xlfn.RANK.EQ(AK71,$AK$68:$AK$77))</f>
        <v>8</v>
      </c>
      <c r="AK71" s="60">
        <f t="shared" ca="1" si="44"/>
        <v>0.26966398261030178</v>
      </c>
      <c r="AL71" s="29" t="str">
        <f t="shared" ca="1" si="45"/>
        <v>Vampiric Touch</v>
      </c>
    </row>
    <row r="72" spans="1:82" ht="19.5" thickBot="1" x14ac:dyDescent="0.35">
      <c r="A72" s="137"/>
      <c r="B72" s="38" t="str">
        <f ca="1">IF(O11="non-classed","Profession"," ")</f>
        <v xml:space="preserve"> </v>
      </c>
      <c r="C72" s="38"/>
      <c r="D72" s="38"/>
      <c r="E72" s="38"/>
      <c r="F72" s="38"/>
      <c r="G72" s="38"/>
      <c r="H72" s="38"/>
      <c r="I72" s="38"/>
      <c r="J72" s="38"/>
      <c r="K72" s="38"/>
      <c r="L72" s="38"/>
      <c r="M72" s="38"/>
      <c r="N72" s="38"/>
      <c r="O72" s="38" t="str">
        <f ca="1">IF(O11="non-classed","x"," ")</f>
        <v xml:space="preserve"> </v>
      </c>
      <c r="P72" s="121" t="str">
        <f ca="1">IF(O11="non-classed",P8*2," ")</f>
        <v xml:space="preserve"> </v>
      </c>
      <c r="AJ72" s="58">
        <f ca="1">IF(Table202337451793850907320380602[[#This Row],[Column2]]=0," ",_xlfn.RANK.EQ(AK72,$AK$68:$AK$77))</f>
        <v>10</v>
      </c>
      <c r="AK72" s="60">
        <f t="shared" ca="1" si="44"/>
        <v>0.18921481231110437</v>
      </c>
      <c r="AL72" s="29" t="str">
        <f t="shared" ca="1" si="45"/>
        <v>Sending</v>
      </c>
      <c r="CB72" s="31" t="s">
        <v>734</v>
      </c>
    </row>
    <row r="73" spans="1:82" ht="19.5" thickBot="1" x14ac:dyDescent="0.35">
      <c r="AJ73" s="58">
        <f ca="1">IF(Table202337451793850907320380602[[#This Row],[Column2]]=0," ",_xlfn.RANK.EQ(AK73,$AK$68:$AK$77))</f>
        <v>5</v>
      </c>
      <c r="AK73" s="60">
        <f t="shared" ca="1" si="44"/>
        <v>0.47375592867059502</v>
      </c>
      <c r="AL73" s="29" t="str">
        <f t="shared" ca="1" si="45"/>
        <v>Lightning Bolt</v>
      </c>
      <c r="CB73" s="35">
        <f t="shared" ref="CB73:CB81" ca="1" si="46">_xlfn.RANK.EQ(CC73,$CC$73:$CC$81)</f>
        <v>6</v>
      </c>
      <c r="CC73" s="36">
        <f ca="1">IF(BM7&gt;0,0,RAND())</f>
        <v>0.47557861968776105</v>
      </c>
      <c r="CD73" s="29" t="s">
        <v>29</v>
      </c>
    </row>
    <row r="74" spans="1:82" ht="30.75" thickBot="1" x14ac:dyDescent="0.45">
      <c r="B74" s="106" t="s">
        <v>2716</v>
      </c>
      <c r="AJ74" s="58">
        <f ca="1">IF(Table202337451793850907320380602[[#This Row],[Column2]]=0," ",_xlfn.RANK.EQ(AK74,$AK$68:$AK$77))</f>
        <v>1</v>
      </c>
      <c r="AK74" s="60">
        <f t="shared" ca="1" si="44"/>
        <v>0.97738009421001915</v>
      </c>
      <c r="AL74" s="29" t="str">
        <f t="shared" ca="1" si="45"/>
        <v>Water Breathing</v>
      </c>
      <c r="CB74" s="35">
        <f t="shared" ca="1" si="46"/>
        <v>4</v>
      </c>
      <c r="CC74" s="36">
        <f ca="1">IF(BM9&gt;0,0,RAND())</f>
        <v>0.57372116511309967</v>
      </c>
      <c r="CD74" s="29" t="s">
        <v>14</v>
      </c>
    </row>
    <row r="75" spans="1:82" ht="19.5" thickBot="1" x14ac:dyDescent="0.35">
      <c r="B75" s="55" t="s">
        <v>52</v>
      </c>
      <c r="O75" s="53" t="s">
        <v>121</v>
      </c>
      <c r="P75" s="26" t="s">
        <v>46</v>
      </c>
      <c r="Q75" s="61"/>
      <c r="R75" s="28"/>
      <c r="AJ75" s="58">
        <f ca="1">IF(Table202337451793850907320380602[[#This Row],[Column2]]=0," ",_xlfn.RANK.EQ(AK75,$AK$68:$AK$77))</f>
        <v>2</v>
      </c>
      <c r="AK75" s="60">
        <f t="shared" ca="1" si="44"/>
        <v>0.91993243094618349</v>
      </c>
      <c r="AL75" s="29" t="str">
        <f t="shared" ca="1" si="45"/>
        <v>Gaseous Form</v>
      </c>
      <c r="CB75" s="35">
        <f t="shared" ca="1" si="46"/>
        <v>9</v>
      </c>
      <c r="CC75" s="36">
        <f ca="1">IF(BM12&gt;0,0,RAND())</f>
        <v>0</v>
      </c>
      <c r="CD75" s="29" t="s">
        <v>17</v>
      </c>
    </row>
    <row r="76" spans="1:82" ht="19.5" thickTop="1" x14ac:dyDescent="0.3">
      <c r="B76" s="56" t="str">
        <f ca="1">IF(OR(O11="warlock",Q11="warlock",P2="mountain",O11="barbarian",O11="bard",Q11="barbarian",O11="cleric",Q11="bard",Q11="cleric",O11="druid",Q11="druid",O11="fighter",Q11="fighter",O11="paladin",Q11="paladin",O11="ranger",Q11="ranger",O11="rogue",Q11="rogue"),"Light Armor"," ")</f>
        <v xml:space="preserve"> </v>
      </c>
      <c r="O76" s="33" t="str">
        <f ca="1">IF(Q2="dwarf",VLOOKUP(RANDBETWEEN(1,3),Table3[],2),IF(P2="rock","Artisan's Tools"," "))</f>
        <v xml:space="preserve"> </v>
      </c>
      <c r="P76" s="62" t="str">
        <f ca="1">IF(OR(O11="warlock",Q11="warlock",O11="barbarian",O11="bard",Q11="barbarian",Q11="bard",O11="cleric",O11="fighter",Q11="fighter",O11="monk",Q11="monk",O11="paladin",Q11="paladin",O11="ranger",Q11="ranger",O11="rogue"),"Simple Weapons",IF(Q2="dwarf","Handaxe"," "))</f>
        <v xml:space="preserve"> </v>
      </c>
      <c r="Q76" s="60" t="str">
        <f ca="1">IF(AND(P76&lt;&gt;"simple weapons",OR($O$11="druid",O11="non-classed")),"Club",IF(P80="shortsword"," ",IF(AND(P77&lt;&gt;"martial weapons",OR(O11="monk",O11="bard",Q11="monk",O11="rogue")),"Shortsword"," ")))</f>
        <v xml:space="preserve"> </v>
      </c>
      <c r="R76" s="63" t="str">
        <f ca="1">IF(AND(P76&lt;&gt;"simple weapons",OR($O$11="druid",O11="sorcerer",O11="wizard",O11="non-classed")),"Quarterstaff"," ")</f>
        <v>Quarterstaff</v>
      </c>
      <c r="AJ76" s="58">
        <f ca="1">IF(Table202337451793850907320380602[[#This Row],[Column2]]=0," ",_xlfn.RANK.EQ(AK76,$AK$68:$AK$77))</f>
        <v>7</v>
      </c>
      <c r="AK76" s="60">
        <f t="shared" ca="1" si="44"/>
        <v>0.43346507461142092</v>
      </c>
      <c r="AL76" s="29" t="str">
        <f t="shared" ca="1" si="45"/>
        <v>Tongues</v>
      </c>
      <c r="CB76" s="35">
        <f t="shared" ca="1" si="46"/>
        <v>3</v>
      </c>
      <c r="CC76" s="36">
        <f ca="1">IF(BM13&gt;0,0,RAND())</f>
        <v>0.71415551322666893</v>
      </c>
      <c r="CD76" s="29" t="s">
        <v>18</v>
      </c>
    </row>
    <row r="77" spans="1:82" x14ac:dyDescent="0.3">
      <c r="B77" s="56" t="str">
        <f ca="1">IF(OR(P2="mountain",O11="barbarian",Q11="barbarian",P15="college of valor",R15="college of valor",O11="cleric",Q11="cleric",O11="druid",Q11="druid",O11="fighter",Q11="fighter",O11="paladin",Q11="paladin",O11="ranger",Q11="ranger"),"Medium Armor"," ")</f>
        <v xml:space="preserve"> </v>
      </c>
      <c r="O77" s="33" t="str">
        <f ca="1">IF(AND(O11="monk",AF23=2),INDEX('Class Tables'!F25:F34,MATCH(1,('Class Tables'!D25:D34),0)),IF(AND(O11="monk",AF23=1),INDEX('Class Tables'!J80:J95,MATCH(1,('Class Tables'!I80:I95),0)),IF(P15="battle master",VLOOKUP(RANDBETWEEN(1,16),Table79[],2),IF(OR($O$11="bard"),INDEX('Class Tables'!$F$25:$F$34,MATCH(1,('Class Tables'!$D$25:$D$34),0))," "))))</f>
        <v xml:space="preserve"> </v>
      </c>
      <c r="P77" s="64" t="str">
        <f ca="1">IF(OR($O$11="barbarian",Q11="barbarian",P15="college of valor",R15="college of valor",R15="tempest",P15="tempest",P15="war",R15="war",O11="fighter",Q11="fighter",O11="paladin",Q11="paladin",O11="ranger",Q11="ranger"),"Martial Weapons",IF($Q$2="dwarf","Battleaxe",IF(OR($P$2="high",$P$2="wood"),"Longsword",IF($P$2="dark","Rapier"," "))))</f>
        <v xml:space="preserve"> </v>
      </c>
      <c r="Q77" s="65" t="str">
        <f ca="1">IF(AND(OR($O$11="druid",O11="sorcerer",O11="wizard",O11="non-classed"),P76&lt;&gt;"Simple weapons"),"Dagger",IF(AND(O11="bard",P77&lt;&gt;"Martial Weapons"),"Hand Crossbow",IF(AND(O11="rogue",P77&lt;&gt;"martial weapons"),"Hand Crossbow"," ")))</f>
        <v>Dagger</v>
      </c>
      <c r="R77" s="66" t="str">
        <f ca="1">IF(AND(P77&lt;&gt;"martial weapons",$O$11="druid"),"Scimitar"," ")</f>
        <v xml:space="preserve"> </v>
      </c>
      <c r="AJ77" s="58">
        <f ca="1">IF(Table202337451793850907320380602[[#This Row],[Column2]]=0," ",_xlfn.RANK.EQ(AK77,$AK$68:$AK$77))</f>
        <v>3</v>
      </c>
      <c r="AK77" s="60">
        <f t="shared" ca="1" si="44"/>
        <v>0.8815807490200952</v>
      </c>
      <c r="AL77" s="29" t="str">
        <f t="shared" ca="1" si="45"/>
        <v>Stinking Cloud</v>
      </c>
      <c r="CB77" s="35">
        <f t="shared" ca="1" si="46"/>
        <v>5</v>
      </c>
      <c r="CC77" s="36">
        <f ca="1">IF(BM14&gt;0,0,RAND())</f>
        <v>0.57157292644107827</v>
      </c>
      <c r="CD77" s="29" t="s">
        <v>19</v>
      </c>
    </row>
    <row r="78" spans="1:82" x14ac:dyDescent="0.3">
      <c r="B78" s="56" t="str">
        <f ca="1">IF(OR(O11="barbarian",Q11="barbarian",R15="college of valor",P15="college of valor",O11="cleric",Q11="cleric",O11="druid",Q11="Druid",O11="fighter",Q11="fighter",O11="paladin",Q11="paladin",O11="ranger",Q11="ranger"),"Shields"," ")</f>
        <v xml:space="preserve"> </v>
      </c>
      <c r="O78" s="33" t="str">
        <f ca="1">IF(OR($O$11="bard"),INDEX('Class Tables'!$F$25:$F$34,MATCH(2,('Class Tables'!$D$25:$D$34),0))," ")</f>
        <v xml:space="preserve"> </v>
      </c>
      <c r="P78" s="62" t="str">
        <f ca="1">IF(AND(P76&lt;&gt;"Simple Weapons",Q2="dwarf"),"Light Hammer",IF(AND(P2="high",P76&lt;&gt;"Simple Weapons"),"Shortbow",IF(AND(P76&lt;&gt;"Simple Weapons",P2="wood"),"Shortbow",IF(AND(P2="dark",P77&lt;&gt;"Martial Weapons"),"Hand Crossbow"," "))))</f>
        <v xml:space="preserve"> </v>
      </c>
      <c r="Q78" s="60" t="str">
        <f ca="1">IF(AND(OR($O$11="druid",O11="sorcerer",O11="wizard"),P76&lt;&gt;"Simple weapons"),"Dart",IF(AND(P77&lt;&gt;"martial weapons",OR(O11="bard",O11="rogue")),"Longsword"," "))</f>
        <v>Dart</v>
      </c>
      <c r="R78" s="63" t="str">
        <f ca="1">IF(AND(P76&lt;&gt;"simple weapons",$O$11="druid"),"Sickle"," ")</f>
        <v xml:space="preserve"> </v>
      </c>
      <c r="CB78" s="35">
        <f t="shared" ca="1" si="46"/>
        <v>7</v>
      </c>
      <c r="CC78" s="36">
        <f ca="1">IF(BM16&gt;0,0,RAND())</f>
        <v>0.31544402429546614</v>
      </c>
      <c r="CD78" s="29" t="s">
        <v>21</v>
      </c>
    </row>
    <row r="79" spans="1:82" x14ac:dyDescent="0.3">
      <c r="B79" s="33" t="str">
        <f ca="1">IF(OR(P15="life",R15="life",P15="nature",R15="nature",P15="tempest",R15="tempest",P15="war",R15="war",O11="fighter",Q11="fighter",O11="paladin"),"Heavy Armor"," ")</f>
        <v xml:space="preserve"> </v>
      </c>
      <c r="O79" s="33" t="str">
        <f ca="1">IF(OR($O$11="bard",$Q$11="bard"),INDEX('Class Tables'!$F$25:$F$34,MATCH(3,('Class Tables'!$D$25:$D$34),0))," ")</f>
        <v xml:space="preserve"> </v>
      </c>
      <c r="P79" s="64" t="str">
        <f ca="1">IF(P77="martial weapons"," ",IF(Q2="dwarf","Warhammer",IF(OR(P2="high",P2="wood"),"Longbow"," ")))</f>
        <v xml:space="preserve"> </v>
      </c>
      <c r="Q79" s="65" t="str">
        <f ca="1">IF(AND($O$11="druid",P76&lt;&gt;"simple weapons"),"Javelin",IF(AND(O11="sorcerer",P76&lt;&gt;"simple weapons"),"Light Crossbow",IF(AND(O11="wizard",P76&lt;&gt;"simple weapons"),"Light Crossbow",IF(AND(OR(O11="bard",O11="rogue"),P77&lt;&gt;"martial weapons"),"Rapier"," "))))</f>
        <v>Light Crossbow</v>
      </c>
      <c r="R79" s="66" t="str">
        <f ca="1">IF(AND(P76&lt;&gt;"simple weapons",OR($O$11="druid",O11="sorcerer",O11="wizard")),"Sling"," ")</f>
        <v>Sling</v>
      </c>
      <c r="AJ79" s="31" t="s">
        <v>676</v>
      </c>
      <c r="CB79" s="35">
        <f t="shared" ca="1" si="46"/>
        <v>8</v>
      </c>
      <c r="CC79" s="36">
        <f ca="1">IF(BM17&gt;0,0,RAND())</f>
        <v>0.24376538954996352</v>
      </c>
      <c r="CD79" s="29" t="s">
        <v>22</v>
      </c>
    </row>
    <row r="80" spans="1:82" ht="19.5" thickBot="1" x14ac:dyDescent="0.35">
      <c r="O80" s="33" t="str">
        <f ca="1">IF(OR(O11="druid",S11="hermit"),"Herbalism Kit"," ")</f>
        <v xml:space="preserve"> </v>
      </c>
      <c r="P80" s="51" t="str">
        <f ca="1">IF(AND(P77&lt;&gt;"martial weapons",OR(P2="high",P2="wood",P2="dark")),"Shortsword"," ")</f>
        <v xml:space="preserve"> </v>
      </c>
      <c r="Q80" s="67" t="str">
        <f ca="1">IF(AND(P76&lt;&gt;"simple weapons",$O$11="druid"),"Mace"," ")</f>
        <v xml:space="preserve"> </v>
      </c>
      <c r="R80" s="68" t="str">
        <f ca="1">IF(AND(P76&lt;&gt;"simple weapons",$O$11="druid"),"Spear"," ")</f>
        <v xml:space="preserve"> </v>
      </c>
      <c r="AJ80" s="58">
        <f ca="1">IF(Table203338452794851908321381603[[#This Row],[Column2]]=0," ",_xlfn.RANK.EQ(AK80,$AK$80:$AK$89))</f>
        <v>1</v>
      </c>
      <c r="AK80" s="60">
        <f t="shared" ref="AK80:AK89" ca="1" si="47">IF(AL80=" ", 0,RAND())</f>
        <v>0.97050849173711273</v>
      </c>
      <c r="AL80" s="29" t="str">
        <f t="shared" ref="AL80:AL89" ca="1" si="48">T315</f>
        <v>Blight</v>
      </c>
      <c r="CB80" s="35">
        <f t="shared" ca="1" si="46"/>
        <v>1</v>
      </c>
      <c r="CC80" s="36">
        <f ca="1">IF(BM22&gt;0,0,RAND())</f>
        <v>0.93368142316653979</v>
      </c>
      <c r="CD80" s="29" t="s">
        <v>27</v>
      </c>
    </row>
    <row r="81" spans="1:82" x14ac:dyDescent="0.3">
      <c r="O81" s="33" t="str">
        <f ca="1">IF(AND(AF25=2,OR(O11="rogue",Q11="rogue")),"Thieves' Tools - Expert",IF(OR(O11="rogue",Q11="rogue"),"Thieves' Tools"," "))</f>
        <v xml:space="preserve"> </v>
      </c>
      <c r="AJ81" s="58">
        <f ca="1">IF(Table203338452794851908321381603[[#This Row],[Column2]]=0," ",_xlfn.RANK.EQ(AK81,$AK$80:$AK$89))</f>
        <v>5</v>
      </c>
      <c r="AK81" s="60">
        <f t="shared" ca="1" si="47"/>
        <v>0.19637428718079541</v>
      </c>
      <c r="AL81" s="29" t="str">
        <f t="shared" ca="1" si="48"/>
        <v>Ice Storm</v>
      </c>
      <c r="CB81" s="35">
        <f t="shared" ca="1" si="46"/>
        <v>2</v>
      </c>
      <c r="CC81" s="36">
        <f ca="1">IF(BM23&gt;0,0,RAND())</f>
        <v>0.72708688844409464</v>
      </c>
      <c r="CD81" s="29" t="s">
        <v>28</v>
      </c>
    </row>
    <row r="82" spans="1:82" x14ac:dyDescent="0.3">
      <c r="O82" s="33" t="str">
        <f ca="1">IF(P15="assassin","Disguise Kit"," ")</f>
        <v xml:space="preserve"> </v>
      </c>
      <c r="AJ82" s="58">
        <f ca="1">IF(Table203338452794851908321381603[[#This Row],[Column2]]=0," ",_xlfn.RANK.EQ(AK82,$AK$80:$AK$89))</f>
        <v>4</v>
      </c>
      <c r="AK82" s="60">
        <f t="shared" ca="1" si="47"/>
        <v>0.40678193220402159</v>
      </c>
      <c r="AL82" s="29" t="str">
        <f t="shared" ca="1" si="48"/>
        <v>Polymorph</v>
      </c>
    </row>
    <row r="83" spans="1:82" x14ac:dyDescent="0.3">
      <c r="O83" s="33" t="str">
        <f ca="1">IF(P15="assassin","Poisoner's Kit"," ")</f>
        <v xml:space="preserve"> </v>
      </c>
      <c r="AJ83" s="58">
        <f ca="1">IF(Table203338452794851908321381603[[#This Row],[Column2]]=0," ",_xlfn.RANK.EQ(AK83,$AK$80:$AK$89))</f>
        <v>2</v>
      </c>
      <c r="AK83" s="60">
        <f t="shared" ca="1" si="47"/>
        <v>0.87084851362299376</v>
      </c>
      <c r="AL83" s="29" t="str">
        <f t="shared" ca="1" si="48"/>
        <v>Fabricate</v>
      </c>
      <c r="CB83" s="31" t="s">
        <v>735</v>
      </c>
    </row>
    <row r="84" spans="1:82" x14ac:dyDescent="0.3">
      <c r="O84" s="33" t="str">
        <f ca="1">IF(S11="soldier",VLOOKUP(RANDBETWEEN(1,4),Table258[],2),IF(OR(S11="sailor",S11="pirate"),"Navigator's Tools",IF(OR(S11="folk hero",S11="Guild Artisan"),VLOOKUP(RANDBETWEEN(1,16),Table79[],2),IF(AND(OR(S11="criminal",S11="urchin"),OR(O81&lt;&gt;"Thieves' Tools",O81&lt;&gt;"Thieves' Tools - Expert")),"Thieves' Tools",IF(AND(OR(S11="charlatan",S11="entertainer"),O82&lt;&gt;"Disguise Kit"),"Disguise Kit"," ")))))</f>
        <v>Mason's Tools</v>
      </c>
      <c r="AJ84" s="58">
        <f ca="1">IF(Table203338452794851908321381603[[#This Row],[Column2]]=0," ",_xlfn.RANK.EQ(AK84,$AK$80:$AK$89))</f>
        <v>3</v>
      </c>
      <c r="AK84" s="60">
        <f t="shared" ca="1" si="47"/>
        <v>0.60303934852413466</v>
      </c>
      <c r="AL84" s="29" t="str">
        <f t="shared" ca="1" si="48"/>
        <v>Wall of Fire</v>
      </c>
      <c r="CB84" s="35">
        <f t="shared" ref="CB84:CB94" ca="1" si="49">_xlfn.RANK.EQ(CC84,$CC$84:$CC$94)</f>
        <v>3</v>
      </c>
      <c r="CC84" s="36">
        <f ca="1">IF(BM6&gt;0,0,RAND())</f>
        <v>0.83541344884766067</v>
      </c>
      <c r="CD84" s="29" t="s">
        <v>12</v>
      </c>
    </row>
    <row r="85" spans="1:82" x14ac:dyDescent="0.3">
      <c r="O85" s="33" t="str">
        <f ca="1">IF(AND(S11="urchin",O82&lt;&gt;"Disguise Kit"),"Disguise Kit",IF(OR(S11="Sailor",S11="pirate"),"Vehicles (Water)",IF(OR(S11="folk hero",S11="Soldier"),"Vehicles (Land)",IF(OR(S11="entertainer",S11="outlander"),INDEX('Class Tables'!$F$25:$F$34,MATCH(4,('Class Tables'!$D$25:$D$34),0)),IF(OR(S11="criminal",S11="noble",S11="knight"),VLOOKUP(RANDBETWEEN(1,4),Table258[],2),IF(S11="charlatan","Forgery Kit"," "))))))</f>
        <v xml:space="preserve"> </v>
      </c>
      <c r="AJ85" s="58" t="str">
        <f ca="1">IF(Table203338452794851908321381603[[#This Row],[Column2]]=0," ",_xlfn.RANK.EQ(AK85,$AK$80:$AK$89))</f>
        <v xml:space="preserve"> </v>
      </c>
      <c r="AK85" s="60">
        <f t="shared" ca="1" si="47"/>
        <v>0</v>
      </c>
      <c r="AL85" s="29" t="str">
        <f t="shared" ca="1" si="48"/>
        <v xml:space="preserve"> </v>
      </c>
      <c r="CB85" s="35">
        <f t="shared" ca="1" si="49"/>
        <v>7</v>
      </c>
      <c r="CC85" s="36">
        <f ca="1">IF(BM9&gt;0,0,RAND())</f>
        <v>0.57110856940326249</v>
      </c>
      <c r="CD85" s="29" t="s">
        <v>14</v>
      </c>
    </row>
    <row r="86" spans="1:82" ht="19.5" thickBot="1" x14ac:dyDescent="0.35">
      <c r="AJ86" s="58" t="str">
        <f ca="1">IF(Table203338452794851908321381603[[#This Row],[Column2]]=0," ",_xlfn.RANK.EQ(AK86,$AK$80:$AK$89))</f>
        <v xml:space="preserve"> </v>
      </c>
      <c r="AK86" s="60">
        <f t="shared" ca="1" si="47"/>
        <v>0</v>
      </c>
      <c r="AL86" s="29" t="str">
        <f t="shared" ca="1" si="48"/>
        <v xml:space="preserve"> </v>
      </c>
      <c r="CB86" s="35">
        <f t="shared" ca="1" si="49"/>
        <v>1</v>
      </c>
      <c r="CC86" s="36">
        <f ca="1">IF(BM10&gt;0,0,RAND())</f>
        <v>0.92517693281353408</v>
      </c>
      <c r="CD86" s="29" t="s">
        <v>15</v>
      </c>
    </row>
    <row r="87" spans="1:82" ht="30.75" thickBot="1" x14ac:dyDescent="0.45">
      <c r="A87" s="72"/>
      <c r="B87" s="128" t="s">
        <v>1953</v>
      </c>
      <c r="AJ87" s="58" t="str">
        <f ca="1">IF(Table203338452794851908321381603[[#This Row],[Column2]]=0," ",_xlfn.RANK.EQ(AK87,$AK$80:$AK$89))</f>
        <v xml:space="preserve"> </v>
      </c>
      <c r="AK87" s="60">
        <f t="shared" ca="1" si="47"/>
        <v>0</v>
      </c>
      <c r="AL87" s="29" t="str">
        <f t="shared" ca="1" si="48"/>
        <v xml:space="preserve"> </v>
      </c>
      <c r="CB87" s="35">
        <f t="shared" ca="1" si="49"/>
        <v>11</v>
      </c>
      <c r="CC87" s="36">
        <f ca="1">IF(BM12&gt;0,0,RAND())</f>
        <v>0</v>
      </c>
      <c r="CD87" s="29" t="s">
        <v>17</v>
      </c>
    </row>
    <row r="88" spans="1:82" x14ac:dyDescent="0.3">
      <c r="A88" s="115"/>
      <c r="B88" s="130" t="s">
        <v>1952</v>
      </c>
      <c r="C88" s="130"/>
      <c r="D88" s="130"/>
      <c r="E88" s="130"/>
      <c r="F88" s="130"/>
      <c r="G88" s="130"/>
      <c r="H88" s="130"/>
      <c r="I88" s="130"/>
      <c r="J88" s="130"/>
      <c r="K88" s="130"/>
      <c r="L88" s="130"/>
      <c r="M88" s="130"/>
      <c r="N88" s="130"/>
      <c r="O88" s="130" t="s">
        <v>1954</v>
      </c>
      <c r="P88" s="130" t="s">
        <v>1955</v>
      </c>
      <c r="Q88" s="130" t="s">
        <v>1956</v>
      </c>
      <c r="R88" s="130" t="s">
        <v>1088</v>
      </c>
      <c r="S88" s="130" t="s">
        <v>2480</v>
      </c>
      <c r="T88" s="130" t="s">
        <v>1957</v>
      </c>
      <c r="AJ88" s="58" t="str">
        <f ca="1">IF(Table203338452794851908321381603[[#This Row],[Column2]]=0," ",_xlfn.RANK.EQ(AK88,$AK$80:$AK$89))</f>
        <v xml:space="preserve"> </v>
      </c>
      <c r="AK88" s="60">
        <f t="shared" ca="1" si="47"/>
        <v>0</v>
      </c>
      <c r="AL88" s="29" t="str">
        <f t="shared" ca="1" si="48"/>
        <v xml:space="preserve"> </v>
      </c>
      <c r="CB88" s="35">
        <f t="shared" ca="1" si="49"/>
        <v>6</v>
      </c>
      <c r="CC88" s="36">
        <f ca="1">IF(BM13&gt;0,0,RAND())</f>
        <v>0.59263048353574976</v>
      </c>
      <c r="CD88" s="29" t="s">
        <v>18</v>
      </c>
    </row>
    <row r="89" spans="1:82" x14ac:dyDescent="0.3">
      <c r="A89" s="137"/>
      <c r="B89" s="33" t="str">
        <f ca="1">IF(OR(O15="unarmored defense",O16="unarmored defense",Q15="unarmored defense",Q16="unarmored defense"),"Unarmored Defense",IF(B79="heavy armor",VLOOKUP(RANDBETWEEN(1,4),Table286[],2),IF(B77="medium armor",VLOOKUP(RANDBETWEEN(1,5),Table285[],2),IF(B76="light armor",VLOOKUP(RANDBETWEEN(1,3),Table284[],2),VLOOKUP(RANDBETWEEN(1,3),Table291[],2)))))</f>
        <v>Common Clothes</v>
      </c>
      <c r="C89" s="33"/>
      <c r="D89" s="33"/>
      <c r="E89" s="33"/>
      <c r="F89" s="33"/>
      <c r="G89" s="33"/>
      <c r="H89" s="33"/>
      <c r="I89" s="33"/>
      <c r="J89" s="33"/>
      <c r="K89" s="33"/>
      <c r="L89" s="33"/>
      <c r="M89" s="33"/>
      <c r="N89" s="33"/>
      <c r="O89" s="33">
        <f ca="1">IF(B89="unarmored Defense",10,INDEX(Items!C2:C22,MATCH(B89,(Items!B2:B22),0)))</f>
        <v>10</v>
      </c>
      <c r="P89" s="33">
        <f ca="1">IF(OR(B89="ring mail",B89="chain mail",B89="splint",B89="plate"),0,IF(B89="fine clothes",P39,IF(B89="common clothes",P39,IF(B89="traveler's clothes",P39,IF(B89="unarmored defense",P39,IF(B89="padded",P39,IF(B89="leather",P39,IF(B89="Studded Leather",P39,IF(B89="Hide",MIN(2,(P39)),IF(B89="chain shirt",MIN(2,(P39)),IF(B89="scale mail",MIN(2,(P39)),IF(B89="breastplate",MIN(2,(P39)),IF(B89="half plate",MIN(2,(Q2)),0)))))))))))))</f>
        <v>2</v>
      </c>
      <c r="Q89" s="33">
        <f ca="1">IF(AND(B89="unarmored defense",OR(O11="barbarian",Q11="barbarian")),P40,IF(AND(B89="unarmored defense",OR(O11="monk",Q11="monk")),P42,IF(AND(OR(O17="defense style",Q17="defense style",P18="defense style",O15="defense style",S18="defense style",Q15="defense style"),B89&lt;&gt;"unarmored defense"),2,0)))</f>
        <v>0</v>
      </c>
      <c r="R89" s="33">
        <f ca="1">IF(AND(B90="shield",COUNTIF(B109:P109,"*"&amp;"Shield +3"&amp;"*")),5,IF(AND(B90="shield",COUNTIF(B109:P109,"*"&amp;"Shield +2"&amp;"*")),4,IF(AND(B90="shield",COUNTIF(B109:P109,"*"&amp;"Shield +1"&amp;"*")),3,IF(B90="shield",2,0))))</f>
        <v>0</v>
      </c>
      <c r="S89" s="29" t="str">
        <f ca="1">IF(COUNTIF(B109:P109,"*"&amp;"Armor +3"&amp;"*"),3,IF(COUNTIF(B109:P109,"*"&amp;"Armor +2"&amp;"*"),2,IF(COUNTIF(B109:P109,"*"&amp;"Armor +1"&amp;"*"),1," ")))</f>
        <v xml:space="preserve"> </v>
      </c>
      <c r="T89" s="33">
        <f ca="1">SUM(C89:S89)</f>
        <v>12</v>
      </c>
      <c r="AJ89" s="58" t="str">
        <f ca="1">IF(Table203338452794851908321381603[[#This Row],[Column2]]=0," ",_xlfn.RANK.EQ(AK89,$AK$80:$AK$89))</f>
        <v xml:space="preserve"> </v>
      </c>
      <c r="AK89" s="60">
        <f t="shared" ca="1" si="47"/>
        <v>0</v>
      </c>
      <c r="AL89" s="29" t="str">
        <f t="shared" ca="1" si="48"/>
        <v xml:space="preserve"> </v>
      </c>
      <c r="CB89" s="35">
        <f t="shared" ca="1" si="49"/>
        <v>9</v>
      </c>
      <c r="CC89" s="36">
        <f ca="1">IF(BM14&gt;0,0,RAND())</f>
        <v>0.20728309135270784</v>
      </c>
      <c r="CD89" s="29" t="s">
        <v>19</v>
      </c>
    </row>
    <row r="90" spans="1:82" x14ac:dyDescent="0.3">
      <c r="A90" s="137"/>
      <c r="B90" s="33" t="str">
        <f ca="1">IF(B78="shields","Shield"," ")</f>
        <v xml:space="preserve"> </v>
      </c>
      <c r="C90" s="33"/>
      <c r="D90" s="33"/>
      <c r="E90" s="33"/>
      <c r="F90" s="33"/>
      <c r="G90" s="33"/>
      <c r="H90" s="33"/>
      <c r="I90" s="33"/>
      <c r="J90" s="33"/>
      <c r="K90" s="33"/>
      <c r="L90" s="33"/>
      <c r="M90" s="33"/>
      <c r="N90" s="33"/>
      <c r="O90" s="33"/>
      <c r="P90" s="33"/>
      <c r="Q90" s="33"/>
      <c r="R90" s="33"/>
      <c r="S90" s="33"/>
      <c r="CB90" s="35">
        <f t="shared" ca="1" si="49"/>
        <v>5</v>
      </c>
      <c r="CC90" s="36">
        <f ca="1">IF(BM17&gt;0,0,RAND())</f>
        <v>0.61261901090561943</v>
      </c>
      <c r="CD90" s="29" t="s">
        <v>22</v>
      </c>
    </row>
    <row r="91" spans="1:82" x14ac:dyDescent="0.3">
      <c r="A91" s="137"/>
      <c r="B91" s="69" t="s">
        <v>1962</v>
      </c>
      <c r="C91" s="69"/>
      <c r="D91" s="69"/>
      <c r="E91" s="69"/>
      <c r="F91" s="69"/>
      <c r="G91" s="69"/>
      <c r="H91" s="69"/>
      <c r="I91" s="69"/>
      <c r="J91" s="69"/>
      <c r="K91" s="69"/>
      <c r="L91" s="69"/>
      <c r="M91" s="69"/>
      <c r="N91" s="69"/>
      <c r="O91" s="69" t="s">
        <v>1963</v>
      </c>
      <c r="P91" s="69" t="s">
        <v>1982</v>
      </c>
      <c r="Q91" s="70" t="s">
        <v>1983</v>
      </c>
      <c r="R91" s="71" t="s">
        <v>2715</v>
      </c>
      <c r="S91" s="30"/>
      <c r="AJ91" s="31" t="s">
        <v>1169</v>
      </c>
      <c r="CB91" s="35">
        <f t="shared" ca="1" si="49"/>
        <v>10</v>
      </c>
      <c r="CC91" s="36">
        <f ca="1">IF(BM18&gt;0,0,RAND())</f>
        <v>0.20434026119219739</v>
      </c>
      <c r="CD91" s="29" t="s">
        <v>23</v>
      </c>
    </row>
    <row r="92" spans="1:82" x14ac:dyDescent="0.3">
      <c r="A92" s="137"/>
      <c r="B92" s="33" t="str">
        <f ca="1">IF(P77="martial weapons",VLOOKUP(RANDBETWEEN(1,18),Table289[],2),IF(P76="simple weapons",VLOOKUP(RANDBETWEEN(1,10),Table287[],2),INDEX(AQ45:AQ59,MATCH(1,(AO45:AO59),0))))</f>
        <v>Sling</v>
      </c>
      <c r="C92" s="33"/>
      <c r="D92" s="33"/>
      <c r="E92" s="33"/>
      <c r="F92" s="33"/>
      <c r="G92" s="33"/>
      <c r="H92" s="33"/>
      <c r="I92" s="33"/>
      <c r="J92" s="33"/>
      <c r="K92" s="33"/>
      <c r="L92" s="33"/>
      <c r="M92" s="33"/>
      <c r="N92" s="33"/>
      <c r="O92" s="33" t="str">
        <f ca="1">INDEX(Items!$G$2:$G$44,MATCH(B92,(Items!$F$2:$F$44),0))</f>
        <v>1d4b</v>
      </c>
      <c r="P92" s="33" t="str">
        <f ca="1">INDEX(Items!$I$2:$I$44,MATCH(B92,(Items!$F$2:$F$44),0))</f>
        <v>n/a</v>
      </c>
      <c r="Q92" s="72" t="str">
        <f ca="1">INDEX(Items!$H$2:$H$44,MATCH(B92,(Items!$F$2:$F$44),0))</f>
        <v>Ammo,30/120</v>
      </c>
      <c r="R92" s="30"/>
      <c r="S92" s="30"/>
      <c r="AJ92" s="58">
        <f ca="1">IF(Table204339453795852909322382604[[#This Row],[Column2]]=0," ",_xlfn.RANK.EQ(AK92,$AK$92:$AK$101))</f>
        <v>3</v>
      </c>
      <c r="AK92" s="60">
        <f t="shared" ref="AK92:AK101" ca="1" si="50">IF(AL92=" ", 0,RAND())</f>
        <v>0.66173387562910391</v>
      </c>
      <c r="AL92" s="29" t="str">
        <f t="shared" ref="AL92:AL101" ca="1" si="51">P334</f>
        <v>Animate Objects</v>
      </c>
      <c r="CB92" s="35">
        <f t="shared" ca="1" si="49"/>
        <v>4</v>
      </c>
      <c r="CC92" s="36">
        <f ca="1">IF(BM19&gt;0,0,RAND())</f>
        <v>0.68291876321653144</v>
      </c>
      <c r="CD92" s="29" t="s">
        <v>24</v>
      </c>
    </row>
    <row r="93" spans="1:82" x14ac:dyDescent="0.3">
      <c r="A93" s="137"/>
      <c r="B93" s="33" t="str">
        <f ca="1">IF(P77="martial weapons",VLOOKUP(RANDBETWEEN(1,18),Table289[],2),IF(P76="simple weapons",VLOOKUP(RANDBETWEEN(1,10),Table287[],2),INDEX(AQ45:AQ59,MATCH(2,(AO45:AO59),0))))</f>
        <v>Light Crossbow</v>
      </c>
      <c r="C93" s="33"/>
      <c r="D93" s="33"/>
      <c r="E93" s="33"/>
      <c r="F93" s="33"/>
      <c r="G93" s="33"/>
      <c r="H93" s="33"/>
      <c r="I93" s="33"/>
      <c r="J93" s="33"/>
      <c r="K93" s="33"/>
      <c r="L93" s="33"/>
      <c r="M93" s="33"/>
      <c r="N93" s="33"/>
      <c r="O93" s="33" t="str">
        <f ca="1">INDEX(Items!$G$2:$G$44,MATCH(B93,(Items!$F$2:$F$44),0))</f>
        <v>1d8p</v>
      </c>
      <c r="P93" s="33" t="str">
        <f ca="1">INDEX(Items!$I$2:$I$44,MATCH(B93,(Items!$F$2:$F$44),0))</f>
        <v>n/a</v>
      </c>
      <c r="Q93" s="72" t="str">
        <f ca="1">INDEX(Items!$H$2:$H$44,MATCH(B93,(Items!$F$2:$F$44),0))</f>
        <v>Ammo,80/320,2H,Loading</v>
      </c>
      <c r="R93" s="30"/>
      <c r="S93" s="30"/>
      <c r="AJ93" s="58">
        <f ca="1">IF(Table204339453795852909322382604[[#This Row],[Column2]]=0," ",_xlfn.RANK.EQ(AK93,$AK$92:$AK$101))</f>
        <v>1</v>
      </c>
      <c r="AK93" s="60">
        <f t="shared" ca="1" si="50"/>
        <v>0.97906843203159311</v>
      </c>
      <c r="AL93" s="29" t="str">
        <f t="shared" ca="1" si="51"/>
        <v>Rary's Telepathic Bond</v>
      </c>
      <c r="CB93" s="35">
        <f t="shared" ca="1" si="49"/>
        <v>8</v>
      </c>
      <c r="CC93" s="36">
        <f ca="1">IF(BM21&gt;0,0,RAND())</f>
        <v>0.37161636730725212</v>
      </c>
      <c r="CD93" s="29" t="s">
        <v>26</v>
      </c>
    </row>
    <row r="94" spans="1:82" x14ac:dyDescent="0.3">
      <c r="A94" s="137"/>
      <c r="B94" s="33" t="str">
        <f ca="1">IF(P77="martial weapons",VLOOKUP(RANDBETWEEN(1,5),Table290[],2),IF(P76="simple weapons",VLOOKUP(RANDBETWEEN(1,4),Table288[],2,),INDEX(AQ45:AQ59,MATCH(3,(AO45:AO59),0))))</f>
        <v>Dagger</v>
      </c>
      <c r="C94" s="33"/>
      <c r="D94" s="33"/>
      <c r="E94" s="33"/>
      <c r="F94" s="33"/>
      <c r="G94" s="33"/>
      <c r="H94" s="33"/>
      <c r="I94" s="33"/>
      <c r="J94" s="33"/>
      <c r="K94" s="33"/>
      <c r="L94" s="33"/>
      <c r="M94" s="33"/>
      <c r="N94" s="33"/>
      <c r="O94" s="33" t="str">
        <f ca="1">IF(B94=" "," ",INDEX(Items!$G$2:$G$44,MATCH(B94,(Items!$F$2:$F$44),0)))</f>
        <v>1d4p</v>
      </c>
      <c r="P94" s="33" t="str">
        <f ca="1">IF(B94=" "," ",INDEX(Items!$I$2:$I$44,MATCH(B94,(Items!$F$2:$F$44),0)))</f>
        <v>n/a</v>
      </c>
      <c r="Q94" s="72" t="str">
        <f ca="1">IF(B94=" "," ",INDEX(Items!$H$2:$H$44,MATCH(B94,(Items!$F$2:$F$44),0)))</f>
        <v>Light,Finesse,Thrown(20/60)</v>
      </c>
      <c r="R94" s="30"/>
      <c r="S94" s="30"/>
      <c r="AJ94" s="58">
        <f ca="1">IF(Table204339453795852909322382604[[#This Row],[Column2]]=0," ",_xlfn.RANK.EQ(AK94,$AK$92:$AK$101))</f>
        <v>2</v>
      </c>
      <c r="AK94" s="60">
        <f t="shared" ca="1" si="50"/>
        <v>0.70894063664083917</v>
      </c>
      <c r="AL94" s="29" t="str">
        <f t="shared" ca="1" si="51"/>
        <v>Modify Memory</v>
      </c>
      <c r="CB94" s="35">
        <f t="shared" ca="1" si="49"/>
        <v>2</v>
      </c>
      <c r="CC94" s="36">
        <f ca="1">IF(BM22&gt;0,0,RAND())</f>
        <v>0.88391762605405255</v>
      </c>
      <c r="CD94" s="29" t="s">
        <v>27</v>
      </c>
    </row>
    <row r="95" spans="1:82" ht="19.5" thickBot="1" x14ac:dyDescent="0.35">
      <c r="A95" s="137"/>
      <c r="B95" s="38" t="str">
        <f ca="1">IF(O11="monk","Martial Arts"," ")</f>
        <v xml:space="preserve"> </v>
      </c>
      <c r="C95" s="33"/>
      <c r="D95" s="33"/>
      <c r="E95" s="33"/>
      <c r="F95" s="33"/>
      <c r="G95" s="33"/>
      <c r="H95" s="33"/>
      <c r="I95" s="33"/>
      <c r="J95" s="33"/>
      <c r="K95" s="33"/>
      <c r="L95" s="33"/>
      <c r="M95" s="33"/>
      <c r="N95" s="33"/>
      <c r="O95" s="38" t="str">
        <f ca="1">IF(B95="martial arts",INDEX('Class Tables'!J98:J117,MATCH(O12,('Class Tables'!I98:I117),0))," ")</f>
        <v xml:space="preserve"> </v>
      </c>
      <c r="P95" s="38" t="str">
        <f ca="1">IF(B95=" "," ",IF(B95="martial arts", " ",INDEX(Items!$I$2:$I$44,MATCH(B95,(Items!$F$2:$F$44),0))))</f>
        <v xml:space="preserve"> </v>
      </c>
      <c r="Q95" s="73" t="str">
        <f ca="1">IF(B95=" "," ",IF(B95="martial arts"," ",INDEX(Items!$H$2:$H$44,MATCH(B95,(Items!$F$2:$F$44),0))))</f>
        <v xml:space="preserve"> </v>
      </c>
      <c r="R95" s="41"/>
      <c r="S95" s="41"/>
      <c r="AJ95" s="58">
        <f ca="1">IF(Table204339453795852909322382604[[#This Row],[Column2]]=0," ",_xlfn.RANK.EQ(AK95,$AK$92:$AK$101))</f>
        <v>4</v>
      </c>
      <c r="AK95" s="60">
        <f t="shared" ca="1" si="50"/>
        <v>0.46237813500435754</v>
      </c>
      <c r="AL95" s="29" t="str">
        <f t="shared" ca="1" si="51"/>
        <v>Dream</v>
      </c>
    </row>
    <row r="96" spans="1:82" x14ac:dyDescent="0.3">
      <c r="A96" s="137"/>
      <c r="O96" s="69" t="s">
        <v>1964</v>
      </c>
      <c r="P96" s="69" t="s">
        <v>34</v>
      </c>
      <c r="Q96" s="69" t="s">
        <v>1986</v>
      </c>
      <c r="R96" s="69" t="s">
        <v>2753</v>
      </c>
      <c r="S96" s="70" t="s">
        <v>2480</v>
      </c>
      <c r="AJ96" s="58">
        <f ca="1">IF(Table204339453795852909322382604[[#This Row],[Column2]]=0," ",_xlfn.RANK.EQ(AK96,$AK$92:$AK$101))</f>
        <v>5</v>
      </c>
      <c r="AK96" s="60">
        <f t="shared" ca="1" si="50"/>
        <v>0.34140981954574279</v>
      </c>
      <c r="AL96" s="29" t="str">
        <f t="shared" ca="1" si="51"/>
        <v>Telekinesis</v>
      </c>
      <c r="CB96" s="31" t="s">
        <v>736</v>
      </c>
    </row>
    <row r="97" spans="1:82" x14ac:dyDescent="0.3">
      <c r="A97" s="137"/>
      <c r="B97" s="29" t="str">
        <f ca="1">B92</f>
        <v>Sling</v>
      </c>
      <c r="O97" s="33">
        <f ca="1">IF(VLOOKUP(B92,Items!$F$2:$J$44,5,FALSE)="fin",SUM($P$38:$P$39)-SMALL($P$38:$P$39,1),IF(VLOOKUP(B92,(Items!$F$2:$J$44),5,FALSE)="str",$P$38,IF(VLOOKUP(B92,(Items!$F$2:$J$44),5,FALSE)="dex",$P$39,0)))</f>
        <v>2</v>
      </c>
      <c r="P97" s="33">
        <f ca="1">P8</f>
        <v>4</v>
      </c>
      <c r="Q97" s="33">
        <f ca="1">IF(AND(OR(B92&lt;&gt;"light crossbow",B92&lt;&gt;"dart",B92="shortbow",B92&lt;&gt;"Sling",B92&lt;&gt;"blowgun",B92&lt;&gt;"hand crossbow",B92&lt;&gt;"heavy crossbow",B92&lt;&gt;"longbow",B92&lt;&gt;"net",B92&lt;&gt;"greatclub",B92&lt;&gt;"glaive",B92&lt;&gt;"Greataxe",B92&lt;&gt;"Greatsword",B92&lt;&gt;"halbard",B92&lt;&gt;"maul",B92&lt;&gt;"pike"),OR($O$18="dueling style",$Q$18="dueling style",$P$18="dueling style",$S$18="dueling style",$O$15="dueling style",$Q$15="dueling style")),2,0)</f>
        <v>0</v>
      </c>
      <c r="R97" s="33">
        <f ca="1">IF(AND(OR(B92="light crossbow",B92="dart",B92="shortbow",B92="Sling",B92="blowgun",B92="hand crossbow",B92="heavy crossbow",B92="longbow",B92="net"),OR($P$18="archery style",$S$18="archery style",$O$15="archery style",$Q$15="archery style")),2,0)</f>
        <v>0</v>
      </c>
      <c r="S97" s="72" t="str">
        <f ca="1">IF(COUNTIF(B109:P109,"*"&amp;"Weapon +3"&amp;"*"),3,IF(COUNTIF(B109:P109,"*"&amp;"Weapon +2"&amp;"*"),2,IF(COUNTIF(B109:P109,"*"&amp;"Weapon +1"&amp;"*"),1," ")))</f>
        <v xml:space="preserve"> </v>
      </c>
      <c r="AJ97" s="58" t="str">
        <f ca="1">IF(Table204339453795852909322382604[[#This Row],[Column2]]=0," ",_xlfn.RANK.EQ(AK97,$AK$92:$AK$101))</f>
        <v xml:space="preserve"> </v>
      </c>
      <c r="AK97" s="60">
        <f t="shared" ca="1" si="50"/>
        <v>0</v>
      </c>
      <c r="AL97" s="29" t="str">
        <f t="shared" ca="1" si="51"/>
        <v xml:space="preserve"> </v>
      </c>
      <c r="CB97" s="35">
        <f t="shared" ref="CB97:CB102" ca="1" si="52">_xlfn.RANK.EQ(CC97,$CC$97:$CC$102)</f>
        <v>2</v>
      </c>
      <c r="CC97" s="36">
        <f ca="1">IF(BM8&gt;0,0,RAND())</f>
        <v>0.49853267903323817</v>
      </c>
      <c r="CD97" s="29" t="s">
        <v>13</v>
      </c>
    </row>
    <row r="98" spans="1:82" x14ac:dyDescent="0.3">
      <c r="A98" s="137"/>
      <c r="B98" s="29" t="str">
        <f ca="1">B93</f>
        <v>Light Crossbow</v>
      </c>
      <c r="O98" s="33">
        <f ca="1">IF(VLOOKUP(B93,Items!$F$2:$J$44,5,FALSE)="fin",SUM($P$38:$P$39)-SMALL($P$38:$P$39,1),IF(VLOOKUP(B93,(Items!$F$2:$J$44),5,FALSE)="str",$P$38,IF(VLOOKUP(B93,(Items!$F$2:$J$44),5,FALSE)="dex",$P$39,0)))</f>
        <v>2</v>
      </c>
      <c r="P98" s="33">
        <f ca="1">P8</f>
        <v>4</v>
      </c>
      <c r="Q98" s="33">
        <f ca="1">IF(AND(OR(B93&lt;&gt;"light crossbow",B93&lt;&gt;"dart",B93="shortbow",B93&lt;&gt;"Sling",B93&lt;&gt;"blowgun",B93&lt;&gt;"hand crossbow",B93&lt;&gt;"heavy crossbow",B93&lt;&gt;"longbow",B93&lt;&gt;"net",B93&lt;&gt;"greatclub",B93&lt;&gt;"glaive",B93&lt;&gt;"Greataxe",B93&lt;&gt;"Greatsword",B93&lt;&gt;"halbard",B93&lt;&gt;"maul",B93&lt;&gt;"pike"),OR($O$18="dueling style",$Q$18="dueling style",$P$18="dueling style",$S$18="dueling style",$O$15="dueling style",$Q$15="dueling style")),2,0)</f>
        <v>0</v>
      </c>
      <c r="R98" s="33">
        <f ca="1">IF(AND(OR(B93="light crossbow",B93="dart",B93="shortbow",B93="Sling",B93="blowgun",B93="hand crossbow",B93="heavy crossbow",B93="longbow",B93="net"),OR($P$18="archery style",$S$18="archery style",$O$15="archery style",$Q$15="archery style")),2,0)</f>
        <v>0</v>
      </c>
      <c r="S98" s="72" t="str">
        <f ca="1">IF(AND(S97&lt;&gt;2,COUNTIF(B109:P109,"*"&amp;"Weapon +2"&amp;"*")),2,IF(AND(S97&lt;&gt;1,COUNTIF(B109:P109,"*"&amp;"Weapon +1"&amp;"*")),1," "))</f>
        <v xml:space="preserve"> </v>
      </c>
      <c r="AJ98" s="58" t="str">
        <f ca="1">IF(Table204339453795852909322382604[[#This Row],[Column2]]=0," ",_xlfn.RANK.EQ(AK98,$AK$92:$AK$101))</f>
        <v xml:space="preserve"> </v>
      </c>
      <c r="AK98" s="60">
        <f t="shared" ca="1" si="50"/>
        <v>0</v>
      </c>
      <c r="AL98" s="29" t="str">
        <f t="shared" ca="1" si="51"/>
        <v xml:space="preserve"> </v>
      </c>
      <c r="CB98" s="35">
        <f t="shared" ca="1" si="52"/>
        <v>3</v>
      </c>
      <c r="CC98" s="36">
        <f ca="1">IF(BM10&gt;0,0,RAND())</f>
        <v>0.40597416249946061</v>
      </c>
      <c r="CD98" s="29" t="s">
        <v>15</v>
      </c>
    </row>
    <row r="99" spans="1:82" x14ac:dyDescent="0.3">
      <c r="A99" s="137"/>
      <c r="B99" s="29" t="str">
        <f ca="1">B94</f>
        <v>Dagger</v>
      </c>
      <c r="O99" s="33">
        <f ca="1">IF(VLOOKUP(B94,Items!$F$2:$J$44,5,FALSE)="fin",SUM($P$38:$P$39)-SMALL($P$38:$P$39,1),IF(VLOOKUP(B94,(Items!$F$2:$J$44),5,FALSE)="str",$P$38,IF(VLOOKUP(B94,(Items!$F$2:$J$44),5,FALSE)="dex",$P$39,0)))</f>
        <v>2</v>
      </c>
      <c r="P99" s="33">
        <f ca="1">IF(B94=" "," ",P8)</f>
        <v>4</v>
      </c>
      <c r="Q99" s="33">
        <f ca="1">IF(AND(OR(B94&lt;&gt;"light crossbow",B94&lt;&gt;"dart",B94="shortbow",B94&lt;&gt;"Sling",B94&lt;&gt;"blowgun",B94&lt;&gt;"hand crossbow",B94&lt;&gt;"heavy crossbow",B94&lt;&gt;"longbow",B94&lt;&gt;"net",B94&lt;&gt;"greatclub",B94&lt;&gt;"glaive",B94&lt;&gt;"Greataxe",B94&lt;&gt;"Greatsword",B94&lt;&gt;"halbard",B94&lt;&gt;"maul",B94&lt;&gt;"pike"),OR($O$18="dueling style",$Q$18="dueling style",$P$18="dueling style",$S$18="dueling style",$O$15="dueling style",$Q$15="dueling style")),2,0)</f>
        <v>0</v>
      </c>
      <c r="R99" s="33">
        <f ca="1">IF(AND(OR(B94="light crossbow",B94="dart",B94="shortbow",B94="Sling",B94="blowgun",B94="hand crossbow",B94="heavy crossbow",B94="longbow",B94="net"),OR($P$18="archery style",$S$18="archery style",$O$15="archery style",$Q$15="archery style")),2,0)</f>
        <v>0</v>
      </c>
      <c r="S99" s="72" t="str">
        <f ca="1">IF(AND(S97&lt;&gt;1,S98&lt;&gt;1,COUNTIF(B109:P109,"*"&amp;"Weapon +1"&amp;"*")),1," ")</f>
        <v xml:space="preserve"> </v>
      </c>
      <c r="AJ99" s="58" t="str">
        <f ca="1">IF(Table204339453795852909322382604[[#This Row],[Column2]]=0," ",_xlfn.RANK.EQ(AK99,$AK$92:$AK$101))</f>
        <v xml:space="preserve"> </v>
      </c>
      <c r="AK99" s="60">
        <f t="shared" ca="1" si="50"/>
        <v>0</v>
      </c>
      <c r="AL99" s="29" t="str">
        <f t="shared" ca="1" si="51"/>
        <v xml:space="preserve"> </v>
      </c>
      <c r="CB99" s="35">
        <f t="shared" ca="1" si="52"/>
        <v>5</v>
      </c>
      <c r="CC99" s="36">
        <f ca="1">IF(BM12&gt;0,0,RAND())</f>
        <v>0</v>
      </c>
      <c r="CD99" s="29" t="s">
        <v>17</v>
      </c>
    </row>
    <row r="100" spans="1:82" x14ac:dyDescent="0.3">
      <c r="A100" s="138"/>
      <c r="B100" s="29" t="str">
        <f ca="1">B95</f>
        <v xml:space="preserve"> </v>
      </c>
      <c r="O100" s="33" t="str">
        <f ca="1">IF(B95="martial arts",SUM($P$38:$P$39)-SMALL($P$38:$P$39,1)," ")</f>
        <v xml:space="preserve"> </v>
      </c>
      <c r="P100" s="33" t="str">
        <f ca="1">IF(B95=" "," ",P8)</f>
        <v xml:space="preserve"> </v>
      </c>
      <c r="Q100" s="33">
        <f ca="1">IF(AND(OR(B95&lt;&gt;"light crossbow",B95&lt;&gt;"dart",B95="shortbow",B95&lt;&gt;"Sling",B95&lt;&gt;"blowgun",B95&lt;&gt;"hand crossbow",B95&lt;&gt;"heavy crossbow",B95&lt;&gt;"longbow",B95&lt;&gt;"net",B95&lt;&gt;"greatclub",B95&lt;&gt;"glaive",B95&lt;&gt;"Greataxe",B95&lt;&gt;"Greatsword",B95&lt;&gt;"halbard",B95&lt;&gt;"maul",B95&lt;&gt;"pike"),OR($O$18="dueling style",$Q$18="dueling style",$P$18="dueling style",$S$18="dueling style",$O$15="dueling style",$Q$15="dueling style")),2,0)</f>
        <v>0</v>
      </c>
      <c r="R100" s="33">
        <f ca="1">IF(AND(OR(B95="light crossbow",B95="dart",B95="shortbow",B95="Sling",B95="blowgun",B95="hand crossbow",B95="heavy crossbow",B95="longbow",B95="net"),OR($P$18="archery style",$S$18="archery style",$O$15="archery style",$Q$15="archery style")),2,0)</f>
        <v>0</v>
      </c>
      <c r="S100" s="72" t="str">
        <f ca="1">IF(AND(S98&lt;&gt;1,S99&lt;&gt;1,COUNTIF(B110:P110,"*"&amp;"Weapon +1"&amp;"*")),1," ")</f>
        <v xml:space="preserve"> </v>
      </c>
      <c r="AJ100" s="58" t="str">
        <f ca="1">IF(Table204339453795852909322382604[[#This Row],[Column2]]=0," ",_xlfn.RANK.EQ(AK100,$AK$92:$AK$101))</f>
        <v xml:space="preserve"> </v>
      </c>
      <c r="AK100" s="60">
        <f t="shared" ca="1" si="50"/>
        <v>0</v>
      </c>
      <c r="AL100" s="29" t="str">
        <f t="shared" ca="1" si="51"/>
        <v xml:space="preserve"> </v>
      </c>
      <c r="CB100" s="35">
        <f t="shared" ca="1" si="52"/>
        <v>1</v>
      </c>
      <c r="CC100" s="36">
        <f ca="1">IF(BM13&gt;0,0,RAND())</f>
        <v>0.64369286512986501</v>
      </c>
      <c r="CD100" s="29" t="s">
        <v>18</v>
      </c>
    </row>
    <row r="101" spans="1:82" x14ac:dyDescent="0.3">
      <c r="A101" s="138"/>
      <c r="AJ101" s="58" t="str">
        <f ca="1">IF(Table204339453795852909322382604[[#This Row],[Column2]]=0," ",_xlfn.RANK.EQ(AK101,$AK$92:$AK$101))</f>
        <v xml:space="preserve"> </v>
      </c>
      <c r="AK101" s="60">
        <f t="shared" ca="1" si="50"/>
        <v>0</v>
      </c>
      <c r="AL101" s="29" t="str">
        <f t="shared" ca="1" si="51"/>
        <v xml:space="preserve"> </v>
      </c>
      <c r="CB101" s="35">
        <f t="shared" ca="1" si="52"/>
        <v>4</v>
      </c>
      <c r="CC101" s="36">
        <f ca="1">IF(BM19&gt;0,0,RAND())</f>
        <v>0.29339496771471252</v>
      </c>
      <c r="CD101" s="29" t="s">
        <v>24</v>
      </c>
    </row>
    <row r="102" spans="1:82" x14ac:dyDescent="0.3">
      <c r="A102" s="137"/>
      <c r="B102" s="69" t="str">
        <f ca="1">IF(B40="non-classed","Shoulder Bag",IF(B103="diplomat's pack","Small Chest","Backpack"))</f>
        <v>Backpack</v>
      </c>
      <c r="C102" s="33"/>
      <c r="D102" s="33"/>
      <c r="E102" s="33"/>
      <c r="F102" s="33"/>
      <c r="G102" s="33"/>
      <c r="H102" s="33"/>
      <c r="I102" s="33"/>
      <c r="J102" s="33"/>
      <c r="K102" s="33"/>
      <c r="L102" s="33"/>
      <c r="M102" s="33"/>
      <c r="N102" s="33"/>
      <c r="O102" s="33"/>
      <c r="P102" s="33"/>
      <c r="Q102" s="69" t="s">
        <v>1988</v>
      </c>
      <c r="R102" s="69" t="str">
        <f ca="1">IF(OR(P15="eldritch knight",R15="eldritch knight",P15="arcane trickster",R15="arcane trickster",O11="ranger",Q11="ranger",O11="bard",Q11="bard",O11="cleric",Q11="cleric",O11="druid",Q11="druid",O11="paladin",Q11="paladin",O11="sorcerer",Q11="sorcerer",O11="warlock",Q11="warlock",O11="wizard",Q11="wizard"),"Component Pouch"," ")</f>
        <v>Component Pouch</v>
      </c>
      <c r="CB102" s="35">
        <f t="shared" ca="1" si="52"/>
        <v>5</v>
      </c>
      <c r="CC102" s="36">
        <f ca="1">IF(BM20&gt;0,0,RAND())</f>
        <v>0</v>
      </c>
      <c r="CD102" s="29" t="s">
        <v>25</v>
      </c>
    </row>
    <row r="103" spans="1:82" x14ac:dyDescent="0.3">
      <c r="A103" s="137"/>
      <c r="B103" s="33" t="str">
        <f ca="1">IF(AND(AF21=2,O11="wizard"),"Explorer's Pack",IF(AND(AF21=1,OR(O11="sorcerer",O11="wizard",O11="warlock")),"Scholar's Pack",IF(AND(AF20=1,O11="rogue"),"Dungeoneer's Pack",IF(AND(AF20=2,O11="rogue"),"Explorer's Pack",IF(AND(AF20=3,O11="rogue"),"Burglar's Pack",IF(AND(AF21=1,OR(O11="monk",O11="Fighter",O11="ranger",O11="Sorcerer")),"Explorer's Pack",IF(AND(AF21=2,OR(O11="fighter",O11="monk",O11="ranger",O11="sorcerer",O11="warlock")),"Dungeoneer's Pack",IF(O11="druid","Explorer's Pack",IF(AND(AF21=2,OR(O11="cleric",O11="paladin")),"Explorer's Pack",IF(AND(AF21=1,OR(O11="cleric",O11="paladin")),"Priest's Pack",IF(AND(AF21=1,O11="bard"),"Diplomat's Pack",IF(AND(AF21=2,O11="bard"),"Entertainer's Pack",IF(O11="barbarian","Explorer's Pack"," ")))))))))))))</f>
        <v>Scholar's Pack</v>
      </c>
      <c r="C103" s="33"/>
      <c r="D103" s="33"/>
      <c r="E103" s="33"/>
      <c r="F103" s="33"/>
      <c r="G103" s="33"/>
      <c r="H103" s="33"/>
      <c r="I103" s="33"/>
      <c r="J103" s="33"/>
      <c r="K103" s="33"/>
      <c r="L103" s="33"/>
      <c r="M103" s="33"/>
      <c r="N103" s="33"/>
      <c r="O103" s="33" t="str">
        <f ca="1">IF(B103="Scholar's Pack","SP - Little Bag of Sand",IF(B103="Priest's Pack","PP - 2 Blocks of Incense",IF(B103="Entertainer's Pack","EP - Waterskin",IF(B103="Dungeoneer's Pack","DP - Tinderbox",IF(B103="Diplomat's Pack","DP - Lamp",IF(B103="Burglar's Pack","BP - Hammer",IF(B103="explorer's pack","EP - 10 Days Rations"," ")))))))</f>
        <v>SP - Little Bag of Sand</v>
      </c>
      <c r="P103" s="33" t="str">
        <f ca="1">IF(B103="Diplomat's Pack","DP - Soap",IF(B103="Burglar's Pack","BP - Tinderbox"," "))</f>
        <v xml:space="preserve"> </v>
      </c>
      <c r="Q103" s="33" t="str">
        <f ca="1">INDEX(Items!C47:C66,MATCH(P6,(Items!A47:A66),0))&amp;" CP"</f>
        <v>0 CP</v>
      </c>
      <c r="R103" s="33" t="str">
        <f ca="1">IF(OR(,O11="bard",Q11="bard",O11="cleric",Q11="cleric",O11="druid",Q11="druid",O11="paladin",Q11="paladin",O11="sorcerer",Q11="sorcerer",O11="warlock",Q11="warlock",O11="wizard",Q11="wizard"),"Arcane Focus"," ")</f>
        <v>Arcane Focus</v>
      </c>
      <c r="AJ103" s="31" t="s">
        <v>1170</v>
      </c>
    </row>
    <row r="104" spans="1:82" x14ac:dyDescent="0.3">
      <c r="A104" s="137"/>
      <c r="B104" s="33" t="str">
        <f ca="1">IF(B103="Scholar's Pack","SP - Book of Lore",IF(B103="Priest's Pack","PP - Blanket",IF(B103="Entertainer's Pack","EP - Bedroll",IF(B103="Dungeoneer's Pack","DP - Crowbar",IF(B103="Diplomat's Pack","DP - 2 Map/Scroll Cases",IF(B103="Burglar's Pack","BP - 10' of String",IF(B103="explorer's pack"," EP - Bedroll"," ")))))))</f>
        <v>SP - Book of Lore</v>
      </c>
      <c r="C104" s="33"/>
      <c r="D104" s="33"/>
      <c r="E104" s="33"/>
      <c r="F104" s="33"/>
      <c r="G104" s="33"/>
      <c r="H104" s="33"/>
      <c r="I104" s="33"/>
      <c r="J104" s="33"/>
      <c r="K104" s="33"/>
      <c r="L104" s="33"/>
      <c r="M104" s="33"/>
      <c r="N104" s="33"/>
      <c r="O104" s="33" t="str">
        <f ca="1">IF(B103="Scholar's Pack","SP - Small Knife",IF(B103="Priest's Pack","PP - Censer",IF(B103="Entertainer's Pack","EP - Disguise Kit",IF(B103="Dungeoneer's Pack","DP - 10 Days Rations",IF(B103="Diplomat's Pack","DP - 2 Flasks of Oil",IF(B103="Burglar's Pack","BP - 10 Pitons",IF(B103="explorer's pack","EP - Waterskin"," ")))))))</f>
        <v>SP - Small Knife</v>
      </c>
      <c r="P104" s="33" t="str">
        <f ca="1">IF(B103="Burglar's Pack","BP - Waterskin"," ")</f>
        <v xml:space="preserve"> </v>
      </c>
      <c r="Q104" s="33" t="str">
        <f ca="1">INDEX(Items!D47:D66,MATCH(P6,(Items!A47:A66),0))&amp;" SP"</f>
        <v>0 SP</v>
      </c>
      <c r="R104" s="69" t="str">
        <f ca="1">IF(COUNTIF(B92:B94,"*"&amp;"sling"&amp;"*"),"Sling Bullet Pouch"," ")</f>
        <v>Sling Bullet Pouch</v>
      </c>
      <c r="AJ104" s="58">
        <f ca="1">IF(AK104=0," ",_xlfn.RANK.EQ(AK104,$AK$104:$AK$113))</f>
        <v>3</v>
      </c>
      <c r="AK104" s="60">
        <f t="shared" ref="AK104:AK113" ca="1" si="53">IF(AL104=" ", 0,RAND())</f>
        <v>0.52781426543429155</v>
      </c>
      <c r="AL104" s="29" t="str">
        <f t="shared" ref="AL104:AL113" ca="1" si="54">Q334</f>
        <v>Globe of Invulnerability</v>
      </c>
      <c r="CB104" s="31" t="s">
        <v>737</v>
      </c>
    </row>
    <row r="105" spans="1:82" x14ac:dyDescent="0.3">
      <c r="A105" s="137"/>
      <c r="B105" s="33" t="str">
        <f ca="1">IF(B103="Scholar's Pack","SP - Bottle of Ink",IF(B103="Priest's Pack","PP - 10 Candles",IF(B103="Entertainer's Pack","EP - 2 Costumes",IF(B103="Dungeoneer's Pack","DP -Hammer ",IF(B103="Diplomat's Pack","DP - Set of Fine Clothes",IF(B103="Burglar's Pack","BP - Bell",IF(B103="explorer's pack","EP - Mess Kit"," ")))))))</f>
        <v>SP - Bottle of Ink</v>
      </c>
      <c r="C105" s="33"/>
      <c r="D105" s="33"/>
      <c r="E105" s="33"/>
      <c r="F105" s="33"/>
      <c r="G105" s="33"/>
      <c r="H105" s="33"/>
      <c r="I105" s="33"/>
      <c r="J105" s="33"/>
      <c r="K105" s="33"/>
      <c r="L105" s="33"/>
      <c r="M105" s="33"/>
      <c r="N105" s="33"/>
      <c r="O105" s="33" t="str">
        <f ca="1">IF(B103="Priest's Pack","PP - Vestments",IF(B103="Dungeoneer's Pack","DP - Waterskin",IF(B103="Diplomat's Pack","DP - 5 Sheets of Paper",IF(B103="Burglar's Pack","BP - Hooded Lantern",IF(B103="explorer's pack","EP - 50' Hempen Rope"," ")))))</f>
        <v xml:space="preserve"> </v>
      </c>
      <c r="P105" s="33" t="str">
        <f ca="1">IF(B103="Burglar's Pack","BP - 50' Hempen Rope"," ")</f>
        <v xml:space="preserve"> </v>
      </c>
      <c r="Q105" s="33" t="str">
        <f ca="1">INDEX(Items!E47:E66,MATCH(P6,(Items!A47:A66),0))&amp;" EP"</f>
        <v>0 EP</v>
      </c>
      <c r="R105" s="33" t="str">
        <f ca="1">IF(COUNTIF(B92:B94,"*"&amp;"sling"&amp;"*"),RANDBETWEEN(6,13)&amp;" Sling Bullets"," ")</f>
        <v>6 Sling Bullets</v>
      </c>
      <c r="AJ105" s="58">
        <f t="shared" ref="AJ105:AJ113" ca="1" si="55">IF(AK105=0," ",_xlfn.RANK.EQ(AK105,$AK$104:$AK$113))</f>
        <v>2</v>
      </c>
      <c r="AK105" s="60">
        <f t="shared" ca="1" si="53"/>
        <v>0.66389195324730954</v>
      </c>
      <c r="AL105" s="29" t="str">
        <f t="shared" ca="1" si="54"/>
        <v>Flesh to Stone</v>
      </c>
      <c r="CB105" s="35">
        <f t="shared" ref="CB105:CB111" ca="1" si="56">_xlfn.RANK.EQ(CC105,$CC$105:$CC$111)</f>
        <v>2</v>
      </c>
      <c r="CC105" s="36">
        <f ca="1">IF(BM8&gt;0,0,RAND())</f>
        <v>0.60145522650124195</v>
      </c>
      <c r="CD105" s="29" t="s">
        <v>13</v>
      </c>
    </row>
    <row r="106" spans="1:82" x14ac:dyDescent="0.3">
      <c r="A106" s="137"/>
      <c r="B106" s="33" t="str">
        <f ca="1">IF(B103="Scholar's Pack","SP - Ink Pen",IF(B103="Priest's Pack","PP - Tinderbox",IF(B103="Entertainer's Pack","EP - 5 Candles",IF(B103="Dungeoneer's Pack","DP - 10 Pitons",IF(B103="Diplomat's Pack","DP - Bottle of Ink",IF(B103="Burglar's Pack","BP - 5 Candles",IF(B103="explorer's pack","EP - Tinderbox"," ")))))))</f>
        <v>SP - Ink Pen</v>
      </c>
      <c r="C106" s="33"/>
      <c r="D106" s="33"/>
      <c r="E106" s="33"/>
      <c r="F106" s="33"/>
      <c r="G106" s="33"/>
      <c r="H106" s="33"/>
      <c r="I106" s="33"/>
      <c r="J106" s="33"/>
      <c r="K106" s="33"/>
      <c r="L106" s="33"/>
      <c r="M106" s="33"/>
      <c r="N106" s="33"/>
      <c r="O106" s="33" t="str">
        <f ca="1">IF(B103="Priest's Pack","PP - 2 Days Rations",IF(B103="Dungeoneer's Pack","DP - 50' Hempen Rope",IF(B103="Diplomat's Pack","DP - Vial of Perfume",IF(B103="Burglar's Pack","BP - 2 Flasks of Oil"," "))))</f>
        <v xml:space="preserve"> </v>
      </c>
      <c r="P106" s="33" t="str">
        <f ca="1">VLOOKUP(RANDBETWEEN(1,58),Table296[],2)</f>
        <v>Bag of 20 Caltrops</v>
      </c>
      <c r="Q106" s="33" t="str">
        <f ca="1">INDEX(Items!F47:F66,MATCH(P6,(Items!A47:A66),0))&amp;" GP"</f>
        <v>512 GP</v>
      </c>
      <c r="R106" s="69" t="str">
        <f ca="1">IF(COUNTIF(B92:B94,"*"&amp;"light crossbow"&amp;"*"),"Quiver",IF(COUNTIF(B92:B94,"*"&amp;"hand crossbow"&amp;"*"),"Quiver",IF(COUNTIF(B92:B94,"*"&amp;"heavy crossbow"&amp;"*"),"Quiver",IF(COUNTIF(B92:B94,"*"&amp;"longbow"&amp;"*"),"Quiver",IF(COUNTIF(B92:B94,"*"&amp;"shortbow"&amp;"*"),"Quiver"," ")))))</f>
        <v>Quiver</v>
      </c>
      <c r="AJ106" s="58">
        <f t="shared" ca="1" si="55"/>
        <v>4</v>
      </c>
      <c r="AK106" s="60">
        <f t="shared" ca="1" si="53"/>
        <v>0.16150503004486427</v>
      </c>
      <c r="AL106" s="29" t="str">
        <f t="shared" ca="1" si="54"/>
        <v>Wall of Ice</v>
      </c>
      <c r="CB106" s="35">
        <f t="shared" ca="1" si="56"/>
        <v>6</v>
      </c>
      <c r="CC106" s="36">
        <f ca="1">IF(BM10&gt;0,0,RAND())</f>
        <v>5.7329734094807572E-3</v>
      </c>
      <c r="CD106" s="29" t="s">
        <v>15</v>
      </c>
    </row>
    <row r="107" spans="1:82" x14ac:dyDescent="0.3">
      <c r="A107" s="137"/>
      <c r="B107" s="33" t="str">
        <f ca="1">IF(B103="Scholar's Pack","SP - 10 Sheets of Parchment",IF(B103="Priest's Pack","PP - Alms Box",IF(B103="Entertainer's Pack","EP - 5 Days Rations",IF(B103="Dungeoneer's Pack","DP - 10 Torches",IF(B103="Diplomat's Pack","DP - Ink Pen",IF(B103="Burglar's Pack","BP - Crowbar",IF(B103="explorer's pack","EP - 10 Torches"," ")))))))</f>
        <v>SP - 10 Sheets of Parchment</v>
      </c>
      <c r="C107" s="33"/>
      <c r="D107" s="33"/>
      <c r="E107" s="33"/>
      <c r="F107" s="33"/>
      <c r="G107" s="33"/>
      <c r="H107" s="33"/>
      <c r="I107" s="33"/>
      <c r="J107" s="33"/>
      <c r="K107" s="33"/>
      <c r="L107" s="33"/>
      <c r="M107" s="33"/>
      <c r="N107" s="33"/>
      <c r="O107" s="33" t="str">
        <f ca="1">IF(B103="Priest's Pack","PP - Waterskin",IF(B103="Diplomat's Pack","DP - Sealing Wax",IF(B103="Burglar's Pack","BP - 5 Days Rations"," ")))</f>
        <v xml:space="preserve"> </v>
      </c>
      <c r="P107" s="33" t="str">
        <f ca="1">VLOOKUP(RANDBETWEEN(1,58),Table296[],2)</f>
        <v>Basket</v>
      </c>
      <c r="Q107" s="33" t="str">
        <f ca="1">INDEX(Items!G47:G66,MATCH(P6,(Items!A47:A66),0))&amp;" PP"</f>
        <v>107 PP</v>
      </c>
      <c r="R107" s="33" t="str">
        <f ca="1">IF(COUNTIF(B92:B94,"*"&amp;"longbow"&amp;"*"),RANDBETWEEN(10,24)&amp;" Arrows",IF(COUNTIF(B92:B94,"*"&amp;"shortbow"&amp;"*"),RANDBETWEEN(10,24)&amp;" Arrows",IF(COUNTIF(B92:B94,"*"&amp;"light crossbow"&amp;"*"),RANDBETWEEN(10,24)&amp;" Bolts",IF(COUNTIF(B92:B94,"*"&amp;"hand crossbow"&amp;"*"),RANDBETWEEN(10,24)&amp;" Bolts",IF(COUNTIF(B92:B94,"*"&amp;"heavy crossbow"&amp;"*"),RANDBETWEEN(10,24)&amp;" Bolts"," ")))))</f>
        <v>10 Bolts</v>
      </c>
      <c r="AJ107" s="58">
        <f t="shared" ca="1" si="55"/>
        <v>1</v>
      </c>
      <c r="AK107" s="60">
        <f t="shared" ca="1" si="53"/>
        <v>0.7703870152808886</v>
      </c>
      <c r="AL107" s="29" t="str">
        <f t="shared" ca="1" si="54"/>
        <v>Guards and Wards</v>
      </c>
      <c r="CB107" s="35">
        <f t="shared" ca="1" si="56"/>
        <v>5</v>
      </c>
      <c r="CC107" s="36">
        <f ca="1">IF(BM11&gt;0,0,RAND())</f>
        <v>1.8577390956023843E-2</v>
      </c>
      <c r="CD107" s="29" t="s">
        <v>16</v>
      </c>
    </row>
    <row r="108" spans="1:82" x14ac:dyDescent="0.3">
      <c r="A108" s="137"/>
      <c r="B108" s="33" t="str">
        <f ca="1">IF(AF35&gt;=1,VLOOKUP(RANDBETWEEN(1,200),Table298[],2)," ")</f>
        <v>a fake beard</v>
      </c>
      <c r="C108" s="33"/>
      <c r="D108" s="33"/>
      <c r="E108" s="33"/>
      <c r="F108" s="33"/>
      <c r="G108" s="33"/>
      <c r="H108" s="33"/>
      <c r="I108" s="33"/>
      <c r="J108" s="33"/>
      <c r="K108" s="33"/>
      <c r="L108" s="33"/>
      <c r="M108" s="33"/>
      <c r="N108" s="33"/>
      <c r="O108" s="33" t="str">
        <f ca="1">IF(AF35&gt;=2,VLOOKUP(RANDBETWEEN(1,200),Table298[],2)," ")</f>
        <v xml:space="preserve"> </v>
      </c>
      <c r="P108" s="33" t="str">
        <f ca="1">IF(AF35&gt;=3,VLOOKUP(RANDBETWEEN(1,200),Table298[],2)," ")</f>
        <v xml:space="preserve"> </v>
      </c>
      <c r="AJ108" s="58" t="str">
        <f t="shared" ca="1" si="55"/>
        <v xml:space="preserve"> </v>
      </c>
      <c r="AK108" s="60">
        <f t="shared" ca="1" si="53"/>
        <v>0</v>
      </c>
      <c r="AL108" s="29" t="str">
        <f t="shared" ca="1" si="54"/>
        <v xml:space="preserve"> </v>
      </c>
      <c r="CB108" s="35">
        <f t="shared" ca="1" si="56"/>
        <v>3</v>
      </c>
      <c r="CC108" s="36">
        <f ca="1">IF(BM13&gt;0,0,RAND())</f>
        <v>0.35172734035651487</v>
      </c>
      <c r="CD108" s="29" t="s">
        <v>18</v>
      </c>
    </row>
    <row r="109" spans="1:82" ht="19.5" thickBot="1" x14ac:dyDescent="0.35">
      <c r="B109" s="38" t="str">
        <f ca="1">IF(AND(P6&gt;=5,O11&lt;&gt;"non-classed"),VLOOKUP(RANDBETWEEN(1,100),Table5764[],2)," ")</f>
        <v>Gauntlets of Ogre Power</v>
      </c>
      <c r="O109" s="29" t="str">
        <f ca="1">IF(AND(P6&gt;=11,O11&lt;&gt;"non-classed"),VLOOKUP(RANDBETWEEN(1,100),Table576465[],2)," ")</f>
        <v>Staff of Withering</v>
      </c>
      <c r="P109" s="29" t="str">
        <f ca="1">IF(AND(P6&gt;=17,O11&lt;&gt;"non-classed"),VLOOKUP(RANDBETWEEN(1,100),Table576466[],2)," ")</f>
        <v xml:space="preserve"> </v>
      </c>
      <c r="AJ109" s="58" t="str">
        <f t="shared" ca="1" si="55"/>
        <v xml:space="preserve"> </v>
      </c>
      <c r="AK109" s="60">
        <f t="shared" ca="1" si="53"/>
        <v>0</v>
      </c>
      <c r="AL109" s="29" t="str">
        <f t="shared" ca="1" si="54"/>
        <v xml:space="preserve"> </v>
      </c>
      <c r="CB109" s="35">
        <f t="shared" ca="1" si="56"/>
        <v>1</v>
      </c>
      <c r="CC109" s="36">
        <f ca="1">IF(BM14&gt;0,0,RAND())</f>
        <v>0.64469614372773476</v>
      </c>
      <c r="CD109" s="29" t="s">
        <v>19</v>
      </c>
    </row>
    <row r="110" spans="1:82" ht="19.5" thickBot="1" x14ac:dyDescent="0.35">
      <c r="A110" s="33"/>
      <c r="AJ110" s="58" t="str">
        <f t="shared" ca="1" si="55"/>
        <v xml:space="preserve"> </v>
      </c>
      <c r="AK110" s="60">
        <f t="shared" ca="1" si="53"/>
        <v>0</v>
      </c>
      <c r="AL110" s="29" t="str">
        <f t="shared" ca="1" si="54"/>
        <v xml:space="preserve"> </v>
      </c>
      <c r="CB110" s="35">
        <f t="shared" ca="1" si="56"/>
        <v>4</v>
      </c>
      <c r="CC110" s="36">
        <f ca="1">IF(BM16&gt;0,0,RAND())</f>
        <v>0.20380950835652711</v>
      </c>
      <c r="CD110" s="29" t="s">
        <v>21</v>
      </c>
    </row>
    <row r="111" spans="1:82" ht="30.75" thickBot="1" x14ac:dyDescent="0.45">
      <c r="B111" s="105" t="s">
        <v>1327</v>
      </c>
      <c r="AJ111" s="58" t="str">
        <f t="shared" ca="1" si="55"/>
        <v xml:space="preserve"> </v>
      </c>
      <c r="AK111" s="60">
        <f t="shared" ca="1" si="53"/>
        <v>0</v>
      </c>
      <c r="AL111" s="29" t="str">
        <f t="shared" ca="1" si="54"/>
        <v xml:space="preserve"> </v>
      </c>
      <c r="CB111" s="35">
        <f t="shared" ca="1" si="56"/>
        <v>7</v>
      </c>
      <c r="CC111" s="36">
        <f ca="1">IF(BM20&gt;0,0,RAND())</f>
        <v>0</v>
      </c>
      <c r="CD111" s="29" t="s">
        <v>25</v>
      </c>
    </row>
    <row r="112" spans="1:82" x14ac:dyDescent="0.3">
      <c r="B112" s="74"/>
      <c r="C112" s="75"/>
      <c r="D112" s="75"/>
      <c r="E112" s="75"/>
      <c r="F112" s="75"/>
      <c r="G112" s="75"/>
      <c r="H112" s="75"/>
      <c r="I112" s="75"/>
      <c r="J112" s="75"/>
      <c r="K112" s="75"/>
      <c r="L112" s="75"/>
      <c r="M112" s="75"/>
      <c r="N112" s="75"/>
      <c r="O112" s="75"/>
      <c r="P112" s="76" t="s">
        <v>1124</v>
      </c>
      <c r="Q112" s="76" t="s">
        <v>1166</v>
      </c>
      <c r="R112" s="77" t="s">
        <v>1167</v>
      </c>
      <c r="AJ112" s="58" t="str">
        <f t="shared" ca="1" si="55"/>
        <v xml:space="preserve"> </v>
      </c>
      <c r="AK112" s="60">
        <f t="shared" ca="1" si="53"/>
        <v>0</v>
      </c>
      <c r="AL112" s="29" t="str">
        <f t="shared" ca="1" si="54"/>
        <v xml:space="preserve"> </v>
      </c>
    </row>
    <row r="113" spans="2:82" x14ac:dyDescent="0.3">
      <c r="B113" s="78" t="s">
        <v>1122</v>
      </c>
      <c r="C113" s="33"/>
      <c r="D113" s="33"/>
      <c r="E113" s="33"/>
      <c r="F113" s="33"/>
      <c r="G113" s="33"/>
      <c r="H113" s="33"/>
      <c r="I113" s="33"/>
      <c r="J113" s="33"/>
      <c r="K113" s="33"/>
      <c r="L113" s="33"/>
      <c r="M113" s="33"/>
      <c r="N113" s="33"/>
      <c r="O113" s="34">
        <v>1</v>
      </c>
      <c r="P113" s="33" t="str">
        <f ca="1">IF(P2="forest","Minor Illusion",IF(Q2="tiefling","Thaumaturgy",IF(P2="dark","Dancing Lights",IF(P2="high",INDEX('Spell Tables'!P242:P257,MATCH(1,('Spell Tables'!N242:N257),0))," "))))</f>
        <v>Thaumaturgy</v>
      </c>
      <c r="Q113" s="33" t="str">
        <f ca="1">IF(AND($P$2="Dark",$P$6&gt;=3),"Faerie Fire (1/day)",IF(AND(Q2="tiefling",P6&gt;=3),"Hellish Rebuke (as 2nd Level - 1/day)"," "))</f>
        <v>Hellish Rebuke (as 2nd Level - 1/day)</v>
      </c>
      <c r="R113" s="72" t="str">
        <f ca="1">IF(AND($P$2="Dark",$P$6&gt;=5),"Darkness (1/day)",IF(AND(Q2="tiefling",P6&gt;=5),"Darkness (1/day)"," "))</f>
        <v>Darkness (1/day)</v>
      </c>
      <c r="AJ113" s="58" t="str">
        <f t="shared" ca="1" si="55"/>
        <v xml:space="preserve"> </v>
      </c>
      <c r="AK113" s="60">
        <f t="shared" ca="1" si="53"/>
        <v>0</v>
      </c>
      <c r="AL113" s="29" t="str">
        <f t="shared" ca="1" si="54"/>
        <v xml:space="preserve"> </v>
      </c>
      <c r="CB113" s="31" t="s">
        <v>738</v>
      </c>
    </row>
    <row r="114" spans="2:82" x14ac:dyDescent="0.3">
      <c r="B114" s="79">
        <f ca="1">IF(OR(P2="dark",Q2="tiefling"),8+$P$8+$N$43,IF(P2="Forest",8+$P$8+$N$41," "))</f>
        <v>12</v>
      </c>
      <c r="C114" s="33"/>
      <c r="D114" s="33"/>
      <c r="E114" s="33"/>
      <c r="F114" s="33"/>
      <c r="G114" s="33"/>
      <c r="H114" s="33"/>
      <c r="I114" s="33"/>
      <c r="J114" s="33"/>
      <c r="K114" s="33"/>
      <c r="L114" s="33"/>
      <c r="M114" s="33"/>
      <c r="N114" s="33"/>
      <c r="O114" s="34">
        <v>2</v>
      </c>
      <c r="P114" s="33"/>
      <c r="Q114" s="33"/>
      <c r="R114" s="72"/>
      <c r="CB114" s="35">
        <f t="shared" ref="CB114:CB119" ca="1" si="57">_xlfn.RANK.EQ(CC114,$CC$114:$CC$119)</f>
        <v>4</v>
      </c>
      <c r="CC114" s="36">
        <f ca="1">IF(BM8&gt;0,0,RAND())</f>
        <v>2.9548621431461197E-2</v>
      </c>
      <c r="CD114" s="29" t="s">
        <v>13</v>
      </c>
    </row>
    <row r="115" spans="2:82" x14ac:dyDescent="0.3">
      <c r="B115" s="78" t="s">
        <v>1123</v>
      </c>
      <c r="C115" s="33"/>
      <c r="D115" s="33"/>
      <c r="E115" s="33"/>
      <c r="F115" s="33"/>
      <c r="G115" s="33"/>
      <c r="H115" s="33"/>
      <c r="I115" s="33"/>
      <c r="J115" s="33"/>
      <c r="K115" s="33"/>
      <c r="L115" s="33"/>
      <c r="M115" s="33"/>
      <c r="N115" s="33"/>
      <c r="O115" s="34">
        <v>3</v>
      </c>
      <c r="P115" s="33"/>
      <c r="Q115" s="33"/>
      <c r="R115" s="72"/>
      <c r="AJ115" s="31" t="s">
        <v>1171</v>
      </c>
      <c r="CB115" s="35">
        <f t="shared" ca="1" si="57"/>
        <v>2</v>
      </c>
      <c r="CC115" s="36">
        <f ca="1">IF(BM11&gt;0,0,RAND())</f>
        <v>0.77889290216266804</v>
      </c>
      <c r="CD115" s="29" t="s">
        <v>16</v>
      </c>
    </row>
    <row r="116" spans="2:82" ht="19.5" thickBot="1" x14ac:dyDescent="0.35">
      <c r="B116" s="80">
        <f ca="1">IF(OR(P2="dark",Q2="tiefling"),P8+$N$43,IF(P2="forest",P8+$N$41," "))</f>
        <v>4</v>
      </c>
      <c r="C116" s="38"/>
      <c r="D116" s="38"/>
      <c r="E116" s="38"/>
      <c r="F116" s="38"/>
      <c r="G116" s="38"/>
      <c r="H116" s="38"/>
      <c r="I116" s="38"/>
      <c r="J116" s="38"/>
      <c r="K116" s="38"/>
      <c r="L116" s="38"/>
      <c r="M116" s="38"/>
      <c r="N116" s="38"/>
      <c r="O116" s="38"/>
      <c r="P116" s="38"/>
      <c r="Q116" s="38"/>
      <c r="R116" s="73"/>
      <c r="AJ116" s="58" t="str">
        <f ca="1">IF(AK116=0," ",_xlfn.RANK.EQ(AK116,$AK$116:$AK$125))</f>
        <v xml:space="preserve"> </v>
      </c>
      <c r="AK116" s="60">
        <f t="shared" ref="AK116:AK125" ca="1" si="58">IF(AL116=" ", 0,RAND())</f>
        <v>0</v>
      </c>
      <c r="AL116" s="29" t="str">
        <f t="shared" ref="AL116:AL125" ca="1" si="59">R334</f>
        <v xml:space="preserve"> </v>
      </c>
      <c r="CB116" s="35">
        <f t="shared" ca="1" si="57"/>
        <v>5</v>
      </c>
      <c r="CC116" s="36">
        <f ca="1">IF(BM12&gt;0,0,RAND())</f>
        <v>0</v>
      </c>
      <c r="CD116" s="29" t="s">
        <v>17</v>
      </c>
    </row>
    <row r="117" spans="2:82" ht="19.5" thickBot="1" x14ac:dyDescent="0.35">
      <c r="AJ117" s="58" t="str">
        <f t="shared" ref="AJ117:AJ125" ca="1" si="60">IF(AK117=0," ",_xlfn.RANK.EQ(AK117,$AK$116:$AK$125))</f>
        <v xml:space="preserve"> </v>
      </c>
      <c r="AK117" s="60">
        <f t="shared" ca="1" si="58"/>
        <v>0</v>
      </c>
      <c r="AL117" s="29" t="str">
        <f t="shared" ca="1" si="59"/>
        <v xml:space="preserve"> </v>
      </c>
      <c r="CB117" s="35">
        <f t="shared" ca="1" si="57"/>
        <v>3</v>
      </c>
      <c r="CC117" s="36">
        <f ca="1">IF(BM14&gt;0,0,RAND())</f>
        <v>0.59787834760708114</v>
      </c>
      <c r="CD117" s="29" t="s">
        <v>19</v>
      </c>
    </row>
    <row r="118" spans="2:82" ht="30.75" thickBot="1" x14ac:dyDescent="0.45">
      <c r="B118" s="105" t="s">
        <v>1334</v>
      </c>
      <c r="AJ118" s="58" t="str">
        <f t="shared" ca="1" si="60"/>
        <v xml:space="preserve"> </v>
      </c>
      <c r="AK118" s="60">
        <f t="shared" ca="1" si="58"/>
        <v>0</v>
      </c>
      <c r="AL118" s="29" t="str">
        <f t="shared" ca="1" si="59"/>
        <v xml:space="preserve"> </v>
      </c>
      <c r="CB118" s="35">
        <f t="shared" ca="1" si="57"/>
        <v>1</v>
      </c>
      <c r="CC118" s="36">
        <f ca="1">IF(BM15&gt;0,0,RAND())</f>
        <v>0.8771524783620287</v>
      </c>
      <c r="CD118" s="29" t="s">
        <v>20</v>
      </c>
    </row>
    <row r="119" spans="2:82" x14ac:dyDescent="0.3">
      <c r="B119" s="79"/>
      <c r="C119" s="27"/>
      <c r="D119" s="27"/>
      <c r="E119" s="27"/>
      <c r="F119" s="27"/>
      <c r="G119" s="27"/>
      <c r="H119" s="27"/>
      <c r="I119" s="27"/>
      <c r="J119" s="27"/>
      <c r="K119" s="27"/>
      <c r="L119" s="27"/>
      <c r="M119" s="27"/>
      <c r="N119" s="27"/>
      <c r="O119" s="27"/>
      <c r="P119" s="76" t="s">
        <v>1124</v>
      </c>
      <c r="Q119" s="76" t="s">
        <v>1166</v>
      </c>
      <c r="R119" s="76" t="s">
        <v>1167</v>
      </c>
      <c r="S119" s="76" t="s">
        <v>1168</v>
      </c>
      <c r="T119" s="77" t="s">
        <v>676</v>
      </c>
      <c r="AJ119" s="58" t="str">
        <f t="shared" ca="1" si="60"/>
        <v xml:space="preserve"> </v>
      </c>
      <c r="AK119" s="60">
        <f t="shared" ca="1" si="58"/>
        <v>0</v>
      </c>
      <c r="AL119" s="29" t="str">
        <f t="shared" ca="1" si="59"/>
        <v xml:space="preserve"> </v>
      </c>
      <c r="CB119" s="35">
        <f t="shared" ca="1" si="57"/>
        <v>5</v>
      </c>
      <c r="CC119" s="36">
        <f ca="1">IF(BM20&gt;0,0,RAND())</f>
        <v>0</v>
      </c>
      <c r="CD119" s="29" t="s">
        <v>25</v>
      </c>
    </row>
    <row r="120" spans="2:82" x14ac:dyDescent="0.3">
      <c r="B120" s="78" t="str">
        <f ca="1">IF(P15="way of the four elements","Way of the Four Elements",IF(AND(O11="wizard",O12&gt;=20),"Signature Spell",IF(AND($O$11="paladin",$O$12&gt;=3),"Oath Spells",IF(AND($P$15="moon",$O$12&gt;=14),"Thousand Forms",IF($P$15="way of the shadow","Shadow Arts",IF(AND($O$11="druid",$P$15="land"),"Land Circle Spells",IF($O$11="cleric","Domain Spells",IF($O$11="bard","Magical Secrets",IF($P$15="path of the totem warrior","Totem Warrior Spells",IF(AND($O$11="warlock",$O$12&gt;=2),"Mystic Arcanum and Invocation",IF($P$15="arcane trickster","4th,8th,14th,20th non E&amp;I spells",IF($P$15="eldritch knight","4th,8th,14th,20th non A&amp;E spells"," "))))))))))))</f>
        <v xml:space="preserve"> </v>
      </c>
      <c r="C120" s="33"/>
      <c r="D120" s="33"/>
      <c r="E120" s="33"/>
      <c r="F120" s="33"/>
      <c r="G120" s="33"/>
      <c r="H120" s="33"/>
      <c r="I120" s="33"/>
      <c r="J120" s="33"/>
      <c r="K120" s="33"/>
      <c r="L120" s="33"/>
      <c r="M120" s="33"/>
      <c r="N120" s="33"/>
      <c r="O120" s="34">
        <v>1</v>
      </c>
      <c r="P120" s="33" t="str">
        <f ca="1">IF($O$16="pact of the tome",INDEX('Spell Tables'!$BD$19:$BD$37,MATCH(1,('Spell Tables'!$BB$19:$BB$37),0)),IF($P$15="way of the shadow","Minor Illusion (free)",IF($P$15="land",INDEX('Spell Tables'!P48:P55,MATCH(8,('Spell Tables'!N48:N55),0)),IF($P$15="nature",INDEX('Spell Tables'!P48:P55,MATCH(6,('Spell Tables'!N48:N55),0)),IF($P$15="light","Light",IF(AND($O$11="bard",AL191="c"),INDEX('Spell Tables'!$BD$2:$BD$16,MATCH(10,('Spell Tables'!$BB$2:$BB$16),0))," "))))))</f>
        <v xml:space="preserve"> </v>
      </c>
      <c r="Q120" s="33" t="str">
        <f ca="1">IF(COUNTIF(P18:P21,"*"&amp;"Fist of Four Thunders"&amp;"*"),"Thunderwave (2 ki)",IF(COUNTIF($O$18:$O$25,"*"&amp;"armor of shadows"&amp;"*"),"Mage Armor*",IF($P$15="oath of vengeance","Bane",IF($P$15="Oath of the Ancients","Ensnaring Strike",IF($P$15="Oath of Devotion","Protection from Good and Evil",IF(AND($P$15="war",$O$12&gt;=1),"Divine Favor",IF(AND($P$15="Trickery",$O$12&gt;=1),"Charm Person",IF(AND($P$15="tempest",$O$12&gt;=1),"Fog Cloud",IF(AND($P$15="nature",$O$12&gt;=1),"Animal Friendship",IF(AND($P$15="light",$O$12&gt;=1),"Burning Hands",IF($P$15="life","Bless",IF($P$15="knowledge","Command",IF(AND($O$11="bard",AL155=1),INDEX('Spell Tables'!$BH$2:$BH$41,MATCH($O$120,('Spell Tables'!$BF$2:$BF$41),0)),IF($P$15="arcane trickster",INDEX('Spell Tables'!$X$141:$X$163,MATCH(O120,('Spell Tables'!$V$141:$V$163),0)),IF($P$15="path of the totem warrior","Speak with Animals (as ritual)",IF($P$15="eldritch knight",INDEX('Spell Tables'!$X$70:$X$90,MATCH($O$120,('Spell Tables'!$V$70:$V$90),0))," "))))))))))))))))</f>
        <v xml:space="preserve"> </v>
      </c>
      <c r="R120" s="33" t="str">
        <f ca="1">IF(COUNTIF(P18:P21,"*"&amp;"Clench of the North Wind"&amp;"*"),"Hold Person (3 ki)",IF(COUNTIF(P18:P21,"*"&amp;"Clench of the North Wind"&amp;"*"),"Hold Person (3 ki)",IF(COUNTIF(O18:O25,"*"&amp;"ascendant step"&amp;"*"),"Levitate*",IF(AND(P15="oath of vengeance",O12&gt;=5),"Hold Person",IF(AND(P15="Oath of the Ancients",O12&gt;=5),"Moonbeam",IF(AND(P15="Oath of Devotion",O12&gt;=5),"Lesser Restoration",IF(AND(P15="moon",O12&gt;=14),"Alter Self",IF(P15="Way of the Shadow","Darkness",IF(AND($P$20="Underdark",$O$12&gt;=3),"Spider Climb",IF(AND($P$20="Swamp",$O$12&gt;=3),"Darkness",IF(AND($P$20="Mountain",$O$12&gt;=3),"Spider Climb",IF(AND($P$20="Grassland",$O$12&gt;=3),"Invisibility",IF(AND($P$20="Forest",$O$12&gt;=3),"Barkskin",IF(AND($P$20="Desert",$O$12&gt;=3),"Blur",IF(AND($P$20="Coast",$O$12&gt;=3),"Mirror Image",IF(AND($P$20="arctic",$O$12&gt;=3),"Hold Person",IF(AND(P15="war",O12&gt;=3),"Magic Weapon",IF(AND(P15="Trickery",O12&gt;=3),"Mirror Image",IF(AND(P15="tempest",O12&gt;=3),"Gust of Wind",IF(AND(P15="nature",O12&gt;=3),"Barkskin",IF(AND(P15="light",O12&gt;=3),"Flaming Sphere",IF(AND(P15="Life",O12&gt;=3),"Lesser Restoration",IF(AND(P15="knowledge",O12&gt;=3),"Augury",IF(AND(O11="bard",AL155=2),INDEX('Spell Tables'!BL2:BL37,MATCH(O120,('Spell Tables'!BJ2:BJ37),0)),IF(P15="path of the totem warrior","Beast Sense (as ritual)",IF(AND(P15="eldritch knight",O12&gt;=8),INDEX('Spell Tables'!AF70:AF94,MATCH(#REF!,('Spell Tables'!AD70:AD94),0)),IF(AND(P15="arcane trickster",O12&gt;=8),INDEX('Spell Tables'!AF141:AF165,MATCH(#REF!,('Spell Tables'!AD141:AD165),0))," ")))))))))))))))))))))))))))</f>
        <v xml:space="preserve"> </v>
      </c>
      <c r="S120" s="33" t="str">
        <f ca="1">IF(COUNTIF(P18:P21,"*"&amp;"Mist Stance"&amp;"*"),"Gaseous Form (4 ki)",IF(AND($O$11="wizard",O12&gt;=20),INDEX('Spell Tables'!$AB$242:$AB$270,MATCH(29,('Spell Tables'!$Z$242:$Z$270),0)),IF(COUNTIF(O18:O25,"*"&amp;"mire the mind"&amp;"*"),"Slow**",IF(AND(P15="oath of vengeance",O12&gt;=9),"Haste",IF(AND(P15="Oath of the Ancients",O12&gt;=9),"Plant Growth",IF(AND(P15="Oath of Devotion",O12&gt;=9),"Beacon of Hope",IF(AND($P$20="Underdark",$O$12&gt;=5),"Gaseous Form",IF(AND($P$20="Swamp",$O$12&gt;=5),"Water Walk",IF(AND($P$20="Mountain",$O$12&gt;=5),"Lightning Bolt",IF(AND($P$20="Grassland",$O$12&gt;=5),"Daylight",IF(AND($P$20="Forest",$O$12&gt;=5),"Call Lightning",IF(AND($P$20="Desert",$O$12&gt;=5),"Create Food and Water",IF(AND($P$20="Coast",$O$12&gt;=5),"Water Breathing",IF(AND($P$20="arctic",$O$12&gt;=5),"Sleet Storm",IF(AND(P15="war",O12&gt;=5),"Crusader's Mantle",IF(AND(P15="trickery",O12&gt;=5),"Blink",IF(AND(P15="tempest",O12&gt;=5),"Call Lightning",IF(AND(P15="nature",O12&gt;=5),"Plant Growth",IF(AND(P15="light",O12&gt;=5),"Daylight",IF(AND(P15="life",O12&gt;=5),"Beacon of Hope",IF(AND(P15="knowledge",O12&gt;=5),"Nondetection",IF(AND(O11="bard",AL155=3),INDEX('Spell Tables'!BP2:BP35,MATCH(O120,('Spell Tables'!BN2:BN35),0)),IF(AND(P15="arcane trickster",O12&gt;=14),INDEX('Spell Tables'!AN141:AN165,MATCH(O120,('Spell Tables'!AL141:AL165),0)),IF(AND(P15="eldritch knight",O12&gt;=14),INDEX('Spell Tables'!AN70:AN88,MATCH(O120,('Spell Tables'!AL70:AL88),0))," "))))))))))))))))))))))))</f>
        <v xml:space="preserve"> </v>
      </c>
      <c r="T120" s="72" t="str">
        <f ca="1">IF(COUNTIF(P18:P21,"*"&amp;"Eternal Mountain Defense"&amp;"*"),"Stoneskin (5 ki)",IF(COUNTIF(O18:O25,"*"&amp;"bewitching whispers"&amp;"*"),"Compulsion**",IF(AND(P15="oath of vengeance",O12&gt;=13),"Banishment",IF(AND(P15="Oath of the Ancients",O12&gt;=13),"Ice Storm",IF(AND(P15="Oath of Devotion",O12&gt;=13),"Freedom of Movement",IF(AND($P$20="Underdark",$O$12&gt;=7),"Greater Invisibility",IF(AND($P$20="Swamp",$O$12&gt;=7),"Freedom of Movement",IF(AND($P$20="Mountain",$O$12&gt;=7),"Stone Shape",IF(AND($P$20="Grassland",$O$12&gt;=7),"Divination",IF(AND($P$20="Forest",$O$12&gt;=7),"Divination",IF(AND($P$20="Desert",$O$12&gt;=7),"Blight",IF(AND($P$20="Coast",$O$12&gt;=7),"Control Water",IF(AND($P$20="arctic",$O$12&gt;=7),"Freedom of Movement",IF(AND(P15="war",O12&gt;=7),"Freedom of Movement",IF(AND(P15="trickery",O12&gt;=7),"Dimension Door",IF(AND(P15="tempest",O12&gt;=7),"Control Water",IF(AND(P15="nature",O12&gt;=7),"Dominate Beast",IF(AND(P15="light",O12&gt;=7),"Guardian of Faith",IF(AND(P15="life",O12&gt;=7),"Death Ward",IF(AND(P15="knowledge",O12&gt;=7),"Arcane Eye",IF(AND(O11="bard",AL155=4),INDEX('Spell Tables'!BT2:BT29,MATCH(O120,('Spell Tables'!BR2:BR29),0)),IF(AND(P15="arcane trickster",O12&gt;=20),INDEX('Spell Tables'!AV141:AV159,MATCH(O120,('Spell Tables'!AT141:AT159),0)),IF(AND(P15="eldritch knight",O12&gt;=20),INDEX('Spell Tables'!AV70:AV86,MATCH(O120,('Spell Tables'!AT70:AT86),0))," ")))))))))))))))))))))))</f>
        <v xml:space="preserve"> </v>
      </c>
      <c r="AJ120" s="58" t="str">
        <f t="shared" ca="1" si="60"/>
        <v xml:space="preserve"> </v>
      </c>
      <c r="AK120" s="60">
        <f t="shared" ca="1" si="58"/>
        <v>0</v>
      </c>
      <c r="AL120" s="29" t="str">
        <f t="shared" ca="1" si="59"/>
        <v xml:space="preserve"> </v>
      </c>
    </row>
    <row r="121" spans="2:82" x14ac:dyDescent="0.3">
      <c r="B121" s="79" t="str">
        <f ca="1">IF(P15="way of the four elements","Elemental Disciplines - cost Ki",IF(AND(O11="wizard",O12&gt;=20),"Always Prepared",IF(AND($O$11="warlock",$O$12&gt;=2),"* = at will - no slot use",IF($P$15="land",$P$20," "))))</f>
        <v xml:space="preserve"> </v>
      </c>
      <c r="C121" s="33"/>
      <c r="D121" s="33"/>
      <c r="E121" s="33"/>
      <c r="F121" s="33"/>
      <c r="G121" s="33"/>
      <c r="H121" s="33"/>
      <c r="I121" s="33"/>
      <c r="J121" s="33"/>
      <c r="K121" s="33"/>
      <c r="L121" s="33"/>
      <c r="M121" s="33"/>
      <c r="N121" s="33"/>
      <c r="O121" s="34">
        <v>2</v>
      </c>
      <c r="P121" s="33" t="str">
        <f ca="1">IF($O$16="pact of the tome",INDEX('Spell Tables'!$BD$19:$BD$37,MATCH(2,('Spell Tables'!$BB$19:$BB$37),0)),IF(AND($O$11="bard",AL192="c"),INDEX('Spell Tables'!$BD$2:$BD$16,MATCH(11,('Spell Tables'!$BB$2:$BB$16),0))," "))</f>
        <v xml:space="preserve"> </v>
      </c>
      <c r="Q121" s="33" t="str">
        <f ca="1">IF(COUNTIF(P18:P21,"*"&amp;"Sweeping Cinder Strike"&amp;"*"),"Burning Hands (2 ki)",IF(COUNTIF(O18:O25,"*"&amp;"beast speech"&amp;"*"),"Speak with Animals*",IF(P15="Oath of the Ancients","Speak with Animals",IF(P15="Oath of vengeance","Hunter's Mark",IF(P15="Oath of Devotion","Sanctuary",IF(AND(P15="war",O12&gt;=1),"Shield of Faith",IF(AND(P15="trickery",O12&gt;=1),"Disguise Self",IF(AND(P15="tempest",O12&gt;=1),"Thunderwave",IF(AND(P15="Nature",O12&gt;=1),"Speak with Animals",IF(AND(P15="light",O12&gt;=1),"Faerie Fire",IF(P15="life","Cure Wounds",IF(P15="knowledge","Identify",IF(AND($O$11="bard",AL156=1),INDEX('Spell Tables'!$BH$2:$BH$41,MATCH(O121,('Spell Tables'!$BF$2:$BF$41),0))," ")))))))))))))</f>
        <v xml:space="preserve"> </v>
      </c>
      <c r="R121" s="33" t="str">
        <f ca="1">IF(COUNTIF(P18:P21,"*"&amp;"Gong of the Summit"&amp;"*"),"Shatter (3 ki)",IF(COUNTIF(O18:O25,"*"&amp;"master of myriad forms"&amp;"*"),"Alter Self*",IF(AND(P15="oath of vengeance",O12&gt;=5),"Misty Step",IF(AND(P15="Oath of the Ancients",O12&gt;=5),"Misty Step",IF(AND(P15="Oath of Devotion",O12&gt;=5),"Zone of Truth",IF(P15="way of the shadow","Darkvision",IF(AND($P$20="Underdark",$O$12&gt;=3),"Web",IF(AND($P$20="Swamp",$O$12&gt;=3),"Melf's Acid Arrow",IF(AND($P$20="Mountain",$O$12&gt;=3),"Spike Growth",IF(AND($P$20="Grassland",$O$12&gt;=3),"Pass Without Trace",IF(AND($P$20="Forest",$O$12&gt;=3),"Spider Climb",IF(AND($P$20="Desert",$O$12&gt;=3),"Silence",IF(AND($P$20="Coast",$O$12&gt;=3),"Misty Step",IF(AND($P$20="arctic",$O$12&gt;=3),"Spike Growth",IF(AND(P15="war",O12&gt;=3),"Spiritual Weapon",IF(AND(P15="trickery",O12&gt;=3),"Pass Without Trace",IF(AND(P15="tempest",O12&gt;=3),"Shatter",IF(AND(P15="nature",O12&gt;=3),"Spike Growth",IF(AND(P15="light",O12&gt;=3),"Scorching Ray",IF(AND(P15="life",O12&gt;=3),"Spiritual Weapon",IF(AND(P15="knowledge",O12&gt;=3),"Suggestion",IF(AND($O$11="bard",AL156=2),INDEX('Spell Tables'!$BL$2:$BL$37,MATCH(O121,('Spell Tables'!$BJ$2:$BJ$37),0))," "))))))))))))))))))))))</f>
        <v xml:space="preserve"> </v>
      </c>
      <c r="S121" s="33" t="str">
        <f ca="1">IF(COUNTIF(P18:P21,"*"&amp;"Ride the Wind"&amp;"*"),"Fly (4 ki)",IF(AND($O$11="wizard",O12&gt;=20),INDEX('Spell Tables'!$AB$242:$AB$270,MATCH(28,('Spell Tables'!$Z$242:$Z$270),0)),IF(COUNTIF(O18:O25,"*"&amp;"sign of ill omen"&amp;"*"),"Bestow Curse**",IF(AND(P15="oath of vengeance",O12&gt;=9),"Protection from Energy",IF(AND(P15="Oath of the Ancients",O12&gt;=9),"Protection from Energy",IF(AND(P15="Oath of Devotion",O12&gt;=9),"Dispel Magic",IF(AND($P$20="Underdark",$O$12&gt;=5),"Stinking Cloud",IF(AND($P$20="Swamp",$O$12&gt;=5),"Stinking Cloud",IF(AND($P$20="Mountain",$O$12&gt;=5),"Meld Into Stone",IF(AND($P$20="Grassland",$O$12&gt;=5),"Haste",IF(AND($P$20="Forest",$O$12&gt;=5),"Plant Growth",IF(AND($P$20="Desert",$O$12&gt;=5),"Protection from Energy",IF(AND($P$20="Coast",$O$12&gt;=5),"Water Walk",IF(AND($P$20="arctic",$O$12&gt;=5),"Slow",IF(AND(P15="war",O12&gt;=5),"Spirit Guardians",IF(AND(P15="trickery",O12&gt;=5),"Dispel Magic",IF(AND(P15="Tempest",O12&gt;=5),"Sleet Storm",IF(AND(P15="nature",O12&gt;=5),"Wind Wall",IF(AND(P15="light",O12&gt;=5),"Fireball",IF(AND(P15="life",O12&gt;=5),"Revivify",IF(AND(P15="knowledge",O12&gt;=5),"Speak with Dead",IF(AND($O$11="bard",AL156=3),INDEX('Spell Tables'!$BP$2:$BP$35,MATCH(O121,('Spell Tables'!$BN$2:$BN$35),0))," "))))))))))))))))))))))</f>
        <v xml:space="preserve"> </v>
      </c>
      <c r="T121" s="72" t="str">
        <f ca="1">IF(COUNTIF(P18:P21,"*"&amp;"River of Hungry Flame"&amp;"*"),"Wall of Fire (5 ki)",IF(COUNTIF(O18:O25,"*"&amp;"Dreadful word"&amp;"*"),"Confusion**",IF(AND(P15="oath of vengeance",O12&gt;=13),"Dimension Door",IF(AND(P15="Oath of the Ancients",O12&gt;=13),"Stoneskin",IF(AND(P15="Oath of Devotion",O12&gt;=13),"Guardian of Faith",IF(AND($P$20="Underdark",$O$12&gt;=7),"Stone Shape",IF(AND($P$20="Swamp",$O$12&gt;=7),"Locate Creature",IF(AND($P$20="Mountain",$O$12&gt;=7),"Stonekin",IF(AND($P$20="Grassland",$O$12&gt;=7),"Freedom of Movement",IF(AND($P$20="Forest",$O$12&gt;=7),"Freedom of Movement",IF(AND($P$20="Desert",$O$12&gt;=7),"Hallucinatory Terrain",IF(AND($P$20="Coast",$O$12&gt;=7),"Freedom of Movement",IF(AND($P$20="arctic",$O$12&gt;=7),"Ice Storm",IF(AND(P15="war",O12&gt;=7),"Stoneskin",IF(AND(P15="trickery",O12&gt;=7),"Polymorph",IF(AND(P15="tempest",O12&gt;=7),"Ice Storm",IF(AND(P15="nature",O12&gt;=7),"Grasping Vine",IF(AND(P15="light",O12&gt;=7),"Wall of Fire",IF(AND(P15="life",O12&gt;=7),"Guardian of Faith",IF(AND(P15="knowledge",O12&gt;=7),"Confusion",IF(AND($O$11="bard",AL156=4),INDEX('Spell Tables'!$BT$2:$BT$29,MATCH(O121,('Spell Tables'!$BR$2:$BR$29),0))," ")))))))))))))))))))))</f>
        <v xml:space="preserve"> </v>
      </c>
      <c r="AJ121" s="58" t="str">
        <f t="shared" ca="1" si="60"/>
        <v xml:space="preserve"> </v>
      </c>
      <c r="AK121" s="60">
        <f t="shared" ca="1" si="58"/>
        <v>0</v>
      </c>
      <c r="AL121" s="29" t="str">
        <f t="shared" ca="1" si="59"/>
        <v xml:space="preserve"> </v>
      </c>
    </row>
    <row r="122" spans="2:82" x14ac:dyDescent="0.3">
      <c r="B122" s="79" t="str">
        <f ca="1">IF(AND(O11="wizard",O12&gt;=20),"Cast once at 3rd level - no slot use",IF(AND($O$11="warlock",$O$12&gt;=2),"** = once per long rest - uses slot",IF(AND($O$11="paladin",$O$12&gt;=3),"Free Preparation",IF(AND($P$15="moon",$O$12&gt;=14),"At Will",IF($P$15="way of the shadow","Cost 2 Ki Points",IF(OR($P$15="land",$O$11="cleric"),"Free Preparation",IF(AND($O$11="bard",$O$12&gt;=10),"Count Toward Known"," ")))))))</f>
        <v xml:space="preserve"> </v>
      </c>
      <c r="C122" s="33"/>
      <c r="D122" s="33"/>
      <c r="E122" s="33"/>
      <c r="F122" s="33"/>
      <c r="G122" s="33"/>
      <c r="H122" s="33"/>
      <c r="I122" s="33"/>
      <c r="J122" s="33"/>
      <c r="K122" s="33"/>
      <c r="L122" s="33"/>
      <c r="M122" s="33"/>
      <c r="N122" s="33"/>
      <c r="O122" s="34">
        <v>3</v>
      </c>
      <c r="P122" s="33" t="str">
        <f ca="1">IF($O$16="pact of the tome",INDEX('Spell Tables'!$BD$19:$BD$37,MATCH(3,('Spell Tables'!$BB$19:$BB$37),0))," ")</f>
        <v xml:space="preserve"> </v>
      </c>
      <c r="Q122" s="29" t="str">
        <f ca="1">IF(COUNTIF(O18:O25,"*"&amp;"eldritch sight"&amp;"*"),"Detect Magic*",IF(AND($O$11="bard",AL191=1),INDEX('Spell Tables'!$BH$2:$BH$41,MATCH(O122,('Spell Tables'!$BF$2:$BF$41),0))," "))</f>
        <v xml:space="preserve"> </v>
      </c>
      <c r="R122" s="33" t="str">
        <f ca="1">IF(COUNTIF(P18:P21,"*"&amp;"Rush of the Gale Spirits"&amp;"*"),"Gust of Wind (2 ki)",IF(P15="way of the shadow","Pass Without Trace",IF(AND($O$11="bard",AL191=2),INDEX('Spell Tables'!$BL$2:$BL$37,MATCH(O122,('Spell Tables'!$BJ$2:$BJ$37),0))," ")))</f>
        <v xml:space="preserve"> </v>
      </c>
      <c r="S122" s="33" t="str">
        <f ca="1">IF(COUNTIF(O18:O25,"*"&amp;"whispers of the grave"&amp;"*"),"Speak with Dead*",IF(AND($O$11="bard",AL191=3),INDEX('Spell Tables'!$BP$2:$BP$35,MATCH(O122,('Spell Tables'!$BN$2:$BN$35),0))," "))</f>
        <v xml:space="preserve"> </v>
      </c>
      <c r="T122" s="72" t="str">
        <f ca="1">IF(COUNTIF(O18:O25,"*"&amp;"Sculptor of Flesh"&amp;"*"),"Polymorph**"," ")</f>
        <v xml:space="preserve"> </v>
      </c>
      <c r="AJ122" s="58" t="str">
        <f t="shared" ca="1" si="60"/>
        <v xml:space="preserve"> </v>
      </c>
      <c r="AK122" s="60">
        <f t="shared" ca="1" si="58"/>
        <v>0</v>
      </c>
      <c r="AL122" s="29" t="str">
        <f t="shared" ca="1" si="59"/>
        <v xml:space="preserve"> </v>
      </c>
    </row>
    <row r="123" spans="2:82" x14ac:dyDescent="0.3">
      <c r="B123" s="79" t="str">
        <f ca="1">IF(AND($O$11="warlock",$O$12&gt;=2),"6th level and up = *"," ")</f>
        <v xml:space="preserve"> </v>
      </c>
      <c r="O123" s="81">
        <v>4</v>
      </c>
      <c r="Q123" s="29" t="str">
        <f ca="1">IF(COUNTIF(O18:O25,"*"&amp;"fiendish vigor"&amp;"*"),"False Life*",IF(AND($O$11="bard",AL192=1),INDEX('Spell Tables'!$BH$2:$BH$41,MATCH(O123,('Spell Tables'!$BF$2:$BF$41),0))," "))</f>
        <v xml:space="preserve"> </v>
      </c>
      <c r="R123" s="29" t="str">
        <f ca="1">IF(P15="way of the shadow","Silence",IF(AND($O$11="bard",AL192=2),INDEX('Spell Tables'!$BL$2:$BL$37,MATCH(O123,('Spell Tables'!$BJ$2:$BJ$37),0))," "))</f>
        <v xml:space="preserve"> </v>
      </c>
      <c r="S123" s="29" t="str">
        <f ca="1">IF(AND($O$11="bard",AL192=3),INDEX('Spell Tables'!$BP$2:$BP$35,MATCH(O123,('Spell Tables'!$BN$2:$BN$35),0))," ")</f>
        <v xml:space="preserve"> </v>
      </c>
      <c r="T123" s="72" t="str">
        <f ca="1">IF(COUNTIF(O18:O25,"*"&amp;"visions of distant realms"&amp;"*"),"Arcane Eye*"," ")</f>
        <v xml:space="preserve"> </v>
      </c>
      <c r="AJ123" s="58" t="str">
        <f t="shared" ca="1" si="60"/>
        <v xml:space="preserve"> </v>
      </c>
      <c r="AK123" s="60">
        <f t="shared" ca="1" si="58"/>
        <v>0</v>
      </c>
      <c r="AL123" s="29" t="str">
        <f t="shared" ca="1" si="59"/>
        <v xml:space="preserve"> </v>
      </c>
    </row>
    <row r="124" spans="2:82" x14ac:dyDescent="0.3">
      <c r="B124" s="79"/>
      <c r="O124" s="81">
        <v>5</v>
      </c>
      <c r="Q124" s="29" t="str">
        <f ca="1">IF(COUNTIF(O18:O25,"*"&amp;"Mask of many faces"&amp;"*"),"Disguise Self*","")</f>
        <v/>
      </c>
      <c r="T124" s="72"/>
      <c r="AJ124" s="58" t="str">
        <f t="shared" ca="1" si="60"/>
        <v xml:space="preserve"> </v>
      </c>
      <c r="AK124" s="60">
        <f t="shared" ca="1" si="58"/>
        <v>0</v>
      </c>
      <c r="AL124" s="29" t="str">
        <f t="shared" ca="1" si="59"/>
        <v xml:space="preserve"> </v>
      </c>
    </row>
    <row r="125" spans="2:82" x14ac:dyDescent="0.3">
      <c r="B125" s="79"/>
      <c r="O125" s="81">
        <v>6</v>
      </c>
      <c r="Q125" s="29" t="str">
        <f ca="1">IF(COUNTIF(O18:O25,"*"&amp;"misty vision"&amp;"*"),"Silent Image*"," " )</f>
        <v xml:space="preserve"> </v>
      </c>
      <c r="T125" s="72"/>
      <c r="AJ125" s="58" t="str">
        <f t="shared" ca="1" si="60"/>
        <v xml:space="preserve"> </v>
      </c>
      <c r="AK125" s="60">
        <f t="shared" ca="1" si="58"/>
        <v>0</v>
      </c>
      <c r="AL125" s="29" t="str">
        <f t="shared" ca="1" si="59"/>
        <v xml:space="preserve"> </v>
      </c>
    </row>
    <row r="126" spans="2:82" x14ac:dyDescent="0.3">
      <c r="B126" s="79"/>
      <c r="O126" s="81">
        <v>7</v>
      </c>
      <c r="Q126" s="29" t="str">
        <f ca="1">IF(COUNTIF(O18:O25,"*"&amp;"otherworldly leap"&amp;"*"),"Jump*"," ")</f>
        <v xml:space="preserve"> </v>
      </c>
      <c r="T126" s="72"/>
    </row>
    <row r="127" spans="2:82" x14ac:dyDescent="0.3">
      <c r="B127" s="79"/>
      <c r="O127" s="81">
        <v>8</v>
      </c>
      <c r="Q127" s="29" t="str">
        <f ca="1">IF(COUNTIF(O18:O25,"*"&amp;"Thief of five fates"&amp;"*"),"Bane**"," ")</f>
        <v xml:space="preserve"> </v>
      </c>
      <c r="T127" s="72"/>
      <c r="AJ127" s="31" t="s">
        <v>677</v>
      </c>
    </row>
    <row r="128" spans="2:82" x14ac:dyDescent="0.3">
      <c r="B128" s="79" t="str">
        <f ca="1">IF(AND($O$16="pact of the tome",COUNTIF($O$13:$O$13,"*"&amp;"book of ancient secrets"&amp;"*")),"Book of Ancient Secrets"," ")</f>
        <v xml:space="preserve"> </v>
      </c>
      <c r="O128" s="81">
        <v>9</v>
      </c>
      <c r="Q128" s="29" t="str">
        <f ca="1">IF(AND(O16="pact of the tome",COUNTIF(O18:O25,"*"&amp;"book of ancient secrets"&amp;"*")),INDEX('Spell Tables'!BD40:BD46,MATCH(1,('Spell Tables'!BB40:BB46),0))," ")</f>
        <v xml:space="preserve"> </v>
      </c>
      <c r="T128" s="72"/>
      <c r="AJ128" s="58" t="str">
        <f ca="1">IF(AK128=0," ",_xlfn.RANK.EQ(AK128,$AK$128:$AK$137))</f>
        <v xml:space="preserve"> </v>
      </c>
      <c r="AK128" s="60">
        <f t="shared" ref="AK128:AK137" ca="1" si="61">IF(AL128=" ", 0,RAND())</f>
        <v>0</v>
      </c>
      <c r="AL128" s="29" t="str">
        <f t="shared" ref="AL128:AL137" ca="1" si="62">S334</f>
        <v xml:space="preserve"> </v>
      </c>
    </row>
    <row r="129" spans="1:38" ht="19.5" thickBot="1" x14ac:dyDescent="0.35">
      <c r="B129" s="80" t="str">
        <f ca="1">IF($O$16="pact of the chain",$O$16,IF(OR(P129="minor illusion",S129="animate dead",T129="polymorph"),"School Spells - in Spellbook"," "))</f>
        <v xml:space="preserve"> </v>
      </c>
      <c r="C129" s="38"/>
      <c r="D129" s="38"/>
      <c r="E129" s="38"/>
      <c r="F129" s="38"/>
      <c r="G129" s="38"/>
      <c r="H129" s="38"/>
      <c r="I129" s="38"/>
      <c r="J129" s="38"/>
      <c r="K129" s="38"/>
      <c r="L129" s="38"/>
      <c r="M129" s="38"/>
      <c r="N129" s="38"/>
      <c r="O129" s="82">
        <v>10</v>
      </c>
      <c r="P129" s="38" t="str">
        <f ca="1">IF(AND(P15="school of Illusion",COUNTIF(P315:P324,"*"&amp;"Minor Illusion"&amp;"*"))," ",IF(P15="school of illusion","Minor Illusion"," "))</f>
        <v xml:space="preserve"> </v>
      </c>
      <c r="Q129" s="38" t="str">
        <f ca="1">IF(AND(O16="pact of the tome",COUNTIF(O18:O25,"*"&amp;"book of ancient secrets"&amp;"*")),INDEX('Spell Tables'!BD40:BD46,MATCH(2,('Spell Tables'!BB40:BB46),0)),IF(O16="pact of the chain","Find Familiar (as ritual)"," "))</f>
        <v xml:space="preserve"> </v>
      </c>
      <c r="R129" s="38"/>
      <c r="S129" s="38" t="str">
        <f ca="1">IF(AND(P15="school of necromancy",O12&gt;=6,COUNTIF(S315:S324,"*"&amp;"Animate Dead"&amp;"*"))," ",IF(AND(P15="school of necromancy",O12&gt;=6),"Animate Dead"," "))</f>
        <v xml:space="preserve"> </v>
      </c>
      <c r="T129" s="73" t="str">
        <f ca="1">IF(AND(P15="school of transmutation",O12&gt;=10,COUNTIF(T315:T324,"*"&amp;"Polymorph"&amp;"*"))," ",IF(AND(P15="school of transmutation",O12&gt;=6),"Polymorph"," "))</f>
        <v xml:space="preserve"> </v>
      </c>
      <c r="AJ129" s="58" t="str">
        <f t="shared" ref="AJ129:AJ137" ca="1" si="63">IF(AK129=0," ",_xlfn.RANK.EQ(AK129,$AK$128:$AK$137))</f>
        <v xml:space="preserve"> </v>
      </c>
      <c r="AK129" s="60">
        <f t="shared" ca="1" si="61"/>
        <v>0</v>
      </c>
      <c r="AL129" s="29" t="str">
        <f t="shared" ca="1" si="62"/>
        <v xml:space="preserve"> </v>
      </c>
    </row>
    <row r="130" spans="1:38" x14ac:dyDescent="0.3">
      <c r="A130" s="33"/>
      <c r="B130" s="27"/>
      <c r="AJ130" s="58" t="str">
        <f t="shared" ca="1" si="63"/>
        <v xml:space="preserve"> </v>
      </c>
      <c r="AK130" s="60">
        <f t="shared" ca="1" si="61"/>
        <v>0</v>
      </c>
      <c r="AL130" s="29" t="str">
        <f t="shared" ca="1" si="62"/>
        <v xml:space="preserve"> </v>
      </c>
    </row>
    <row r="131" spans="1:38" ht="19.5" thickBot="1" x14ac:dyDescent="0.35">
      <c r="A131" s="131"/>
      <c r="B131" s="33"/>
      <c r="O131" s="38"/>
      <c r="AJ131" s="58" t="str">
        <f t="shared" ca="1" si="63"/>
        <v xml:space="preserve"> </v>
      </c>
      <c r="AK131" s="60">
        <f t="shared" ca="1" si="61"/>
        <v>0</v>
      </c>
      <c r="AL131" s="29" t="str">
        <f t="shared" ca="1" si="62"/>
        <v xml:space="preserve"> </v>
      </c>
    </row>
    <row r="132" spans="1:38" x14ac:dyDescent="0.3">
      <c r="A132" s="131"/>
      <c r="B132" s="129"/>
      <c r="O132" s="132"/>
      <c r="P132" s="76" t="s">
        <v>1169</v>
      </c>
      <c r="Q132" s="76" t="s">
        <v>1170</v>
      </c>
      <c r="R132" s="76" t="s">
        <v>1171</v>
      </c>
      <c r="S132" s="76" t="s">
        <v>677</v>
      </c>
      <c r="T132" s="77" t="s">
        <v>1172</v>
      </c>
      <c r="AJ132" s="58" t="str">
        <f t="shared" ca="1" si="63"/>
        <v xml:space="preserve"> </v>
      </c>
      <c r="AK132" s="60">
        <f t="shared" ca="1" si="61"/>
        <v>0</v>
      </c>
      <c r="AL132" s="29" t="str">
        <f t="shared" ca="1" si="62"/>
        <v xml:space="preserve"> </v>
      </c>
    </row>
    <row r="133" spans="1:38" x14ac:dyDescent="0.3">
      <c r="A133" s="131"/>
      <c r="B133" s="129"/>
      <c r="O133" s="86">
        <v>1</v>
      </c>
      <c r="P133" s="65" t="str">
        <f ca="1">IF(COUNTIF(P18:P21,"*"&amp;"Breath of Winter"&amp;"*"),"Cone of Cold (6 ki)",IF(COUNTIF(O18:O25,"*"&amp;"chains of carceri"&amp;"*"),"Hold Monster**(c,f,e only)",IF(AND(P15="oath of vengeance",O12&gt;=17),"Hold Monster",IF(AND(P15="Oath of the Ancients",O12&gt;=17),"Commune with Nature",IF(AND(P15="Oath of Devotion",O12&gt;=17),"Commune",IF(AND($P$20="Underdark",$O$12&gt;=9),"Cloudkill",IF(AND($P$20="Swamp",$O$12&gt;=9),"Insect Plague",IF(AND($P$20="Mountain",$O$12&gt;=9),"Passwall",IF(AND($P$20="Grassland",$O$12&gt;=9),"Dream",IF(AND($P$20="Forest",$O$12&gt;=9),"Commune with Nature",IF(AND($P$20="Desert",$O$12&gt;=9),"Insect Plague",IF(AND($P$20="Coast",$O$12&gt;=9),"Conjure Elemental",IF(AND($P$20="arctic",$O$12&gt;=9),"Commune with Nature",IF(AND($P$15="war",$O$12&gt;=9),"Flame Strike",IF(AND($P$15="trickery",$O$12&gt;=9),"Dominate Person",IF(AND($P$15="tempest",$O$12&gt;=9),"Destructive Wave",IF(AND($P$15="nature",$O$12&gt;=9),"Insect Plague",IF(AND(P15="light",O12&gt;=9),"Flame Strike",IF(AND(P15="life",O12&gt;=9),"Mass Cure Wounds",IF(AND(P15="knowledge",O12&gt;=9),"Legend Lore",IF(AND(O11="bard",AL156=5),INDEX('Spell Tables'!BX2:BX24,MATCH(O120,('Spell Tables'!BV2:BV24),0)),IF(AND(P15="path of the totem warrior",O12&gt;=10),"Commune with Nature (as ritual)"," "))))))))))))))))))))))</f>
        <v xml:space="preserve"> </v>
      </c>
      <c r="Q133" s="65" t="str">
        <f ca="1">IF(AND(O11="bard",AL167=6),INDEX('Spell Tables'!CB2:CB27,MATCH(O120,('Spell Tables'!BZ2:BZ27),0)),IF(AND($O$11="warlock",$O$12&gt;=11),INDEX('Spell Tables'!AN194:AN201,MATCH(1,('Spell Tables'!AL194:AL201),0))," "))</f>
        <v xml:space="preserve"> </v>
      </c>
      <c r="R133" s="65" t="str">
        <f ca="1">IF(AND(O11="bard",AL167=7),INDEX('Spell Tables'!CF2:CF11,MATCH(O120,('Spell Tables'!CD2:CD11),0)),IF(AND($O$11="warlock",$O$12&gt;=13),INDEX('Spell Tables'!AR194:AR197,MATCH(1,('Spell Tables'!AP194:AP197),0))," "))</f>
        <v xml:space="preserve"> </v>
      </c>
      <c r="S133" s="65" t="str">
        <f ca="1">IF(AND(O11="bard",AL179=8),INDEX('Spell Tables'!CJ2:CJ14,MATCH(O120,('Spell Tables'!CH2:CH14),0)),IF(AND($O$11="warlock",$O$12&gt;=15),INDEX('Spell Tables'!AV194:AV198,MATCH(1,('Spell Tables'!AT194:AT198),0))," "))</f>
        <v xml:space="preserve"> </v>
      </c>
      <c r="T133" s="66" t="str">
        <f ca="1">IF(AND(O11="bard",AL180=9),INDEX('Spell Tables'!CN2:CN11,MATCH(O120,('Spell Tables'!CL2:CL11),0)),IF(AND($O$11="warlock",$O$12&gt;=17),INDEX('Spell Tables'!AZ194:AZ198,MATCH(1,('Spell Tables'!AX194:AX198),0))," "))</f>
        <v xml:space="preserve"> </v>
      </c>
      <c r="AJ133" s="58" t="str">
        <f t="shared" ca="1" si="63"/>
        <v xml:space="preserve"> </v>
      </c>
      <c r="AK133" s="60">
        <f t="shared" ca="1" si="61"/>
        <v>0</v>
      </c>
      <c r="AL133" s="29" t="str">
        <f t="shared" ca="1" si="62"/>
        <v xml:space="preserve"> </v>
      </c>
    </row>
    <row r="134" spans="1:38" x14ac:dyDescent="0.3">
      <c r="A134" s="131"/>
      <c r="B134" s="129"/>
      <c r="O134" s="133">
        <v>2</v>
      </c>
      <c r="P134" s="60" t="str">
        <f ca="1">IF(COUNTIF(P18:P21,"*"&amp;"Wave of Rolling Earth"&amp;"*"),"Wall of Stone (6 ki)",IF(COUNTIF(O18:O25,"*"&amp;"minions of chaos"&amp;"*"),"Conjure Elemental**",IF(AND(P15="oath of vengeance",O12&gt;=17),"Scrying",IF(AND(P15="Oath of the Ancients",O12&gt;=17),"Tree Stride",IF(AND(P15="Oath of Devotion",O12&gt;=17),"Flame Strike",IF(AND($P$20="Underdark",$O$12&gt;=9),"Insect Plague",IF(AND($P$20="Swamp",$O$12&gt;=9),"Scrying",IF(AND($P$20="Mountain",$O$12&gt;=9),"Wall of Stone",IF(AND($P$20="Grassland",$O$12&gt;=9),"Insect Plague",IF(AND($P$20="Forest",$O$12&gt;=9),"Tree Stride",IF(AND($P$20="Desert",$O$12&gt;=9),"Wall of Stone",IF(AND($P$20="Coast",$O$12&gt;=9),"Scrying",IF(AND($P$20="arctic",$O$12&gt;=9),"Cone of Cold",IF(AND($P$15="war",$O$12&gt;=9),"Hold Monster",IF(AND($P$15="trickery",$O$12&gt;=9),"Modify Memory",IF(AND($P$15="tempest",$O$12&gt;=9),"Insect Plague",IF(AND($P$15="nature",$O$12&gt;=9),"Tree Stride",IF(AND(P15="light",O12&gt;=9),"Scrying",IF(AND(P15="life",O12&gt;=9),"Raise Dead",IF(AND(P15="knowledge",O12&gt;=9),"Scrying",IF(AND($O$11="bard",AL157=5),INDEX('Spell Tables'!$BX$2:$BX$24,MATCH(O121,('Spell Tables'!$BV$2:$BV$24),0))," ")))))))))))))))))))))</f>
        <v xml:space="preserve"> </v>
      </c>
      <c r="Q134" s="60" t="str">
        <f ca="1">IF(AND(O11="bard",AL168=6),INDEX('Spell Tables'!CB2:CB27,MATCH(O121,('Spell Tables'!BZ2:BZ27),0))," ")</f>
        <v xml:space="preserve"> </v>
      </c>
      <c r="R134" s="60" t="str">
        <f ca="1">IF(AND(O11="bard",AL168=7),INDEX('Spell Tables'!CF2:CF11,MATCH(O121,('Spell Tables'!CD2:CD11),0))," ")</f>
        <v xml:space="preserve"> </v>
      </c>
      <c r="S134" s="60" t="str">
        <f ca="1">IF(AND(O11="bard",AL179=8),INDEX('Spell Tables'!CJ2:CJ14,MATCH(O121,('Spell Tables'!CH2:CH14),0))," ")</f>
        <v xml:space="preserve"> </v>
      </c>
      <c r="T134" s="63" t="str">
        <f ca="1">IF(AND(O11="bard",AL180=9),INDEX('Spell Tables'!CN2:CN11,MATCH(O121,('Spell Tables'!CL2:CL11),0))," ")</f>
        <v xml:space="preserve"> </v>
      </c>
      <c r="AJ134" s="58" t="str">
        <f t="shared" ca="1" si="63"/>
        <v xml:space="preserve"> </v>
      </c>
      <c r="AK134" s="60">
        <f t="shared" ca="1" si="61"/>
        <v>0</v>
      </c>
      <c r="AL134" s="29" t="str">
        <f t="shared" ca="1" si="62"/>
        <v xml:space="preserve"> </v>
      </c>
    </row>
    <row r="135" spans="1:38" x14ac:dyDescent="0.3">
      <c r="A135" s="33"/>
      <c r="O135" s="86">
        <v>3</v>
      </c>
      <c r="P135" s="65"/>
      <c r="Q135" s="65"/>
      <c r="R135" s="65"/>
      <c r="S135" s="65"/>
      <c r="T135" s="66"/>
      <c r="AJ135" s="58" t="str">
        <f t="shared" ca="1" si="63"/>
        <v xml:space="preserve"> </v>
      </c>
      <c r="AK135" s="60">
        <f t="shared" ca="1" si="61"/>
        <v>0</v>
      </c>
      <c r="AL135" s="29" t="str">
        <f t="shared" ca="1" si="62"/>
        <v xml:space="preserve"> </v>
      </c>
    </row>
    <row r="136" spans="1:38" x14ac:dyDescent="0.3">
      <c r="A136" s="33"/>
      <c r="O136" s="133">
        <v>4</v>
      </c>
      <c r="P136" s="60"/>
      <c r="Q136" s="60"/>
      <c r="R136" s="60"/>
      <c r="S136" s="60"/>
      <c r="T136" s="63"/>
      <c r="AJ136" s="58" t="str">
        <f t="shared" ca="1" si="63"/>
        <v xml:space="preserve"> </v>
      </c>
      <c r="AK136" s="60">
        <f t="shared" ca="1" si="61"/>
        <v>0</v>
      </c>
      <c r="AL136" s="29" t="str">
        <f t="shared" ca="1" si="62"/>
        <v xml:space="preserve"> </v>
      </c>
    </row>
    <row r="137" spans="1:38" x14ac:dyDescent="0.3">
      <c r="A137" s="33"/>
      <c r="O137" s="86">
        <v>5</v>
      </c>
      <c r="P137" s="65"/>
      <c r="Q137" s="65"/>
      <c r="R137" s="65"/>
      <c r="S137" s="65"/>
      <c r="T137" s="66"/>
      <c r="AJ137" s="58" t="str">
        <f t="shared" ca="1" si="63"/>
        <v xml:space="preserve"> </v>
      </c>
      <c r="AK137" s="60">
        <f t="shared" ca="1" si="61"/>
        <v>0</v>
      </c>
      <c r="AL137" s="29" t="str">
        <f t="shared" ca="1" si="62"/>
        <v xml:space="preserve"> </v>
      </c>
    </row>
    <row r="138" spans="1:38" x14ac:dyDescent="0.3">
      <c r="A138" s="33"/>
      <c r="O138" s="133">
        <v>6</v>
      </c>
      <c r="P138" s="60"/>
      <c r="Q138" s="60"/>
      <c r="R138" s="60"/>
      <c r="S138" s="60"/>
      <c r="T138" s="63"/>
    </row>
    <row r="139" spans="1:38" x14ac:dyDescent="0.3">
      <c r="A139" s="33"/>
      <c r="O139" s="86">
        <v>7</v>
      </c>
      <c r="P139" s="65"/>
      <c r="Q139" s="65"/>
      <c r="R139" s="65"/>
      <c r="S139" s="65"/>
      <c r="T139" s="66"/>
      <c r="AJ139" s="31" t="s">
        <v>1172</v>
      </c>
    </row>
    <row r="140" spans="1:38" x14ac:dyDescent="0.3">
      <c r="A140" s="33"/>
      <c r="O140" s="133">
        <v>8</v>
      </c>
      <c r="P140" s="60"/>
      <c r="Q140" s="60"/>
      <c r="R140" s="60"/>
      <c r="S140" s="60"/>
      <c r="T140" s="63"/>
      <c r="AJ140" s="58" t="str">
        <f ca="1">IF(AK140=0," ",_xlfn.RANK.EQ(AK140,$AK$140:$AK$149))</f>
        <v xml:space="preserve"> </v>
      </c>
      <c r="AK140" s="60">
        <f t="shared" ref="AK140:AK149" ca="1" si="64">IF(AL140=" ", 0,RAND())</f>
        <v>0</v>
      </c>
      <c r="AL140" s="29" t="str">
        <f t="shared" ref="AL140:AL149" ca="1" si="65">T334</f>
        <v xml:space="preserve"> </v>
      </c>
    </row>
    <row r="141" spans="1:38" x14ac:dyDescent="0.3">
      <c r="A141" s="33"/>
      <c r="O141" s="86">
        <v>9</v>
      </c>
      <c r="P141" s="65"/>
      <c r="Q141" s="65"/>
      <c r="R141" s="65"/>
      <c r="S141" s="65"/>
      <c r="T141" s="66"/>
      <c r="AJ141" s="58" t="str">
        <f t="shared" ref="AJ141:AJ149" ca="1" si="66">IF(AK141=0," ",_xlfn.RANK.EQ(AK141,$AK$140:$AK$149))</f>
        <v xml:space="preserve"> </v>
      </c>
      <c r="AK141" s="60">
        <f t="shared" ca="1" si="64"/>
        <v>0</v>
      </c>
      <c r="AL141" s="29" t="str">
        <f t="shared" ca="1" si="65"/>
        <v xml:space="preserve"> </v>
      </c>
    </row>
    <row r="142" spans="1:38" ht="19.5" thickBot="1" x14ac:dyDescent="0.35">
      <c r="A142" s="33"/>
      <c r="O142" s="134">
        <v>10</v>
      </c>
      <c r="P142" s="67"/>
      <c r="Q142" s="67"/>
      <c r="R142" s="67"/>
      <c r="S142" s="67"/>
      <c r="T142" s="68"/>
      <c r="AJ142" s="58" t="str">
        <f t="shared" ca="1" si="66"/>
        <v xml:space="preserve"> </v>
      </c>
      <c r="AK142" s="60">
        <f t="shared" ca="1" si="64"/>
        <v>0</v>
      </c>
      <c r="AL142" s="29" t="str">
        <f t="shared" ca="1" si="65"/>
        <v xml:space="preserve"> </v>
      </c>
    </row>
    <row r="143" spans="1:38" ht="19.5" thickBot="1" x14ac:dyDescent="0.35">
      <c r="AJ143" s="58" t="str">
        <f t="shared" ca="1" si="66"/>
        <v xml:space="preserve"> </v>
      </c>
      <c r="AK143" s="60">
        <f t="shared" ca="1" si="64"/>
        <v>0</v>
      </c>
      <c r="AL143" s="29" t="str">
        <f t="shared" ca="1" si="65"/>
        <v xml:space="preserve"> </v>
      </c>
    </row>
    <row r="144" spans="1:38" ht="30.75" thickBot="1" x14ac:dyDescent="0.45">
      <c r="B144" s="105" t="s">
        <v>1335</v>
      </c>
      <c r="AJ144" s="58" t="str">
        <f t="shared" ca="1" si="66"/>
        <v xml:space="preserve"> </v>
      </c>
      <c r="AK144" s="60">
        <f t="shared" ca="1" si="64"/>
        <v>0</v>
      </c>
      <c r="AL144" s="29" t="str">
        <f t="shared" ca="1" si="65"/>
        <v xml:space="preserve"> </v>
      </c>
    </row>
    <row r="145" spans="1:38" x14ac:dyDescent="0.3">
      <c r="B145" s="79"/>
      <c r="C145" s="27"/>
      <c r="D145" s="27"/>
      <c r="E145" s="27"/>
      <c r="F145" s="27"/>
      <c r="G145" s="27"/>
      <c r="H145" s="27"/>
      <c r="I145" s="27"/>
      <c r="J145" s="27"/>
      <c r="K145" s="27"/>
      <c r="L145" s="27"/>
      <c r="M145" s="27"/>
      <c r="N145" s="27"/>
      <c r="O145" s="27"/>
      <c r="P145" s="76" t="s">
        <v>1124</v>
      </c>
      <c r="Q145" s="76" t="s">
        <v>1166</v>
      </c>
      <c r="R145" s="76" t="s">
        <v>1167</v>
      </c>
      <c r="S145" s="76" t="s">
        <v>1168</v>
      </c>
      <c r="T145" s="77" t="s">
        <v>676</v>
      </c>
      <c r="AJ145" s="58" t="str">
        <f t="shared" ca="1" si="66"/>
        <v xml:space="preserve"> </v>
      </c>
      <c r="AK145" s="60">
        <f t="shared" ca="1" si="64"/>
        <v>0</v>
      </c>
      <c r="AL145" s="29" t="str">
        <f t="shared" ca="1" si="65"/>
        <v xml:space="preserve"> </v>
      </c>
    </row>
    <row r="146" spans="1:38" x14ac:dyDescent="0.3">
      <c r="B146" s="86" t="str">
        <f ca="1">IF(R15="way of the four elements","Way of the Four Elements",IF(AND(Q11="paladin",Q12&gt;=3),"Oath Spells",IF(AND(R15="moon",Q12&gt;=14),"Thousand Forms",IF(R15="way of the shadow","Shadow Arts",IF(AND(Q11="druid",R15="land"),"Land Circle Spells",IF(Q11="cleric","Domain Spells",IF(Q11="bard","Magical Secrets",IF(R15="path of the totem warrior","Totem Warrior Spells",IF(AND(Q11="warlock",Q12&gt;=2),"Mystic Arcanum and Invocation",IF(R15="arcane trickster","4th,8th,14th,20th non E&amp;I spells",IF(R15="eldritch knight","4th,8th,14th,20th non A&amp;E spells"," ")))))))))))</f>
        <v xml:space="preserve"> </v>
      </c>
      <c r="C146" s="33"/>
      <c r="D146" s="33"/>
      <c r="E146" s="33"/>
      <c r="F146" s="33"/>
      <c r="G146" s="33"/>
      <c r="H146" s="33"/>
      <c r="I146" s="33"/>
      <c r="J146" s="33"/>
      <c r="K146" s="33"/>
      <c r="L146" s="33"/>
      <c r="M146" s="33"/>
      <c r="N146" s="33"/>
      <c r="O146" s="34">
        <v>1</v>
      </c>
      <c r="P146" s="33" t="str">
        <f ca="1">IF(R15="school of illusion","Minor Illusion",IF(Q16="pact of the tome",INDEX('Spell Tables'!$BD$19:$BD$37,MATCH(1,('Spell Tables'!$BB$19:$BB$37),0)),IF(R15="way of the shadow","Minor Illusion (free)",IF(R15="land",INDEX('Spell Tables'!P48:P55,MATCH(8,('Spell Tables'!N48:N55),0)),IF(R15="nature",INDEX('Spell Tables'!P48:P55,MATCH(6,('Spell Tables'!N48:N55),0)),IF(R15="light","Light",IF(AND(Q11="bard",AL191="c"),INDEX('Spell Tables'!$BD$2:$BD$16,MATCH(10,('Spell Tables'!$BB$2:$BB$16),0))," ")))))))</f>
        <v xml:space="preserve"> </v>
      </c>
      <c r="Q146" s="33" t="str">
        <f ca="1">IF(COUNTIF(R18:R21,"*"&amp;"Fist of Four Thunders"&amp;"*"),"Thunderwave (2 ki)",IF(COUNTIF($Q$18:$Q$22,"*"&amp;"armor of shadows"&amp;"*"),"Mage Armor*",IF(R15="oath of vengeance","Bane",IF(R15="Oath of the Ancients","Ensnaring Strike",IF(R15="Oath of Devotion","Protection from Good and Evil",IF(AND(R15="war",Q12&gt;=1),"Divine Favor",IF(AND(R15="Trickery",Q12&gt;=1),"Charm Person",IF(AND(R15="tempest",Q12&gt;=1),"Fog Cloud",IF(AND(R15="nature",Q12&gt;=1),"Animal Friendship",IF(AND(R15="light",Q12&gt;=1),"Burning Hands",IF(R15="life","Bless",IF(R15="knowledge","Command",IF(AND(Q11="bard",AL155=1),INDEX('Spell Tables'!$BH$2:$BH$41,MATCH($O$120,('Spell Tables'!$BF$2:$BF$41),0)),IF(R15="arcane trickster",INDEX('Spell Tables'!$X$141:$X$163,MATCH(O120,('Spell Tables'!$V$141:$V$163),0)),IF(R15="path of the totem warrior","Speak with Animals (as ritual)",IF(R15="eldritch knight",INDEX('Spell Tables'!$X$70:$X$90,MATCH($O$120,('Spell Tables'!$V$70:W90),0))," "))))))))))))))))</f>
        <v xml:space="preserve"> </v>
      </c>
      <c r="R146" s="33" t="str">
        <f ca="1">IF(COUNTIF(R18:R21,"*"&amp;"Clench of the North Wind"&amp;"*"),"Hold Person (3 ki)",IF(COUNTIF(Q18:Q22,"*"&amp;"ascendant step"&amp;"*"),"Levitate*",IF(AND(R15="oath of vengeance",Q12&gt;=5),"Hold Person",IF(AND(R15="Oath of the Ancients",Q12&gt;=5),"Moonbeam",IF(AND(R15="Oath of Devotion",Q12&gt;=5),"Lesser Restoration",IF(AND(R15="moon",Q12&gt;=14),"Alter Self",IF(R15="Way of the Shadow","Darkness",IF(AND($P$20="Underdark",Q12&gt;=3),"Spider Climb",IF(AND($P$20="Swamp",Q12&gt;=3),"Darkness",IF(AND($P$20="Mountain",Q12&gt;=3),"Spider Climb",IF(AND($P$20="Grassland",Q12&gt;=3),"Invisibility",IF(AND($P$20="Forest",Q12&gt;=3),"Barkskin",IF(AND($P$20="Desert",Q12&gt;=3),"Blur",IF(AND($P$20="Coast",Q12&gt;=3),"Mirror Image",IF(AND($P$20="arctic",Q12&gt;=3),"Hold Person",IF(AND(R15="war",Q12&gt;=3),"Magic Weapon",IF(AND(R15="Trickery",Q12&gt;=3),"Mirror Image",IF(AND(R15="tempest",Q12&gt;=3),"Gust of Wind",IF(AND(R15="nature",Q12&gt;=3),"Barkskin",IF(AND(R15="light",Q12&gt;=3),"Flaming Sphere",IF(AND(R15="Life",Q12&gt;=3),"Lesser Restoration",IF(AND(R15="knowledge",Q12&gt;=3),"Augury",IF(AND(Q11="bard",AL155=2),INDEX('Spell Tables'!BL2:BL37,MATCH(O120,('Spell Tables'!BJ2:BJ37),0)),IF(R15="path of the totem warrior","Beast Sense (as ritual)",IF(AND(R15="eldritch knight",Q12&gt;=8),INDEX('Spell Tables'!AF70:AF94,MATCH(#REF!,('Spell Tables'!AD70:AD94),0)),IF(AND(R15="arcane trickster",Q12&gt;=8),INDEX('Spell Tables'!AF141:AF165,MATCH(#REF!,('Spell Tables'!AD141:AD165),0))," "))))))))))))))))))))))))))</f>
        <v xml:space="preserve"> </v>
      </c>
      <c r="S146" s="33" t="str">
        <f ca="1">IF(COUNTIF(Q18:Q22,"*"&amp;"mire the mind"&amp;"*"),"Slow**",IF(AND(R15="oath of vengeance",Q12&gt;=9),"Haste",IF(AND(R15="Oath of the Ancients",Q12&gt;=9),"Plant Growth",IF(AND(R15="Oath of Devotion",Q12&gt;=9),"Beacon of Hope",IF(AND($P$20="Underdark",Q12&gt;=5),"Gaseous Form",IF(AND($P$20="Swamp",Q12&gt;=5),"Water Walk",IF(AND($P$20="Mountain",Q12&gt;=5),"Lightning Bolt",IF(AND($P$20="Grassland",Q12&gt;=5),"Daylight",IF(AND($P$20="Forest",Q12&gt;=5),"Call Lightning",IF(AND($P$20="Desert",Q12&gt;=5),"Create Food and Water",IF(AND($P$20="Coast",Q12&gt;=5),"Water Breathing",IF(AND($P$20="arctic",Q12&gt;=5),"Sleet Storm",IF(AND(R15="war",Q12&gt;=5),"Crusader's Mantle",IF(AND(R15="trickery",Q12&gt;=5),"Blink",IF(AND(R15="tempest",Q12&gt;=5),"Call Lightning",IF(AND(R15="nature",Q12&gt;=5),"Plant Growth",IF(AND(R15="light",Q12&gt;=5),"Daylight",IF(AND(R15="life",Q12&gt;=5),"Beacon of Hope",IF(AND(R15="knowledge",Q12&gt;=5),"Nondetection",IF(AND(Q11="bard",AL155=3),INDEX('Spell Tables'!BP2:BP35,MATCH(O120,('Spell Tables'!BN2:BN35),0)),IF(AND(R15="arcane trickster",Q12&gt;=14),INDEX('Spell Tables'!AN141:AN165,MATCH(O120,('Spell Tables'!AL141:AL165),0)),IF(AND(R15="eldritch knight",Q12&gt;=14),INDEX('Spell Tables'!AN70:AN88,MATCH(O120,('Spell Tables'!AL70:AL88),0))," "))))))))))))))))))))))</f>
        <v xml:space="preserve"> </v>
      </c>
      <c r="T146" s="72" t="str">
        <f ca="1">IF(COUNTIF(Q18:Q22,"*"&amp;"bewitching whispers"&amp;"*"),"Compulsion**",IF(AND(R15="oath of vengeance",Q12&gt;=13),"Banishment",IF(AND(R15="Oath of the Ancients",Q12&gt;=13),"Ice Storm",IF(AND(R15="Oath of Devotion",Q12&gt;=13),"Freedom of Movement",IF(AND($P$20="Underdark",Q12&gt;=7),"Greater Invisibility",IF(AND($P$20="Swamp",Q12&gt;=7),"Freedom of Movement",IF(AND($P$20="Mountain",Q12&gt;=7),"Stone Shape",IF(AND($P$20="Grassland",Q12&gt;=7),"Divination",IF(AND($P$20="Forest",Q12&gt;=7),"Divination",IF(AND($P$20="Desert",Q12&gt;=7),"Blight",IF(AND($P$20="Coast",Q12&gt;=7),"Control Water",IF(AND($P$20="arctic",Q12&gt;=7),"Freedom of Movement",IF(AND(R15="war",Q12&gt;=7),"Freedom of Movement",IF(AND(R15="trickery",Q12&gt;=7),"Dimension Door",IF(AND(R15="tempest",Q12&gt;=7),"Control Water",IF(AND(R15="nature",Q12&gt;=7),"Dominate Beast",IF(AND(R15="light",Q12&gt;=7),"Guardian of Faith",IF(AND(R15="life",Q12&gt;=7),"Death Ward",IF(AND(R15="knowledge",Q12&gt;=7),"Arcane Eye",IF(AND(Q11="bard",AL155=4),INDEX('Spell Tables'!BT2:BT29,MATCH(O120,('Spell Tables'!BR2:BR29),0)),IF(AND(R15="arcane trickster",Q12&gt;=20),INDEX('Spell Tables'!AV141:AV159,MATCH(O120,('Spell Tables'!AT267:AT285),0)),IF(AND(R15="eldritch knight",Q12&gt;=20),INDEX('Spell Tables'!AV70:AV86,MATCH(O120,('Spell Tables'!AT70:AT86),0))," "))))))))))))))))))))))</f>
        <v xml:space="preserve"> </v>
      </c>
      <c r="AJ146" s="58" t="str">
        <f t="shared" ca="1" si="66"/>
        <v xml:space="preserve"> </v>
      </c>
      <c r="AK146" s="60">
        <f t="shared" ca="1" si="64"/>
        <v>0</v>
      </c>
      <c r="AL146" s="29" t="str">
        <f t="shared" ca="1" si="65"/>
        <v xml:space="preserve"> </v>
      </c>
    </row>
    <row r="147" spans="1:38" x14ac:dyDescent="0.3">
      <c r="B147" s="79" t="str">
        <f ca="1">IF(R15="way of the four elements","Elemental Disciplines - cost ki",IF(AND(Q11="warlock",Q12&gt;=2),"* = at will - no slot use",IF(R15="land",$P$20," ")))</f>
        <v xml:space="preserve"> </v>
      </c>
      <c r="C147" s="33"/>
      <c r="D147" s="33"/>
      <c r="E147" s="33"/>
      <c r="F147" s="33"/>
      <c r="G147" s="33"/>
      <c r="H147" s="33"/>
      <c r="I147" s="33"/>
      <c r="J147" s="33"/>
      <c r="K147" s="33"/>
      <c r="L147" s="33"/>
      <c r="M147" s="33"/>
      <c r="N147" s="33"/>
      <c r="O147" s="34">
        <v>2</v>
      </c>
      <c r="P147" s="33" t="str">
        <f ca="1">IF(Q16="pact of the tome",INDEX('Spell Tables'!$BD$19:$BD$37,MATCH(2,('Spell Tables'!$BB$19:$BB$37),0)),IF(AND(Q11="bard",AL192="c"),INDEX('Spell Tables'!$BD$2:$BD$16,MATCH(11,('Spell Tables'!$BB$2:$BB$16),0))," "))</f>
        <v xml:space="preserve"> </v>
      </c>
      <c r="Q147" s="33" t="str">
        <f ca="1">IF(COUNTIF(R18:R21,"*"&amp;"Sweeping Cinder Strike"&amp;"*"),"Burning Hands (2 ki)",IF(COUNTIF(Q18:Q22,"*"&amp;"beast speech"&amp;"*"),"Speak with Animals*",IF(R15="Oath of the Ancients","Speak with Animals",IF(R15="Oath of vengeance","Hunter's Mark",IF(R15="Oath of Devotion","Sanctuary",IF(AND(R15="war",Q12&gt;=1),"Shield of Faith",IF(AND(R15="trickery",Q12&gt;=1),"Disguise Self",IF(AND(R15="tempest",Q12&gt;=1),"Thunderwave",IF(AND(R15="Nature",Q12&gt;=1),"Speak with Animals",IF(AND(R15="light",Q12&gt;=1),"Faerie Fire",IF(R15="life","Cure Wounds",IF(R15="knowledge","Identify",IF(AND(Q11="bard",AL156=1),INDEX('Spell Tables'!$BH$2:$BH$41,MATCH(O121,('Spell Tables'!$BF$2:$BF$41),0))," ")))))))))))))</f>
        <v xml:space="preserve"> </v>
      </c>
      <c r="R147" s="33" t="str">
        <f ca="1">IF(COUNTIF(R18:R21,"*"&amp;"Gong of the Summit"&amp;"*"),"Shatter (3 ki)",IF(COUNTIF(Q18:Q22,"*"&amp;"master of myriad forms"&amp;"*"),"Alter Self*",IF(AND(R15="oath of vengeance",Q12&gt;=5),"Misty Step",IF(AND(R15="Oath of the Ancients",Q12&gt;=5),"Misty Step",IF(AND(R15="Oath of Devotion",Q12&gt;=5),"Zone of Truth",IF(R15="way of the shadow","Darkvision",IF(AND($P$20="Underdark",Q12&gt;=3),"Web",IF(AND($P$20="Swamp",Q12&gt;=3),"Melf's Acid Arrow",IF(AND($P$20="Mountain",Q12&gt;=3),"Spike Growth",IF(AND($P$20="Grassland",Q12&gt;=3),"Pass Without Trace",IF(AND($P$20="Forest",Q12&gt;=3),"Spider Climb",IF(AND($P$20="Desert",Q12&gt;=3),"Silence",IF(AND($P$20="Coast",Q12&gt;=3),"Misty Step",IF(AND($P$20="arctic",Q12&gt;=3),"Spike Growth",IF(AND(R15="war",Q12&gt;=3),"Spiritual Weapon",IF(AND(R15="trickery",Q12&gt;=3),"Pass Without Trace",IF(AND(R15="tempest",Q12&gt;=3),"Shatter",IF(AND(R15="nature",Q12&gt;=3),"Spike Growth",IF(AND(R15="light",Q12&gt;=3),"Scorching Ray",IF(AND(R15="life",Q12&gt;=3),"Spiritual Weapon",IF(AND(R15="knowledge",Q12&gt;=3),"Suggestion",IF(AND(Q11="bard",AL156=2),INDEX('Spell Tables'!$BL$2:$BL$37,MATCH(O121,('Spell Tables'!$BJ$2:$BJ$37),0))," "))))))))))))))))))))))</f>
        <v xml:space="preserve"> </v>
      </c>
      <c r="S147" s="33" t="str">
        <f ca="1">IF(COUNTIF(Q18:Q22,"*"&amp;"sign of ill omen"&amp;"*"),"Bestow Curse**",IF(AND(R15="oath of vengeance",Q12&gt;=9),"Protection from Energy",IF(AND(R15="Oath of the Ancients",Q12&gt;=9),"Protection from Energy",IF(AND(R15="Oath of Devotion",Q12&gt;=9),"Dispel Magic",IF(AND($P$20="Underdark",Q12&gt;=5),"Stinking Cloud",IF(AND($P$20="Swamp",Q12&gt;=5),"Stinking Cloud",IF(AND($P$20="Mountain",Q12&gt;=5),"Meld Into Stone",IF(AND($P$20="Grassland",Q12&gt;=5),"Haste",IF(AND($P$20="Forest",Q12&gt;=5),"Plant Growth",IF(AND($P$20="Desert",Q12&gt;=5),"Protection from Energy",IF(AND($P$20="Coast",Q12&gt;=5),"Water Walk",IF(AND($P$20="arctic",Q12&gt;=5),"Slow",IF(AND(R15="war",Q12&gt;=5),"Spirit Guardians",IF(AND(R15="trickery",Q12&gt;=5),"Dispel Magic",IF(AND(R15="Tempest",Q12&gt;=5),"Sleet Storm",IF(AND(R15="nature",Q12&gt;=5),"Wind Wall",IF(AND(R15="light",Q12&gt;=5),"Fireball",IF(AND(R15="life",Q12&gt;=5),"Revivify",IF(AND(R15="knowledge",Q12&gt;=5),"Speak with Dead",IF(AND(Q11="bard",AL156=3),INDEX('Spell Tables'!$BP$2:$BP$35,MATCH(O121,('Spell Tables'!$BN$2:$BN$35),0))," "))))))))))))))))))))</f>
        <v xml:space="preserve"> </v>
      </c>
      <c r="T147" s="72" t="str">
        <f ca="1">IF(COUNTIF(Q18:Q22,"*"&amp;"dreadful word"&amp;"*"),"Confusion**",IF(AND(R15="oath of vengeance",Q12&gt;=13),"Dimension Door",IF(AND(R15="Oath of the Ancients",Q12&gt;=13),"Stoneskin",IF(AND(R15="Oath of Devotion",Q12&gt;=13),"Guardian of Faith",IF(AND($P$20="Underdark",Q12&gt;=7),"Stone Shape",IF(AND($P$20="Swamp",Q12&gt;=7),"Locate Creature",IF(AND($P$20="Mountain",Q12&gt;=7),"Stonekin",IF(AND($P$20="Grassland",Q12&gt;=7),"Freedom of Movement",IF(AND($P$20="Forest",Q12&gt;=7),"Freedom of Movement",IF(AND($P$20="Desert",Q12&gt;=7),"Hallucinatory Terrain",IF(AND($P$20="Coast",Q12&gt;=7),"Freedom of Movement",IF(AND($P$20="arctic",Q12&gt;=7),"Ice Storm",IF(AND(R15="war",Q12&gt;=7),"Stoneskin",IF(AND(R15="trickery",Q12&gt;=7),"Polymorph",IF(AND(R15="tempest",Q12&gt;=7),"Ice Storm",IF(AND(R15="nature",Q12&gt;=7),"Grasping Vine",IF(AND(R15="light",Q12&gt;=7),"Wall of Fire",IF(AND(R15="life",Q12&gt;=7),"Guardian of Faith",IF(AND(R15="knowledge",Q12&gt;=7),"Confusion",IF(AND(Q11="bard",AL156=4),INDEX('Spell Tables'!$BT$2:$BT$29,MATCH(O121,('Spell Tables'!$BR$2:$BR$29),0))," "))))))))))))))))))))</f>
        <v xml:space="preserve"> </v>
      </c>
      <c r="AJ147" s="58" t="str">
        <f t="shared" ca="1" si="66"/>
        <v xml:space="preserve"> </v>
      </c>
      <c r="AK147" s="60">
        <f t="shared" ca="1" si="64"/>
        <v>0</v>
      </c>
      <c r="AL147" s="29" t="str">
        <f t="shared" ca="1" si="65"/>
        <v xml:space="preserve"> </v>
      </c>
    </row>
    <row r="148" spans="1:38" x14ac:dyDescent="0.3">
      <c r="B148" s="79" t="str">
        <f ca="1">IF(AND(Q11="warlock",Q12&gt;=2),"** = once per long rest - uses slot",IF(AND(Q11="paladin",Q12&gt;=3),"Free Preparation",IF(AND(R15="moon",Q12&gt;=14),"At Will",IF(R15="way of the shadow","Cost 2 Ki Points",IF(OR(R15="land",Q11="cleric"),"Free Preparation",IF(AND(Q11="bard",Q12&gt;=10),"Count Toward Known"," "))))))</f>
        <v xml:space="preserve"> </v>
      </c>
      <c r="C148" s="33"/>
      <c r="D148" s="33"/>
      <c r="E148" s="33"/>
      <c r="F148" s="33"/>
      <c r="G148" s="33"/>
      <c r="H148" s="33"/>
      <c r="I148" s="33"/>
      <c r="J148" s="33"/>
      <c r="K148" s="33"/>
      <c r="L148" s="33"/>
      <c r="M148" s="33"/>
      <c r="N148" s="33"/>
      <c r="O148" s="34">
        <v>3</v>
      </c>
      <c r="P148" s="33" t="str">
        <f ca="1">IF(Q16="pact of the tome",INDEX('Spell Tables'!$BD$19:$BD$37,MATCH(3,('Spell Tables'!$BB$19:$BB$37),0))," ")</f>
        <v xml:space="preserve"> </v>
      </c>
      <c r="Q148" s="33" t="str">
        <f ca="1">IF(COUNTIF(Q18:Q22,"*"&amp;"eldritch sight"&amp;"*"),"Detect Magic*"," ")</f>
        <v xml:space="preserve"> </v>
      </c>
      <c r="R148" s="33" t="str">
        <f ca="1">IF(COUNTIF(R18:R21,"*"&amp;"Rush of the Gale Spirits"&amp;"*"),"Gust of Wind (2 ki)",IF(R15="way of the shadow","Pass Without Trace"," "))</f>
        <v xml:space="preserve"> </v>
      </c>
      <c r="S148" s="33" t="str">
        <f ca="1">IF(COUNTIF(Q18:Q22,"*"&amp;"whispers of the grave"&amp;"*"),"Speak with Dead*"," ")</f>
        <v xml:space="preserve"> </v>
      </c>
      <c r="T148" s="72" t="str">
        <f ca="1">IF(COUNTIF(Q18:Q22,"*"&amp;"Sculptor of Flesh"&amp;"*"),"Polymorph**"," ")</f>
        <v xml:space="preserve"> </v>
      </c>
      <c r="AJ148" s="58" t="str">
        <f t="shared" ca="1" si="66"/>
        <v xml:space="preserve"> </v>
      </c>
      <c r="AK148" s="60">
        <f t="shared" ca="1" si="64"/>
        <v>0</v>
      </c>
      <c r="AL148" s="29" t="str">
        <f t="shared" ca="1" si="65"/>
        <v xml:space="preserve"> </v>
      </c>
    </row>
    <row r="149" spans="1:38" x14ac:dyDescent="0.3">
      <c r="B149" s="79"/>
      <c r="O149" s="81">
        <v>4</v>
      </c>
      <c r="Q149" s="29" t="str">
        <f ca="1">IF(COUNTIF(Q18:Q22,"*"&amp;"fiendish vigor"&amp;"*"),"False Life*"," ")</f>
        <v xml:space="preserve"> </v>
      </c>
      <c r="R149" s="29" t="str">
        <f ca="1">IF(R15="way of the shadow","Silence"," ")</f>
        <v xml:space="preserve"> </v>
      </c>
      <c r="T149" s="72" t="str">
        <f ca="1">IF(COUNTIF(Q18:Q22,"*"&amp;"visions of distant realms"&amp;"*"),"Arcane Eye*"," ")</f>
        <v xml:space="preserve"> </v>
      </c>
      <c r="AJ149" s="58" t="str">
        <f t="shared" ca="1" si="66"/>
        <v xml:space="preserve"> </v>
      </c>
      <c r="AK149" s="60">
        <f t="shared" ca="1" si="64"/>
        <v>0</v>
      </c>
      <c r="AL149" s="29" t="str">
        <f t="shared" ca="1" si="65"/>
        <v xml:space="preserve"> </v>
      </c>
    </row>
    <row r="150" spans="1:38" x14ac:dyDescent="0.3">
      <c r="B150" s="79"/>
      <c r="O150" s="81">
        <v>5</v>
      </c>
      <c r="Q150" s="29" t="str">
        <f ca="1">IF(COUNTIF(Q18:Q22,"*"&amp;"mask of many faces"&amp;"*"),"Disguise Self*","")</f>
        <v/>
      </c>
      <c r="T150" s="72"/>
    </row>
    <row r="151" spans="1:38" x14ac:dyDescent="0.3">
      <c r="B151" s="79"/>
      <c r="O151" s="81">
        <v>6</v>
      </c>
      <c r="Q151" s="29" t="str">
        <f ca="1">IF(COUNTIF(Q18:Q22,"*"&amp;"misty vision"&amp;"*"),"Silent Image*"," " )</f>
        <v xml:space="preserve"> </v>
      </c>
      <c r="T151" s="72"/>
      <c r="AJ151" s="31" t="s">
        <v>1666</v>
      </c>
    </row>
    <row r="152" spans="1:38" x14ac:dyDescent="0.3">
      <c r="B152" s="79"/>
      <c r="O152" s="81">
        <v>7</v>
      </c>
      <c r="Q152" s="29" t="str">
        <f ca="1">IF(COUNTIF(Q18:Q22,"*"&amp;"otherworldly leap"&amp;"*"),"Jump*"," ")</f>
        <v xml:space="preserve"> </v>
      </c>
      <c r="T152" s="72"/>
      <c r="AJ152" s="29">
        <v>1</v>
      </c>
      <c r="AK152" s="29">
        <v>1</v>
      </c>
    </row>
    <row r="153" spans="1:38" x14ac:dyDescent="0.3">
      <c r="B153" s="79"/>
      <c r="O153" s="81">
        <v>8</v>
      </c>
      <c r="Q153" s="29" t="str">
        <f ca="1">IF(COUNTIF(Q18:Q22,"*"&amp;"thief of five fates"&amp;"*"),"Bane**"," ")</f>
        <v xml:space="preserve"> </v>
      </c>
      <c r="T153" s="72"/>
      <c r="AJ153" s="29">
        <v>2</v>
      </c>
      <c r="AK153" s="29">
        <v>2</v>
      </c>
    </row>
    <row r="154" spans="1:38" x14ac:dyDescent="0.3">
      <c r="B154" s="79" t="str">
        <f ca="1">IF(AND(Q16="pact of the tome",COUNTIF($O$13:$O$13,"*"&amp;"book of ancient secrets"&amp;"*")),"Book of Ancient Secrets"," ")</f>
        <v xml:space="preserve"> </v>
      </c>
      <c r="O154" s="81">
        <v>9</v>
      </c>
      <c r="Q154" s="29" t="str">
        <f ca="1">IF(AND(Q16="pact of the tome",COUNTIF(Q18:Q22,"*"&amp;"book of ancient secrets"&amp;"*")),INDEX('Spell Tables'!BD40:BD46,MATCH(1,('Spell Tables'!BB40:BB46),0))," ")</f>
        <v xml:space="preserve"> </v>
      </c>
      <c r="T154" s="72"/>
      <c r="AJ154" s="29">
        <v>3</v>
      </c>
      <c r="AK154" s="29">
        <v>3</v>
      </c>
    </row>
    <row r="155" spans="1:38" ht="19.5" thickBot="1" x14ac:dyDescent="0.35">
      <c r="B155" s="80" t="str">
        <f ca="1">IF(Q16="pact of the chain",Q16,IF(OR(P155="minor illusion",S155="animate dead",T155="polymorph"),"School Spells - in Spellbook"," "))</f>
        <v xml:space="preserve"> </v>
      </c>
      <c r="C155" s="38"/>
      <c r="D155" s="38"/>
      <c r="E155" s="38"/>
      <c r="F155" s="38"/>
      <c r="G155" s="38"/>
      <c r="H155" s="38"/>
      <c r="I155" s="38"/>
      <c r="J155" s="38"/>
      <c r="K155" s="38"/>
      <c r="L155" s="38"/>
      <c r="M155" s="38"/>
      <c r="N155" s="38"/>
      <c r="O155" s="82">
        <v>10</v>
      </c>
      <c r="P155" s="38" t="str">
        <f ca="1">IF(AND(R15="school of Illusion",COUNTIF(P315:P324,"*Minor Illusion*"))," ",IF(R15="school of illusion","Minor Illusion"," "))</f>
        <v xml:space="preserve"> </v>
      </c>
      <c r="Q155" s="38" t="str">
        <f ca="1">IF(AND(Q16="pact of the tome",COUNTIF(Q18:Q22,"*"&amp;"book of ancient secrets"&amp;"*")),INDEX('Spell Tables'!BD40:BD46,MATCH(2,('Spell Tables'!BB40:BB46),0)),IF(Q16="pact of the chain","Find Familiar (as ritual)"," "))</f>
        <v xml:space="preserve"> </v>
      </c>
      <c r="R155" s="38"/>
      <c r="S155" s="38" t="str">
        <f ca="1">IF(AND(R15="school of necromancy",Q12&gt;=6,COUNTIF(S315:S324,"*"&amp;"Animate Dead"&amp;"*"))," ",IF(AND(R15="school of necromancy",Q12&gt;=6),"Animate Dead"," "))</f>
        <v xml:space="preserve"> </v>
      </c>
      <c r="T155" s="73" t="str">
        <f ca="1">IF(AND(R15="school of transmutation",Q12&gt;=10,COUNTIF(T315:T324,"*"&amp;"Polymorph"&amp;"*"))," ",IF(AND(R15="school of transmutation",Q12&gt;=6),"Polymorph"," "))</f>
        <v xml:space="preserve"> </v>
      </c>
      <c r="AJ155" s="29">
        <v>4</v>
      </c>
      <c r="AK155" s="29">
        <v>3</v>
      </c>
      <c r="AL155" s="29" t="str">
        <f ca="1">IF(AND(O11="bard",O12&gt;=10),VLOOKUP(RANDBETWEEN(1,10),Table219344458800857914330387609[],2),IF(AND(Q11="bard",Q12&gt;=10),VLOOKUP(RANDBETWEEN(1,10),Table219344458800857914330387609[],2)," "))</f>
        <v xml:space="preserve"> </v>
      </c>
    </row>
    <row r="156" spans="1:38" ht="19.5" thickBot="1" x14ac:dyDescent="0.35">
      <c r="B156" s="27"/>
      <c r="O156" s="99"/>
      <c r="AJ156" s="29">
        <v>5</v>
      </c>
      <c r="AK156" s="29">
        <v>4</v>
      </c>
      <c r="AL156" s="29" t="str">
        <f ca="1">IF(AND(O11="bard",O12&gt;=10),VLOOKUP(RANDBETWEEN(1,10),Table219344458800857914330387609[],2),IF(AND(Q11="bard",Q12&gt;=10),VLOOKUP(RANDBETWEEN(1,10),Table219344458800857914330387609[],2)," "))</f>
        <v xml:space="preserve"> </v>
      </c>
    </row>
    <row r="157" spans="1:38" x14ac:dyDescent="0.3">
      <c r="A157" s="33"/>
      <c r="B157" s="72"/>
      <c r="P157" s="76" t="s">
        <v>1169</v>
      </c>
      <c r="Q157" s="76" t="s">
        <v>1170</v>
      </c>
      <c r="R157" s="76" t="s">
        <v>1171</v>
      </c>
      <c r="S157" s="76" t="s">
        <v>677</v>
      </c>
      <c r="T157" s="104" t="s">
        <v>1172</v>
      </c>
      <c r="AJ157" s="29">
        <v>6</v>
      </c>
      <c r="AK157" s="29">
        <v>4</v>
      </c>
    </row>
    <row r="158" spans="1:38" x14ac:dyDescent="0.3">
      <c r="A158" s="33"/>
      <c r="B158" s="72"/>
      <c r="O158" s="83">
        <v>1</v>
      </c>
      <c r="P158" s="65" t="str">
        <f ca="1">IF(COUNTIF(Q18:Q22,"*"&amp;"chains of carceri"&amp;"*"),"Hold Monster**(c,f,e only)",IF(AND(R15="oath of vengeance",Q12&gt;=17),"Hold Monster",IF(AND(R15="Oath of the Ancients",Q12&gt;=17),"Commune with Nature",IF(AND(R15="Oath of Devotion",Q12&gt;=17),"Commune",IF(AND($P$20="Underdark",Q12&gt;=9),"Cloudkill",IF(AND($P$20="Swamp",Q12&gt;=9),"Insect Plague",IF(AND($P$20="Mountain",Q12&gt;=9),"Passwall",IF(AND($P$20="Grassland",Q12&gt;=9),"Dream",IF(AND($P$20="Forest",Q12&gt;=9),"Commune with Nature",IF(AND($P$20="Desert",Q12&gt;=9),"Insect Plague",IF(AND($P$20="Coast",Q12&gt;=9),"Conjure Elemental",IF(AND($P$20="arctic",Q12&gt;=9),"Commune with Nature",IF(AND(R15="war",Q12&gt;=9),"Flame Strike",IF(AND(R15="trickery",Q12&gt;=9),"Dominate Person",IF(AND(R15="tempest",Q12&gt;=9),"Destructive Wave",IF(AND(R15="nature",Q12&gt;=9),"Insect Plague",IF(AND(R15="light",Q12&gt;=9),"Flame Strike",IF(AND(R15="life",Q12&gt;=9),"Mass Cure Wounds",IF(AND(R15="knowledge",Q12&gt;=9),"Legend Lore",IF(AND(Q11="bard",AL155=5),INDEX('Spell Tables'!BX2:BX24,MATCH(O120,('Spell Tables'!BV2:BV24),0)),IF(AND(R15="path of the totem warrior",Q12&gt;=10),"Commune with Nature (as ritual)"," ")))))))))))))))))))))</f>
        <v xml:space="preserve"> </v>
      </c>
      <c r="Q158" s="65" t="str">
        <f ca="1">IF(AND(Q11="bard",AL167=6),INDEX('Spell Tables'!CB2:CB27,MATCH(O120,('Spell Tables'!BZ2:BZ27),0)),IF(AND(Q11="warlock",Q12&gt;=11),INDEX('Spell Tables'!AN194:AN201,MATCH(1,('Spell Tables'!AL194:AL201),0))," "))</f>
        <v xml:space="preserve"> </v>
      </c>
      <c r="R158" s="65" t="str">
        <f ca="1">IF(AND(Q11="bard",AL167=7),INDEX('Spell Tables'!CF2:CF11,MATCH(O120,('Spell Tables'!CD2:CD11),0)),IF(AND(Q11="warlock",Q12&gt;=13),INDEX('Spell Tables'!AR194:AR197,MATCH(1,('Spell Tables'!AP194:AP197),0))," "))</f>
        <v xml:space="preserve"> </v>
      </c>
      <c r="S158" s="65" t="str">
        <f ca="1">IF(AND(Q11="bard",AL179=8),INDEX('Spell Tables'!CJ2:CJ14,MATCH(O120,('Spell Tables'!CH2:CH14),0)),IF(AND(Q11="warlock",Q12&gt;=15),INDEX('Spell Tables'!AV194:AV198,MATCH(1,('Spell Tables'!AT295:AT299),0))," "))</f>
        <v xml:space="preserve"> </v>
      </c>
      <c r="T158" s="66" t="str">
        <f ca="1">IF(AND(Q11="bard",AL179=9),INDEX('Spell Tables'!CN2:CN11,MATCH(O120,('Spell Tables'!CL2:CL11),0)),IF(AND(Q11="warlock",Q12&gt;=17),INDEX('Spell Tables'!AZ194:AZ198,MATCH(1,('Spell Tables'!AX194:AX198),0))," "))</f>
        <v xml:space="preserve"> </v>
      </c>
      <c r="AJ158" s="29">
        <v>7</v>
      </c>
      <c r="AK158" s="29">
        <v>4</v>
      </c>
    </row>
    <row r="159" spans="1:38" x14ac:dyDescent="0.3">
      <c r="A159" s="33"/>
      <c r="B159" s="72"/>
      <c r="O159" s="84">
        <v>2</v>
      </c>
      <c r="P159" s="60" t="str">
        <f ca="1">IF(COUNTIF(Q18:Q22,"*"&amp;"minions of chaos"&amp;"*"),"Conjure Elemental**",IF(AND(R15="oath of vengeance",Q12&gt;=17),"Scrying",IF(AND(R15="Oath of the Ancients",Q12&gt;=17),"Tree Stride",IF(AND(R15="Oath of Devotion",Q12&gt;=17),"Flame Strike",IF(AND($P$20="Underdark",Q12&gt;=9),"Insect Plague",IF(AND($P$20="Swamp",Q12&gt;=9),"Scrying",IF(AND($P$20="Mountain",Q12&gt;=9),"Wall of Stone",IF(AND($P$20="Grassland",Q12&gt;=9),"Insect Plague",IF(AND($P$20="Forest",Q12&gt;=9),"Tree Stride",IF(AND($P$20="Desert",Q12&gt;=9),"Wall of Stone",IF(AND($P$20="Coast",Q12&gt;=9),"Scrying",IF(AND($P$20="arctic",Q12&gt;=9),"Cone of Cold",IF(AND(R15="war",Q12&gt;=9),"Hold Monster",IF(AND(R15="trickery",Q12&gt;=9),"Modify Memory",IF(AND(R15="tempest",Q12&gt;=9),"Insect Plague",IF(AND(R15="nature",Q12&gt;=9),"Tree Stride",IF(AND(R15="light",Q12&gt;=9),"Scrying",IF(AND(R15="life",Q12&gt;=9),"Raise Dead",IF(AND(R15="knowledge",Q12&gt;=9),"Scrying",IF(AND(Q11="bard",AL156=5),INDEX('Spell Tables'!$BX$2:$BX$24,MATCH(O121,('Spell Tables'!$BV$2:$BV$24),0))," "))))))))))))))))))))</f>
        <v xml:space="preserve"> </v>
      </c>
      <c r="Q159" s="60" t="str">
        <f ca="1">IF(AND(Q11="bard",AL168=6),INDEX('Spell Tables'!CB2:CB27,MATCH(O121,('Spell Tables'!BZ2:BZ27),0))," ")</f>
        <v xml:space="preserve"> </v>
      </c>
      <c r="R159" s="60" t="str">
        <f ca="1">IF(AND(Q11="bard",AL168=7),INDEX('Spell Tables'!CF2:CF11,MATCH(O121,('Spell Tables'!CD2:CD11),0))," ")</f>
        <v xml:space="preserve"> </v>
      </c>
      <c r="S159" s="60" t="str">
        <f ca="1">IF(AND(Q11="bard",AL180=8),INDEX('Spell Tables'!CJ2:CJ14,MATCH(O121,('Spell Tables'!CH2:CH14),0))," ")</f>
        <v xml:space="preserve"> </v>
      </c>
      <c r="T159" s="63" t="str">
        <f ca="1">IF(AND(Q11="bard",AL180=9),INDEX('Spell Tables'!CN2:CN11,MATCH(O121,('Spell Tables'!CL2:CL11),0))," ")</f>
        <v xml:space="preserve"> </v>
      </c>
      <c r="AJ159" s="29">
        <v>8</v>
      </c>
      <c r="AK159" s="29">
        <v>5</v>
      </c>
    </row>
    <row r="160" spans="1:38" x14ac:dyDescent="0.3">
      <c r="A160" s="33"/>
      <c r="B160" s="72"/>
      <c r="O160" s="83">
        <v>3</v>
      </c>
      <c r="P160" s="65"/>
      <c r="Q160" s="65"/>
      <c r="R160" s="65"/>
      <c r="S160" s="65"/>
      <c r="T160" s="66"/>
      <c r="AJ160" s="29">
        <v>9</v>
      </c>
      <c r="AK160" s="29">
        <v>5</v>
      </c>
    </row>
    <row r="161" spans="1:38" x14ac:dyDescent="0.3">
      <c r="A161" s="33"/>
      <c r="B161" s="72"/>
      <c r="O161" s="84">
        <v>4</v>
      </c>
      <c r="P161" s="60"/>
      <c r="Q161" s="60"/>
      <c r="R161" s="60"/>
      <c r="S161" s="60"/>
      <c r="T161" s="63"/>
      <c r="AJ161" s="29">
        <v>10</v>
      </c>
      <c r="AK161" s="29">
        <v>5</v>
      </c>
    </row>
    <row r="162" spans="1:38" x14ac:dyDescent="0.3">
      <c r="A162" s="33"/>
      <c r="B162" s="72"/>
      <c r="O162" s="83">
        <v>5</v>
      </c>
      <c r="P162" s="65"/>
      <c r="Q162" s="65"/>
      <c r="R162" s="65"/>
      <c r="S162" s="65"/>
      <c r="T162" s="66"/>
    </row>
    <row r="163" spans="1:38" x14ac:dyDescent="0.3">
      <c r="A163" s="33"/>
      <c r="B163" s="72"/>
      <c r="O163" s="84">
        <v>6</v>
      </c>
      <c r="P163" s="60"/>
      <c r="Q163" s="60"/>
      <c r="R163" s="60"/>
      <c r="S163" s="60"/>
      <c r="T163" s="63"/>
      <c r="AJ163" s="31" t="s">
        <v>1667</v>
      </c>
    </row>
    <row r="164" spans="1:38" x14ac:dyDescent="0.3">
      <c r="A164" s="33"/>
      <c r="B164" s="72"/>
      <c r="O164" s="83">
        <v>7</v>
      </c>
      <c r="P164" s="65"/>
      <c r="Q164" s="65"/>
      <c r="R164" s="65"/>
      <c r="S164" s="65"/>
      <c r="T164" s="66"/>
      <c r="AJ164" s="29">
        <v>1</v>
      </c>
      <c r="AK164" s="29">
        <v>6</v>
      </c>
    </row>
    <row r="165" spans="1:38" x14ac:dyDescent="0.3">
      <c r="A165" s="33"/>
      <c r="B165" s="72"/>
      <c r="O165" s="84">
        <v>8</v>
      </c>
      <c r="P165" s="60"/>
      <c r="Q165" s="60"/>
      <c r="R165" s="60"/>
      <c r="S165" s="60"/>
      <c r="T165" s="63"/>
      <c r="AJ165" s="29">
        <v>2</v>
      </c>
      <c r="AK165" s="29">
        <v>6</v>
      </c>
    </row>
    <row r="166" spans="1:38" x14ac:dyDescent="0.3">
      <c r="A166" s="33"/>
      <c r="B166" s="72"/>
      <c r="O166" s="83">
        <v>9</v>
      </c>
      <c r="P166" s="65"/>
      <c r="Q166" s="65"/>
      <c r="R166" s="65"/>
      <c r="S166" s="65"/>
      <c r="T166" s="66"/>
      <c r="U166" s="57"/>
      <c r="V166" s="57"/>
      <c r="W166" s="57"/>
      <c r="X166" s="57"/>
      <c r="AJ166" s="29">
        <v>3</v>
      </c>
      <c r="AK166" s="29">
        <v>6</v>
      </c>
    </row>
    <row r="167" spans="1:38" ht="19.5" thickBot="1" x14ac:dyDescent="0.35">
      <c r="A167" s="33"/>
      <c r="B167" s="72"/>
      <c r="O167" s="85">
        <v>10</v>
      </c>
      <c r="P167" s="67"/>
      <c r="Q167" s="67"/>
      <c r="R167" s="67"/>
      <c r="S167" s="67"/>
      <c r="T167" s="68"/>
      <c r="AJ167" s="29">
        <v>4</v>
      </c>
      <c r="AK167" s="29">
        <v>6</v>
      </c>
      <c r="AL167" s="29" t="str">
        <f ca="1">IF(AND(O11="bard",O12&gt;=14),VLOOKUP(RANDBETWEEN(1,10),Table220345459801858915331388610[],2)," ")</f>
        <v xml:space="preserve"> </v>
      </c>
    </row>
    <row r="168" spans="1:38" ht="19.5" thickBot="1" x14ac:dyDescent="0.35">
      <c r="AJ168" s="29">
        <v>5</v>
      </c>
      <c r="AK168" s="29">
        <v>7</v>
      </c>
      <c r="AL168" s="29" t="str">
        <f ca="1">IF(AND(O11="bard",O12&gt;=14),VLOOKUP(RANDBETWEEN(1,10),Table220345459801858915331388610[],2)," ")</f>
        <v xml:space="preserve"> </v>
      </c>
    </row>
    <row r="169" spans="1:38" ht="30.75" thickBot="1" x14ac:dyDescent="0.45">
      <c r="B169" s="105" t="s">
        <v>1243</v>
      </c>
      <c r="AJ169" s="29">
        <v>6</v>
      </c>
      <c r="AK169" s="29">
        <v>7</v>
      </c>
    </row>
    <row r="170" spans="1:38" ht="19.5" thickBot="1" x14ac:dyDescent="0.35">
      <c r="B170" s="79"/>
      <c r="C170" s="27"/>
      <c r="D170" s="27"/>
      <c r="E170" s="27"/>
      <c r="F170" s="27"/>
      <c r="G170" s="27"/>
      <c r="H170" s="27"/>
      <c r="I170" s="27"/>
      <c r="J170" s="27"/>
      <c r="K170" s="27"/>
      <c r="L170" s="27"/>
      <c r="M170" s="27"/>
      <c r="N170" s="27"/>
      <c r="O170" s="27"/>
      <c r="P170" s="87" t="s">
        <v>1341</v>
      </c>
      <c r="Q170" s="88" t="str">
        <f ca="1">IF($O$11="warlock",INDEX('Spell Tables'!$D$194:$D$213,MATCH($O$12,('Spell Tables'!$A$194:$A$213),0))," ")</f>
        <v xml:space="preserve"> </v>
      </c>
      <c r="R170" s="89" t="s">
        <v>1340</v>
      </c>
      <c r="S170" s="90" t="str">
        <f ca="1">IF($O$11="warlock",INDEX('Spell Tables'!$E$194:$E$213,MATCH($O$12,('Spell Tables'!$A$194:$A$213),0))," ")</f>
        <v xml:space="preserve"> </v>
      </c>
      <c r="T170" s="91"/>
      <c r="AJ170" s="29">
        <v>7</v>
      </c>
      <c r="AK170" s="29">
        <v>7</v>
      </c>
    </row>
    <row r="171" spans="1:38" x14ac:dyDescent="0.3">
      <c r="B171" s="112"/>
      <c r="C171" s="33"/>
      <c r="D171" s="33"/>
      <c r="E171" s="33"/>
      <c r="F171" s="33"/>
      <c r="G171" s="33"/>
      <c r="H171" s="33"/>
      <c r="I171" s="33"/>
      <c r="J171" s="33"/>
      <c r="K171" s="33"/>
      <c r="L171" s="33"/>
      <c r="M171" s="33"/>
      <c r="N171" s="33"/>
      <c r="O171" s="33"/>
      <c r="P171" s="92" t="s">
        <v>1342</v>
      </c>
      <c r="Q171" s="33">
        <f ca="1">IF(AND(AF14=2,OR(O11="monk",O11="barbarian",O11="warlock"),OR(Q11="fighter",Q11="rogue"),OR(P15&lt;&gt;"arcane trickster",R15&lt;&gt;"arcane trickster",P15&lt;&gt;"eldritch knight",R15&lt;&gt;"eldritch knight")),0,IF(AND(AF14=2,OR(O11="monk",O11="barbarian",O11="warlock"),OR(Q11="monk",Q11="barbarian",Q11="warlock")),0,IF(AND(AF14=2,OR(O11="monk",O11="barbarian",O11="warlock",Q11="monk",Q11="barbarian",Q11="warlock"),OR(P15="arcane trickster",R15="arcane trickster",P15="eldritch knight",R15="eldritch knight")),INDEX('Spell Tables'!D141:D160,MATCH(AF18,('Spell Tables'!A141:A160),0)),IF(AND(AF14=2,OR(O11="monk",O11="barbarian",O11="warlock",Q11="monk",Q11="barbarian",Q11="warlock"),OR(O11="paladin",Q11="paladin",O11="ranger",Q11="ranger")),INDEX('Spell Tables'!D119:D138,MATCH(AF18,('Spell Tables'!B119:B138),0)),IF(AF14=2,INDEX('Spell Tables'!D242:D261,MATCH(AF18,('Spell Tables'!B242:B261),0)),IF(AND(AF14=1,$P$15="arcane trickster"),INDEX('Spell Tables'!$D$141:$D$161,MATCH($O$12,('Spell Tables'!$A$141:$A$160),0)),IF(AND(AF14=1,(OR($O$11="bard",$O$11="cleric",$O$11="druid",$O$11="sorcerer",$O$11="wizard"))),INDEX('Spell Tables'!$D$2:$D$21,MATCH($O$12,('Spell Tables'!$A$2:$A$21),0)),IF(AND(AF14=1,$P$15)="Eldritch Knight",INDEX('Spell Tables'!$D$70:$D$89,MATCH($O$12,('Spell Tables'!$A$70:$A$89),0))," "))))))))</f>
        <v>4</v>
      </c>
      <c r="R171" s="33">
        <f ca="1">IF(AND(AF14=2,OR(O11="monk",O11="barbarian",O11="warlock"),OR(Q11="fighter",Q11="rogue"),OR(P15&lt;&gt;"arcane trickster",R15&lt;&gt;"arcane trickster",P15&lt;&gt;"eldritch knight",R15&lt;&gt;"eldritch knight")),0,IF(AND(AF14=2,OR(O11="monk",O11="barbarian",O11="warlock"),OR(Q11="monk",Q11="barbarian",Q11="warlock")),0,IF(AND(AF14=2,OR(O11="monk",O11="barbarian",O11="warlock",Q11="monk",Q11="barbarian",Q11="warlock"),OR(P15="arcane trickster",R15="arcane trickster",P15="eldritch knight",R15="eldritch knight")),INDEX('Spell Tables'!E141:E160,MATCH(AF18,('Spell Tables'!A141:A160),0)),IF(AND(AF14=2,OR(O11="monk",O11="barbarian",O11="warlock",Q11="monk",Q11="barbarian",Q11="warlock"),OR(O11="paladin",Q11="paladin",O11="ranger",Q11="ranger")),INDEX('Spell Tables'!E119:E138,MATCH(AF18,('Spell Tables'!B119:B138),0)),IF(AF14=2,INDEX('Spell Tables'!E242:E261,MATCH(AF18,('Spell Tables'!B242:B261),0)),IF($P$15="arcane trickster",INDEX('Spell Tables'!$E$141:$E$161,MATCH($O$12,('Spell Tables'!$A$141:$A$160),0)),IF(OR($O$11="bard",$O$11="cleric",$O$11="druid",O11="sorcerer",O11="wizard"),INDEX('Spell Tables'!E$2:E$21,MATCH($O$12,('Spell Tables'!$A$2:$A$21),0)),IF($P$15="Eldritch Knight",INDEX('Spell Tables'!E70:E89,MATCH($O$12,('Spell Tables'!$A$70:$A$89),0))," "))))))))</f>
        <v>3</v>
      </c>
      <c r="S171" s="33">
        <f ca="1">IF(AND(AF14=2,OR(O11="monk",O11="barbarian",O11="warlock"),OR(Q11="fighter",Q11="rogue"),OR(P15&lt;&gt;"arcane trickster",R15&lt;&gt;"arcane trickster",P15&lt;&gt;"eldritch knight",R15&lt;&gt;"eldritch knight")),0,IF(AND(AF14=2,OR(O11="monk",O11="barbarian",O11="warlock"),OR(Q11="monk",Q11="barbarian",Q11="warlock")),0,IF(AND(AF14=2,OR(O11="monk",O11="barbarian",O11="warlock",Q11="monk",Q11="barbarian",Q11="warlock"),OR(P15="arcane trickster",R15="arcane trickster",P15="eldritch knight",R15="eldritch knight")),INDEX('Spell Tables'!F141:F160,MATCH(AF18,('Spell Tables'!A141:A160),0)),IF(AND(AF14=2,OR(O11="monk",O11="barbarian",O11="warlock",Q11="monk",Q11="barbarian",Q11="warlock"),OR(O11="paladin",Q11="paladin",O11="ranger",Q11="ranger")),INDEX('Spell Tables'!F119:F1383,MATCH(AF18,('Spell Tables'!B119:B138),0)),IF(AF14=2,INDEX('Spell Tables'!F242:F261,MATCH(AF18,('Spell Tables'!B242:B261),0)),IF($P$15="arcane trickster",INDEX('Spell Tables'!$F$141:$F$161,MATCH($O$12,('Spell Tables'!$A$141:$A$160),0)),IF(OR($O$11="bard",$O$11="cleric",$O$11="druid",O11="sorcerer",O11="wizard"),INDEX('Spell Tables'!F$2:F$21,MATCH($O$12,('Spell Tables'!$A$2:$A$21),0)),IF($P$15="Eldritch Knight",INDEX('Spell Tables'!F70:F89,MATCH($O$12,('Spell Tables'!$A$70:$A$89),0))," "))))))))</f>
        <v>3</v>
      </c>
      <c r="T171" s="72">
        <f ca="1">IF(AND(AF14=2,OR(O11="monk",O11="barbarian",O11="warlock"),OR(Q11="fighter",Q11="rogue"),OR(P15&lt;&gt;"arcane trickster",R15&lt;&gt;"arcane trickster",P15&lt;&gt;"eldritch knight",R15&lt;&gt;"eldritch knight")),0,IF(AND(AF14=2,OR(O11="monk",O11="barbarian",O11="warlock"),OR(Q11="monk",Q11="barbarian",Q11="warlock")),0,IF(AND(AF14=2,OR(O11="monk",O11="barbarian",O11="warlock",Q11="monk",Q11="barbarian",Q11="warlock"),OR(P15="arcane trickster",R15="arcane trickster",P15="eldritch knight",R15="eldritch knight")),INDEX('Spell Tables'!G141:G160,MATCH(AF18,('Spell Tables'!A141:A160),0)),IF(AND(AF14=2,OR(O11="monk",O11="barbarian",O11="warlock",Q11="monk",Q11="barbarian",Q11="warlock"),OR(O11="paladin",Q11="paladin",O11="ranger",Q11="ranger")),INDEX('Spell Tables'!G119:G138,MATCH(AF18,('Spell Tables'!B119:B138),0)),IF(AF14=2,INDEX('Spell Tables'!G242:G261,MATCH(AF18,('Spell Tables'!B242:B261),0)),IF($P$15="arcane trickster",INDEX('Spell Tables'!$G$141:$G$161,MATCH($O$12,('Spell Tables'!$A$141:$A$160),0)),IF(OR($O$11="bard",$O$11="cleric",$O$11="druid",O11="sorcerer",O11="wizard"),INDEX('Spell Tables'!G$2:G$21,MATCH($O$12,('Spell Tables'!$A$2:$A$21),0)),IF($P$15="Eldritch Knight",INDEX('Spell Tables'!G70:G89,MATCH($O$12,('Spell Tables'!$A$70:$A$89),0))," "))))))))</f>
        <v>3</v>
      </c>
      <c r="AJ171" s="29">
        <v>8</v>
      </c>
      <c r="AK171" s="29">
        <v>7</v>
      </c>
    </row>
    <row r="172" spans="1:38" hidden="1" x14ac:dyDescent="0.3">
      <c r="B172" s="112" t="s">
        <v>1270</v>
      </c>
      <c r="C172" s="33"/>
      <c r="D172" s="33"/>
      <c r="E172" s="33"/>
      <c r="F172" s="33"/>
      <c r="G172" s="33"/>
      <c r="H172" s="33"/>
      <c r="I172" s="33"/>
      <c r="J172" s="33"/>
      <c r="K172" s="33"/>
      <c r="L172" s="33"/>
      <c r="M172" s="33"/>
      <c r="N172" s="33"/>
      <c r="O172" s="33" t="s">
        <v>530</v>
      </c>
      <c r="P172" s="92" t="s">
        <v>530</v>
      </c>
      <c r="Q172" s="33" t="str">
        <f ca="1">IF(AND(O11="wizard",O12&gt;=3),"x",IF(O11="wizard","xx"," "))</f>
        <v>x</v>
      </c>
      <c r="R172" s="33" t="str">
        <f ca="1">IF(AND(O11="wizard",O12&gt;=5),"x",IF(AND($O$11="wizard",$O$12&gt;3),"xx",IF(AND(O11="wizard",O12=3),"xxx"," ")))</f>
        <v>x</v>
      </c>
      <c r="S172" s="33" t="str">
        <f ca="1">IF(AND(O11="Wizard",O12&gt;=7),"x",IF(AND($O$11="wizard",$O$12&gt;5),"xx",IF(AND(O11="wizard",O12=5),"xxx"," ")))</f>
        <v>x</v>
      </c>
      <c r="T172" s="33" t="str">
        <f ca="1">IF(AND(O11="wizard",O12&gt;=9),"x",IF(AND($O$11="wizard",$O$12&gt;7),"xx",IF(AND(O11="wizard",O12=7),"xxx"," ")))</f>
        <v>x</v>
      </c>
      <c r="AJ172" s="29">
        <v>9</v>
      </c>
      <c r="AK172" s="29">
        <v>7</v>
      </c>
    </row>
    <row r="173" spans="1:38" hidden="1" x14ac:dyDescent="0.3">
      <c r="B173" s="112" t="s">
        <v>1272</v>
      </c>
      <c r="C173" s="33"/>
      <c r="D173" s="33"/>
      <c r="E173" s="33"/>
      <c r="F173" s="33"/>
      <c r="G173" s="33"/>
      <c r="H173" s="33"/>
      <c r="I173" s="33"/>
      <c r="J173" s="33"/>
      <c r="K173" s="33"/>
      <c r="L173" s="33"/>
      <c r="M173" s="33"/>
      <c r="N173" s="33"/>
      <c r="O173" s="33">
        <f ca="1">IF(O11="wizard",P41+O12," ")</f>
        <v>15</v>
      </c>
      <c r="P173" s="92">
        <f ca="1">IF(O11="wizard",INDEX('Spell Tables'!C242:C261,MATCH(O12,('Spell Tables'!B242:B261),0)),0)</f>
        <v>5</v>
      </c>
      <c r="Q173" s="33">
        <f ca="1">IF($Q172="x",RANDBETWEEN(1,2),IF($Q172="xx",$O$173,0))</f>
        <v>2</v>
      </c>
      <c r="R173" s="33">
        <f ca="1">IF(R172="x",RANDBETWEEN(1,2),IF(R172="xx",$O$173-Q173,0))</f>
        <v>1</v>
      </c>
      <c r="S173" s="33">
        <f ca="1">IF(S172="x",O173-SUM(Q173:R173,U122:X122),IF(S172="xx",$O$173-SUM(Q173:R173),0))</f>
        <v>12</v>
      </c>
      <c r="T173" s="33">
        <f ca="1">IF(T172="x",RANDBETWEEN(1,2),IF(T172="xx",RANDBETWEEN(2,3),IF(T172="xxx",RANDBETWEEN(1,2),0)))</f>
        <v>2</v>
      </c>
      <c r="AJ173" s="29">
        <v>10</v>
      </c>
      <c r="AK173" s="29">
        <v>7</v>
      </c>
    </row>
    <row r="174" spans="1:38" hidden="1" x14ac:dyDescent="0.3">
      <c r="B174" s="112" t="s">
        <v>1269</v>
      </c>
      <c r="C174" s="33"/>
      <c r="D174" s="33"/>
      <c r="E174" s="33"/>
      <c r="F174" s="33"/>
      <c r="G174" s="33"/>
      <c r="H174" s="33"/>
      <c r="I174" s="33"/>
      <c r="J174" s="33"/>
      <c r="K174" s="33"/>
      <c r="L174" s="33"/>
      <c r="M174" s="33"/>
      <c r="N174" s="33"/>
      <c r="O174" s="33" t="s">
        <v>530</v>
      </c>
      <c r="P174" s="92" t="s">
        <v>530</v>
      </c>
      <c r="Q174" s="33" t="str">
        <f ca="1">IF(AND($O$11="warlock",$O$12&gt;=3),"x",IF(O11="warlock","xx"," "))</f>
        <v xml:space="preserve"> </v>
      </c>
      <c r="R174" s="33" t="str">
        <f ca="1">IF(AND($O$11="warlock",$O$12&gt;=5),"x",IF(AND($O$11="warlock",$O$12&gt;=3),"xx"," "))</f>
        <v xml:space="preserve"> </v>
      </c>
      <c r="S174" s="33" t="str">
        <f ca="1">IF(AND($O$11="warlock",$O$12&gt;=7),"x",IF(AND($O$11="warlock",$O$12&gt;=5),"xx"," "))</f>
        <v xml:space="preserve"> </v>
      </c>
      <c r="T174" s="33" t="str">
        <f ca="1">IF(AND($O$11="warlock",$O$12&gt;=9),"x",IF(AND($O$11="warlock",$O$12&gt;=7),"xx"," "))</f>
        <v xml:space="preserve"> </v>
      </c>
    </row>
    <row r="175" spans="1:38" hidden="1" x14ac:dyDescent="0.3">
      <c r="B175" s="112" t="s">
        <v>1268</v>
      </c>
      <c r="C175" s="33"/>
      <c r="D175" s="33"/>
      <c r="E175" s="33"/>
      <c r="F175" s="33"/>
      <c r="G175" s="33"/>
      <c r="H175" s="33"/>
      <c r="I175" s="33"/>
      <c r="J175" s="33"/>
      <c r="K175" s="33"/>
      <c r="L175" s="33"/>
      <c r="M175" s="33"/>
      <c r="N175" s="33"/>
      <c r="O175" s="33" t="str">
        <f ca="1">IF(O11="warlock",INDEX('Spell Tables'!C194:C213,MATCH($O$12,('Spell Tables'!A194:A213),0))," ")</f>
        <v xml:space="preserve"> </v>
      </c>
      <c r="P175" s="92">
        <f ca="1">IF($O$11="warlock",INDEX('Spell Tables'!B194:B213,MATCH($O$12,('Spell Tables'!A194:A213),0)),0)</f>
        <v>0</v>
      </c>
      <c r="Q175" s="33">
        <f ca="1">IF($Q174="x",RANDBETWEEN(1,2),IF($Q174="xx",$O$175,0))</f>
        <v>0</v>
      </c>
      <c r="R175" s="33">
        <f ca="1">IF(R174="x",RANDBETWEEN(1,2),IF(R174="xx",$O$175-Q175,0))</f>
        <v>0</v>
      </c>
      <c r="S175" s="33">
        <f ca="1">IF(S174="x",O175-SUM(Q175:R175,U124:X124),IF(S174="xx",$O$175-SUM(Q175:R175),0))</f>
        <v>0</v>
      </c>
      <c r="T175" s="33">
        <f ca="1">IF(T174="x",RANDBETWEEN(1,2),IF(T174="xx",RANDBETWEEN(2,3),0))</f>
        <v>0</v>
      </c>
      <c r="AJ175" s="31" t="s">
        <v>1668</v>
      </c>
    </row>
    <row r="176" spans="1:38" hidden="1" x14ac:dyDescent="0.3">
      <c r="B176" s="112" t="s">
        <v>1267</v>
      </c>
      <c r="C176" s="33"/>
      <c r="D176" s="33"/>
      <c r="E176" s="33"/>
      <c r="F176" s="33"/>
      <c r="G176" s="33"/>
      <c r="H176" s="33"/>
      <c r="I176" s="33"/>
      <c r="J176" s="33"/>
      <c r="K176" s="33"/>
      <c r="L176" s="33"/>
      <c r="M176" s="33"/>
      <c r="N176" s="33"/>
      <c r="O176" s="33" t="s">
        <v>530</v>
      </c>
      <c r="P176" s="92" t="s">
        <v>530</v>
      </c>
      <c r="Q176" s="33" t="str">
        <f ca="1">IF(AND($O$11="sorcerer",$O$12&gt;=3),"x",IF($O$11="sorcerer","xx"," "))</f>
        <v xml:space="preserve"> </v>
      </c>
      <c r="R176" s="33" t="str">
        <f ca="1">IF(AND($O$11="sorcerer",$O$12&gt;=5),"x",IF(AND($O$11="sorcerer",$O$12&gt;=3),"xx"," "))</f>
        <v xml:space="preserve"> </v>
      </c>
      <c r="S176" s="33" t="str">
        <f ca="1">IF(AND($O$11="sorcerer",$O$12&gt;=7),"x",IF(AND($O$11="sorcerer",$O$12&gt;=5),"xx"," "))</f>
        <v xml:space="preserve"> </v>
      </c>
      <c r="T176" s="33" t="str">
        <f ca="1">IF(AND($O$11="sorcerer",$O$12&gt;=9),"x",IF(AND($O$11="sorcerer",$O$12&gt;=7),"xx"," "))</f>
        <v xml:space="preserve"> </v>
      </c>
      <c r="AJ176" s="29">
        <v>1</v>
      </c>
      <c r="AK176" s="29">
        <v>8</v>
      </c>
    </row>
    <row r="177" spans="2:38" hidden="1" x14ac:dyDescent="0.3">
      <c r="B177" s="112" t="s">
        <v>1266</v>
      </c>
      <c r="C177" s="33"/>
      <c r="D177" s="33"/>
      <c r="E177" s="33"/>
      <c r="F177" s="33"/>
      <c r="G177" s="33"/>
      <c r="H177" s="33"/>
      <c r="I177" s="33"/>
      <c r="J177" s="33"/>
      <c r="K177" s="33"/>
      <c r="L177" s="33"/>
      <c r="M177" s="33"/>
      <c r="N177" s="33"/>
      <c r="O177" s="33" t="str">
        <f ca="1">IF(O11="sorcerer",INDEX('Spell Tables'!C168:C187,MATCH($O$12,('Spell Tables'!A168:A187),0))," ")</f>
        <v xml:space="preserve"> </v>
      </c>
      <c r="P177" s="92">
        <f ca="1">IF($O$11="sorcerer",INDEX('Spell Tables'!B168:B187,MATCH($O$12,('Spell Tables'!A168:A187),0)),0)</f>
        <v>0</v>
      </c>
      <c r="Q177" s="33">
        <f ca="1">IF($Q176="x",RANDBETWEEN(1,2),IF($Q176="xx",$O$177,0))</f>
        <v>0</v>
      </c>
      <c r="R177" s="33">
        <f ca="1">IF(R176="x",RANDBETWEEN(1,2),IF(R176="xx",$O$177-Q177,0))</f>
        <v>0</v>
      </c>
      <c r="S177" s="33">
        <f ca="1">IF(S176="x",O177-SUM(Q177:R177,U126:X126),IF(S176="xx",$O$177-SUM(Q177:R177),0))</f>
        <v>0</v>
      </c>
      <c r="T177" s="33">
        <f ca="1">IF(T176="x",RANDBETWEEN(1,2),IF(T176="xx",RANDBETWEEN(2,3),0))</f>
        <v>0</v>
      </c>
      <c r="AJ177" s="29">
        <v>2</v>
      </c>
      <c r="AK177" s="29">
        <v>8</v>
      </c>
    </row>
    <row r="178" spans="2:38" hidden="1" x14ac:dyDescent="0.3">
      <c r="B178" s="112" t="s">
        <v>1254</v>
      </c>
      <c r="C178" s="33"/>
      <c r="D178" s="33"/>
      <c r="E178" s="33"/>
      <c r="F178" s="33"/>
      <c r="G178" s="33"/>
      <c r="H178" s="33"/>
      <c r="I178" s="33"/>
      <c r="J178" s="33"/>
      <c r="K178" s="33"/>
      <c r="L178" s="33"/>
      <c r="M178" s="33"/>
      <c r="N178" s="33"/>
      <c r="O178" s="33" t="s">
        <v>530</v>
      </c>
      <c r="P178" s="92" t="s">
        <v>530</v>
      </c>
      <c r="Q178" s="33" t="str">
        <f ca="1">IF(AND(P15="arcane trickster",O12&gt;=7),"x",IF(P15="arcane trickster","xx"," "))</f>
        <v xml:space="preserve"> </v>
      </c>
      <c r="R178" s="33" t="str">
        <f ca="1">IF(AND(P15="arcane trickster",O12=13),"x",IF(AND(P15="arcane trickster",$O$12&gt;=7),"xx"," "))</f>
        <v xml:space="preserve"> </v>
      </c>
      <c r="S178" s="33" t="str">
        <f ca="1">IF(AND(P15="arcane trickster",O12&gt;=19),"x",IF(AND(P15="arcane trickster",$O$12&gt;=13),"xx"," "))</f>
        <v xml:space="preserve"> </v>
      </c>
      <c r="T178" s="33" t="str">
        <f ca="1">IF(AND(P15="arcane trickster",$O$12&gt;=19),"xx"," ")</f>
        <v xml:space="preserve"> </v>
      </c>
      <c r="AJ178" s="29">
        <v>3</v>
      </c>
      <c r="AK178" s="29">
        <v>8</v>
      </c>
    </row>
    <row r="179" spans="2:38" hidden="1" x14ac:dyDescent="0.3">
      <c r="B179" s="112" t="s">
        <v>1253</v>
      </c>
      <c r="C179" s="33"/>
      <c r="D179" s="33"/>
      <c r="E179" s="33"/>
      <c r="F179" s="33"/>
      <c r="G179" s="33"/>
      <c r="H179" s="33"/>
      <c r="I179" s="33"/>
      <c r="J179" s="33"/>
      <c r="K179" s="33"/>
      <c r="L179" s="33"/>
      <c r="M179" s="33"/>
      <c r="N179" s="33"/>
      <c r="O179" s="33" t="str">
        <f ca="1">IF(P15="arcane trickster",INDEX('Spell Tables'!C141:C160,MATCH($O$12,('Spell Tables'!A141:A160),0))," ")</f>
        <v xml:space="preserve"> </v>
      </c>
      <c r="P179" s="92">
        <f ca="1">IF($P$15="arcane trickster",INDEX('Spell Tables'!B141:B160,MATCH($O$12,('Spell Tables'!A141:A160),0)),0)</f>
        <v>0</v>
      </c>
      <c r="Q179" s="33">
        <f ca="1">IF($Q178="x",RANDBETWEEN(2,3),IF($Q178="xx",$O$179,0))</f>
        <v>0</v>
      </c>
      <c r="R179" s="33">
        <f ca="1">IF(R178="x",RANDBETWEEN(2,3),IF(R178="xx",$O$179-Q179,0))</f>
        <v>0</v>
      </c>
      <c r="S179" s="33">
        <f ca="1">IF(S178="x",O179-SUM(Q179:R179,U128:X128),IF(S178="xx",$O$179-SUM(Q179:R179),0))</f>
        <v>0</v>
      </c>
      <c r="T179" s="33">
        <f ca="1">IF(T178="x",RANDBETWEEN(1,2),IF(T178="xx",RANDBETWEEN(2,3),0))</f>
        <v>0</v>
      </c>
      <c r="AJ179" s="29">
        <v>4</v>
      </c>
      <c r="AK179" s="29">
        <v>8</v>
      </c>
      <c r="AL179" s="29" t="str">
        <f ca="1">IF(AND(O11="bard",O12&gt;=18),VLOOKUP(RANDBETWEEN(1,10),Table222346460802859916332389611[],2)," ")</f>
        <v xml:space="preserve"> </v>
      </c>
    </row>
    <row r="180" spans="2:38" hidden="1" x14ac:dyDescent="0.3">
      <c r="B180" s="112" t="s">
        <v>1247</v>
      </c>
      <c r="C180" s="33"/>
      <c r="D180" s="33"/>
      <c r="E180" s="33"/>
      <c r="F180" s="33"/>
      <c r="G180" s="33"/>
      <c r="H180" s="33"/>
      <c r="I180" s="33"/>
      <c r="J180" s="33"/>
      <c r="K180" s="33"/>
      <c r="L180" s="33"/>
      <c r="M180" s="33"/>
      <c r="N180" s="33"/>
      <c r="O180" s="33" t="s">
        <v>530</v>
      </c>
      <c r="P180" s="92" t="s">
        <v>1324</v>
      </c>
      <c r="Q180" s="33" t="str">
        <f ca="1">IF(AND($O$11="ranger",$O$12&gt;=5),"x",IF(AND(O11="ranger",O12&gt;=2),"xx"," "))</f>
        <v xml:space="preserve"> </v>
      </c>
      <c r="R180" s="33" t="str">
        <f ca="1">IF(AND($O$11="ranger",$O$12&gt;=9),"x",IF(AND($O$11="ranger",$O$12&gt;=5),"xx"," "))</f>
        <v xml:space="preserve"> </v>
      </c>
      <c r="S180" s="33" t="str">
        <f ca="1">IF(AND($O$11="ranger",$O$12&gt;=13),"x",IF(AND($O$11="ranger",$O$12&gt;=9),"xx"," "))</f>
        <v xml:space="preserve"> </v>
      </c>
      <c r="T180" s="33" t="str">
        <f ca="1">IF(AND($O$11="ranger",$O$12&gt;=17),"x",IF(AND($O$11="ranger",$O$12&gt;=13),"xx"," "))</f>
        <v xml:space="preserve"> </v>
      </c>
      <c r="AJ180" s="29">
        <v>5</v>
      </c>
      <c r="AK180" s="29">
        <v>9</v>
      </c>
      <c r="AL180" s="29" t="str">
        <f ca="1">IF(AND(O11="bard",O12&gt;=18),VLOOKUP(RANDBETWEEN(1,10),Table222346460802859916332389611[],2)," ")</f>
        <v xml:space="preserve"> </v>
      </c>
    </row>
    <row r="181" spans="2:38" hidden="1" x14ac:dyDescent="0.3">
      <c r="B181" s="112" t="s">
        <v>1246</v>
      </c>
      <c r="C181" s="33"/>
      <c r="D181" s="33"/>
      <c r="E181" s="33"/>
      <c r="F181" s="33"/>
      <c r="G181" s="33"/>
      <c r="H181" s="33"/>
      <c r="I181" s="33"/>
      <c r="J181" s="33"/>
      <c r="K181" s="33"/>
      <c r="L181" s="33"/>
      <c r="M181" s="33"/>
      <c r="N181" s="33"/>
      <c r="O181" s="33" t="str">
        <f ca="1">IF($O$11="ranger",INDEX('Spell Tables'!C119:C138,MATCH($O$12,('Spell Tables'!B119:B138),0))," ")</f>
        <v xml:space="preserve"> </v>
      </c>
      <c r="P181" s="92" t="s">
        <v>1324</v>
      </c>
      <c r="Q181" s="33">
        <f ca="1">IF($Q180="x",RANDBETWEEN(1,2),IF($Q180="xx",$O$181,0))</f>
        <v>0</v>
      </c>
      <c r="R181" s="33">
        <f ca="1">IF(R180="x",RANDBETWEEN(1,2),IF(R180="xx",$O$181-Q181,0))</f>
        <v>0</v>
      </c>
      <c r="S181" s="33">
        <f ca="1">IF(S180="x",O181-SUM(Q181:R181,T130:X130),IF(S180="xx",$O$181-SUM(Q181:R181),0))</f>
        <v>0</v>
      </c>
      <c r="T181" s="33">
        <f ca="1">IF(T180="x",RANDBETWEEN(1,2),IF(T180="xx",RANDBETWEEN(2,3),0))</f>
        <v>0</v>
      </c>
      <c r="AJ181" s="29">
        <v>6</v>
      </c>
      <c r="AK181" s="29">
        <v>9</v>
      </c>
    </row>
    <row r="182" spans="2:38" hidden="1" x14ac:dyDescent="0.3">
      <c r="B182" s="112" t="s">
        <v>1245</v>
      </c>
      <c r="C182" s="33"/>
      <c r="D182" s="33"/>
      <c r="E182" s="33"/>
      <c r="F182" s="33"/>
      <c r="G182" s="33"/>
      <c r="H182" s="33"/>
      <c r="I182" s="33"/>
      <c r="J182" s="33"/>
      <c r="K182" s="33"/>
      <c r="L182" s="33"/>
      <c r="M182" s="33"/>
      <c r="N182" s="33"/>
      <c r="O182" s="33" t="s">
        <v>530</v>
      </c>
      <c r="P182" s="92" t="s">
        <v>1324</v>
      </c>
      <c r="Q182" s="33" t="str">
        <f ca="1">IF(AND($O$11="paladin",$O$12&gt;=5),"x",IF($O$11="paladin","xx"," "))</f>
        <v xml:space="preserve"> </v>
      </c>
      <c r="R182" s="33" t="str">
        <f ca="1">IF(AND(O11="paladin",O12&gt;=9),"x",IF(AND($O$11="paladin",$O$12&gt;=5),"xx"," "))</f>
        <v xml:space="preserve"> </v>
      </c>
      <c r="S182" s="33" t="str">
        <f ca="1">IF(AND(O11="paladin",O12&gt;=13),"x",IF(AND($O$11="paladin",$O$12&gt;=9),"xx"," "))</f>
        <v xml:space="preserve"> </v>
      </c>
      <c r="T182" s="33" t="str">
        <f ca="1">IF(AND(O11="paladin",O12&gt;=17),"x",IF(AND($O$11="paladin",$O$12&gt;=13),"xx"," "))</f>
        <v xml:space="preserve"> </v>
      </c>
      <c r="AJ182" s="29">
        <v>7</v>
      </c>
      <c r="AK182" s="29">
        <v>9</v>
      </c>
    </row>
    <row r="183" spans="2:38" hidden="1" x14ac:dyDescent="0.3">
      <c r="B183" s="112" t="s">
        <v>1244</v>
      </c>
      <c r="C183" s="33"/>
      <c r="D183" s="33"/>
      <c r="E183" s="33"/>
      <c r="F183" s="33"/>
      <c r="G183" s="33"/>
      <c r="H183" s="33"/>
      <c r="I183" s="33"/>
      <c r="J183" s="33"/>
      <c r="K183" s="33"/>
      <c r="L183" s="33"/>
      <c r="M183" s="33"/>
      <c r="N183" s="33"/>
      <c r="O183" s="33" t="str">
        <f ca="1">IF(O11="paladin",ROUNDDOWN(P43+(O12*0.5),0)," ")</f>
        <v xml:space="preserve"> </v>
      </c>
      <c r="P183" s="92" t="s">
        <v>1324</v>
      </c>
      <c r="Q183" s="33">
        <f ca="1">IF($Q182="x",RANDBETWEEN(1,2),IF($Q182="xx",$O$183,0))</f>
        <v>0</v>
      </c>
      <c r="R183" s="33">
        <f ca="1">IF(R182="x",RANDBETWEEN(1,2),IF(R182="xx",$O$183-Q183,0))</f>
        <v>0</v>
      </c>
      <c r="S183" s="33">
        <f ca="1">IF(S182="x",O183-SUM(Q183:R183,U132:X132),IF(S182="xx",$O$183-SUM(Q183:R183),0))</f>
        <v>0</v>
      </c>
      <c r="T183" s="33">
        <f ca="1">IF(T182="x",RANDBETWEEN(1,2),IF(T182="xx",RANDBETWEEN(2,3),0))</f>
        <v>0</v>
      </c>
      <c r="AJ183" s="29">
        <v>8</v>
      </c>
      <c r="AK183" s="29">
        <v>9</v>
      </c>
    </row>
    <row r="184" spans="2:38" hidden="1" x14ac:dyDescent="0.3">
      <c r="B184" s="112" t="s">
        <v>1226</v>
      </c>
      <c r="C184" s="33"/>
      <c r="D184" s="33"/>
      <c r="E184" s="33"/>
      <c r="F184" s="33"/>
      <c r="G184" s="33"/>
      <c r="H184" s="33"/>
      <c r="I184" s="33"/>
      <c r="J184" s="33"/>
      <c r="K184" s="33"/>
      <c r="L184" s="33"/>
      <c r="M184" s="33"/>
      <c r="N184" s="33"/>
      <c r="O184" s="33" t="s">
        <v>530</v>
      </c>
      <c r="P184" s="92" t="s">
        <v>530</v>
      </c>
      <c r="Q184" s="33" t="str">
        <f ca="1">IF(AND(P15="eldritch knight",O12&gt;=7),"x",IF(P15="eldritch knight","xx"," "))</f>
        <v xml:space="preserve"> </v>
      </c>
      <c r="R184" s="33" t="str">
        <f ca="1">IF(AND(P15="eldritch knight",O12&gt;=13),"x",IF(AND(P15="eldritch knight",$O$12&gt;=7),"xx"," "))</f>
        <v xml:space="preserve"> </v>
      </c>
      <c r="S184" s="33" t="str">
        <f ca="1">IF(AND(P15="eldritch knight",O12&gt;=19),"x",IF(AND(P15="eldritch knight",$O$12&gt;=13),"xx"," "))</f>
        <v xml:space="preserve"> </v>
      </c>
      <c r="T184" s="33" t="str">
        <f ca="1">IF(AND(P15="eldritch knight",$O$12&gt;=19),"xx"," ")</f>
        <v xml:space="preserve"> </v>
      </c>
      <c r="AJ184" s="29">
        <v>9</v>
      </c>
      <c r="AK184" s="29">
        <v>9</v>
      </c>
    </row>
    <row r="185" spans="2:38" hidden="1" x14ac:dyDescent="0.3">
      <c r="B185" s="112" t="s">
        <v>1222</v>
      </c>
      <c r="C185" s="33"/>
      <c r="D185" s="33"/>
      <c r="E185" s="33"/>
      <c r="F185" s="33"/>
      <c r="G185" s="33"/>
      <c r="H185" s="33"/>
      <c r="I185" s="33"/>
      <c r="J185" s="33"/>
      <c r="K185" s="33"/>
      <c r="L185" s="33"/>
      <c r="M185" s="33"/>
      <c r="N185" s="33"/>
      <c r="O185" s="33" t="str">
        <f ca="1">IF($P$15="eldritch knight",INDEX('Spell Tables'!C70:C89,MATCH($O$12,('Spell Tables'!$A$70:$A$89),0))," ")</f>
        <v xml:space="preserve"> </v>
      </c>
      <c r="P185" s="92">
        <f ca="1">IF($P$15="eldritch knight",INDEX('Spell Tables'!B70:B89,MATCH($O$12,('Spell Tables'!A70:A89),0)),0)</f>
        <v>0</v>
      </c>
      <c r="Q185" s="33">
        <f ca="1">IF($Q184="x",RANDBETWEEN(2,3),IF($Q184="xx",$O$185,0))</f>
        <v>0</v>
      </c>
      <c r="R185" s="33">
        <f ca="1">IF(R184="x",RANDBETWEEN(2,3),IF(R184="xx",$O$185-Q185,0))</f>
        <v>0</v>
      </c>
      <c r="S185" s="33">
        <f ca="1">IF(S184="x",O185-SUM(Q185:R185,U134:X134),IF(S184="xx",$O$185-SUM(Q185:R185),0))</f>
        <v>0</v>
      </c>
      <c r="T185" s="33">
        <f ca="1">IF(T184="x",RANDBETWEEN(1,2),IF(T184="xx",RANDBETWEEN(2,3),0))</f>
        <v>0</v>
      </c>
      <c r="AJ185" s="29">
        <v>10</v>
      </c>
      <c r="AK185" s="29">
        <v>9</v>
      </c>
    </row>
    <row r="186" spans="2:38" hidden="1" x14ac:dyDescent="0.3">
      <c r="B186" s="112" t="s">
        <v>1219</v>
      </c>
      <c r="C186" s="33"/>
      <c r="D186" s="33"/>
      <c r="E186" s="33"/>
      <c r="F186" s="33"/>
      <c r="G186" s="33"/>
      <c r="H186" s="33"/>
      <c r="I186" s="33"/>
      <c r="J186" s="33"/>
      <c r="K186" s="33"/>
      <c r="L186" s="33"/>
      <c r="M186" s="33"/>
      <c r="N186" s="33"/>
      <c r="O186" s="33" t="s">
        <v>530</v>
      </c>
      <c r="P186" s="92" t="s">
        <v>530</v>
      </c>
      <c r="Q186" s="33" t="str">
        <f ca="1">IF(AND($O$11="druid",$O$12&gt;=3),"x",IF($O$11="druid","xx"," "))</f>
        <v xml:space="preserve"> </v>
      </c>
      <c r="R186" s="33" t="str">
        <f ca="1">IF(AND($O$11="druid",$O$12&gt;=5),"x",IF(AND($O$11="druid",$O$12&gt;=3),"xx"," "))</f>
        <v xml:space="preserve"> </v>
      </c>
      <c r="S186" s="33" t="str">
        <f ca="1">IF(AND($O$11="druid",$O$12&gt;=7),"x",IF(AND($O$11="druid",$O$12&gt;=5),"xx"," "))</f>
        <v xml:space="preserve"> </v>
      </c>
      <c r="T186" s="33" t="str">
        <f ca="1">IF(AND($O$11="druid",$O$12&gt;=9),"x",IF(AND($O$11="druid",$O$12&gt;=7),"xx"," "))</f>
        <v xml:space="preserve"> </v>
      </c>
    </row>
    <row r="187" spans="2:38" hidden="1" x14ac:dyDescent="0.3">
      <c r="B187" s="112" t="s">
        <v>1220</v>
      </c>
      <c r="C187" s="33"/>
      <c r="D187" s="33"/>
      <c r="E187" s="33"/>
      <c r="F187" s="33"/>
      <c r="G187" s="33"/>
      <c r="H187" s="33"/>
      <c r="I187" s="33"/>
      <c r="J187" s="33"/>
      <c r="K187" s="33"/>
      <c r="L187" s="33"/>
      <c r="M187" s="33"/>
      <c r="N187" s="33"/>
      <c r="O187" s="33" t="str">
        <f ca="1">IF(O11="druid",O12+P42," ")</f>
        <v xml:space="preserve"> </v>
      </c>
      <c r="P187" s="92">
        <f ca="1">IF($O$11="druid",INDEX('Spell Tables'!C48:C67,MATCH($O$12,('Spell Tables'!B48:B67),0)),0)</f>
        <v>0</v>
      </c>
      <c r="Q187" s="33">
        <f ca="1">IF($Q186="x",RANDBETWEEN(1,2),IF($Q186="xx",$O$187,0))</f>
        <v>0</v>
      </c>
      <c r="R187" s="33">
        <f ca="1">IF(R186="x",RANDBETWEEN(1,2),IF(R186="xx",$O$187-Q187,0))</f>
        <v>0</v>
      </c>
      <c r="S187" s="33">
        <f ca="1">IF(S186="x",O187-SUM(Q187:R187,U136:X136),IF(S186="xx",$O$187-SUM(Q187:R187),0))</f>
        <v>0</v>
      </c>
      <c r="T187" s="33">
        <f ca="1">IF(T186="x",RANDBETWEEN(1,2),IF(T186="xx",RANDBETWEEN(2,3),0))</f>
        <v>0</v>
      </c>
      <c r="AJ187" s="31" t="s">
        <v>1670</v>
      </c>
    </row>
    <row r="188" spans="2:38" hidden="1" x14ac:dyDescent="0.3">
      <c r="B188" s="112" t="s">
        <v>1143</v>
      </c>
      <c r="C188" s="33"/>
      <c r="D188" s="33"/>
      <c r="E188" s="33"/>
      <c r="F188" s="33"/>
      <c r="G188" s="33"/>
      <c r="H188" s="33"/>
      <c r="I188" s="33"/>
      <c r="J188" s="33"/>
      <c r="K188" s="33"/>
      <c r="L188" s="33"/>
      <c r="M188" s="33"/>
      <c r="N188" s="33"/>
      <c r="O188" s="33" t="s">
        <v>530</v>
      </c>
      <c r="P188" s="92" t="s">
        <v>530</v>
      </c>
      <c r="Q188" s="33" t="str">
        <f ca="1">IF(AND(O11="cleric",O12&gt;=3),"x",IF(O11="cleric","xx"," "))</f>
        <v xml:space="preserve"> </v>
      </c>
      <c r="R188" s="33" t="str">
        <f ca="1">IF(AND(O11="cleric",O12&gt;=5),"x",IF(AND($O$11="cleric",$O$12&gt;=3),"xx"," "))</f>
        <v xml:space="preserve"> </v>
      </c>
      <c r="S188" s="33" t="str">
        <f ca="1">IF(AND(O11="cleric",O12&gt;=7),"x",IF(AND($O$11="cleric",$O$12&gt;=5),"xx"," "))</f>
        <v xml:space="preserve"> </v>
      </c>
      <c r="T188" s="33" t="str">
        <f ca="1">IF(AND(O11="cleric",O12&gt;=9),"x",IF(AND($O$11="cleric",$O$12&gt;=7),"xx"," "))</f>
        <v xml:space="preserve"> </v>
      </c>
      <c r="AJ188" s="29">
        <v>1</v>
      </c>
      <c r="AK188" s="29" t="s">
        <v>1671</v>
      </c>
    </row>
    <row r="189" spans="2:38" hidden="1" x14ac:dyDescent="0.3">
      <c r="B189" s="112" t="s">
        <v>1142</v>
      </c>
      <c r="C189" s="33"/>
      <c r="D189" s="33"/>
      <c r="E189" s="33"/>
      <c r="F189" s="33"/>
      <c r="G189" s="33"/>
      <c r="H189" s="33"/>
      <c r="I189" s="33"/>
      <c r="J189" s="33"/>
      <c r="K189" s="33"/>
      <c r="L189" s="33"/>
      <c r="M189" s="33"/>
      <c r="N189" s="33"/>
      <c r="O189" s="33" t="str">
        <f ca="1">IF(O11="cleric",O12+P42," ")</f>
        <v xml:space="preserve"> </v>
      </c>
      <c r="P189" s="92">
        <f ca="1">IF($O$11="cleric",INDEX('Spell Tables'!C26:C45,MATCH($O$12,('Spell Tables'!B26:B45),0)),0)</f>
        <v>0</v>
      </c>
      <c r="Q189" s="33">
        <f ca="1">IF($Q188="x",RANDBETWEEN(1,2),IF($Q188="xx",$O$189,0))</f>
        <v>0</v>
      </c>
      <c r="R189" s="33">
        <f ca="1">IF(R188="x",RANDBETWEEN(1,2),IF(R188="xx",$O$189-Q189,0))</f>
        <v>0</v>
      </c>
      <c r="S189" s="33">
        <f ca="1">IF(S188="x",O189-SUM(Q189:R189,U138:X138),IF(S188="xx",$O$189-SUM(Q189:R189),0))</f>
        <v>0</v>
      </c>
      <c r="T189" s="33">
        <f ca="1">IF(T188="x",RANDBETWEEN(1,2),IF(T188="xx",RANDBETWEEN(2,3),0))</f>
        <v>0</v>
      </c>
      <c r="AJ189" s="29">
        <v>2</v>
      </c>
      <c r="AK189" s="29">
        <v>1</v>
      </c>
    </row>
    <row r="190" spans="2:38" hidden="1" x14ac:dyDescent="0.3">
      <c r="B190" s="112" t="s">
        <v>1248</v>
      </c>
      <c r="C190" s="33"/>
      <c r="D190" s="33"/>
      <c r="E190" s="33"/>
      <c r="F190" s="33"/>
      <c r="G190" s="33"/>
      <c r="H190" s="33"/>
      <c r="I190" s="33"/>
      <c r="J190" s="33"/>
      <c r="K190" s="33"/>
      <c r="L190" s="33"/>
      <c r="M190" s="33"/>
      <c r="N190" s="33"/>
      <c r="O190" s="33" t="s">
        <v>530</v>
      </c>
      <c r="P190" s="92" t="s">
        <v>530</v>
      </c>
      <c r="Q190" s="33" t="str">
        <f ca="1">IF(AND($O$11="bard",$O$12&gt;=3),"x",IF($O$11="bard","xx"," "))</f>
        <v xml:space="preserve"> </v>
      </c>
      <c r="R190" s="33" t="str">
        <f ca="1">IF(AND($O$11="bard",$O$12&gt;=5),"x",IF(AND($O$11="bard",$O$12&gt;=3),"xx"," "))</f>
        <v xml:space="preserve"> </v>
      </c>
      <c r="S190" s="33" t="str">
        <f ca="1">IF(AND($O$11="bard",$O$12&gt;=7),"x",IF(AND($O$11="bard",$O$12&gt;=5),"xx"," "))</f>
        <v xml:space="preserve"> </v>
      </c>
      <c r="T190" s="33" t="str">
        <f ca="1">IF(AND($O$11="bard",$O$12&gt;=9),"x",IF(AND($O$11="bard",$O$12&gt;=7),"xx"," "))</f>
        <v xml:space="preserve"> </v>
      </c>
      <c r="AJ190" s="29">
        <v>3</v>
      </c>
      <c r="AK190" s="29">
        <v>1</v>
      </c>
    </row>
    <row r="191" spans="2:38" hidden="1" x14ac:dyDescent="0.3">
      <c r="B191" s="112" t="s">
        <v>1141</v>
      </c>
      <c r="C191" s="33"/>
      <c r="D191" s="33"/>
      <c r="E191" s="33"/>
      <c r="F191" s="33"/>
      <c r="G191" s="33"/>
      <c r="H191" s="33"/>
      <c r="I191" s="33"/>
      <c r="J191" s="33"/>
      <c r="K191" s="33"/>
      <c r="L191" s="33"/>
      <c r="M191" s="33"/>
      <c r="N191" s="33"/>
      <c r="O191" s="33" t="str">
        <f ca="1">IF($O$11="bard",INDEX('Spell Tables'!C$2:C$21,MATCH($O$12,('Spell Tables'!$A$2:$A$21),0))," ")</f>
        <v xml:space="preserve"> </v>
      </c>
      <c r="P191" s="92">
        <f ca="1">IF($O$11="bard",INDEX('Spell Tables'!B2:B21,MATCH($O$12,('Spell Tables'!A2:A21),0)),0)</f>
        <v>0</v>
      </c>
      <c r="Q191" s="33">
        <f ca="1">IF($Q190="x",RANDBETWEEN(1,2),IF($Q190="xx",$O$191,0))</f>
        <v>0</v>
      </c>
      <c r="R191" s="33">
        <f ca="1">IF(R190="x",RANDBETWEEN(1,2),IF(R190="xx",$O$191-Q191,0))</f>
        <v>0</v>
      </c>
      <c r="S191" s="33">
        <f ca="1">IF(S190="x",O191-SUM(Q191:R191,U140:X140),IF(S190="xx",$O$191-SUM(Q191:R191),0))</f>
        <v>0</v>
      </c>
      <c r="T191" s="33">
        <f ca="1">IF(T190="x",RANDBETWEEN(1,2),IF(T190="xx",RANDBETWEEN(2,3),0))</f>
        <v>0</v>
      </c>
      <c r="AJ191" s="29">
        <v>4</v>
      </c>
      <c r="AK191" s="29">
        <v>2</v>
      </c>
      <c r="AL191" s="29" t="str">
        <f ca="1">IF(AND(P15="college of lore",O12&gt;=6),VLOOKUP(RANDBETWEEN(1,10),Table250347461803860917333390612[],2),IF(AND(R15="college of lore",Q12&gt;=6),VLOOKUP(RANDBETWEEN(1,10),Table250347461803860917333390612[],2)," "))</f>
        <v xml:space="preserve"> </v>
      </c>
    </row>
    <row r="192" spans="2:38" x14ac:dyDescent="0.3">
      <c r="B192" s="112" t="s">
        <v>1122</v>
      </c>
      <c r="C192" s="33"/>
      <c r="D192" s="33"/>
      <c r="E192" s="33"/>
      <c r="F192" s="33"/>
      <c r="G192" s="33"/>
      <c r="H192" s="33"/>
      <c r="I192" s="33"/>
      <c r="J192" s="33"/>
      <c r="K192" s="33"/>
      <c r="L192" s="33"/>
      <c r="M192" s="33"/>
      <c r="N192" s="33"/>
      <c r="O192" s="33"/>
      <c r="P192" s="92" t="s">
        <v>1124</v>
      </c>
      <c r="Q192" s="92" t="s">
        <v>1326</v>
      </c>
      <c r="R192" s="92" t="s">
        <v>1167</v>
      </c>
      <c r="S192" s="92" t="s">
        <v>1168</v>
      </c>
      <c r="T192" s="92" t="s">
        <v>676</v>
      </c>
      <c r="AJ192" s="29">
        <v>5</v>
      </c>
      <c r="AK192" s="29">
        <v>2</v>
      </c>
      <c r="AL192" s="29" t="str">
        <f ca="1">IF(AND(P15="college of lore",O12&gt;=6),VLOOKUP(RANDBETWEEN(1,10),Table250347461803860917333390612[],2),IF(AND(R15="college of lore",Q12&gt;=6),VLOOKUP(RANDBETWEEN(1,10),Table250347461803860917333390612[],2)," "))</f>
        <v xml:space="preserve"> </v>
      </c>
    </row>
    <row r="193" spans="2:37" x14ac:dyDescent="0.3">
      <c r="B193" s="79">
        <f ca="1">IF(OR(O11="bard",O11="paladin",O11="sorcerer",O11="warlock"),8+$P$8+$P$43,IF(OR(O11="druid",O11="cleric",O11="ranger"),8+P8+P42,IF(OR(P15="eldritch knight",P15="arcane trickster",O11="wizard"),8+P8+P41," ")))</f>
        <v>15</v>
      </c>
      <c r="C193" s="33"/>
      <c r="D193" s="33"/>
      <c r="E193" s="33"/>
      <c r="F193" s="33"/>
      <c r="G193" s="33"/>
      <c r="H193" s="33"/>
      <c r="I193" s="33"/>
      <c r="J193" s="33"/>
      <c r="K193" s="33"/>
      <c r="L193" s="33"/>
      <c r="M193" s="33"/>
      <c r="N193" s="33"/>
      <c r="O193" s="34">
        <v>1</v>
      </c>
      <c r="P193" s="33" t="str">
        <f ca="1">IF(P$173&gt;=O193,INDEX('Spell Tables'!$P$242:$P$257,MATCH(O193,('Spell Tables'!$N$242:$N$257),0)),IF(P$175&gt;=O193,INDEX('Spell Tables'!$P$194:$P$201,MATCH(O193,('Spell Tables'!$N$194:$N$201),0)),IF(P$177&gt;=O193,INDEX('Spell Tables'!$P$168:$P$183,MATCH(O193,('Spell Tables'!$N$168:$N$183),0)),IF(P$179&gt;=O193,INDEX('Spell Tables'!$P$141:$P$156,MATCH(O193,('Spell Tables'!$N$141:$N$157),0)),IF(P$185&gt;=O193,INDEX('Spell Tables'!$P$70:$P$83,MATCH(O193,('Spell Tables'!$N$70:$N$83),0)),IF(P$187&gt;=O193,INDEX('Spell Tables'!$P$48:$P$55,MATCH(O193,('Spell Tables'!$N$48:$N$55),0)),IF(P$189&gt;=O193,INDEX('Spell Tables'!$P$26:$P$32,MATCH(O193,('Spell Tables'!$N$26:$N$32),0)),IF(P$191&gt;=O193,INDEX('Spell Tables'!$P$2:$P$12,MATCH(O193,('Spell Tables'!$N$2:$N$12),0))," "))))))))</f>
        <v>Minor Illusion</v>
      </c>
      <c r="Q193" s="33" t="str">
        <f ca="1">IF(AND($O$15="Otherworldly patron - great old one",Q$175&gt;=O193),INDEX('Spell Tables'!$T$226:$T$238,MATCH(O193,('Spell Tables'!$R$226:$R$238),0)),IF(AND($O$15="Otherworldly patron - fiend",Q$175&gt;=O193),INDEX('Spell Tables'!$T$210:$T$222,MATCH(O193,('Spell Tables'!$R$210:$R$222),0)),IF(Q$173&gt;=O193,INDEX($AL$44:$AL$53,MATCH(O193,($AJ$44:$AJ$53),0)),IF(AND($O$15="Otherworldly patron - archfey",Q$175&gt;=O193),INDEX('Spell Tables'!$T$194:$T$206,MATCH(O193,('Spell Tables'!$R$194:$R$206),0)),IF(Q$177&gt;=O193,INDEX('Spell Tables'!$T$168:$T$187,MATCH(O193,('Spell Tables'!$R$168:$R$187),0)),IF(Q$179&gt;=O193,INDEX('Spell Tables'!$T$141:$T$147,MATCH(O193,('Spell Tables'!$R$141:$R$147),0)),IF(Q$181&gt;=O193,INDEX('Spell Tables'!$P$119:$P$131,MATCH(O193,('Spell Tables'!$N$119:$N$131),0)),IF(Q$183&gt;=O193,INDEX('Spell Tables'!$P$97:$P$111,MATCH(O193,('Spell Tables'!$N$97:$N$111),0)),IF(Q$185&gt;=O193,INDEX('Spell Tables'!$T$70:$T$78,MATCH(O193,('Spell Tables'!$R$70:$R$78),0)),IF(Q$187&gt;=O193,INDEX('Spell Tables'!$T$48:$T$63,MATCH(O193,('Spell Tables'!$R$48:$R$63),0)),IF(Q$189&gt;=O193,INDEX('Spell Tables'!$T$26:$T$40,MATCH(O193,('Spell Tables'!$R$26:$R$40),0)),IF(Q$191&gt;=O193,INDEX('Spell Tables'!$T$2:$T$22,MATCH(O193,('Spell Tables'!$R$2:$R$22),0))," "))))))))))))</f>
        <v>Shield</v>
      </c>
      <c r="R193" s="33" t="str">
        <f ca="1">IF(AND($O$15="Otherworldly patron - great old one",R$175&gt;=O193),INDEX('Spell Tables'!$X$226:$X$239,MATCH(O193,('Spell Tables'!$V$226:$V$239),0)),IF(AND($O$15="Otherworldly patron - fiend",R$175&gt;=O193),INDEX('Spell Tables'!$X$210:$X$223,MATCH(O193,('Spell Tables'!$V$210:$V$223),0)),IF(AND($O$15="Otherworldly patron - archfey",R$175&gt;=O193),INDEX('Spell Tables'!$X$194:$X$207,MATCH(O193,('Spell Tables'!$V$194:$V$207),0)),IF($R$173&gt;=O193,INDEX($AL$56:$AL$65,MATCH(O193,($AJ$56:$AJ$65),0)),IF($R$177&gt;=O193,INDEX('Spell Tables'!$X$168:$X$191,MATCH(O193,('Spell Tables'!$V$168:$V$191),0)),IF($R$179&gt;=O193,INDEX('Spell Tables'!$AB$141:$AB$149,MATCH(O193,('Spell Tables'!$Z$141:$Z$149),0)),IF($R$181&gt;=O193,INDEX('Spell Tables'!$T$119:$T$131,MATCH(O193,('Spell Tables'!$R$119:$R$131),0)),IF($R$183&gt;=O193,INDEX('Spell Tables'!$T$97:$T$104,MATCH(O193,('Spell Tables'!$R$97:$R$104),0)),IF($R$185&gt;=O193,INDEX('Spell Tables'!$AB$70:$AB$75,MATCH(O193,('Spell Tables'!$Z$70:$Z$75),0)),IF($R$187&gt;=O193,INDEX('Spell Tables'!$X$48:$X$65,MATCH(O193,('Spell Tables'!$V$48:$V$65),0)),IF($R$189&gt;=O193,INDEX('Spell Tables'!$X$26:$X$42,MATCH(O193,('Spell Tables'!$V$26:$V$42),0)),IF($R$191&gt;=O193,INDEX('Spell Tables'!$X$2:$X$23,MATCH(O193,('Spell Tables'!$V$2:$V$23),0))," "))))))))))))</f>
        <v>Alter Self</v>
      </c>
      <c r="S193" s="33" t="str">
        <f ca="1">IF(AND($O$15="Otherworldly patron - great old one",S$175&gt;=O193),INDEX('Spell Tables'!$AB$226:$AB$238,MATCH(O193,('Spell Tables'!$Z$226:$Z$238),0)),IF(AND($O$15="Otherworldly patron - fiend",S$175&gt;=O193),INDEX('Spell Tables'!$AB$210:$AB$222,MATCH(O193,('Spell Tables'!$Z$210:$Z$222),0)),IF(AND($O$15="Otherworldly patron - archfey",S$175&gt;=O193),INDEX('Spell Tables'!$AB$194:$AB$206,MATCH(O193,('Spell Tables'!$Z$194:$Z$206),0)),IF($S$173&gt;=O193,INDEX($AL$68:$AL$77,MATCH(O193,($AJ$68:$AJ$77),0)),IF($S$177&gt;=O193,INDEX('Spell Tables'!$AB$168:$AB$187,MATCH(O193,('Spell Tables'!$Z$168:$Z$187),0)),IF($S$179&gt;=O193,INDEX('Spell Tables'!$AJ$141:$AJ$144,MATCH(O193,('Spell Tables'!$AH$141:$AH$144),0)),IF($S$181&gt;=O193,INDEX('Spell Tables'!$X$119:$X$129,MATCH(O193,('Spell Tables'!$V$119:$V$129),0)),IF($S$183&gt;=O193,INDEX('Spell Tables'!$X$97:$X$106,MATCH(O193,('Spell Tables'!$V$97:$V$106),0)),IF($S$185&gt;=O193,INDEX('Spell Tables'!$AJ$70:$AJ$79,MATCH(O193,('Spell Tables'!$AH$70:$AH$79),0)),IF($S$187&gt;=O193,INDEX('Spell Tables'!$AB$48:$AB$60,MATCH(O193,('Spell Tables'!$Z$48:$Z$60),0)),IF($S$189&gt;=O193,INDEX('Spell Tables'!$AB$26:$AB$45,MATCH(O193,('Spell Tables'!$Z$26:$Z$45),0)),IF($S$191&gt;=O193,INDEX('Spell Tables'!$AB$2:$AB$17,MATCH(O193,('Spell Tables'!$Z$2:$Z$17),0))," "))))))))))))</f>
        <v>Water Breathing</v>
      </c>
      <c r="T193" s="33" t="str">
        <f ca="1">IF(AND($O$15="Otherworldly patron - great old one",T$175&gt;=O193),INDEX('Spell Tables'!$AF$226:$AF$231,MATCH(O193,('Spell Tables'!$AD$226:$AD$231),0)),IF(AND($O$15="Otherworldly patron - fiend",T$175&gt;=O193),INDEX('Spell Tables'!$AF$210:$AF$215,MATCH(O193,('Spell Tables'!$AD$210:$AD$215),0)),IF(AND($O$15="Otherworldly patron - archfey",T$175&gt;=O193),INDEX('Spell Tables'!$AF$194:$AF$199,MATCH(O193,('Spell Tables'!$AD$194:$AD$199),0)),IF($T$173&gt;=O193,INDEX($AL$80:$AL$89,MATCH(O193,($AJ$80:$AJ$89),0)),IF($T$177&gt;=O193,INDEX('Spell Tables'!$AF$168:$AF$177,MATCH(O193,('Spell Tables'!$AD$168:$AD$177),0)),IF($T$179&gt;=O193,INDEX('Spell Tables'!$AR$141:$AR$144,MATCH(O193,('Spell Tables'!$AP$141:$AP$144),0)),IF($T$181&gt;=O193,INDEX('Spell Tables'!$AB$119:$AB$123,MATCH(O193,('Spell Tables'!$Z$119:$Z$123),0)),IF($T$183&gt;=O193,INDEX('Spell Tables'!$AB$97:$AB$102,MATCH(O193,('Spell Tables'!$Z$97:$Z$102),0)),IF($T$185&gt;=O193,INDEX('Spell Tables'!$AR$70:$AR$75,MATCH(O193,('Spell Tables'!$AP$70:$AP$75),0)),IF($T$187&gt;=O193,INDEX('Spell Tables'!$AF$48:$AF$63,MATCH(O193,('Spell Tables'!$AD$48:$AD$63),0)),IF($T$189&gt;=O193,INDEX('Spell Tables'!$AF$26:$AF$33,MATCH(O193,('Spell Tables'!$AD$26:$AD$33),0)),IF($T$191&gt;=O193,INDEX('Spell Tables'!$AF$2:$AF$9,MATCH(O193,('Spell Tables'!$AD$2:$AD$9),0))," "))))))))))))</f>
        <v>Blight</v>
      </c>
      <c r="AJ193" s="29">
        <v>6</v>
      </c>
      <c r="AK193" s="29">
        <v>2</v>
      </c>
    </row>
    <row r="194" spans="2:37" x14ac:dyDescent="0.3">
      <c r="B194" s="112" t="s">
        <v>1123</v>
      </c>
      <c r="C194" s="33"/>
      <c r="D194" s="33"/>
      <c r="E194" s="33"/>
      <c r="F194" s="33"/>
      <c r="G194" s="33"/>
      <c r="H194" s="33"/>
      <c r="I194" s="33"/>
      <c r="J194" s="33"/>
      <c r="K194" s="33"/>
      <c r="L194" s="33"/>
      <c r="M194" s="33"/>
      <c r="N194" s="33"/>
      <c r="O194" s="34">
        <v>2</v>
      </c>
      <c r="P194" s="33" t="str">
        <f ca="1">IF(P$173&gt;=O194,INDEX('Spell Tables'!$P$242:$P$257,MATCH(O194,('Spell Tables'!$N$242:$N$257),0)),IF(P$175&gt;=O194,INDEX('Spell Tables'!$P$194:$P$201,MATCH(O194,('Spell Tables'!$N$194:$N$201),0)),IF(P$177&gt;=O194,INDEX('Spell Tables'!$P$168:$P$183,MATCH(O194,('Spell Tables'!$N$168:$N$183),0)),IF(P$179&gt;=O194,INDEX('Spell Tables'!$P$141:$P$156,MATCH(O194,('Spell Tables'!$N$141:$N$157),0)),IF(P$185&gt;=O194,INDEX('Spell Tables'!$P$70:$P$83,MATCH(O194,('Spell Tables'!$N$70:$N$83),0)),IF(P$187&gt;=O194,INDEX('Spell Tables'!$P$48:$P$55,MATCH(O194,('Spell Tables'!$N$48:$N$55),0)),IF(P$189&gt;=O194,INDEX('Spell Tables'!$P$26:$P$32,MATCH(O194,('Spell Tables'!$N$26:$N$32),0)),IF(P$191&gt;=O194,INDEX('Spell Tables'!$P$2:$P$12,MATCH(O194,('Spell Tables'!$N$2:$N$12),0))," "))))))))</f>
        <v>Ray of Frost</v>
      </c>
      <c r="Q194" s="33" t="str">
        <f ca="1">IF(AND($O$15="Otherworldly patron - great old one",Q$175&gt;=O194),INDEX('Spell Tables'!$T$226:$T$238,MATCH(O194,('Spell Tables'!$R$226:$R$238),0)),IF(AND($O$15="Otherworldly patron - fiend",Q$175&gt;=O194),INDEX('Spell Tables'!$T$210:$T$222,MATCH(O194,('Spell Tables'!$R$210:$R$222),0)),IF(Q$173&gt;=O194,INDEX($AL$44:$AL$53,MATCH(O194,($AJ$44:$AJ$53),0)),IF(AND($O$15="Otherworldly patron - archfey",Q$175&gt;=O194),INDEX('Spell Tables'!$T$194:$T$206,MATCH(O194,('Spell Tables'!$R$194:$R$206),0)),IF(Q$177&gt;=O194,INDEX('Spell Tables'!$T$168:$T$187,MATCH(O194,('Spell Tables'!$R$168:$R$187),0)),IF(Q$179&gt;=O194,INDEX('Spell Tables'!$T$141:$T$147,MATCH(O194,('Spell Tables'!$R$141:$R$147),0)),IF(Q$181&gt;=O194,INDEX('Spell Tables'!$P$119:$P$131,MATCH(O194,('Spell Tables'!$N$119:$N$131),0)),IF(Q$183&gt;=O194,INDEX('Spell Tables'!$P$97:$P$111,MATCH(O194,('Spell Tables'!$N$97:$N$111),0)),IF(Q$185&gt;=O194,INDEX('Spell Tables'!$T$70:$T$78,MATCH(O194,('Spell Tables'!$R$70:$R$78),0)),IF(Q$187&gt;=O194,INDEX('Spell Tables'!$T$48:$T$63,MATCH(O194,('Spell Tables'!$R$48:$R$63),0)),IF(Q$189&gt;=O194,INDEX('Spell Tables'!$T$26:$T$40,MATCH(O194,('Spell Tables'!$R$26:$R$40),0)),IF(Q$191&gt;=O194,INDEX('Spell Tables'!$T$2:$T$22,MATCH(O194,('Spell Tables'!$R$2:$R$22),0))," "))))))))))))</f>
        <v>Charm Person</v>
      </c>
      <c r="R194" s="33" t="str">
        <f ca="1">IF(AND($O$15="Otherworldly patron - great old one",R$175&gt;=O194),INDEX('Spell Tables'!$X$226:$X$239,MATCH(O194,('Spell Tables'!$V$226:$V$239),0)),IF(AND($O$15="Otherworldly patron - fiend",R$175&gt;=O194),INDEX('Spell Tables'!$X$210:$X$223,MATCH(O194,('Spell Tables'!$V$210:$V$223),0)),IF(AND($O$15="Otherworldly patron - archfey",R$175&gt;=O194),INDEX('Spell Tables'!$X$194:$X$207,MATCH(O194,('Spell Tables'!$V$194:$V$207),0)),IF($R$173&gt;=O194,INDEX($AL$56:$AL$65,MATCH(O194,($AJ$56:$AJ$65),0)),IF($R$177&gt;=O194,INDEX('Spell Tables'!$X$168:$X$191,MATCH(O194,('Spell Tables'!$V$168:$V$191),0)),IF($R$179&gt;=O194,INDEX('Spell Tables'!$AB$141:$AB$149,MATCH(O194,('Spell Tables'!$Z$141:$Z$149),0)),IF($R$181&gt;=O194,INDEX('Spell Tables'!$T$119:$T$131,MATCH(O194,('Spell Tables'!$R$119:$R$131),0)),IF($R$183&gt;=O194,INDEX('Spell Tables'!$T$97:$T$104,MATCH(O194,('Spell Tables'!$R$97:$R$104),0)),IF($R$185&gt;=O194,INDEX('Spell Tables'!$AB$70:$AB$75,MATCH(O194,('Spell Tables'!$Z$70:$Z$75),0)),IF($R$187&gt;=O194,INDEX('Spell Tables'!$X$48:$X$65,MATCH(O194,('Spell Tables'!$V$48:$V$65),0)),IF($R$189&gt;=O194,INDEX('Spell Tables'!$X$26:$X$42,MATCH(O194,('Spell Tables'!$V$26:$V$42),0)),IF($R$191&gt;=O194,INDEX('Spell Tables'!$X$2:$X$23,MATCH(O194,('Spell Tables'!$V$2:$V$23),0))," "))))))))))))</f>
        <v xml:space="preserve"> </v>
      </c>
      <c r="S194" s="33" t="str">
        <f ca="1">IF(AND($O$15="Otherworldly patron - great old one",S$175&gt;=O194),INDEX('Spell Tables'!$AB$226:$AB$238,MATCH(O194,('Spell Tables'!$Z$226:$Z$238),0)),IF(AND($O$15="Otherworldly patron - fiend",S$175&gt;=O194),INDEX('Spell Tables'!$AB$210:$AB$222,MATCH(O194,('Spell Tables'!$Z$210:$Z$222),0)),IF(AND($O$15="Otherworldly patron - archfey",S$175&gt;=O194),INDEX('Spell Tables'!$AB$194:$AB$206,MATCH(O194,('Spell Tables'!$Z$194:$Z$206),0)),IF($S$173&gt;=O194,INDEX($AL$68:$AL$77,MATCH(O194,($AJ$68:$AJ$77),0)),IF($S$177&gt;=O194,INDEX('Spell Tables'!$AB$168:$AB$187,MATCH(O194,('Spell Tables'!$Z$168:$Z$187),0)),IF($S$179&gt;=O194,INDEX('Spell Tables'!$AJ$141:$AJ$144,MATCH(O194,('Spell Tables'!$AH$141:$AH$144),0)),IF($S$181&gt;=O194,INDEX('Spell Tables'!$X$119:$X$129,MATCH(O194,('Spell Tables'!$V$119:$V$129),0)),IF($S$183&gt;=O194,INDEX('Spell Tables'!$X$97:$X$106,MATCH(O194,('Spell Tables'!$V$97:$V$106),0)),IF($S$185&gt;=O194,INDEX('Spell Tables'!$AJ$70:$AJ$79,MATCH(O194,('Spell Tables'!$AH$70:$AH$79),0)),IF($S$187&gt;=O194,INDEX('Spell Tables'!$AB$48:$AB$60,MATCH(O194,('Spell Tables'!$Z$48:$Z$60),0)),IF($S$189&gt;=O194,INDEX('Spell Tables'!$AB$26:$AB$45,MATCH(O194,('Spell Tables'!$Z$26:$Z$45),0)),IF($S$191&gt;=O194,INDEX('Spell Tables'!$AB$2:$AB$17,MATCH(O194,('Spell Tables'!$Z$2:$Z$17),0))," "))))))))))))</f>
        <v>Gaseous Form</v>
      </c>
      <c r="T194" s="33" t="str">
        <f ca="1">IF(AND($O$15="Otherworldly patron - great old one",T$175&gt;=O194),INDEX('Spell Tables'!$AF$226:$AF$231,MATCH(O194,('Spell Tables'!$AD$226:$AD$231),0)),IF(AND($O$15="Otherworldly patron - fiend",T$175&gt;=O194),INDEX('Spell Tables'!$AF$210:$AF$215,MATCH(O194,('Spell Tables'!$AD$210:$AD$215),0)),IF(AND($O$15="Otherworldly patron - archfey",T$175&gt;=O194),INDEX('Spell Tables'!$AF$194:$AF$199,MATCH(O194,('Spell Tables'!$AD$194:$AD$199),0)),IF($T$173&gt;=O194,INDEX($AL$80:$AL$89,MATCH(O194,($AJ$80:$AJ$89),0)),IF($T$177&gt;=O194,INDEX('Spell Tables'!$AF$168:$AF$177,MATCH(O194,('Spell Tables'!$AD$168:$AD$177),0)),IF($T$179&gt;=O194,INDEX('Spell Tables'!$AR$141:$AR$144,MATCH(O194,('Spell Tables'!$AP$141:$AP$144),0)),IF($T$181&gt;=O194,INDEX('Spell Tables'!$AB$119:$AB$123,MATCH(O194,('Spell Tables'!$Z$119:$Z$123),0)),IF($T$183&gt;=O194,INDEX('Spell Tables'!$AB$97:$AB$102,MATCH(O194,('Spell Tables'!$Z$97:$Z$102),0)),IF($T$185&gt;=O194,INDEX('Spell Tables'!$AR$70:$AR$75,MATCH(O194,('Spell Tables'!$AP$70:$AP$75),0)),IF($T$187&gt;=O194,INDEX('Spell Tables'!$AF$48:$AF$63,MATCH(O194,('Spell Tables'!$AD$48:$AD$63),0)),IF($T$189&gt;=O194,INDEX('Spell Tables'!$AF$26:$AF$33,MATCH(O194,('Spell Tables'!$AD$26:$AD$33),0)),IF($T$191&gt;=O194,INDEX('Spell Tables'!$AF$2:$AF$9,MATCH(O194,('Spell Tables'!$AD$2:$AD$9),0))," "))))))))))))</f>
        <v>Fabricate</v>
      </c>
      <c r="AJ194" s="29">
        <v>7</v>
      </c>
      <c r="AK194" s="29">
        <v>3</v>
      </c>
    </row>
    <row r="195" spans="2:37" x14ac:dyDescent="0.3">
      <c r="B195" s="79">
        <f ca="1">IF(OR(O11="bard",O11="paladin",O11="sorcerer",O11="warlock"),P8+$P$43,IF(OR(O11="druid",O11="cleric",O11="ranger"),P8+P42,IF(OR(P15="eldritch knight",P15="arcane trickster",O11="wizard"),P8+P41," ")))</f>
        <v>7</v>
      </c>
      <c r="C195" s="33"/>
      <c r="D195" s="33"/>
      <c r="E195" s="33"/>
      <c r="F195" s="33"/>
      <c r="G195" s="33"/>
      <c r="H195" s="33"/>
      <c r="I195" s="33"/>
      <c r="J195" s="33"/>
      <c r="K195" s="33"/>
      <c r="L195" s="33"/>
      <c r="M195" s="33"/>
      <c r="N195" s="33"/>
      <c r="O195" s="34">
        <v>3</v>
      </c>
      <c r="P195" s="33" t="str">
        <f ca="1">IF(P$173&gt;=O195,INDEX('Spell Tables'!$P$242:$P$257,MATCH(O195,('Spell Tables'!$N$242:$N$257),0)),IF(P$175&gt;=O195,INDEX('Spell Tables'!$P$194:$P$201,MATCH(O195,('Spell Tables'!$N$194:$N$201),0)),IF(P$177&gt;=O195,INDEX('Spell Tables'!$P$168:$P$183,MATCH(O195,('Spell Tables'!$N$168:$N$183),0)),IF(P$179&gt;=O195,INDEX('Spell Tables'!$P$141:$P$156,MATCH(O195,('Spell Tables'!$N$141:$N$157),0)),IF(P$185&gt;=O195,INDEX('Spell Tables'!$P$70:$P$83,MATCH(O195,('Spell Tables'!$N$70:$N$83),0)),IF(P$187&gt;=O195,INDEX('Spell Tables'!$P$48:$P$55,MATCH(O195,('Spell Tables'!$N$48:$N$55),0)),IF(P$189&gt;=O195,INDEX('Spell Tables'!$P$26:$P$32,MATCH(O195,('Spell Tables'!$N$26:$N$32),0)),IF(P$191&gt;=O195,INDEX('Spell Tables'!$P$2:$P$12,MATCH(O195,('Spell Tables'!$N$2:$N$12),0))," "))))))))</f>
        <v>Light</v>
      </c>
      <c r="Q195" s="33" t="str">
        <f ca="1">IF(AND($O$15="Otherworldly patron - great old one",Q$175&gt;=O195),INDEX('Spell Tables'!$T$226:$T$238,MATCH(O195,('Spell Tables'!$R$226:$R$238),0)),IF(AND($O$15="Otherworldly patron - fiend",Q$175&gt;=O195),INDEX('Spell Tables'!$T$210:$T$222,MATCH(O195,('Spell Tables'!$R$210:$R$222),0)),IF(Q$173&gt;=O195,INDEX($AL$44:$AL$53,MATCH(O195,($AJ$44:$AJ$53),0)),IF(AND($O$15="Otherworldly patron - archfey",Q$175&gt;=O195),INDEX('Spell Tables'!$T$194:$T$206,MATCH(O195,('Spell Tables'!$R$194:$R$206),0)),IF(Q$177&gt;=O195,INDEX('Spell Tables'!$T$168:$T$187,MATCH(O195,('Spell Tables'!$R$168:$R$187),0)),IF(Q$179&gt;=O195,INDEX('Spell Tables'!$T$141:$T$147,MATCH(O195,('Spell Tables'!$R$141:$R$147),0)),IF(Q$181&gt;=O195,INDEX('Spell Tables'!$P$119:$P$131,MATCH(O195,('Spell Tables'!$N$119:$N$131),0)),IF(Q$183&gt;=O195,INDEX('Spell Tables'!$P$97:$P$111,MATCH(O195,('Spell Tables'!$N$97:$N$111),0)),IF(Q$185&gt;=O195,INDEX('Spell Tables'!$T$70:$T$78,MATCH(O195,('Spell Tables'!$R$70:$R$78),0)),IF(Q$187&gt;=O195,INDEX('Spell Tables'!$T$48:$T$63,MATCH(O195,('Spell Tables'!$R$48:$R$63),0)),IF(Q$189&gt;=O195,INDEX('Spell Tables'!$T$26:$T$40,MATCH(O195,('Spell Tables'!$R$26:$R$40),0)),IF(Q$191&gt;=O195,INDEX('Spell Tables'!$T$2:$T$22,MATCH(O195,('Spell Tables'!$R$2:$R$22),0))," "))))))))))))</f>
        <v xml:space="preserve"> </v>
      </c>
      <c r="R195" s="33" t="str">
        <f ca="1">IF(AND($O$15="Otherworldly patron - great old one",R$175&gt;=O195),INDEX('Spell Tables'!$X$226:$X$239,MATCH(O195,('Spell Tables'!$V$226:$V$239),0)),IF(AND($O$15="Otherworldly patron - fiend",R$175&gt;=O195),INDEX('Spell Tables'!$X$210:$X$223,MATCH(O195,('Spell Tables'!$V$210:$V$223),0)),IF(AND($O$15="Otherworldly patron - archfey",R$175&gt;=O195),INDEX('Spell Tables'!$X$194:$X$207,MATCH(O195,('Spell Tables'!$V$194:$V$207),0)),IF($R$173&gt;=O195,INDEX($AL$56:$AL$65,MATCH(O195,($AJ$56:$AJ$65),0)),IF($R$177&gt;=O195,INDEX('Spell Tables'!$X$168:$X$191,MATCH(O195,('Spell Tables'!$V$168:$V$191),0)),IF($R$179&gt;=O195,INDEX('Spell Tables'!$AB$141:$AB$149,MATCH(O195,('Spell Tables'!$Z$141:$Z$149),0)),IF($R$181&gt;=O195,INDEX('Spell Tables'!$T$119:$T$131,MATCH(O195,('Spell Tables'!$R$119:$R$131),0)),IF($R$183&gt;=O195,INDEX('Spell Tables'!$T$97:$T$104,MATCH(O195,('Spell Tables'!$R$97:$R$104),0)),IF($R$185&gt;=O195,INDEX('Spell Tables'!$AB$70:$AB$75,MATCH(O195,('Spell Tables'!$Z$70:$Z$75),0)),IF($R$187&gt;=O195,INDEX('Spell Tables'!$X$48:$X$65,MATCH(O195,('Spell Tables'!$V$48:$V$65),0)),IF($R$189&gt;=O195,INDEX('Spell Tables'!$X$26:$X$42,MATCH(O195,('Spell Tables'!$V$26:$V$42),0)),IF($R$191&gt;=O195,INDEX('Spell Tables'!$X$2:$X$23,MATCH(O195,('Spell Tables'!$V$2:$V$23),0))," "))))))))))))</f>
        <v xml:space="preserve"> </v>
      </c>
      <c r="S195" s="33" t="str">
        <f ca="1">IF(AND($O$15="Otherworldly patron - great old one",S$175&gt;=O195),INDEX('Spell Tables'!$AB$226:$AB$238,MATCH(O195,('Spell Tables'!$Z$226:$Z$238),0)),IF(AND($O$15="Otherworldly patron - fiend",S$175&gt;=O195),INDEX('Spell Tables'!$AB$210:$AB$222,MATCH(O195,('Spell Tables'!$Z$210:$Z$222),0)),IF(AND($O$15="Otherworldly patron - archfey",S$175&gt;=O195),INDEX('Spell Tables'!$AB$194:$AB$206,MATCH(O195,('Spell Tables'!$Z$194:$Z$206),0)),IF($S$173&gt;=O197,INDEX($AL$68:$AL$77,MATCH(O195,($AJ$68:$AJ$77),0)),IF($S$177&gt;=O195,INDEX('Spell Tables'!$AB$168:$AB$187,MATCH(O195,('Spell Tables'!$Z$168:$Z$187),0)),IF($S$179&gt;=O195,INDEX('Spell Tables'!$AJ$141:$AJ$144,MATCH(O195,('Spell Tables'!$AH$141:$AH$144),0)),IF($S$181&gt;=O195,INDEX('Spell Tables'!$X$119:$X$129,MATCH(O195,('Spell Tables'!$V$119:$V$129),0)),IF($S$183&gt;=O195,INDEX('Spell Tables'!$X$97:$X$106,MATCH(O195,('Spell Tables'!$V$97:$V$106),0)),IF($S$185&gt;=O195,INDEX('Spell Tables'!$AJ$70:$AJ$79,MATCH(O195,('Spell Tables'!$AH$70:$AH$79),0)),IF($S$187&gt;=O195,INDEX('Spell Tables'!$AB$48:$AB$60,MATCH(O195,('Spell Tables'!$Z$48:$Z$60),0)),IF($S$189&gt;=O195,INDEX('Spell Tables'!$AB$26:$AB$45,MATCH(O195,('Spell Tables'!$Z$26:$Z$45),0)),IF($S$191&gt;=O195,INDEX('Spell Tables'!$AB$2:$AB$17,MATCH(O195,('Spell Tables'!$Z$2:$Z$17),0))," "))))))))))))</f>
        <v>Stinking Cloud</v>
      </c>
      <c r="T195" s="33" t="str">
        <f ca="1">IF(AND($O$15="Otherworldly patron - great old one",T$175&gt;=O195),INDEX('Spell Tables'!$AF$226:$AF$231,MATCH(O195,('Spell Tables'!$AD$226:$AD$231),0)),IF(AND($O$15="Otherworldly patron - fiend",T$175&gt;=O195),INDEX('Spell Tables'!$AF$210:$AF$215,MATCH(O195,('Spell Tables'!$AD$210:$AD$215),0)),IF(AND($O$15="Otherworldly patron - archfey",T$175&gt;=O195),INDEX('Spell Tables'!$AF$194:$AF$199,MATCH(O195,('Spell Tables'!$AD$194:$AD$199),0)),IF($T$173&gt;=O195,INDEX($AL$80:$AL$89,MATCH(O195,($AJ$80:$AJ$89),0)),IF($T$177&gt;=O195,INDEX('Spell Tables'!$AF$168:$AF$177,MATCH(O195,('Spell Tables'!$AD$168:$AD$177),0)),IF($T$179&gt;=O195,INDEX('Spell Tables'!$AR$141:$AR$144,MATCH(O195,('Spell Tables'!$AP$141:$AP$144),0)),IF($T$181&gt;=O195,INDEX('Spell Tables'!$AB$119:$AB$123,MATCH(O195,('Spell Tables'!$Z$119:$Z$123),0)),IF($T$183&gt;=O195,INDEX('Spell Tables'!$AB$97:$AB$102,MATCH(O195,('Spell Tables'!$Z$97:$Z$102),0)),IF($T$185&gt;=O195,INDEX('Spell Tables'!$AR$70:$AR$75,MATCH(O195,('Spell Tables'!$AP$70:$AP$75),0)),IF($T$187&gt;=O195,INDEX('Spell Tables'!$AF$48:$AF$63,MATCH(O195,('Spell Tables'!$AD$48:$AD$63),0)),IF($T$189&gt;=O195,INDEX('Spell Tables'!$AF$26:$AF$33,MATCH(O195,('Spell Tables'!$AD$26:$AD$33),0)),IF($T$191&gt;=O195,INDEX('Spell Tables'!$AF$2:$AF$9,MATCH(O195,('Spell Tables'!$AD$2:$AD$9),0))," "))))))))))))</f>
        <v xml:space="preserve"> </v>
      </c>
      <c r="AJ195" s="29">
        <v>8</v>
      </c>
      <c r="AK195" s="29">
        <v>3</v>
      </c>
    </row>
    <row r="196" spans="2:37" x14ac:dyDescent="0.3">
      <c r="B196" s="79"/>
      <c r="C196" s="33"/>
      <c r="D196" s="33"/>
      <c r="E196" s="33"/>
      <c r="F196" s="33"/>
      <c r="G196" s="33"/>
      <c r="H196" s="33"/>
      <c r="I196" s="33"/>
      <c r="J196" s="33"/>
      <c r="K196" s="33"/>
      <c r="L196" s="33"/>
      <c r="M196" s="33"/>
      <c r="N196" s="33"/>
      <c r="O196" s="34">
        <v>4</v>
      </c>
      <c r="P196" s="33" t="str">
        <f ca="1">IF(P$173&gt;=O196,INDEX('Spell Tables'!$P$242:$P$257,MATCH(O196,('Spell Tables'!$N$242:$N$257),0)),IF(P$175&gt;=O196,INDEX('Spell Tables'!$P$194:$P$201,MATCH(O196,('Spell Tables'!$N$194:$N$201),0)),IF(P$177&gt;=O196,INDEX('Spell Tables'!$P$168:$P$183,MATCH(O196,('Spell Tables'!$N$168:$N$183),0)),IF(P$179&gt;=O196,INDEX('Spell Tables'!$P$141:$P$156,MATCH(O196,('Spell Tables'!$N$141:$N$157),0)),IF(P$185&gt;=O196,INDEX('Spell Tables'!$P$70:$P$83,MATCH(O196,('Spell Tables'!$N$70:$N$83),0)),IF(P$187&gt;=O196,INDEX('Spell Tables'!$P$48:$P$55,MATCH(O196,('Spell Tables'!$N$48:$N$55),0)),IF(P$189&gt;=O196,INDEX('Spell Tables'!$P$26:$P$32,MATCH(O196,('Spell Tables'!$N$26:$N$32),0)),IF(P$191&gt;=O196,INDEX('Spell Tables'!$P$2:$P$12,MATCH(O196,('Spell Tables'!$N$2:$N$12),0))," "))))))))</f>
        <v>Poison Spray</v>
      </c>
      <c r="Q196" s="33" t="str">
        <f ca="1">IF(AND($O$15="Otherworldly patron - great old one",Q$175&gt;=O196),INDEX('Spell Tables'!$T$226:$T$238,MATCH(O196,('Spell Tables'!$R$226:$R$238),0)),IF(AND($O$15="Otherworldly patron - fiend",Q$175&gt;=O196),INDEX('Spell Tables'!$T$210:$T$222,MATCH(O196,('Spell Tables'!$R$210:$R$222),0)),IF(Q$173&gt;=O196,INDEX($AL$44:$AL$53,MATCH(O196,($AJ$44:$AJ$53),0)),IF(AND($O$15="Otherworldly patron - archfey",Q$175&gt;=O196),INDEX('Spell Tables'!$T$194:$T$206,MATCH(O196,('Spell Tables'!$R$194:$R$206),0)),IF(Q$177&gt;=O196,INDEX('Spell Tables'!$T$168:$T$187,MATCH(O196,('Spell Tables'!$R$168:$R$187),0)),IF(Q$179&gt;=O196,INDEX('Spell Tables'!$T$141:$T$147,MATCH(O196,('Spell Tables'!$R$141:$R$147),0)),IF(Q$181&gt;=O196,INDEX('Spell Tables'!$P$119:$P$131,MATCH(O196,('Spell Tables'!$N$119:$N$131),0)),IF(Q$183&gt;=O196,INDEX('Spell Tables'!$P$97:$P$111,MATCH(O196,('Spell Tables'!$N$97:$N$111),0)),IF(Q$185&gt;=O196,INDEX('Spell Tables'!$T$70:$T$78,MATCH(O196,('Spell Tables'!$R$70:$R$78),0)),IF(Q$187&gt;=O196,INDEX('Spell Tables'!$T$48:$T$63,MATCH(O196,('Spell Tables'!$R$48:$R$63),0)),IF(Q$189&gt;=O196,INDEX('Spell Tables'!$T$26:$T$40,MATCH(O196,('Spell Tables'!$R$26:$R$40),0)),IF(Q$191&gt;=O196,INDEX('Spell Tables'!$T$2:$T$22,MATCH(O196,('Spell Tables'!$R$2:$R$22),0))," "))))))))))))</f>
        <v xml:space="preserve"> </v>
      </c>
      <c r="R196" s="33" t="str">
        <f ca="1">IF(AND($O$15="Otherworldly patron - great old one",R$175&gt;=O196),INDEX('Spell Tables'!$X$226:$X$239,MATCH(O196,('Spell Tables'!$V$226:$V$239),0)),IF(AND($O$15="Otherworldly patron - fiend",R$175&gt;=O196),INDEX('Spell Tables'!$X$210:$X$223,MATCH(O196,('Spell Tables'!$V$210:$V$223),0)),IF(AND($O$15="Otherworldly patron - archfey",R$175&gt;=O196),INDEX('Spell Tables'!$X$194:$X$207,MATCH(O196,('Spell Tables'!$V$194:$V$207),0)),IF($R$173&gt;=O196,INDEX($AL$56:$AL$65,MATCH(O196,($AJ$56:$AJ$65),0)),IF($R$177&gt;=O196,INDEX('Spell Tables'!$X$168:$X$191,MATCH(O196,('Spell Tables'!$V$168:$V$191),0)),IF($R$179&gt;=O196,INDEX('Spell Tables'!$AB$141:$AB$149,MATCH(O196,('Spell Tables'!$Z$141:$Z$149),0)),IF($R$181&gt;=O196,INDEX('Spell Tables'!$T$119:$T$131,MATCH(O196,('Spell Tables'!$R$119:$R$131),0)),IF($R$183&gt;=O196,INDEX('Spell Tables'!$T$97:$T$104,MATCH(O196,('Spell Tables'!$R$97:$R$104),0)),IF($R$185&gt;=O196,INDEX('Spell Tables'!$AB$70:$AB$75,MATCH(O196,('Spell Tables'!$Z$70:$Z$75),0)),IF($R$187&gt;=O196,INDEX('Spell Tables'!$X$48:$X$65,MATCH(O196,('Spell Tables'!$V$48:$V$65),0)),IF($R$189&gt;=O196,INDEX('Spell Tables'!$X$26:$X$42,MATCH(O196,('Spell Tables'!$V$26:$V$42),0)),IF($R$191&gt;=O196,INDEX('Spell Tables'!$X$2:$X$23,MATCH(O196,('Spell Tables'!$V$2:$V$23),0))," "))))))))))))</f>
        <v xml:space="preserve"> </v>
      </c>
      <c r="S196" s="33" t="str">
        <f ca="1">IF(AND($O$15="Otherworldly patron - great old one",S$175&gt;=O196),INDEX('Spell Tables'!$AB$226:$AB$238,MATCH(O196,('Spell Tables'!$Z$226:$Z$238),0)),IF(AND($O$15="Otherworldly patron - fiend",S$175&gt;=O196),INDEX('Spell Tables'!$AB$210:$AB$222,MATCH(O196,('Spell Tables'!$Z$210:$Z$222),0)),IF(AND($O$15="Otherworldly patron - archfey",S$175&gt;=O196),INDEX('Spell Tables'!$AB$194:$AB$206,MATCH(O196,('Spell Tables'!$Z$194:$Z$206),0)),IF($S$173&gt;=O196,INDEX($AL$68:$AL$77,MATCH(O196,($AJ$68:$AJ$77),0)),IF($S$177&gt;=O196,INDEX('Spell Tables'!$AB$168:$AB$187,MATCH(O196,('Spell Tables'!$Z$168:$Z$187),0)),IF($S$179&gt;=O196,INDEX('Spell Tables'!$AJ$141:$AJ$144,MATCH(O196,('Spell Tables'!$AH$141:$AH$144),0)),IF($S$181&gt;=O196,INDEX('Spell Tables'!$X$119:$X$129,MATCH(O196,('Spell Tables'!$V$119:$V$129),0)),IF($S$183&gt;=O196,INDEX('Spell Tables'!$X$97:$X$106,MATCH(O196,('Spell Tables'!$V$97:$V$106),0)),IF($S$185&gt;=O196,INDEX('Spell Tables'!$AJ$70:$AJ$79,MATCH(O196,('Spell Tables'!$AH$70:$AH$79),0)),IF($S$187&gt;=O196,INDEX('Spell Tables'!$AB$48:$AB$60,MATCH(O196,('Spell Tables'!$Z$48:$Z$60),0)),IF($S$189&gt;=O196,INDEX('Spell Tables'!$AB$26:$AB$45,MATCH(O196,('Spell Tables'!$Z$26:$Z$45),0)),IF($S$191&gt;=O196,INDEX('Spell Tables'!$AB$2:$AB$17,MATCH(O196,('Spell Tables'!$Z$2:$Z$17),0))," "))))))))))))</f>
        <v>Clairvoyance</v>
      </c>
      <c r="T196" s="33" t="str">
        <f ca="1">IF(AND($O$15="Otherworldly patron - great old one",T$175&gt;=O196),INDEX('Spell Tables'!$AF$226:$AF$231,MATCH(O196,('Spell Tables'!$AD$226:$AD$231),0)),IF(AND($O$15="Otherworldly patron - fiend",T$175&gt;=O196),INDEX('Spell Tables'!$AF$210:$AF$215,MATCH(O196,('Spell Tables'!$AD$210:$AD$215),0)),IF(AND($O$15="Otherworldly patron - archfey",T$175&gt;=O196),INDEX('Spell Tables'!$AF$194:$AF$199,MATCH(O196,('Spell Tables'!$AD$194:$AD$199),0)),IF($T$173&gt;=O196,INDEX($AL$80:$AL$89,MATCH(O196,($AJ$80:$AJ$89),0)),IF($T$177&gt;=O196,INDEX('Spell Tables'!$AF$168:$AF$177,MATCH(O196,('Spell Tables'!$AD$168:$AD$177),0)),IF($T$179&gt;=O196,INDEX('Spell Tables'!$AR$141:$AR$144,MATCH(O196,('Spell Tables'!$AP$141:$AP$144),0)),IF($T$181&gt;=O196,INDEX('Spell Tables'!$AB$119:$AB$123,MATCH(O196,('Spell Tables'!$Z$119:$Z$123),0)),IF($T$183&gt;=O196,INDEX('Spell Tables'!$AB$97:$AB$102,MATCH(O196,('Spell Tables'!$Z$97:$Z$102),0)),IF($T$185&gt;=O196,INDEX('Spell Tables'!$AR$70:$AR$75,MATCH(O196,('Spell Tables'!$AP$70:$AP$75),0)),IF($T$187&gt;=O196,INDEX('Spell Tables'!$AF$48:$AF$63,MATCH(O196,('Spell Tables'!$AD$48:$AD$63),0)),IF($T$189&gt;=O196,INDEX('Spell Tables'!$AF$26:$AF$33,MATCH(O196,('Spell Tables'!$AD$26:$AD$33),0)),IF($T$191&gt;=O196,INDEX('Spell Tables'!$AF$2:$AF$9,MATCH(O196,('Spell Tables'!$AD$2:$AD$9),0))," "))))))))))))</f>
        <v xml:space="preserve"> </v>
      </c>
      <c r="AJ196" s="29">
        <v>9</v>
      </c>
      <c r="AK196" s="29">
        <v>3</v>
      </c>
    </row>
    <row r="197" spans="2:37" x14ac:dyDescent="0.3">
      <c r="B197" s="79"/>
      <c r="C197" s="33"/>
      <c r="D197" s="33"/>
      <c r="E197" s="33"/>
      <c r="F197" s="33"/>
      <c r="G197" s="33"/>
      <c r="H197" s="33"/>
      <c r="I197" s="33"/>
      <c r="J197" s="33"/>
      <c r="K197" s="33"/>
      <c r="L197" s="33"/>
      <c r="M197" s="33"/>
      <c r="N197" s="33"/>
      <c r="O197" s="34">
        <v>5</v>
      </c>
      <c r="P197" s="33" t="str">
        <f ca="1">IF(P$173&gt;=O197,INDEX('Spell Tables'!$P$242:$P$257,MATCH(O197,('Spell Tables'!$N$242:$N$257),0)),IF(P$175&gt;=O197,INDEX('Spell Tables'!$P$194:$P$201,MATCH(O197,('Spell Tables'!$N$194:$N$201),0)),IF(P$177&gt;=O197,INDEX('Spell Tables'!$P$168:$P$183,MATCH(O197,('Spell Tables'!$N$168:$N$183),0)),IF(P$179&gt;=O197,INDEX('Spell Tables'!$P$141:$P$156,MATCH(O197,('Spell Tables'!$N$141:$N$157),0)),IF(P$185&gt;=O197,INDEX('Spell Tables'!$P$70:$P$83,MATCH(O197,('Spell Tables'!$N$70:$N$83),0)),IF(P$187&gt;=O197,INDEX('Spell Tables'!$P$48:$P$55,MATCH(O197,('Spell Tables'!$N$48:$N$55),0)),IF(P$189&gt;=O197,INDEX('Spell Tables'!$P$26:$P$32,MATCH(O197,('Spell Tables'!$N$26:$N$32),0)),IF(P$191&gt;=O197,INDEX('Spell Tables'!$P$2:$P$12,MATCH(O197,('Spell Tables'!$N$2:$N$12),0))," "))))))))</f>
        <v>Mending</v>
      </c>
      <c r="Q197" s="33" t="str">
        <f ca="1">IF(AND($O$15="Otherworldly patron - great old one",Q$175&gt;=O197),INDEX('Spell Tables'!$T$226:$T$238,MATCH(O197,('Spell Tables'!$R$226:$R$238),0)),IF(AND($O$15="Otherworldly patron - fiend",Q$175&gt;=O197),INDEX('Spell Tables'!$T$210:$T$222,MATCH(O197,('Spell Tables'!$R$210:$R$222),0)),IF(Q$173&gt;=O197,INDEX($AL$44:$AL$53,MATCH(O197,($AJ$44:$AJ$53),0)),IF(AND($O$15="Otherworldly patron - archfey",Q$175&gt;=O197),INDEX('Spell Tables'!$T$194:$T$206,MATCH(O197,('Spell Tables'!$R$194:$R$206),0)),IF(Q$177&gt;=O197,INDEX('Spell Tables'!$T$168:$T$187,MATCH(O197,('Spell Tables'!$R$168:$R$187),0)),IF(Q$179&gt;=O197,INDEX('Spell Tables'!$T$141:$T$147,MATCH(O197,('Spell Tables'!$R$141:$R$147),0)),IF(Q$181&gt;=O197,INDEX('Spell Tables'!$P$119:$P$131,MATCH(O197,('Spell Tables'!$N$119:$N$131),0)),IF(Q$183&gt;=O197,INDEX('Spell Tables'!$P$97:$P$111,MATCH(O197,('Spell Tables'!$N$97:$N$111),0)),IF(Q$185&gt;=O197,INDEX('Spell Tables'!$T$70:$T$78,MATCH(O197,('Spell Tables'!$R$70:$R$78),0)),IF(Q$187&gt;=O197,INDEX('Spell Tables'!$T$48:$T$63,MATCH(O197,('Spell Tables'!$R$48:$R$63),0)),IF(Q$189&gt;=O197,INDEX('Spell Tables'!$T$26:$T$40,MATCH(O197,('Spell Tables'!$R$26:$R$40),0)),IF(Q$191&gt;=O197,INDEX('Spell Tables'!$T$2:$T$22,MATCH(O197,('Spell Tables'!$R$2:$R$22),0))," "))))))))))))</f>
        <v xml:space="preserve"> </v>
      </c>
      <c r="R197" s="33" t="str">
        <f ca="1">IF(AND($O$15="Otherworldly patron - great old one",R$175&gt;=O197),INDEX('Spell Tables'!$X$226:$X$239,MATCH(O197,('Spell Tables'!$V$226:$V$239),0)),IF(AND($O$15="Otherworldly patron - fiend",R$175&gt;=O197),INDEX('Spell Tables'!$X$210:$X$223,MATCH(O197,('Spell Tables'!$V$210:$V$223),0)),IF(AND($O$15="Otherworldly patron - archfey",R$175&gt;=O197),INDEX('Spell Tables'!$X$194:$X$207,MATCH(O197,('Spell Tables'!$V$194:$V$207),0)),IF($R$173&gt;=O197,INDEX($AL$56:$AL$65,MATCH(O197,($AJ$56:$AJ$65),0)),IF($R$177&gt;=O197,INDEX('Spell Tables'!$X$168:$X$191,MATCH(O197,('Spell Tables'!$V$168:$V$191),0)),IF($R$179&gt;=O197,INDEX('Spell Tables'!$AB$141:$AB$149,MATCH(O197,('Spell Tables'!$Z$141:$Z$149),0)),IF($R$181&gt;=O197,INDEX('Spell Tables'!$T$119:$T$131,MATCH(O197,('Spell Tables'!$R$119:$R$131),0)),IF($R$183&gt;=O197,INDEX('Spell Tables'!$T$97:$T$104,MATCH(O197,('Spell Tables'!$R$97:$R$104),0)),IF($R$185&gt;=O197,INDEX('Spell Tables'!$AB$70:$AB$75,MATCH(O197,('Spell Tables'!$Z$70:$Z$75),0)),IF($R$187&gt;=O197,INDEX('Spell Tables'!$X$48:$X$65,MATCH(O197,('Spell Tables'!$V$48:$V$65),0)),IF($R$189&gt;=O197,INDEX('Spell Tables'!$X$26:$X$42,MATCH(O197,('Spell Tables'!$V$26:$V$42),0)),IF($R$191&gt;=O197,INDEX('Spell Tables'!$X$2:$X$23,MATCH(O197,('Spell Tables'!$V$2:$V$23),0))," "))))))))))))</f>
        <v xml:space="preserve"> </v>
      </c>
      <c r="S197" s="33" t="str">
        <f ca="1">IF(AND($O$15="Otherworldly patron - great old one",S$175&gt;=O197),INDEX('Spell Tables'!$AB$226:$AB$238,MATCH(O197,('Spell Tables'!$Z$226:$Z$238),0)),IF(AND($O$15="Otherworldly patron - fiend",S$175&gt;=O197),INDEX('Spell Tables'!$AB$210:$AB$222,MATCH(O197,('Spell Tables'!$Z$210:$Z$222),0)),IF(AND($O$15="Otherworldly patron - archfey",S$175&gt;=O197),INDEX('Spell Tables'!$AB$194:$AB$206,MATCH(O197,('Spell Tables'!$Z$194:$Z$206),0)),IF($S$173&gt;=O197,INDEX($AL$68:$AL$77,MATCH(O197,($AJ$68:$AJ$77),0)),IF($S$177&gt;=O197,INDEX('Spell Tables'!$AB$168:$AB$187,MATCH(O197,('Spell Tables'!$Z$168:$Z$187),0)),IF($S$179&gt;=O197,INDEX('Spell Tables'!$AJ$141:$AJ$144,MATCH(O197,('Spell Tables'!$AH$141:$AH$144),0)),IF($S$181&gt;=O197,INDEX('Spell Tables'!$X$119:$X$129,MATCH(O197,('Spell Tables'!$V$119:$V$129),0)),IF($S$183&gt;=O197,INDEX('Spell Tables'!$X$97:$X$106,MATCH(O197,('Spell Tables'!$V$97:$V$106),0)),IF($S$185&gt;=O197,INDEX('Spell Tables'!$AJ$70:$AJ$79,MATCH(O197,('Spell Tables'!$AH$70:$AH$79),0)),IF($S$187&gt;=O197,INDEX('Spell Tables'!$AB$48:$AB$60,MATCH(O197,('Spell Tables'!$Z$48:$Z$60),0)),IF($S$189&gt;=O197,INDEX('Spell Tables'!$AB$26:$AB$45,MATCH(O197,('Spell Tables'!$Z$26:$Z$45),0)),IF($S$191&gt;=O197,INDEX('Spell Tables'!$AB$2:$AB$17,MATCH(O197,('Spell Tables'!$Z$2:$Z$17),0))," "))))))))))))</f>
        <v>Lightning Bolt</v>
      </c>
      <c r="T197" s="33" t="str">
        <f ca="1">IF(AND($O$15="Otherworldly patron - great old one",T$175&gt;=O197),INDEX('Spell Tables'!$AF$226:$AF$231,MATCH(O197,('Spell Tables'!$AD$226:$AD$231),0)),IF(AND($O$15="Otherworldly patron - fiend",T$175&gt;=O197),INDEX('Spell Tables'!$AF$210:$AF$215,MATCH(O197,('Spell Tables'!$AD$210:$AD$215),0)),IF(AND($O$15="Otherworldly patron - archfey",T$175&gt;=O197),INDEX('Spell Tables'!$AF$194:$AF$199,MATCH(O197,('Spell Tables'!$AD$194:$AD$199),0)),IF($T$173&gt;=O197,INDEX($AL$80:$AL$89,MATCH(O197,($AJ$80:$AJ$89),0)),IF($T$177&gt;=O197,INDEX('Spell Tables'!$AF$168:$AF$177,MATCH(O197,('Spell Tables'!$AD$168:$AD$177),0)),IF($T$179&gt;=O197,INDEX('Spell Tables'!$AR$141:$AR$144,MATCH(O197,('Spell Tables'!$AP$141:$AP$144),0)),IF($T$181&gt;=O197,INDEX('Spell Tables'!$AB$119:$AB$123,MATCH(O197,('Spell Tables'!$Z$119:$Z$123),0)),IF($T$183&gt;=O197,INDEX('Spell Tables'!$AB$97:$AB$102,MATCH(O197,('Spell Tables'!$Z$97:$Z$102),0)),IF($T$185&gt;=O197,INDEX('Spell Tables'!$AR$70:$AR$75,MATCH(O197,('Spell Tables'!$AP$70:$AP$75),0)),IF($T$187&gt;=O197,INDEX('Spell Tables'!$AF$48:$AF$63,MATCH(O197,('Spell Tables'!$AD$48:$AD$63),0)),IF($T$189&gt;=O197,INDEX('Spell Tables'!$AF$26:$AF$33,MATCH(O197,('Spell Tables'!$AD$26:$AD$33),0)),IF($T$191&gt;=O197,INDEX('Spell Tables'!$AF$2:$AF$9,MATCH(O197,('Spell Tables'!$AD$2:$AD$9),0))," "))))))))))))</f>
        <v xml:space="preserve"> </v>
      </c>
      <c r="AJ197" s="29">
        <v>10</v>
      </c>
      <c r="AK197" s="29">
        <v>3</v>
      </c>
    </row>
    <row r="198" spans="2:37" x14ac:dyDescent="0.3">
      <c r="B198" s="33"/>
      <c r="C198" s="33"/>
      <c r="D198" s="33"/>
      <c r="E198" s="33"/>
      <c r="F198" s="33"/>
      <c r="G198" s="33"/>
      <c r="H198" s="33"/>
      <c r="I198" s="33"/>
      <c r="J198" s="33"/>
      <c r="K198" s="33"/>
      <c r="L198" s="33"/>
      <c r="M198" s="33"/>
      <c r="N198" s="33"/>
      <c r="O198" s="34">
        <v>6</v>
      </c>
      <c r="P198" s="33" t="str">
        <f ca="1">IF(P$173&gt;=O198,INDEX('Spell Tables'!$P$242:$P$257,MATCH(O198,('Spell Tables'!$N$242:$N$257),0)),IF(P$175&gt;=O198,INDEX('Spell Tables'!$P$194:$P$201,MATCH(O198,('Spell Tables'!$N$194:$N$201),0)),IF(P$177&gt;=O198,INDEX('Spell Tables'!$P$168:$P$183,MATCH(O198,('Spell Tables'!$N$168:$N$183),0)),IF(P$179&gt;=O198,INDEX('Spell Tables'!$P$141:$P$156,MATCH(O198,('Spell Tables'!$N$141:$N$157),0)),IF(P$185&gt;=O198,INDEX('Spell Tables'!$P$70:$P$83,MATCH(O198,('Spell Tables'!$N$70:$N$83),0)),IF(P$187&gt;=O198,INDEX('Spell Tables'!$P$48:$P$55,MATCH(O198,('Spell Tables'!$N$48:$N$55),0)),IF(P$189&gt;=O198,INDEX('Spell Tables'!$P$26:$P$32,MATCH(O198,('Spell Tables'!$N$26:$N$32),0)),IF(P$191&gt;=O198,INDEX('Spell Tables'!$P$2:$P$12,MATCH(O198,('Spell Tables'!$N$2:$N$12),0))," "))))))))</f>
        <v xml:space="preserve"> </v>
      </c>
      <c r="Q198" s="33" t="str">
        <f ca="1">IF(AND($O$15="Otherworldly patron - great old one",Q$175&gt;=O198),INDEX('Spell Tables'!$T$226:$T$238,MATCH(O198,('Spell Tables'!$R$226:$R$238),0)),IF(AND($O$15="Otherworldly patron - fiend",Q$175&gt;=O198),INDEX('Spell Tables'!$T$210:$T$222,MATCH(O198,('Spell Tables'!$R$210:$R$222),0)),IF(Q$173&gt;=O198,INDEX($AL$44:$AL$53,MATCH(O198,($AJ$44:$AJ$53),0)),IF(AND($O$15="Otherworldly patron - archfey",Q$175&gt;=O198),INDEX('Spell Tables'!$T$194:$T$206,MATCH(O198,('Spell Tables'!$R$194:$R$206),0)),IF(Q$177&gt;=O198,INDEX('Spell Tables'!$T$168:$T$187,MATCH(O198,('Spell Tables'!$R$168:$R$187),0)),IF(Q$179&gt;=O198,INDEX('Spell Tables'!$T$141:$T$147,MATCH(O198,('Spell Tables'!$R$141:$R$147),0)),IF(Q$181&gt;=O198,INDEX('Spell Tables'!$P$119:$P$131,MATCH(O198,('Spell Tables'!$N$119:$N$131),0)),IF(Q$183&gt;=O198,INDEX('Spell Tables'!$P$97:$P$111,MATCH(O198,('Spell Tables'!$N$97:$N$111),0)),IF(Q$185&gt;=O198,INDEX('Spell Tables'!$T$70:$T$78,MATCH(O198,('Spell Tables'!$R$70:$R$78),0)),IF(Q$187&gt;=O198,INDEX('Spell Tables'!$T$48:$T$63,MATCH(O198,('Spell Tables'!$R$48:$R$63),0)),IF(Q$189&gt;=O198,INDEX('Spell Tables'!$T$26:$T$40,MATCH(O198,('Spell Tables'!$R$26:$R$40),0)),IF(Q$191&gt;=O198,INDEX('Spell Tables'!$T$2:$T$22,MATCH(O198,('Spell Tables'!$R$2:$R$22),0))," "))))))))))))</f>
        <v xml:space="preserve"> </v>
      </c>
      <c r="R198" s="33" t="str">
        <f ca="1">IF(AND($O$15="Otherworldly patron - great old one",R$175&gt;=O198),INDEX('Spell Tables'!$X$226:$X$239,MATCH(O198,('Spell Tables'!$V$226:$V$239),0)),IF(AND($O$15="Otherworldly patron - fiend",R$175&gt;=O198),INDEX('Spell Tables'!$X$210:$X$223,MATCH(O198,('Spell Tables'!$V$210:$V$223),0)),IF(AND($O$15="Otherworldly patron - archfey",R$175&gt;=O198),INDEX('Spell Tables'!$X$194:$X$207,MATCH(O198,('Spell Tables'!$V$194:$V$207),0)),IF($R$173&gt;=O198,INDEX($AL$56:$AL$65,MATCH(O198,($AJ$56:$AJ$65),0)),IF($R$177&gt;=O198,INDEX('Spell Tables'!$X$168:$X$191,MATCH(O198,('Spell Tables'!$V$168:$V$191),0)),IF($R$179&gt;=O198,INDEX('Spell Tables'!$AB$141:$AB$149,MATCH(O198,('Spell Tables'!$Z$141:$Z$149),0)),IF($R$181&gt;=O198,INDEX('Spell Tables'!$T$119:$T$131,MATCH(O198,('Spell Tables'!$R$119:$R$131),0)),IF($R$183&gt;=O198,INDEX('Spell Tables'!$T$97:$T$104,MATCH(O198,('Spell Tables'!$R$97:$R$104),0)),IF($R$185&gt;=O198,INDEX('Spell Tables'!$AB$70:$AB$75,MATCH(O198,('Spell Tables'!$Z$70:$Z$75),0)),IF($R$187&gt;=O198,INDEX('Spell Tables'!$X$48:$X$65,MATCH(O198,('Spell Tables'!$V$48:$V$65),0)),IF($R$189&gt;=O198,INDEX('Spell Tables'!$X$26:$X$42,MATCH(O198,('Spell Tables'!$V$26:$V$42),0)),IF($R$191&gt;=O198,INDEX('Spell Tables'!$X$2:$X$23,MATCH(O198,('Spell Tables'!$V$2:$V$23),0))," "))))))))))))</f>
        <v xml:space="preserve"> </v>
      </c>
      <c r="S198" s="33" t="str">
        <f ca="1">IF(AND($O$15="Otherworldly patron - great old one",S$175&gt;=O198),INDEX('Spell Tables'!$AB$226:$AB$238,MATCH(O198,('Spell Tables'!$Z$226:$Z$238),0)),IF(AND($O$15="Otherworldly patron - fiend",S$175&gt;=O198),INDEX('Spell Tables'!$AB$210:$AB$222,MATCH(O198,('Spell Tables'!$Z$210:$Z$222),0)),IF(AND($O$15="Otherworldly patron - archfey",S$175&gt;=O198),INDEX('Spell Tables'!$AB$194:$AB$206,MATCH(O198,('Spell Tables'!$Z$194:$Z$206),0)),IF($S$173&gt;=O198,INDEX($AL$68:$AL$77,MATCH(O198,($AJ$68:$AJ$77),0)),IF($S$177&gt;=O198,INDEX('Spell Tables'!$AB$168:$AB$187,MATCH(O198,('Spell Tables'!$Z$168:$Z$187),0)),IF($S$179&gt;=O198,INDEX('Spell Tables'!$AJ$141:$AJ$144,MATCH(O198,('Spell Tables'!$AH$141:$AH$144),0)),IF($S$181&gt;=O198,INDEX('Spell Tables'!$X$119:$X$129,MATCH(O198,('Spell Tables'!$V$119:$V$129),0)),IF($S$183&gt;=O198,INDEX('Spell Tables'!$X$97:$X$106,MATCH(O198,('Spell Tables'!$V$97:$V$106),0)),IF($S$185&gt;=O198,INDEX('Spell Tables'!$AJ$70:$AJ$79,MATCH(O198,('Spell Tables'!$AH$70:$AH$79),0)),IF($S$187&gt;=O198,INDEX('Spell Tables'!$AB$48:$AB$60,MATCH(O198,('Spell Tables'!$Z$48:$Z$60),0)),IF($S$189&gt;=O198,INDEX('Spell Tables'!$AB$26:$AB$45,MATCH(O198,('Spell Tables'!$Z$26:$Z$45),0)),IF($S$191&gt;=O198,INDEX('Spell Tables'!$AB$2:$AB$17,MATCH(O198,('Spell Tables'!$Z$2:$Z$17),0))," "))))))))))))</f>
        <v>Protection from Energy</v>
      </c>
      <c r="T198" s="33" t="str">
        <f ca="1">IF(AND($O$15="Otherworldly patron - great old one",T$175&gt;=O198),INDEX('Spell Tables'!$AF$226:$AF$231,MATCH(O198,('Spell Tables'!$AD$226:$AD$231),0)),IF(AND($O$15="Otherworldly patron - fiend",T$175&gt;=O198),INDEX('Spell Tables'!$AF$210:$AF$215,MATCH(O198,('Spell Tables'!$AD$210:$AD$215),0)),IF(AND($O$15="Otherworldly patron - archfey",T$175&gt;=O198),INDEX('Spell Tables'!$AF$194:$AF$199,MATCH(O198,('Spell Tables'!$AD$194:$AD$199),0)),IF($T$173&gt;=O198,INDEX($AL$80:$AL$89,MATCH(O198,($AJ$80:$AJ$89),0)),IF($T$177&gt;=O198,INDEX('Spell Tables'!$AF$168:$AF$177,MATCH(O198,('Spell Tables'!$AD$168:$AD$177),0)),IF($T$179&gt;=O198,INDEX('Spell Tables'!$AR$141:$AR$144,MATCH(O198,('Spell Tables'!$AP$141:$AP$144),0)),IF($T$181&gt;=O198,INDEX('Spell Tables'!$AB$119:$AB$123,MATCH(O198,('Spell Tables'!$Z$119:$Z$123),0)),IF($T$183&gt;=O198,INDEX('Spell Tables'!$AB$97:$AB$102,MATCH(O198,('Spell Tables'!$Z$97:$Z$102),0)),IF($T$185&gt;=O198,INDEX('Spell Tables'!$AR$70:$AR$75,MATCH(O198,('Spell Tables'!$AP$70:$AP$75),0)),IF($T$187&gt;=O198,INDEX('Spell Tables'!$AF$48:$AF$63,MATCH(O198,('Spell Tables'!$AD$48:$AD$63),0)),IF($T$189&gt;=O198,INDEX('Spell Tables'!$AF$26:$AF$33,MATCH(O198,('Spell Tables'!$AD$26:$AD$33),0)),IF($T$191&gt;=O198,INDEX('Spell Tables'!$AF$2:$AF$9,MATCH(O198,('Spell Tables'!$AD$2:$AD$9),0))," "))))))))))))</f>
        <v xml:space="preserve"> </v>
      </c>
    </row>
    <row r="199" spans="2:37" x14ac:dyDescent="0.3">
      <c r="B199" s="33"/>
      <c r="C199" s="33"/>
      <c r="D199" s="33"/>
      <c r="E199" s="33"/>
      <c r="F199" s="33"/>
      <c r="G199" s="33"/>
      <c r="H199" s="33"/>
      <c r="I199" s="33"/>
      <c r="J199" s="33"/>
      <c r="K199" s="33"/>
      <c r="L199" s="33"/>
      <c r="M199" s="33"/>
      <c r="N199" s="33"/>
      <c r="O199" s="34">
        <v>7</v>
      </c>
      <c r="P199" s="33" t="str">
        <f ca="1">IF(P$173&gt;=O199,INDEX('Spell Tables'!$P$242:$P$257,MATCH(O199,('Spell Tables'!$N$242:$N$257),0)),IF(P$175&gt;=O199,INDEX('Spell Tables'!$P$194:$P$201,MATCH(O199,('Spell Tables'!$N$194:$N$201),0)),IF(P$177&gt;=O199,INDEX('Spell Tables'!$P$168:$P$183,MATCH(O199,('Spell Tables'!$N$168:$N$183),0)),IF(P$179&gt;=O199,INDEX('Spell Tables'!$P$141:$P$156,MATCH(O199,('Spell Tables'!$N$141:$N$157),0)),IF(P$185&gt;=O199,INDEX('Spell Tables'!$P$70:$P$83,MATCH(O199,('Spell Tables'!$N$70:$N$83),0)),IF(P$187&gt;=O199,INDEX('Spell Tables'!$P$48:$P$55,MATCH(O199,('Spell Tables'!$N$48:$N$55),0)),IF(P$189&gt;=O199,INDEX('Spell Tables'!$P$26:$P$32,MATCH(O199,('Spell Tables'!$N$26:$N$32),0)),IF(P$191&gt;=O199,INDEX('Spell Tables'!$P$2:$P$12,MATCH(O199,('Spell Tables'!$N$2:$N$12),0))," "))))))))</f>
        <v xml:space="preserve"> </v>
      </c>
      <c r="Q199" s="33" t="str">
        <f ca="1">IF(AND($O$15="Otherworldly patron - great old one",Q$175&gt;=O199),INDEX('Spell Tables'!$T$226:$T$238,MATCH(O199,('Spell Tables'!$R$226:$R$238),0)),IF(AND($O$15="Otherworldly patron - fiend",Q$175&gt;=O199),INDEX('Spell Tables'!$T$210:$T$222,MATCH(O199,('Spell Tables'!$R$210:$R$222),0)),IF(Q$173&gt;=O199,INDEX($AL$44:$AL$53,MATCH(O199,($AJ$44:$AJ$53),0)),IF(AND($O$15="Otherworldly patron - archfey",Q$175&gt;=O199),INDEX('Spell Tables'!$T$194:$T$206,MATCH(O199,('Spell Tables'!$R$194:$R$206),0)),IF(Q$177&gt;=O199,INDEX('Spell Tables'!$T$168:$T$187,MATCH(O199,('Spell Tables'!$R$168:$R$187),0)),IF(Q$179&gt;=O199,INDEX('Spell Tables'!$T$141:$T$147,MATCH(O199,('Spell Tables'!$R$141:$R$147),0)),IF(Q$181&gt;=O199,INDEX('Spell Tables'!$P$119:$P$131,MATCH(O199,('Spell Tables'!$N$119:$N$131),0)),IF(Q$183&gt;=O199,INDEX('Spell Tables'!$P$97:$P$111,MATCH(O199,('Spell Tables'!$N$97:$N$111),0)),IF(Q$185&gt;=O199,INDEX('Spell Tables'!$T$70:$T$78,MATCH(O199,('Spell Tables'!$R$70:$R$78),0)),IF(Q$187&gt;=O199,INDEX('Spell Tables'!$T$48:$T$63,MATCH(O199,('Spell Tables'!$R$48:$R$63),0)),IF(Q$189&gt;=O199,INDEX('Spell Tables'!$T$26:$T$40,MATCH(O199,('Spell Tables'!$R$26:$R$40),0)),IF(Q$191&gt;=O199,INDEX('Spell Tables'!$T$2:$T$22,MATCH(O199,('Spell Tables'!$R$2:$R$22),0))," "))))))))))))</f>
        <v xml:space="preserve"> </v>
      </c>
      <c r="R199" s="33" t="str">
        <f ca="1">IF(AND($O$15="Otherworldly patron - great old one",R$175&gt;=O199),INDEX('Spell Tables'!$X$226:$X$239,MATCH(O199,('Spell Tables'!$V$226:$V$239),0)),IF(AND($O$15="Otherworldly patron - fiend",R$175&gt;=O199),INDEX('Spell Tables'!$X$210:$X$223,MATCH(O199,('Spell Tables'!$V$210:$V$223),0)),IF(AND($O$15="Otherworldly patron - archfey",R$175&gt;=O199),INDEX('Spell Tables'!$X$194:$X$207,MATCH(O199,('Spell Tables'!$V$194:$V$207),0)),IF($R$173&gt;=O199,INDEX($AL$56:$AL$65,MATCH(O199,($AJ$56:$AJ$65),0)),IF($R$177&gt;=O199,INDEX('Spell Tables'!$X$168:$X$191,MATCH(O199,('Spell Tables'!$V$168:$V$191),0)),IF($R$179&gt;=O199,INDEX('Spell Tables'!$AB$141:$AB$149,MATCH(O199,('Spell Tables'!$Z$141:$Z$149),0)),IF($R$181&gt;=O199,INDEX('Spell Tables'!$T$119:$T$131,MATCH(O199,('Spell Tables'!$R$119:$R$131),0)),IF($R$183&gt;=O199,INDEX('Spell Tables'!$T$97:$T$104,MATCH(O199,('Spell Tables'!$R$97:$R$104),0)),IF($R$185&gt;=O199,INDEX('Spell Tables'!$AB$70:$AB$75,MATCH(O199,('Spell Tables'!$Z$70:$Z$75),0)),IF($R$187&gt;=O199,INDEX('Spell Tables'!$X$48:$X$65,MATCH(O199,('Spell Tables'!$V$48:$V$65),0)),IF($R$189&gt;=O199,INDEX('Spell Tables'!$X$26:$X$42,MATCH(O199,('Spell Tables'!$V$26:$V$42),0)),IF($R$191&gt;=O199,INDEX('Spell Tables'!$X$2:$X$23,MATCH(O199,('Spell Tables'!$V$2:$V$23),0))," "))))))))))))</f>
        <v xml:space="preserve"> </v>
      </c>
      <c r="S199" s="33" t="str">
        <f ca="1">IF(AND($O$15="Otherworldly patron - great old one",S$175&gt;=O199),INDEX('Spell Tables'!$AB$226:$AB$238,MATCH(O199,('Spell Tables'!$Z$226:$Z$238),0)),IF(AND($O$15="Otherworldly patron - fiend",S$175&gt;=O199),INDEX('Spell Tables'!$AB$210:$AB$222,MATCH(O199,('Spell Tables'!$Z$210:$Z$222),0)),IF(AND($O$15="Otherworldly patron - archfey",S$175&gt;=O199),INDEX('Spell Tables'!$AB$194:$AB$206,MATCH(O199,('Spell Tables'!$Z$194:$Z$206),0)),IF($S$173&gt;=O199,INDEX($AL$68:$AL$77,MATCH(O199,($AJ$68:$AJ$77),0)),IF($S$177&gt;=O199,INDEX('Spell Tables'!$AB$168:$AB$187,MATCH(O199,('Spell Tables'!$Z$168:$Z$187),0)),IF($S$179&gt;=O199,INDEX('Spell Tables'!$AJ$141:$AJ$144,MATCH(O199,('Spell Tables'!$AH$141:$AH$144),0)),IF($S$181&gt;=O199,INDEX('Spell Tables'!$X$119:$X$129,MATCH(O199,('Spell Tables'!$V$119:$V$129),0)),IF($S$183&gt;=O199,INDEX('Spell Tables'!$X$97:$X$106,MATCH(O199,('Spell Tables'!$V$97:$V$106),0)),IF($S$185&gt;=O199,INDEX('Spell Tables'!$AJ$70:$AJ$79,MATCH(O199,('Spell Tables'!$AH$70:$AH$79),0)),IF($S$187&gt;=O199,INDEX('Spell Tables'!$AB$48:$AB$60,MATCH(O199,('Spell Tables'!$Z$48:$Z$60),0)),IF($S$189&gt;=O199,INDEX('Spell Tables'!$AB$26:$AB$45,MATCH(O199,('Spell Tables'!$Z$26:$Z$45),0)),IF($S$191&gt;=O199,INDEX('Spell Tables'!$AB$2:$AB$17,MATCH(O199,('Spell Tables'!$Z$2:$Z$17),0))," "))))))))))))</f>
        <v>Tongues</v>
      </c>
      <c r="T199" s="33" t="str">
        <f ca="1">IF(AND($O$15="Otherworldly patron - great old one",T$175&gt;=O199),INDEX('Spell Tables'!$AF$226:$AF$231,MATCH(O199,('Spell Tables'!$AD$226:$AD$231),0)),IF(AND($O$15="Otherworldly patron - fiend",T$175&gt;=O199),INDEX('Spell Tables'!$AF$210:$AF$215,MATCH(O199,('Spell Tables'!$AD$210:$AD$215),0)),IF(AND($O$15="Otherworldly patron - archfey",T$175&gt;=O199),INDEX('Spell Tables'!$AF$194:$AF$199,MATCH(O199,('Spell Tables'!$AD$194:$AD$199),0)),IF($T$173&gt;=O199,INDEX($AL$80:$AL$89,MATCH(O199,($AJ$80:$AJ$89),0)),IF($T$177&gt;=O199,INDEX('Spell Tables'!$AF$168:$AF$177,MATCH(O199,('Spell Tables'!$AD$168:$AD$177),0)),IF($T$179&gt;=O199,INDEX('Spell Tables'!$AR$141:$AR$144,MATCH(O199,('Spell Tables'!$AP$141:$AP$144),0)),IF($T$181&gt;=O199,INDEX('Spell Tables'!$AB$119:$AB$123,MATCH(O199,('Spell Tables'!$Z$119:$Z$123),0)),IF($T$183&gt;=O199,INDEX('Spell Tables'!$AB$97:$AB$102,MATCH(O199,('Spell Tables'!$Z$97:$Z$102),0)),IF($T$185&gt;=O199,INDEX('Spell Tables'!$AR$70:$AR$75,MATCH(O199,('Spell Tables'!$AP$70:$AP$75),0)),IF($T$187&gt;=O199,INDEX('Spell Tables'!$AF$48:$AF$63,MATCH(O199,('Spell Tables'!$AD$48:$AD$63),0)),IF($T$189&gt;=O199,INDEX('Spell Tables'!$AF$26:$AF$33,MATCH(O199,('Spell Tables'!$AD$26:$AD$33),0)),IF($T$191&gt;=O199,INDEX('Spell Tables'!$AF$2:$AF$9,MATCH(O199,('Spell Tables'!$AD$2:$AD$9),0))," "))))))))))))</f>
        <v xml:space="preserve"> </v>
      </c>
    </row>
    <row r="200" spans="2:37" x14ac:dyDescent="0.3">
      <c r="B200" s="33"/>
      <c r="C200" s="33"/>
      <c r="D200" s="33"/>
      <c r="E200" s="33"/>
      <c r="F200" s="33"/>
      <c r="G200" s="33"/>
      <c r="H200" s="33"/>
      <c r="I200" s="33"/>
      <c r="J200" s="33"/>
      <c r="K200" s="33"/>
      <c r="L200" s="33"/>
      <c r="M200" s="33"/>
      <c r="N200" s="33"/>
      <c r="O200" s="34">
        <v>8</v>
      </c>
      <c r="P200" s="33" t="str">
        <f ca="1">IF(P$173&gt;=O200,INDEX('Spell Tables'!$P$242:$P$257,MATCH(O200,('Spell Tables'!$N$242:$N$257),0)),IF(P$175&gt;=O200,INDEX('Spell Tables'!$P$194:$P$201,MATCH(O200,('Spell Tables'!$N$194:$N$201),0)),IF(P$177&gt;=O200,INDEX('Spell Tables'!$P$168:$P$183,MATCH(O200,('Spell Tables'!$N$168:$N$183),0)),IF(P$179&gt;=O200,INDEX('Spell Tables'!$P$141:$P$156,MATCH(O200,('Spell Tables'!$N$141:$N$157),0)),IF(P$185&gt;=O200,INDEX('Spell Tables'!$P$70:$P$83,MATCH(O200,('Spell Tables'!$N$70:$N$83),0)),IF(P$187&gt;=O200,INDEX('Spell Tables'!$P$48:$P$55,MATCH(O200,('Spell Tables'!$N$48:$N$55),0)),IF(P$189&gt;=O200,INDEX('Spell Tables'!$P$26:$P$32,MATCH(O200,('Spell Tables'!$N$26:$N$32),0)),IF(P$191&gt;=O200,INDEX('Spell Tables'!$P$2:$P$12,MATCH(O200,('Spell Tables'!$N$2:$N$12),0))," "))))))))</f>
        <v xml:space="preserve"> </v>
      </c>
      <c r="Q200" s="33" t="str">
        <f ca="1">IF(AND($O$15="Otherworldly patron - great old one",Q$175&gt;=O200),INDEX('Spell Tables'!$T$226:$T$238,MATCH(O200,('Spell Tables'!$R$226:$R$238),0)),IF(AND($O$15="Otherworldly patron - fiend",Q$175&gt;=O200),INDEX('Spell Tables'!$T$210:$T$222,MATCH(O200,('Spell Tables'!$R$210:$R$222),0)),IF(Q$173&gt;=O200,INDEX($AL$44:$AL$53,MATCH(O200,($AJ$44:$AJ$53),0)),IF(AND($O$15="Otherworldly patron - archfey",Q$175&gt;=O200),INDEX('Spell Tables'!$T$194:$T$206,MATCH(O200,('Spell Tables'!$R$194:$R$206),0)),IF(Q$177&gt;=O200,INDEX('Spell Tables'!$T$168:$T$187,MATCH(O200,('Spell Tables'!$R$168:$R$187),0)),IF(Q$179&gt;=O200,INDEX('Spell Tables'!$T$141:$T$147,MATCH(O200,('Spell Tables'!$R$141:$R$147),0)),IF(Q$181&gt;=O200,INDEX('Spell Tables'!$P$119:$P$131,MATCH(O200,('Spell Tables'!$N$119:$N$131),0)),IF(Q$183&gt;=O200,INDEX('Spell Tables'!$P$97:$P$111,MATCH(O200,('Spell Tables'!$N$97:$N$111),0)),IF(Q$185&gt;=O200,INDEX('Spell Tables'!$T$70:$T$78,MATCH(O200,('Spell Tables'!$R$70:$R$78),0)),IF(Q$187&gt;=O200,INDEX('Spell Tables'!$T$48:$T$63,MATCH(O200,('Spell Tables'!$R$48:$R$63),0)),IF(Q$189&gt;=O200,INDEX('Spell Tables'!$T$26:$T$40,MATCH(O200,('Spell Tables'!$R$26:$R$40),0)),IF(Q$191&gt;=O200,INDEX('Spell Tables'!$T$2:$T$22,MATCH(O200,('Spell Tables'!$R$2:$R$22),0))," "))))))))))))</f>
        <v xml:space="preserve"> </v>
      </c>
      <c r="R200" s="33" t="str">
        <f ca="1">IF(AND($O$15="Otherworldly patron - great old one",R$175&gt;=O200),INDEX('Spell Tables'!$X$226:$X$239,MATCH(O200,('Spell Tables'!$V$226:$V$239),0)),IF(AND($O$15="Otherworldly patron - fiend",R$175&gt;=O200),INDEX('Spell Tables'!$X$210:$X$223,MATCH(O200,('Spell Tables'!$V$210:$V$223),0)),IF(AND($O$15="Otherworldly patron - archfey",R$175&gt;=O200),INDEX('Spell Tables'!$X$194:$X$207,MATCH(O200,('Spell Tables'!$V$194:$V$207),0)),IF($R$173&gt;=O200,INDEX($AL$56:$AL$65,MATCH(O200,($AJ$56:$AJ$65),0)),IF($R$177&gt;=O200,INDEX('Spell Tables'!$X$168:$X$191,MATCH(O200,('Spell Tables'!$V$168:$V$191),0)),IF($R$179&gt;=O200,INDEX('Spell Tables'!$AB$141:$AB$149,MATCH(O200,('Spell Tables'!$Z$141:$Z$149),0)),IF($R$181&gt;=O200,INDEX('Spell Tables'!$T$119:$T$131,MATCH(O200,('Spell Tables'!$R$119:$R$131),0)),IF($R$183&gt;=O200,INDEX('Spell Tables'!$T$97:$T$104,MATCH(O200,('Spell Tables'!$R$97:$R$104),0)),IF($R$185&gt;=O200,INDEX('Spell Tables'!$AB$70:$AB$75,MATCH(O200,('Spell Tables'!$Z$70:$Z$75),0)),IF($R$187&gt;=O200,INDEX('Spell Tables'!$X$48:$X$65,MATCH(O200,('Spell Tables'!$V$48:$V$65),0)),IF($R$189&gt;=O200,INDEX('Spell Tables'!$X$26:$X$42,MATCH(O200,('Spell Tables'!$V$26:$V$42),0)),IF($R$191&gt;=O200,INDEX('Spell Tables'!$X$2:$X$23,MATCH(O200,('Spell Tables'!$V$2:$V$23),0))," "))))))))))))</f>
        <v xml:space="preserve"> </v>
      </c>
      <c r="S200" s="33" t="str">
        <f ca="1">IF(AND($O$15="Otherworldly patron - great old one",S$175&gt;=O200),INDEX('Spell Tables'!$AB$226:$AB$238,MATCH(O200,('Spell Tables'!$Z$226:$Z$238),0)),IF(AND($O$15="Otherworldly patron - fiend",S$175&gt;=O200),INDEX('Spell Tables'!$AB$210:$AB$222,MATCH(O200,('Spell Tables'!$Z$210:$Z$222),0)),IF(AND($O$15="Otherworldly patron - archfey",S$175&gt;=O200),INDEX('Spell Tables'!$AB$194:$AB$206,MATCH(O200,('Spell Tables'!$Z$194:$Z$206),0)),IF($S$173&gt;=O200,INDEX($AL$68:$AL$77,MATCH(O200,($AJ$68:$AJ$77),0)),IF($S$177&gt;=O200,INDEX('Spell Tables'!$AB$168:$AB$187,MATCH(O200,('Spell Tables'!$Z$168:$Z$187),0)),IF($S$179&gt;=O200,INDEX('Spell Tables'!$AJ$141:$AJ$144,MATCH(O200,('Spell Tables'!$AH$141:$AH$144),0)),IF($S$181&gt;=O200,INDEX('Spell Tables'!$X$119:$X$129,MATCH(O200,('Spell Tables'!$V$119:$V$129),0)),IF($S$183&gt;=O200,INDEX('Spell Tables'!$X$97:$X$106,MATCH(O200,('Spell Tables'!$V$97:$V$106),0)),IF($S$185&gt;=O200,INDEX('Spell Tables'!$AJ$70:$AJ$79,MATCH(O200,('Spell Tables'!$AH$70:$AH$79),0)),IF($S$187&gt;=O200,INDEX('Spell Tables'!$AB$48:$AB$60,MATCH(O200,('Spell Tables'!$Z$48:$Z$60),0)),IF($S$189&gt;=O200,INDEX('Spell Tables'!$AB$26:$AB$45,MATCH(O200,('Spell Tables'!$Z$26:$Z$45),0)),IF($S$191&gt;=O200,INDEX('Spell Tables'!$AB$2:$AB$17,MATCH(O200,('Spell Tables'!$Z$2:$Z$17),0))," "))))))))))))</f>
        <v>Vampiric Touch</v>
      </c>
      <c r="T200" s="33" t="str">
        <f ca="1">IF(AND($O$15="Otherworldly patron - great old one",T$175&gt;=O200),INDEX('Spell Tables'!$AF$226:$AF$231,MATCH(O200,('Spell Tables'!$AD$226:$AD$231),0)),IF(AND($O$15="Otherworldly patron - fiend",T$175&gt;=O200),INDEX('Spell Tables'!$AF$210:$AF$215,MATCH(O200,('Spell Tables'!$AD$210:$AD$215),0)),IF(AND($O$15="Otherworldly patron - archfey",T$175&gt;=O200),INDEX('Spell Tables'!$AF$194:$AF$199,MATCH(O200,('Spell Tables'!$AD$194:$AD$199),0)),IF($T$173&gt;=O200,INDEX($AL$80:$AL$89,MATCH(O200,($AJ$80:$AJ$89),0)),IF($T$177&gt;=O200,INDEX('Spell Tables'!$AF$168:$AF$177,MATCH(O200,('Spell Tables'!$AD$168:$AD$177),0)),IF($T$179&gt;=O200,INDEX('Spell Tables'!$AR$141:$AR$144,MATCH(O200,('Spell Tables'!$AP$141:$AP$144),0)),IF($T$181&gt;=O200,INDEX('Spell Tables'!$AB$119:$AB$123,MATCH(O200,('Spell Tables'!$Z$119:$Z$123),0)),IF($T$183&gt;=O200,INDEX('Spell Tables'!$AB$97:$AB$102,MATCH(O200,('Spell Tables'!$Z$97:$Z$102),0)),IF($T$185&gt;=O200,INDEX('Spell Tables'!$AR$70:$AR$75,MATCH(O200,('Spell Tables'!$AP$70:$AP$75),0)),IF($T$187&gt;=O200,INDEX('Spell Tables'!$AF$48:$AF$63,MATCH(O200,('Spell Tables'!$AD$48:$AD$63),0)),IF($T$189&gt;=O200,INDEX('Spell Tables'!$AF$26:$AF$33,MATCH(O200,('Spell Tables'!$AD$26:$AD$33),0)),IF($T$191&gt;=O200,INDEX('Spell Tables'!$AF$2:$AF$9,MATCH(O200,('Spell Tables'!$AD$2:$AD$9),0))," "))))))))))))</f>
        <v xml:space="preserve"> </v>
      </c>
    </row>
    <row r="201" spans="2:37" x14ac:dyDescent="0.3">
      <c r="B201" s="33"/>
      <c r="C201" s="33"/>
      <c r="D201" s="33"/>
      <c r="E201" s="33"/>
      <c r="F201" s="33"/>
      <c r="G201" s="33"/>
      <c r="H201" s="33"/>
      <c r="I201" s="33"/>
      <c r="J201" s="33"/>
      <c r="K201" s="33"/>
      <c r="L201" s="33"/>
      <c r="M201" s="33"/>
      <c r="N201" s="33"/>
      <c r="O201" s="34">
        <v>9</v>
      </c>
      <c r="P201" s="33" t="str">
        <f ca="1">IF(P$173&gt;=O201,INDEX('Spell Tables'!$P$242:$P$257,MATCH(O201,('Spell Tables'!$N$242:$N$257),0)),IF(P$175&gt;=O201,INDEX('Spell Tables'!$P$194:$P$201,MATCH(O201,('Spell Tables'!$N$194:$N$201),0)),IF(P$177&gt;=O201,INDEX('Spell Tables'!$P$168:$P$183,MATCH(O201,('Spell Tables'!$N$168:$N$183),0)),IF(P$179&gt;=O201,INDEX('Spell Tables'!$P$141:$P$156,MATCH(O201,('Spell Tables'!$N$141:$N$157),0)),IF(P$185&gt;=O201,INDEX('Spell Tables'!$P$70:$P$83,MATCH(O201,('Spell Tables'!$N$70:$N$83),0)),IF(P$187&gt;=O201,INDEX('Spell Tables'!$P$48:$P$55,MATCH(O201,('Spell Tables'!$N$48:$N$55),0)),IF(P$189&gt;=O201,INDEX('Spell Tables'!$P$26:$P$32,MATCH(O201,('Spell Tables'!$N$26:$N$32),0)),IF(P$191&gt;=O201,INDEX('Spell Tables'!$P$2:$P$12,MATCH(O201,('Spell Tables'!$N$2:$N$12),0))," "))))))))</f>
        <v xml:space="preserve"> </v>
      </c>
      <c r="Q201" s="33" t="str">
        <f ca="1">IF(AND($O$15="Otherworldly patron - great old one",Q$175&gt;=O201),INDEX('Spell Tables'!$T$226:$T$238,MATCH(O201,('Spell Tables'!$R$226:$R$238),0)),IF(AND($O$15="Otherworldly patron - fiend",Q$175&gt;=O201),INDEX('Spell Tables'!$T$210:$T$222,MATCH(O201,('Spell Tables'!$R$210:$R$222),0)),IF(Q$173&gt;=O201,INDEX($AL$44:$AL$53,MATCH(O201,($AJ$44:$AJ$53),0)),IF(AND($O$15="Otherworldly patron - archfey",Q$175&gt;=O201),INDEX('Spell Tables'!$T$194:$T$206,MATCH(O201,('Spell Tables'!$R$194:$R$206),0)),IF(Q$177&gt;=O201,INDEX('Spell Tables'!$T$168:$T$187,MATCH(O201,('Spell Tables'!$R$168:$R$187),0)),IF(Q$179&gt;=O201,INDEX('Spell Tables'!$T$141:$T$147,MATCH(O201,('Spell Tables'!$R$141:$R$147),0)),IF(Q$181&gt;=O201,INDEX('Spell Tables'!$P$119:$P$131,MATCH(O201,('Spell Tables'!$N$119:$N$131),0)),IF(Q$183&gt;=O201,INDEX('Spell Tables'!$P$97:$P$111,MATCH(O201,('Spell Tables'!$N$97:$N$111),0)),IF(Q$185&gt;=O201,INDEX('Spell Tables'!$T$70:$T$78,MATCH(O201,('Spell Tables'!$R$70:$R$78),0)),IF(Q$187&gt;=O201,INDEX('Spell Tables'!$T$48:$T$63,MATCH(O201,('Spell Tables'!$R$48:$R$63),0)),IF(Q$189&gt;=O201,INDEX('Spell Tables'!$T$26:$T$40,MATCH(O201,('Spell Tables'!$R$26:$R$40),0)),IF(Q$191&gt;=O201,INDEX('Spell Tables'!$T$2:$T$22,MATCH(O201,('Spell Tables'!$R$2:$R$22),0))," "))))))))))))</f>
        <v xml:space="preserve"> </v>
      </c>
      <c r="R201" s="33" t="str">
        <f ca="1">IF(AND($O$15="Otherworldly patron - great old one",R$175&gt;=O201),INDEX('Spell Tables'!$X$226:$X$239,MATCH(O201,('Spell Tables'!$V$226:$V$239),0)),IF(AND($O$15="Otherworldly patron - fiend",R$175&gt;=O201),INDEX('Spell Tables'!$X$210:$X$223,MATCH(O201,('Spell Tables'!$V$210:$V$223),0)),IF(AND($O$15="Otherworldly patron - archfey",R$175&gt;=O201),INDEX('Spell Tables'!$X$194:$X$207,MATCH(O201,('Spell Tables'!$V$194:$V$207),0)),IF($R$173&gt;=O201,INDEX($AL$56:$AL$65,MATCH(O201,($AJ$56:$AJ$65),0)),IF($R$177&gt;=O201,INDEX('Spell Tables'!$X$168:$X$191,MATCH(O201,('Spell Tables'!$V$168:$V$191),0)),IF($R$179&gt;=O201,INDEX('Spell Tables'!$AB$141:$AB$149,MATCH(O201,('Spell Tables'!$Z$141:$Z$149),0)),IF($R$181&gt;=O201,INDEX('Spell Tables'!$T$119:$T$131,MATCH(O201,('Spell Tables'!$R$119:$R$131),0)),IF($R$183&gt;=O201,INDEX('Spell Tables'!$T$97:$T$104,MATCH(O201,('Spell Tables'!$R$97:$R$104),0)),IF($R$185&gt;=O201,INDEX('Spell Tables'!$AB$70:$AB$75,MATCH(O201,('Spell Tables'!$Z$70:$Z$75),0)),IF($R$187&gt;=O201,INDEX('Spell Tables'!$X$48:$X$65,MATCH(O201,('Spell Tables'!$V$48:$V$65),0)),IF($R$189&gt;=O201,INDEX('Spell Tables'!$X$26:$X$42,MATCH(O201,('Spell Tables'!$V$26:$V$42),0)),IF($R$191&gt;=O201,INDEX('Spell Tables'!$X$2:$X$23,MATCH(O201,('Spell Tables'!$V$2:$V$23),0))," "))))))))))))</f>
        <v xml:space="preserve"> </v>
      </c>
      <c r="S201" s="33" t="str">
        <f ca="1">IF(AND($O$15="Otherworldly patron - great old one",S$175&gt;=O201),INDEX('Spell Tables'!$AB$226:$AB$238,MATCH(O201,('Spell Tables'!$Z$226:$Z$238),0)),IF(AND($O$15="Otherworldly patron - fiend",S$175&gt;=O201),INDEX('Spell Tables'!$AB$210:$AB$222,MATCH(O201,('Spell Tables'!$Z$210:$Z$222),0)),IF(AND($O$15="Otherworldly patron - archfey",S$175&gt;=O201),INDEX('Spell Tables'!$AB$194:$AB$206,MATCH(O201,('Spell Tables'!$Z$194:$Z$206),0)),IF($S$173&gt;=O201,INDEX($AL$68:$AL$77,MATCH(O201,($AJ$68:$AJ$77),0)),IF($S$177&gt;=O201,INDEX('Spell Tables'!$AB$168:$AB$187,MATCH(O201,('Spell Tables'!$Z$168:$Z$187),0)),IF($S$179&gt;=O201,INDEX('Spell Tables'!$AJ$141:$AJ$144,MATCH(O201,('Spell Tables'!$AH$141:$AH$144),0)),IF($S$181&gt;=O201,INDEX('Spell Tables'!$X$119:$X$129,MATCH(O201,('Spell Tables'!$V$119:$V$129),0)),IF($S$183&gt;=O201,INDEX('Spell Tables'!$X$97:$X$106,MATCH(O201,('Spell Tables'!$V$97:$V$106),0)),IF($S$185&gt;=O201,INDEX('Spell Tables'!$AJ$70:$AJ$79,MATCH(O201,('Spell Tables'!$AH$70:$AH$79),0)),IF($S$187&gt;=O201,INDEX('Spell Tables'!$AB$48:$AB$60,MATCH(O201,('Spell Tables'!$Z$48:$Z$60),0)),IF($S$189&gt;=O201,INDEX('Spell Tables'!$AB$26:$AB$45,MATCH(O201,('Spell Tables'!$Z$26:$Z$45),0)),IF($S$191&gt;=O201,INDEX('Spell Tables'!$AB$2:$AB$17,MATCH(O201,('Spell Tables'!$Z$2:$Z$17),0))," "))))))))))))</f>
        <v>Magic Circle</v>
      </c>
      <c r="T201" s="33" t="str">
        <f ca="1">IF(AND($O$15="Otherworldly patron - great old one",T$175&gt;=O201),INDEX('Spell Tables'!$AF$226:$AF$231,MATCH(O201,('Spell Tables'!$AD$226:$AD$231),0)),IF(AND($O$15="Otherworldly patron - fiend",T$175&gt;=O201),INDEX('Spell Tables'!$AF$210:$AF$215,MATCH(O201,('Spell Tables'!$AD$210:$AD$215),0)),IF(AND($O$15="Otherworldly patron - archfey",T$175&gt;=O201),INDEX('Spell Tables'!$AF$194:$AF$199,MATCH(O201,('Spell Tables'!$AD$194:$AD$199),0)),IF($T$173&gt;=O201,INDEX($AL$80:$AL$89,MATCH(O201,($AJ$80:$AJ$89),0)),IF($T$177&gt;=O201,INDEX('Spell Tables'!$AF$168:$AF$177,MATCH(O201,('Spell Tables'!$AD$168:$AD$177),0)),IF($T$179&gt;=O201,INDEX('Spell Tables'!$AR$141:$AR$144,MATCH(O201,('Spell Tables'!$AP$141:$AP$144),0)),IF($T$181&gt;=O201,INDEX('Spell Tables'!$AB$119:$AB$123,MATCH(O201,('Spell Tables'!$Z$119:$Z$123),0)),IF($T$183&gt;=O201,INDEX('Spell Tables'!$AB$97:$AB$102,MATCH(O201,('Spell Tables'!$Z$97:$Z$102),0)),IF($T$185&gt;=O201,INDEX('Spell Tables'!$AR$70:$AR$75,MATCH(O201,('Spell Tables'!$AP$70:$AP$75),0)),IF($T$187&gt;=O201,INDEX('Spell Tables'!$AF$48:$AF$63,MATCH(O201,('Spell Tables'!$AD$48:$AD$63),0)),IF($T$189&gt;=O201,INDEX('Spell Tables'!$AF$26:$AF$33,MATCH(O201,('Spell Tables'!$AD$26:$AD$33),0)),IF($T$191&gt;=O201,INDEX('Spell Tables'!$AF$2:$AF$9,MATCH(O201,('Spell Tables'!$AD$2:$AD$9),0))," "))))))))))))</f>
        <v xml:space="preserve"> </v>
      </c>
    </row>
    <row r="202" spans="2:37" x14ac:dyDescent="0.3">
      <c r="B202" s="33"/>
      <c r="C202" s="33"/>
      <c r="D202" s="33"/>
      <c r="E202" s="33"/>
      <c r="F202" s="33"/>
      <c r="G202" s="33"/>
      <c r="H202" s="33"/>
      <c r="I202" s="33"/>
      <c r="J202" s="33"/>
      <c r="K202" s="33"/>
      <c r="L202" s="33"/>
      <c r="M202" s="33"/>
      <c r="N202" s="33"/>
      <c r="O202" s="34">
        <v>10</v>
      </c>
      <c r="P202" s="33" t="str">
        <f ca="1">IF(P$173&gt;=O202,INDEX('Spell Tables'!$P$242:$P$257,MATCH(O202,('Spell Tables'!$N$242:$N$257),0)),IF(P$175&gt;=O202,INDEX('Spell Tables'!$P$194:$P$201,MATCH(O202,('Spell Tables'!$N$194:$N$201),0)),IF(P$177&gt;=O202,INDEX('Spell Tables'!$P$168:$P$183,MATCH(O202,('Spell Tables'!$N$168:$N$183),0)),IF(P$179&gt;=O202,INDEX('Spell Tables'!$P$141:$P$156,MATCH(O202,('Spell Tables'!$N$141:$N$157),0)),IF(P$185&gt;=O202,INDEX('Spell Tables'!$P$70:$P$83,MATCH(O202,('Spell Tables'!$N$70:$N$83),0)),IF(P$187&gt;=O202,INDEX('Spell Tables'!$P$48:$P$55,MATCH(O202,('Spell Tables'!$N$48:$N$55),0)),IF(P$189&gt;=O202,INDEX('Spell Tables'!$P$26:$P$32,MATCH(O202,('Spell Tables'!$N$26:$N$32),0)),IF(P$191&gt;=O202,INDEX('Spell Tables'!$P$2:$P$12,MATCH(O202,('Spell Tables'!$N$2:$N$12),0))," "))))))))</f>
        <v xml:space="preserve"> </v>
      </c>
      <c r="Q202" s="33" t="str">
        <f ca="1">IF(AND($O$15="Otherworldly patron - great old one",Q$175&gt;=O202),INDEX('Spell Tables'!$T$226:$T$238,MATCH(O202,('Spell Tables'!$R$226:$R$238),0)),IF(AND($O$15="Otherworldly patron - fiend",Q$175&gt;=O202),INDEX('Spell Tables'!$T$210:$T$222,MATCH(O202,('Spell Tables'!$R$210:$R$222),0)),IF(Q$173&gt;=O202,INDEX($AL$44:$AL$53,MATCH(O202,($AJ$44:$AJ$53),0)),IF(AND($O$15="Otherworldly patron - archfey",Q$175&gt;=O202),INDEX('Spell Tables'!$T$194:$T$206,MATCH(O202,('Spell Tables'!$R$194:$R$206),0)),IF(Q$177&gt;=O202,INDEX('Spell Tables'!$T$168:$T$187,MATCH(O202,('Spell Tables'!$R$168:$R$187),0)),IF(Q$179&gt;=O202,INDEX('Spell Tables'!$T$141:$T$147,MATCH(O202,('Spell Tables'!$R$141:$R$147),0)),IF(Q$181&gt;=O202,INDEX('Spell Tables'!$P$119:$P$131,MATCH(O202,('Spell Tables'!$N$119:$N$131),0)),IF(Q$183&gt;=O202,INDEX('Spell Tables'!$P$97:$P$111,MATCH(O202,('Spell Tables'!$N$97:$N$111),0)),IF(Q$185&gt;=O202,INDEX('Spell Tables'!$T$70:$T$78,MATCH(O202,('Spell Tables'!$R$70:$R$78),0)),IF(Q$187&gt;=O202,INDEX('Spell Tables'!$T$48:$T$63,MATCH(O202,('Spell Tables'!$R$48:$R$63),0)),IF(Q$189&gt;=O202,INDEX('Spell Tables'!$T$26:$T$40,MATCH(O202,('Spell Tables'!$R$26:$R$40),0)),IF(Q$191&gt;=O202,INDEX('Spell Tables'!$T$2:$T$22,MATCH(O202,('Spell Tables'!$R$2:$R$22),0))," "))))))))))))</f>
        <v xml:space="preserve"> </v>
      </c>
      <c r="R202" s="33" t="str">
        <f ca="1">IF(AND($O$15="Otherworldly patron - great old one",R$175&gt;=O202),INDEX('Spell Tables'!$X$226:$X$239,MATCH(O202,('Spell Tables'!$V$226:$V$239),0)),IF(AND($O$15="Otherworldly patron - fiend",R$175&gt;=O202),INDEX('Spell Tables'!$X$210:$X$223,MATCH(O202,('Spell Tables'!$V$210:$V$223),0)),IF(AND($O$15="Otherworldly patron - archfey",R$175&gt;=O202),INDEX('Spell Tables'!$X$194:$X$207,MATCH(O202,('Spell Tables'!$V$194:$V$207),0)),IF($R$173&gt;=O202,INDEX($AL$56:$AL$65,MATCH(O202,($AJ$56:$AJ$65),0)),IF($R$177&gt;=O202,INDEX('Spell Tables'!$X$168:$X$191,MATCH(O202,('Spell Tables'!$V$168:$V$191),0)),IF($R$179&gt;=O202,INDEX('Spell Tables'!$AB$141:$AB$149,MATCH(O202,('Spell Tables'!$Z$141:$Z$149),0)),IF($R$181&gt;=O202,INDEX('Spell Tables'!$T$119:$T$131,MATCH(O202,('Spell Tables'!$R$119:$R$131),0)),IF($R$183&gt;=O202,INDEX('Spell Tables'!$T$97:$T$104,MATCH(O202,('Spell Tables'!$R$97:$R$104),0)),IF($R$185&gt;=O202,INDEX('Spell Tables'!$AB$70:$AB$75,MATCH(O202,('Spell Tables'!$Z$70:$Z$75),0)),IF($R$187&gt;=O202,INDEX('Spell Tables'!$X$48:$X$65,MATCH(O202,('Spell Tables'!$V$48:$V$65),0)),IF($R$189&gt;=O202,INDEX('Spell Tables'!$X$26:$X$42,MATCH(O202,('Spell Tables'!$V$26:$V$42),0)),IF($R$191&gt;=O202,INDEX('Spell Tables'!$X$2:$X$23,MATCH(O202,('Spell Tables'!$V$2:$V$23),0))," "))))))))))))</f>
        <v xml:space="preserve"> </v>
      </c>
      <c r="S202" s="33" t="str">
        <f ca="1">IF(AND($O$15="Otherworldly patron - great old one",S$175&gt;=O202),INDEX('Spell Tables'!$AB$226:$AB$238,MATCH(O202,('Spell Tables'!$Z$226:$Z$238),0)),IF(AND($O$15="Otherworldly patron - fiend",S$175&gt;=O202),INDEX('Spell Tables'!$AB$210:$AB$222,MATCH(O202,('Spell Tables'!$Z$210:$Z$222),0)),IF(AND($O$15="Otherworldly patron - archfey",S$175&gt;=O202),INDEX('Spell Tables'!$AB$194:$AB$206,MATCH(O202,('Spell Tables'!$Z$194:$Z$206),0)),IF($S$173&gt;=O202,INDEX($AL$68:$AL$77,MATCH(O202,($AJ$68:$AJ$77),0)),IF($S$177&gt;=O202,INDEX('Spell Tables'!$AB$168:$AB$187,MATCH(O202,('Spell Tables'!$Z$168:$Z$187),0)),IF($S$179&gt;=O202,INDEX('Spell Tables'!$AJ$141:$AJ$144,MATCH(O202,('Spell Tables'!$AH$141:$AH$144),0)),IF($S$181&gt;=O202,INDEX('Spell Tables'!$X$119:$X$129,MATCH(O202,('Spell Tables'!$V$119:$V$129),0)),IF($S$183&gt;=O202,INDEX('Spell Tables'!$X$97:$X$106,MATCH(O202,('Spell Tables'!$V$97:$V$106),0)),IF($S$185&gt;=O202,INDEX('Spell Tables'!$AJ$70:$AJ$79,MATCH(O202,('Spell Tables'!$AH$70:$AH$79),0)),IF($S$187&gt;=O202,INDEX('Spell Tables'!$AB$48:$AB$60,MATCH(O202,('Spell Tables'!$Z$48:$Z$60),0)),IF($S$189&gt;=O202,INDEX('Spell Tables'!$AB$26:$AB$45,MATCH(O202,('Spell Tables'!$Z$26:$Z$45),0)),IF($S$191&gt;=O202,INDEX('Spell Tables'!$AB$2:$AB$17,MATCH(O202,('Spell Tables'!$Z$2:$Z$17),0))," "))))))))))))</f>
        <v>Sending</v>
      </c>
      <c r="T202" s="33" t="str">
        <f ca="1">IF(AND($O$15="Otherworldly patron - great old one",T$175&gt;=O202),INDEX('Spell Tables'!$AF$226:$AF$231,MATCH(O202,('Spell Tables'!$AD$226:$AD$231),0)),IF(AND($O$15="Otherworldly patron - fiend",T$175&gt;=O202),INDEX('Spell Tables'!$AF$210:$AF$215,MATCH(O202,('Spell Tables'!$AD$210:$AD$215),0)),IF(AND($O$15="Otherworldly patron - archfey",T$175&gt;=O202),INDEX('Spell Tables'!$AF$194:$AF$199,MATCH(O202,('Spell Tables'!$AD$194:$AD$199),0)),IF($T$173&gt;=O202,INDEX('Spell Tables'!$AF$242:$AF$264,MATCH(O202,('Spell Tables'!$AD$242:$AD$264),0)),IF($T$177&gt;=O202,INDEX('Spell Tables'!$AF$168:$AF$177,MATCH(O202,('Spell Tables'!$AD$168:$AD$177),0)),IF($T$179&gt;=O202,INDEX('Spell Tables'!$AR$141:$AR$144,MATCH(O202,('Spell Tables'!$AP$141:$AP$144),0)),IF($T$181&gt;=O202,INDEX('Spell Tables'!$AB$119:$AB$123,MATCH(O202,('Spell Tables'!$Z$119:$Z$123),0)),IF($T$183&gt;=O202,INDEX('Spell Tables'!$AB$97:$AB$102,MATCH(O202,('Spell Tables'!$Z$97:$Z$102),0)),IF($T$185&gt;=O202,INDEX('Spell Tables'!$AR$70:$AR$75,MATCH(O202,('Spell Tables'!$AP$70:$AP$75),0)),IF($T$187&gt;=O202,INDEX('Spell Tables'!$AF$48:$AF$63,MATCH(O202,('Spell Tables'!$AD$48:$AD$63),0)),IF($T$189&gt;=O202,INDEX('Spell Tables'!$AF$26:$AF$33,MATCH(O202,('Spell Tables'!$AD$26:$AD$33),0)),IF($T$191&gt;=O202,INDEX('Spell Tables'!$AF$2:$AF$9,MATCH(O202,('Spell Tables'!$AD$2:$AD$9),0))," "))))))))))))</f>
        <v xml:space="preserve"> </v>
      </c>
    </row>
    <row r="204" spans="2:37" ht="19.5" thickBot="1" x14ac:dyDescent="0.35">
      <c r="C204" s="38"/>
      <c r="D204" s="38"/>
      <c r="E204" s="38"/>
      <c r="F204" s="38"/>
      <c r="G204" s="38"/>
      <c r="H204" s="38"/>
      <c r="I204" s="38"/>
      <c r="J204" s="38"/>
      <c r="K204" s="38"/>
      <c r="L204" s="38"/>
      <c r="M204" s="38"/>
      <c r="O204" s="38"/>
      <c r="P204" s="38"/>
      <c r="Q204" s="38"/>
      <c r="R204" s="38"/>
      <c r="S204" s="38"/>
      <c r="T204" s="38"/>
    </row>
    <row r="205" spans="2:37" hidden="1" x14ac:dyDescent="0.3">
      <c r="N205" s="72"/>
      <c r="P205" s="27"/>
      <c r="Q205" s="27"/>
      <c r="R205" s="27"/>
      <c r="S205" s="91"/>
    </row>
    <row r="206" spans="2:37" x14ac:dyDescent="0.3">
      <c r="N206" s="72"/>
      <c r="O206" s="135" t="s">
        <v>1342</v>
      </c>
      <c r="P206" s="65">
        <f ca="1">IF(AND(AF14=2,OR(O11="monk",O11="barbarian",O11="warlock"),OR(Q11="fighter",Q11="rogue"),OR(P15&lt;&gt;"arcane trickster",R15&lt;&gt;"arcane trickster",P15&lt;&gt;"eldritch knight",R15&lt;&gt;"eldritch knight")),0,IF(AND(AF14=2,OR(O11="monk",O11="barbarian",O11="warlock"),OR(Q11="monk",Q11="barbarian",Q11="warlock")),0,IF(AND(AF14=2,OR(O11="monk",O11="barbarian",O11="warlock",Q11="monk",Q11="barbarian",Q11="warlock"),OR(O11="paladin",Q11="paladin",O11="ranger",Q11="ranger")),INDEX('Spell Tables'!H119:H138,MATCH(AF18,('Spell Tables'!B119:B138),0)),IF(AF14=2,INDEX('Spell Tables'!H242:H261,MATCH(AF18,('Spell Tables'!B242:B261),0)),IF(OR($O$11="bard",$O$11="cleric",$O$11="druid",O11="sorcerer",O11="wizard"),INDEX('Spell Tables'!H$2:H$21,MATCH($O$12,('Spell Tables'!$A$2:$A$21),0))," ")))))</f>
        <v>2</v>
      </c>
      <c r="Q206" s="65">
        <f ca="1">IF(AND(AF14=2,OR(O11="monk",O11="barbarian",O11="warlock"),OR(Q11="fighter",Q11="rogue"),OR(P15&lt;&gt;"arcane trickster",R15&lt;&gt;"arcane trickster",P15&lt;&gt;"eldritch knight",R15&lt;&gt;"eldritch knight")),0,IF(AND(AF14=2,OR(O11="monk",O11="barbarian",O11="warlock"),OR(Q11="monk",Q11="barbarian",Q11="warlock")),0,IF(AF14=2,INDEX('Spell Tables'!I242:I261,MATCH(AF18,('Spell Tables'!B242:B261),0)),IF(OR($O$11="bard",$O$11="cleric",$O$11="druid",O11="sorcerer",O11="wizard"),INDEX('Spell Tables'!I$2:I$21,MATCH($O$12,('Spell Tables'!$A$2:$A$21),0))," "))))</f>
        <v>1</v>
      </c>
      <c r="R206" s="65">
        <f ca="1">IF(AND(AF14=2,OR(O11="monk",O11="barbarian",O11="warlock"),OR(Q11="fighter",Q11="rogue"),OR(P15&lt;&gt;"arcane trickster",R15&lt;&gt;"arcane trickster",P15&lt;&gt;"eldritch knight",R15&lt;&gt;"eldritch knight")),0,IF(AND(AF14=2,OR(O11="monk",O11="barbarian",O11="warlock"),OR(Q11="monk",Q11="barbarian",Q11="warlock")),0,IF(AF14=2,INDEX('Spell Tables'!J242:J261,MATCH(AF18,('Spell Tables'!B242:B261),0)),IF(OR($O$11="bard",$O$11="cleric",$O$11="druid",O11="sorcerer",O11="wizard"),INDEX('Spell Tables'!J$2:J$21,MATCH($O$12,('Spell Tables'!$A$2:$A$21),0))," "))))</f>
        <v>0</v>
      </c>
      <c r="S206" s="65">
        <f ca="1">IF(AND(AF14=2,OR(O11="monk",O11="barbarian",O11="warlock"),OR(Q11="fighter",Q11="rogue"),OR(P15&lt;&gt;"arcane trickster",R15&lt;&gt;"arcane trickster",P15&lt;&gt;"eldritch knight",R15&lt;&gt;"eldritch knight")),0,IF(AND(AF14=2,OR(O11="monk",O11="barbarian",O11="warlock"),OR(Q11="monk",Q11="barbarian",Q11="warlock")),0,IF(AF14=2,INDEX('Spell Tables'!K242:K261,MATCH(AF18,('Spell Tables'!B242:B261),0)),IF(OR($O$11="bard",$O$11="cleric",$O$11="druid",O11="sorcerer",O11="wizard"),INDEX('Spell Tables'!K$2:K$21,MATCH($O$12,('Spell Tables'!$A$2:$A$21),0))," "))))</f>
        <v>0</v>
      </c>
      <c r="T206" s="66">
        <f ca="1">IF(AND(AF14=2,OR(O11="monk",O11="barbarian",O11="warlock"),OR(Q11="fighter",Q11="rogue"),OR(P15&lt;&gt;"arcane trickster",R15&lt;&gt;"arcane trickster",P15&lt;&gt;"eldritch knight",R15&lt;&gt;"eldritch knight")),0,IF(AND(AF14=2,OR(O11="monk",O11="barbarian",O11="warlock"),OR(Q11="monk",Q11="barbarian",Q11="warlock")),0,IF(AF14=2,INDEX('Spell Tables'!L242:L261,MATCH(AF18,('Spell Tables'!B242:B261),0)),IF(OR($O$11="bard",$O$11="cleric",$O$11="druid",O11="sorcerer",O11="wizard"),INDEX('Spell Tables'!L$2:L$21,MATCH($O$12,('Spell Tables'!$A$2:$A$21),0))," "))))</f>
        <v>0</v>
      </c>
    </row>
    <row r="207" spans="2:37" hidden="1" x14ac:dyDescent="0.3">
      <c r="N207" s="72"/>
      <c r="O207" s="79"/>
      <c r="P207" s="29" t="str">
        <f ca="1">IF(AND(O11="wizard",O12&gt;=11),"x",IF(AND($O$11="wizard",$O$12&gt;9),"xx",IF(AND(O11="wizard",O12=9),"xxx"," ")))</f>
        <v>x</v>
      </c>
      <c r="Q207" s="29" t="str">
        <f ca="1">IF(AND(O11="wizard",O12&gt;=13),"x",IF(AND($O$11="wizard",$O$12&gt;11),"xx",IF(AND(O11="wizard",O12=11),"xxx"," ")))</f>
        <v>xx</v>
      </c>
      <c r="R207" s="29" t="str">
        <f ca="1">IF(AND(O11="wizard",O12&gt;=15),"x",IF(AND($O$11="wizard",$O$12&gt;13),"xx",IF(AND(O11="wizard",O12=13),"xxx"," ")))</f>
        <v xml:space="preserve"> </v>
      </c>
      <c r="S207" s="29" t="str">
        <f ca="1">IF(AND(O11="wizard",O12&gt;=17),"x",IF(AND($O$11="wizard",$O$12&gt;15),"xx",IF(AND(O11="wizard",O12=15),"xxx"," ")))</f>
        <v xml:space="preserve"> </v>
      </c>
      <c r="T207" s="72" t="str">
        <f ca="1">IF(AND($O$11="wizard",$O$12&gt;17),"xx",IF(AND(O11="wizard",O12=17),"xxx"," "))</f>
        <v xml:space="preserve"> </v>
      </c>
    </row>
    <row r="208" spans="2:37" hidden="1" x14ac:dyDescent="0.3">
      <c r="N208" s="72"/>
      <c r="O208" s="79"/>
      <c r="P208" s="29">
        <f ca="1">IF(P207="x",RANDBETWEEN(2,3),IF(P207="xx",RANDBETWEEN(2,3),IF(P207="xxx",RANDBETWEEN(1,2),0)))</f>
        <v>3</v>
      </c>
      <c r="Q208" s="29">
        <f ca="1">IF(Q207="x",RANDBETWEEN(2,3),IF(Q207="xx",RANDBETWEEN(2,3),IF(Q207="xxx",RANDBETWEEN(1,2),0)))</f>
        <v>2</v>
      </c>
      <c r="R208" s="29">
        <f ca="1">IF(R207="x",RANDBETWEEN(1,2),IF(R207="xx",RANDBETWEEN(1,2),IF(R207="xxx",RANDBETWEEN(1,2),0)))</f>
        <v>0</v>
      </c>
      <c r="S208" s="29">
        <f ca="1">IF(OR(S207="x",S207="xx"),RANDBETWEEN(1,2),IF(S207="xxx",RANDBETWEEN(1,2),0))</f>
        <v>0</v>
      </c>
      <c r="T208" s="72">
        <f ca="1">IF(T207="xx",RANDBETWEEN(1,2),IF(T207="xxx",RANDBETWEEN(1,2),0))</f>
        <v>0</v>
      </c>
    </row>
    <row r="209" spans="14:20" hidden="1" x14ac:dyDescent="0.3">
      <c r="N209" s="72"/>
      <c r="O209" s="79"/>
      <c r="P209" s="29" t="str">
        <f ca="1">IF(AND($O$11="warlock",$O$12&gt;=9),"xx"," ")</f>
        <v xml:space="preserve"> </v>
      </c>
      <c r="T209" s="72"/>
    </row>
    <row r="210" spans="14:20" hidden="1" x14ac:dyDescent="0.3">
      <c r="N210" s="72"/>
      <c r="O210" s="79"/>
      <c r="P210" s="29">
        <f ca="1">IF(P209="x",RANDBETWEEN(2,3),IF(P209="xx",RANDBETWEEN(2,3),0))</f>
        <v>0</v>
      </c>
      <c r="T210" s="72"/>
    </row>
    <row r="211" spans="14:20" hidden="1" x14ac:dyDescent="0.3">
      <c r="N211" s="72"/>
      <c r="O211" s="79"/>
      <c r="P211" s="29" t="str">
        <f ca="1">IF(AND($O$11="sorcerer",$O$12&gt;=11),"x",IF(AND($O$11="sorcerer",$O$12&gt;=9),"xx"," "))</f>
        <v xml:space="preserve"> </v>
      </c>
      <c r="Q211" s="29" t="str">
        <f ca="1">IF(AND($O$11="sorcerer",$O$12&gt;=13),"x",IF(AND($O$11="sorcerer",$O$12&gt;=11),"xx"," "))</f>
        <v xml:space="preserve"> </v>
      </c>
      <c r="R211" s="29" t="str">
        <f ca="1">IF(AND($O$11="sorcerer",$O$12&gt;=15),"x",IF(AND($O$11="sorcerer",$O$12&gt;=13),"xx"," "))</f>
        <v xml:space="preserve"> </v>
      </c>
      <c r="S211" s="29" t="str">
        <f ca="1">IF(AND($O$11="sorcerer",$O$12&gt;=17),"x",IF(AND($O$11="sorcerer",$O$12&gt;15),"xx"," "))</f>
        <v xml:space="preserve"> </v>
      </c>
      <c r="T211" s="72" t="str">
        <f ca="1">IF(AND($O$11="sorcerer",$O$12&gt;=17),"xx"," ")</f>
        <v xml:space="preserve"> </v>
      </c>
    </row>
    <row r="212" spans="14:20" hidden="1" x14ac:dyDescent="0.3">
      <c r="N212" s="72"/>
      <c r="O212" s="79"/>
      <c r="P212" s="29">
        <f ca="1">IF(P211="x",RANDBETWEEN(2,3),IF(P211="xx",RANDBETWEEN(2,3),0))</f>
        <v>0</v>
      </c>
      <c r="Q212" s="29">
        <f ca="1">IF(Q211="x",RANDBETWEEN(2,3),IF(Q211="xx",RANDBETWEEN(2,3),0))</f>
        <v>0</v>
      </c>
      <c r="R212" s="29">
        <f ca="1">IF(R211="x",RANDBETWEEN(1,2),IF(R211="xx",RANDBETWEEN(1,2),0))</f>
        <v>0</v>
      </c>
      <c r="S212" s="29">
        <f ca="1">IF(OR(S211="x",S211="xx"),RANDBETWEEN(1,2),0)</f>
        <v>0</v>
      </c>
      <c r="T212" s="72">
        <f ca="1">IF(T211="xx",RANDBETWEEN(1,2),0)</f>
        <v>0</v>
      </c>
    </row>
    <row r="213" spans="14:20" hidden="1" x14ac:dyDescent="0.3">
      <c r="N213" s="72"/>
      <c r="O213" s="79"/>
      <c r="T213" s="72"/>
    </row>
    <row r="214" spans="14:20" hidden="1" x14ac:dyDescent="0.3">
      <c r="N214" s="72"/>
      <c r="O214" s="79"/>
      <c r="T214" s="72"/>
    </row>
    <row r="215" spans="14:20" hidden="1" x14ac:dyDescent="0.3">
      <c r="N215" s="72"/>
      <c r="O215" s="79"/>
      <c r="P215" s="29" t="str">
        <f ca="1">IF(AND($O$11="ranger",$O$12&gt;=17),"xx"," ")</f>
        <v xml:space="preserve"> </v>
      </c>
      <c r="T215" s="72"/>
    </row>
    <row r="216" spans="14:20" hidden="1" x14ac:dyDescent="0.3">
      <c r="N216" s="72"/>
      <c r="O216" s="79"/>
      <c r="P216" s="29">
        <f ca="1">IF(P215="x",RANDBETWEEN(2,3),IF(P215="xx",RANDBETWEEN(2,3),0))</f>
        <v>0</v>
      </c>
      <c r="T216" s="72"/>
    </row>
    <row r="217" spans="14:20" hidden="1" x14ac:dyDescent="0.3">
      <c r="N217" s="72"/>
      <c r="O217" s="79"/>
      <c r="P217" s="29" t="str">
        <f ca="1">IF(AND(O11="paladin",O12&gt;=17),"xx"," ")</f>
        <v xml:space="preserve"> </v>
      </c>
      <c r="T217" s="72"/>
    </row>
    <row r="218" spans="14:20" hidden="1" x14ac:dyDescent="0.3">
      <c r="N218" s="72"/>
      <c r="O218" s="79"/>
      <c r="P218" s="29">
        <f ca="1">IF(P217="x",RANDBETWEEN(2,3),IF(P217="xx",RANDBETWEEN(2,3),0))</f>
        <v>0</v>
      </c>
      <c r="T218" s="72"/>
    </row>
    <row r="219" spans="14:20" hidden="1" x14ac:dyDescent="0.3">
      <c r="N219" s="72"/>
      <c r="O219" s="79"/>
      <c r="T219" s="72"/>
    </row>
    <row r="220" spans="14:20" hidden="1" x14ac:dyDescent="0.3">
      <c r="N220" s="72"/>
      <c r="O220" s="79"/>
      <c r="T220" s="72"/>
    </row>
    <row r="221" spans="14:20" hidden="1" x14ac:dyDescent="0.3">
      <c r="N221" s="72"/>
      <c r="O221" s="79"/>
      <c r="P221" s="29" t="str">
        <f ca="1">IF(AND($O$11="druid",$O$12&gt;=11),"x",IF(AND($O$11="druid",$O$12&gt;=9),"xx"," "))</f>
        <v xml:space="preserve"> </v>
      </c>
      <c r="Q221" s="29" t="str">
        <f ca="1">IF(AND($O$11="druid",$O$12&gt;=13),"x",IF(AND($O$11="druid",$O$12&gt;=11),"xx"," "))</f>
        <v xml:space="preserve"> </v>
      </c>
      <c r="R221" s="29" t="str">
        <f ca="1">IF(AND($O$11="druid",$O$12&gt;=15),"x",IF(AND($O$11="druid",$O$12&gt;=13),"xx"," "))</f>
        <v xml:space="preserve"> </v>
      </c>
      <c r="S221" s="29" t="str">
        <f ca="1">IF(AND($O$11="druid",$O$12&gt;=17),"x",IF(AND($O$11="druid",$O$12&gt;15),"xx"," "))</f>
        <v xml:space="preserve"> </v>
      </c>
      <c r="T221" s="72" t="str">
        <f ca="1">IF(AND($O$11="druid",$O$12&gt;=17),"xx"," ")</f>
        <v xml:space="preserve"> </v>
      </c>
    </row>
    <row r="222" spans="14:20" hidden="1" x14ac:dyDescent="0.3">
      <c r="N222" s="72"/>
      <c r="O222" s="79"/>
      <c r="P222" s="29">
        <f ca="1">IF(P221="x",RANDBETWEEN(2,3),IF(P221="xx",RANDBETWEEN(2,3),0))</f>
        <v>0</v>
      </c>
      <c r="Q222" s="29">
        <f ca="1">IF(Q221="x",RANDBETWEEN(2,3),IF(Q221="xx",RANDBETWEEN(2,3),0))</f>
        <v>0</v>
      </c>
      <c r="R222" s="29">
        <f ca="1">IF(R221="x",RANDBETWEEN(1,2),IF(R221="xx",RANDBETWEEN(1,2),0))</f>
        <v>0</v>
      </c>
      <c r="S222" s="29">
        <f ca="1">IF(OR(S221="x",S221="xx"),RANDBETWEEN(1,2),0)</f>
        <v>0</v>
      </c>
      <c r="T222" s="72">
        <f ca="1">IF(T221="xx",RANDBETWEEN(1,2),0)</f>
        <v>0</v>
      </c>
    </row>
    <row r="223" spans="14:20" hidden="1" x14ac:dyDescent="0.3">
      <c r="N223" s="72"/>
      <c r="O223" s="79"/>
      <c r="P223" s="29" t="str">
        <f ca="1">IF(AND(O11="cleric",O12&gt;=11),"x",IF(AND($O$11="cleric",$O$12&gt;=9),"xx"," "))</f>
        <v xml:space="preserve"> </v>
      </c>
      <c r="Q223" s="29" t="str">
        <f ca="1">IF(AND(O11="cleric",O12&gt;=13),"x",IF(AND($O$11="cleric",$O$12&gt;=11),"xx"," "))</f>
        <v xml:space="preserve"> </v>
      </c>
      <c r="R223" s="29" t="str">
        <f ca="1">IF(AND(O11="cleric",O12&gt;=15),"x",IF(AND($O$11="cleric",$O$12&gt;=13),"xx"," "))</f>
        <v xml:space="preserve"> </v>
      </c>
      <c r="S223" s="29" t="str">
        <f ca="1">IF(AND(O11="cleric",O12&gt;=17),"x",IF(AND($O$11="cleric",$O$12&gt;15),"xx"," "))</f>
        <v xml:space="preserve"> </v>
      </c>
      <c r="T223" s="72" t="str">
        <f ca="1">IF(AND($O$11="cleric",$O$12&gt;=17),"xx"," ")</f>
        <v xml:space="preserve"> </v>
      </c>
    </row>
    <row r="224" spans="14:20" hidden="1" x14ac:dyDescent="0.3">
      <c r="N224" s="72"/>
      <c r="O224" s="79"/>
      <c r="P224" s="29">
        <f ca="1">IF(P223="x",RANDBETWEEN(2,3),IF(P223="xx",RANDBETWEEN(2,3),0))</f>
        <v>0</v>
      </c>
      <c r="Q224" s="29">
        <f ca="1">IF(Q223="x",RANDBETWEEN(2,3),IF(Q223="xx",RANDBETWEEN(2,3),0))</f>
        <v>0</v>
      </c>
      <c r="R224" s="29">
        <f ca="1">IF(R223="x",RANDBETWEEN(1,2),IF(R223="xx",RANDBETWEEN(1,2),0))</f>
        <v>0</v>
      </c>
      <c r="S224" s="29">
        <f ca="1">IF(OR(S223="x",S223="xx"),RANDBETWEEN(1,2),0)</f>
        <v>0</v>
      </c>
      <c r="T224" s="72">
        <f ca="1">IF(T223="xx",RANDBETWEEN(1,2),0)</f>
        <v>0</v>
      </c>
    </row>
    <row r="225" spans="2:20" hidden="1" x14ac:dyDescent="0.3">
      <c r="N225" s="72"/>
      <c r="O225" s="79"/>
      <c r="P225" s="29" t="str">
        <f ca="1">IF(AND($O$11="bard",$O$12&gt;=11),"x",IF(AND($O$11="bard",$O$12&gt;=9),"xx"," "))</f>
        <v xml:space="preserve"> </v>
      </c>
      <c r="Q225" s="29" t="str">
        <f ca="1">IF(AND($O$11="bard",$O$12&gt;=13),"x",IF(AND($O$11="bard",$O$12&gt;=11),"xx"," "))</f>
        <v xml:space="preserve"> </v>
      </c>
      <c r="R225" s="29" t="str">
        <f ca="1">IF(AND($O$11="bard",$O$12&gt;=15),"x",IF(AND($O$11="bard",$O$12&gt;=13),"xx"," "))</f>
        <v xml:space="preserve"> </v>
      </c>
      <c r="S225" s="29" t="str">
        <f ca="1">IF(AND($O$11="bard",$O$12&gt;=17),"x",IF(AND($O$11="bard",$O$12&gt;15),"xx"," "))</f>
        <v xml:space="preserve"> </v>
      </c>
      <c r="T225" s="72" t="str">
        <f ca="1">IF(AND($O$11="bard",$O$12&gt;=17),"xx"," ")</f>
        <v xml:space="preserve"> </v>
      </c>
    </row>
    <row r="226" spans="2:20" hidden="1" x14ac:dyDescent="0.3">
      <c r="N226" s="72"/>
      <c r="O226" s="79"/>
      <c r="P226" s="29">
        <f ca="1">IF(P225="x",RANDBETWEEN(2,3),IF(P225="xx",RANDBETWEEN(2,3),0))</f>
        <v>0</v>
      </c>
      <c r="Q226" s="29">
        <f ca="1">IF(Q225="x",RANDBETWEEN(2,3),IF(Q225="xx",RANDBETWEEN(2,3),0))</f>
        <v>0</v>
      </c>
      <c r="R226" s="29">
        <f ca="1">IF(R225="x",RANDBETWEEN(1,2),IF(R225="xx",RANDBETWEEN(1,2),0))</f>
        <v>0</v>
      </c>
      <c r="S226" s="29">
        <f ca="1">IF(OR(S225="x",S225="xx"),RANDBETWEEN(1,2),0)</f>
        <v>0</v>
      </c>
      <c r="T226" s="72">
        <f ca="1">IF(T225="xx",RANDBETWEEN(1,2),0)</f>
        <v>0</v>
      </c>
    </row>
    <row r="227" spans="2:20" x14ac:dyDescent="0.3">
      <c r="N227" s="72"/>
      <c r="O227" s="79"/>
      <c r="P227" s="107" t="s">
        <v>1169</v>
      </c>
      <c r="Q227" s="107" t="s">
        <v>1170</v>
      </c>
      <c r="R227" s="107" t="s">
        <v>1171</v>
      </c>
      <c r="S227" s="107" t="s">
        <v>677</v>
      </c>
      <c r="T227" s="93" t="s">
        <v>1172</v>
      </c>
    </row>
    <row r="228" spans="2:20" x14ac:dyDescent="0.3">
      <c r="N228" s="72"/>
      <c r="O228" s="86">
        <v>1</v>
      </c>
      <c r="P228" s="65" t="str">
        <f ca="1">IF(AND($O$15="Otherworldly patron - great old one",P$210&gt;=O193),INDEX('Spell Tables'!$AJ$226:$AJ$231,MATCH(O193,('Spell Tables'!$AH$226:$AH$231),0)),IF(AND($O$15="Otherworldly patron - fiend",P$210&gt;=O193),INDEX('Spell Tables'!$AJ$210:$AJ$215,MATCH(O193,('Spell Tables'!$AH$210:$AH$215),0)),IF(AND($O$15="Otherworldly patron - archfey",P$210&gt;=O193),INDEX('Spell Tables'!$AJ$194:$AJ$199,MATCH(O193,('Spell Tables'!$AH$194:$AH$199),0)),IF($P$208&gt;=O193,INDEX($AL$92:$AL$101,MATCH(O193,($AJ$92:$AJ$101),0)),IF($P$212&gt;=O193,INDEX('Spell Tables'!$AJ$168:$AJ$178,MATCH(O193,('Spell Tables'!$AH$168:$AH$178),0)),IF($P$216&gt;=O193,INDEX('Spell Tables'!$AF$119:$AF$122,MATCH(O193,('Spell Tables'!$AD$119:$AD$122),0)),IF($P$218&gt;=O193,INDEX('Spell Tables'!$AF$97:$AF$102,MATCH(O193,('Spell Tables'!$AD$97:$AD$102),0)),IF($P$222&gt;=O193,INDEX('Spell Tables'!$AJ$48:$AJ$61,MATCH(O193,('Spell Tables'!$AH$48:$AH$61),0)),IF($P$224&gt;=O193,INDEX('Spell Tables'!$AJ$26:$AJ$38,MATCH(O193,('Spell Tables'!$AH$26:$AH$38),0)),IF($P$226&gt;=O193,INDEX('Spell Tables'!$AJ$2:$AJ$17,MATCH(O193,('Spell Tables'!$AH$2:$AH$17),0))," "))))))))))</f>
        <v>Rary's Telepathic Bond</v>
      </c>
      <c r="Q228" s="65" t="str">
        <f ca="1">IF($Q$208&gt;=O193,INDEX($AL$104:$AL$113,MATCH(O193,($AJ$104:$AJ$113),0)),IF($Q$212&gt;=O193,INDEX('Spell Tables'!$AN$168:$AN$177,MATCH(O193,('Spell Tables'!$AL$168:$AL$177),0)),IF($Q$222&gt;=O193,INDEX('Spell Tables'!$AN$48:$AN$56,MATCH(O193,('Spell Tables'!$AL$48:$AL$56),0)),IF($Q$224&gt;=O193,INDEX('Spell Tables'!$AN$26:$AN$35,MATCH(O193,('Spell Tables'!$AL$26:$AL$35),0)),IF($Q$226&gt;=O193,INDEX('Spell Tables'!$AN$2:$AN$8,MATCH(O193,('Spell Tables'!$AL$2:$AL$8),0))," ")))))</f>
        <v>Guards and Wards</v>
      </c>
      <c r="R228" s="65" t="str">
        <f ca="1">IF($R$208&gt;=O193,INDEX($AL$116:$AL$125,MATCH(O193,($AJ$116:$AJ$125),0)),IF($R$212&gt;=O193,INDEX('Spell Tables'!$AR$168:$AR$175,MATCH(O193,('Spell Tables'!$AP$168:$AP$175),0)),IF($R$222&gt;=O193,INDEX('Spell Tables'!$AR$48:$AR$52,MATCH(O193,('Spell Tables'!$AP$48:$AP$52),0)),IF($R$224&gt;=O193,INDEX('Spell Tables'!$AR$26:$AR$33,MATCH(O193,('Spell Tables'!$AP$26:$AP$33),0)),IF($R$226&gt;=O193,INDEX('Spell Tables'!$AR$2:$AR$11,MATCH(O193,('Spell Tables'!$AL$2:$AL$11),0))," ")))))</f>
        <v xml:space="preserve"> </v>
      </c>
      <c r="S228" s="65" t="str">
        <f ca="1">IF($S$208&gt;=O193,INDEX($AL$128:$AL$137,MATCH(O193,($AJ$128:$AJ$137),0)),IF($S$212&gt;=O193,INDEX('Spell Tables'!$AV$168:$AV$172,MATCH(O193,('Spell Tables'!$AT$168:$AT$172),0)),IF($S$222&gt;=O193,INDEX('Spell Tables'!$AV$48:$AV$54,MATCH(O193,('Spell Tables'!$AT$48:$AT$54),0)),IF($S$224&gt;=O193,INDEX('Spell Tables'!$AV$26:$AV$29,MATCH(O193,('Spell Tables'!$AT$26:$AT$29),0)),IF($S$226&gt;=O193,INDEX('Spell Tables'!$AV$2:$AV$6,MATCH(O193,('Spell Tables'!$AT$2:$AT$6),0))," ")))))</f>
        <v xml:space="preserve"> </v>
      </c>
      <c r="T228" s="66" t="str">
        <f ca="1">IF($T$222&gt;=O193,INDEX('Spell Tables'!$AZ$48:$AZ$51,MATCH(O193,('Spell Tables'!$AX$48:$AX$51),0)),IF($T$208&gt;=O193,INDEX($AL$140:$AL$149,MATCH(O193,($AJ$140:$AJ$149),0)),IF($T$212&gt;=O193,INDEX('Spell Tables'!$AZ$168:$AZ$172,MATCH(O193,('Spell Tables'!$AX$168:$AX$172),0)),IF($T$224&gt;=O193,INDEX('Spell Tables'!$AZ$26:$AZ$29,MATCH(O193,('Spell Tables'!$AX$26:$AX$29),0)),IF($T$226&gt;=O193,INDEX('Spell Tables'!$AZ$2:$AZ$5,MATCH(O193,('Spell Tables'!$AX$2:$AX$5),0))," ")))))</f>
        <v xml:space="preserve"> </v>
      </c>
    </row>
    <row r="229" spans="2:20" x14ac:dyDescent="0.3">
      <c r="N229" s="72"/>
      <c r="O229" s="133">
        <v>2</v>
      </c>
      <c r="P229" s="60" t="str">
        <f ca="1">IF(AND($O$15="Otherworldly patron - great old one",P$210&gt;=O194),INDEX('Spell Tables'!$AJ$226:$AJ$231,MATCH(O194,('Spell Tables'!$AH$226:$AH$231),0)),IF(AND($O$15="Otherworldly patron - fiend",P$210&gt;=O194),INDEX('Spell Tables'!$AJ$210:$AJ$215,MATCH(O194,('Spell Tables'!$AH$210:$AH$215),0)),IF(AND($O$15="Otherworldly patron - archfey",P$210&gt;=O194),INDEX('Spell Tables'!$AJ$194:$AJ$199,MATCH(O194,('Spell Tables'!$AH$194:$AH$199),0)),IF($P$208&gt;=O194,INDEX($AL$92:$AL$101,MATCH(O194,($AJ$92:$AJ$101),0)),IF($P$212&gt;=O194,INDEX('Spell Tables'!$AJ$168:$AJ$178,MATCH(O194,('Spell Tables'!$AH$168:$AH$178),0)),IF($P$216&gt;=O194,INDEX('Spell Tables'!$AF$119:$AF$122,MATCH(O194,('Spell Tables'!$AD$119:$AD$122),0)),IF($P$218&gt;=O194,INDEX('Spell Tables'!$AF$97:$AF$102,MATCH(O194,('Spell Tables'!$AD$97:$AD$102),0)),IF($P$222&gt;=O194,INDEX('Spell Tables'!$AJ$48:$AJ$61,MATCH(O194,('Spell Tables'!$AH$48:$AH$61),0)),IF($P$224&gt;=O194,INDEX('Spell Tables'!$AJ$26:$AJ$38,MATCH(O194,('Spell Tables'!$AH$26:$AH$38),0)),IF($P$226&gt;=O194,INDEX('Spell Tables'!$AJ$2:$AJ$17,MATCH(O194,('Spell Tables'!$AH$2:$AH$17),0))," "))))))))))</f>
        <v>Modify Memory</v>
      </c>
      <c r="Q229" s="60" t="str">
        <f ca="1">IF($Q$208&gt;=O194,INDEX($AL$104:$AL$113,MATCH(O194,($AJ$104:$AJ$113),0)),IF($Q$212&gt;=O194,INDEX('Spell Tables'!$AN$168:$AN$177,MATCH(O194,('Spell Tables'!$AL$168:$AL$177),0)),IF($Q$222&gt;=O194,INDEX('Spell Tables'!$AN$48:$AN$56,MATCH(O194,('Spell Tables'!$AL$48:$AL$56),0)),IF($Q$224&gt;=O194,INDEX('Spell Tables'!$AN$26:$AN$35,MATCH(O194,('Spell Tables'!$AL$26:$AL$35),0)),IF($Q$226&gt;=O194,INDEX('Spell Tables'!$AN$2:$AN$8,MATCH(O194,('Spell Tables'!$AL$2:$AL$8),0))," ")))))</f>
        <v>Flesh to Stone</v>
      </c>
      <c r="R229" s="60" t="str">
        <f ca="1">IF($R$208&gt;=O194,INDEX($AL$116:$AL$125,MATCH(O194,($AJ$116:$AJ$125),0)),IF($R$212&gt;=O194,INDEX('Spell Tables'!$AR$168:$AR$175,MATCH(O194,('Spell Tables'!$AP$168:$AP$175),0)),IF($R$222&gt;=O194,INDEX('Spell Tables'!$AR$48:$AR$52,MATCH(O194,('Spell Tables'!$AP$48:$AP$52),0)),IF($R$224&gt;=O194,INDEX('Spell Tables'!$AR$26:$AR$33,MATCH(O194,('Spell Tables'!$AP$26:$AP$33),0)),IF($R$226&gt;=O194,INDEX('Spell Tables'!$AR$2:$AR$11,MATCH(O194,('Spell Tables'!$AL$2:$AL$11),0))," ")))))</f>
        <v xml:space="preserve"> </v>
      </c>
      <c r="S229" s="60" t="str">
        <f ca="1">IF($S$208&gt;=O194,INDEX($AL$128:$AL$137,MATCH(O194,($AJ$128:$AJ$137),0)),IF($S$212&gt;=O194,INDEX('Spell Tables'!$AV$168:$AV$172,MATCH(O194,('Spell Tables'!$AT$168:$AT$172),0)),IF($S$222&gt;=O194,INDEX('Spell Tables'!$AV$48:$AV$54,MATCH(O194,('Spell Tables'!$AT$48:$AT$54),0)),IF($S$224&gt;=O194,INDEX('Spell Tables'!$AV$26:$AV$29,MATCH(O194,('Spell Tables'!$AT$26:$AT$29),0)),IF($S$226&gt;=O194,INDEX('Spell Tables'!$AV$2:$AV$6,MATCH(O194,('Spell Tables'!$AT$2:$AT$6),0))," ")))))</f>
        <v xml:space="preserve"> </v>
      </c>
      <c r="T229" s="63" t="str">
        <f ca="1">IF($T$222&gt;=O194,INDEX('Spell Tables'!$AZ$48:$AZ$51,MATCH(O194,('Spell Tables'!$AX$48:$AX$51),0)),IF($T$208&gt;=O194,INDEX($AL$140:$AL$149,MATCH(O194,($AJ$140:$AJ$149),0)),IF($T$212&gt;=O194,INDEX('Spell Tables'!$AZ$168:$AZ$172,MATCH(O194,('Spell Tables'!$AX$168:$AX$172),0)),IF($T$224&gt;=O194,INDEX('Spell Tables'!$AZ$26:$AZ$29,MATCH(O194,('Spell Tables'!$AX$26:$AX$29),0)),IF($T$226&gt;=O194,INDEX('Spell Tables'!$AZ$2:$AZ$5,MATCH(O194,('Spell Tables'!$AX$2:$AX$5),0))," ")))))</f>
        <v xml:space="preserve"> </v>
      </c>
    </row>
    <row r="230" spans="2:20" x14ac:dyDescent="0.3">
      <c r="N230" s="72"/>
      <c r="O230" s="86">
        <v>3</v>
      </c>
      <c r="P230" s="65" t="str">
        <f ca="1">IF(AND($O$15="Otherworldly patron - great old one",P$210&gt;=O195),INDEX('Spell Tables'!$AJ$226:$AJ$231,MATCH(O195,('Spell Tables'!$AH$226:$AH$231),0)),IF(AND($O$15="Otherworldly patron - fiend",P$210&gt;=O195),INDEX('Spell Tables'!$AJ$210:$AJ$215,MATCH(O195,('Spell Tables'!$AH$210:$AH$215),0)),IF(AND($O$15="Otherworldly patron - archfey",P$210&gt;=O195),INDEX('Spell Tables'!$AJ$194:$AJ$199,MATCH(O195,('Spell Tables'!$AH$194:$AH$199),0)),IF($P$208&gt;=O195,INDEX($AL$92:$AL$101,MATCH(O195,($AJ$92:$AJ$101),0)),IF($P$212&gt;=O195,INDEX('Spell Tables'!$AJ$168:$AJ$178,MATCH(O195,('Spell Tables'!$AH$168:$AH$178),0)),IF($P$216&gt;=O195,INDEX('Spell Tables'!$AF$119:$AF$122,MATCH(O195,('Spell Tables'!$AD$119:$AD$122),0)),IF($P$218&gt;=O195,INDEX('Spell Tables'!$AF$97:$AF$102,MATCH(O195,('Spell Tables'!$AD$97:$AD$102),0)),IF($P$222&gt;=O195,INDEX('Spell Tables'!$AJ$48:$AJ$61,MATCH(O195,('Spell Tables'!$AH$48:$AH$61),0)),IF($P$224&gt;=O195,INDEX('Spell Tables'!$AJ$26:$AJ$38,MATCH(O195,('Spell Tables'!$AH$26:$AH$38),0)),IF($P$226&gt;=O195,INDEX('Spell Tables'!$AJ$2:$AJ$17,MATCH(O195,('Spell Tables'!$AH$2:$AH$17),0))," "))))))))))</f>
        <v>Animate Objects</v>
      </c>
      <c r="Q230" s="65" t="str">
        <f ca="1">IF($Q$208&gt;=O195,INDEX($AL$104:$AL$113,MATCH(O195,($AJ$104:$AJ$113),0)),IF($Q$212&gt;=O195,INDEX('Spell Tables'!$AN$168:$AN$177,MATCH(O195,('Spell Tables'!$AL$168:$AL$177),0)),IF($Q$222&gt;=O195,INDEX('Spell Tables'!$AN$48:$AN$56,MATCH(O195,('Spell Tables'!$AL$48:$AL$56),0)),IF($Q$224&gt;=O195,INDEX('Spell Tables'!$AN$26:$AN$35,MATCH(O195,('Spell Tables'!$AL$26:$AL$35),0)),IF($Q$226&gt;=O195,INDEX('Spell Tables'!$AN$2:$AN$8,MATCH(O195,('Spell Tables'!$AL$2:$AL$8),0))," ")))))</f>
        <v xml:space="preserve"> </v>
      </c>
      <c r="R230" s="65" t="str">
        <f ca="1">IF($R$208&gt;=O195,INDEX($AL$116:$AL$125,MATCH(O195,($AJ$116:$AJ$125),0)),IF($R$212&gt;=O195,INDEX('Spell Tables'!$AR$168:$AR$175,MATCH(O195,('Spell Tables'!$AP$168:$AP$175),0)),IF($R$222&gt;=O195,INDEX('Spell Tables'!$AR$48:$AR$52,MATCH(O195,('Spell Tables'!$AP$48:$AP$52),0)),IF($R$224&gt;=O195,INDEX('Spell Tables'!$AR$26:$AR$33,MATCH(O195,('Spell Tables'!$AP$26:$AP$33),0)),IF($R$226&gt;=O195,INDEX('Spell Tables'!$AR$2:$AR$11,MATCH(O195,('Spell Tables'!$AL$2:$AL$11),0))," ")))))</f>
        <v xml:space="preserve"> </v>
      </c>
      <c r="S230" s="65" t="str">
        <f ca="1">IF($S$208&gt;=O195,INDEX($AL$128:$AL$137,MATCH(O195,($AJ$128:$AJ$137),0)),IF($S$212&gt;=O195,INDEX('Spell Tables'!$AV$168:$AV$172,MATCH(O195,('Spell Tables'!$AT$168:$AT$172),0)),IF($S$222&gt;=O195,INDEX('Spell Tables'!$AV$48:$AV$54,MATCH(O195,('Spell Tables'!$AT$48:$AT$54),0)),IF($S$224&gt;=O195,INDEX('Spell Tables'!$AV$26:$AV$29,MATCH(O195,('Spell Tables'!$AT$26:$AT$29),0)),IF($S$226&gt;=O195,INDEX('Spell Tables'!$AV$2:$AV$6,MATCH(O195,('Spell Tables'!$AT$2:$AT$6),0))," ")))))</f>
        <v xml:space="preserve"> </v>
      </c>
      <c r="T230" s="66" t="str">
        <f ca="1">IF($T$222&gt;=O195,INDEX('Spell Tables'!$AZ$48:$AZ$51,MATCH(O195,('Spell Tables'!$AX$48:$AX$51),0)),IF($T$208&gt;=O195,INDEX($AL$140:$AL$149,MATCH(O195,($AJ$140:$AJ$149),0)),IF($T$212&gt;=O195,INDEX('Spell Tables'!$AZ$168:$AZ$172,MATCH(O195,('Spell Tables'!$AX$168:$AX$172),0)),IF($T$224&gt;=O195,INDEX('Spell Tables'!$AZ$26:$AZ$29,MATCH(O195,('Spell Tables'!$AX$26:$AX$29),0)),IF($T$226&gt;=O195,INDEX('Spell Tables'!$AZ$2:$AZ$5,MATCH(O195,('Spell Tables'!$AX$2:$AX$5),0))," ")))))</f>
        <v xml:space="preserve"> </v>
      </c>
    </row>
    <row r="231" spans="2:20" x14ac:dyDescent="0.3">
      <c r="N231" s="72"/>
      <c r="O231" s="133">
        <v>4</v>
      </c>
      <c r="P231" s="60" t="str">
        <f ca="1">IF(AND($O$15="Otherworldly patron - great old one",P$210&gt;=O196),INDEX('Spell Tables'!$AJ$226:$AJ$231,MATCH(O196,('Spell Tables'!$AH$226:$AH$231),0)),IF(AND($O$15="Otherworldly patron - fiend",P$210&gt;=O196),INDEX('Spell Tables'!$AJ$210:$AJ$215,MATCH(O196,('Spell Tables'!$AH$210:$AH$215),0)),IF(AND($O$15="Otherworldly patron - archfey",P$210&gt;=O196),INDEX('Spell Tables'!$AJ$194:$AJ$199,MATCH(O196,('Spell Tables'!$AH$194:$AH$199),0)),IF($P$208&gt;=O196,INDEX($AL$92:$AL$101,MATCH(O196,($AJ$92:$AJ$101),0)),IF($P$212&gt;=O196,INDEX('Spell Tables'!$AJ$168:$AJ$178,MATCH(O196,('Spell Tables'!$AH$168:$AH$178),0)),IF($P$216&gt;=O196,INDEX('Spell Tables'!$AF$119:$AF$122,MATCH(O196,('Spell Tables'!$AD$119:$AD$122),0)),IF($P$218&gt;=O196,INDEX('Spell Tables'!$AF$97:$AF$102,MATCH(O196,('Spell Tables'!$AD$97:$AD$102),0)),IF($P$222&gt;=O196,INDEX('Spell Tables'!$AJ$48:$AJ$61,MATCH(O196,('Spell Tables'!$AH$48:$AH$61),0)),IF($P$224&gt;=O196,INDEX('Spell Tables'!$AJ$26:$AJ$38,MATCH(O196,('Spell Tables'!$AH$26:$AH$38),0)),IF($P$226&gt;=O196,INDEX('Spell Tables'!$AJ$2:$AJ$17,MATCH(O196,('Spell Tables'!$AH$2:$AH$17),0))," "))))))))))</f>
        <v xml:space="preserve"> </v>
      </c>
      <c r="Q231" s="60" t="str">
        <f ca="1">IF($Q$208&gt;=O196,INDEX($AL$104:$AL$113,MATCH(O196,($AJ$104:$AJ$113),0)),IF($Q$212&gt;=O196,INDEX('Spell Tables'!$AN$168:$AN$177,MATCH(O196,('Spell Tables'!$AL$168:$AL$177),0)),IF($Q$222&gt;=O196,INDEX('Spell Tables'!$AN$48:$AN$56,MATCH(O196,('Spell Tables'!$AL$48:$AL$56),0)),IF($Q$224&gt;=O196,INDEX('Spell Tables'!$AN$26:$AN$35,MATCH(O196,('Spell Tables'!$AL$26:$AL$35),0)),IF($Q$226&gt;=O196,INDEX('Spell Tables'!$AN$2:$AN$8,MATCH(O196,('Spell Tables'!$AL$2:$AL$8),0))," ")))))</f>
        <v xml:space="preserve"> </v>
      </c>
      <c r="R231" s="60" t="str">
        <f ca="1">IF($R$208&gt;=O196,INDEX($AL$116:$AL$125,MATCH(O196,($AJ$116:$AJ$125),0)),IF($R$212&gt;=O196,INDEX('Spell Tables'!$AR$168:$AR$175,MATCH(O196,('Spell Tables'!$AP$168:$AP$175),0)),IF($R$222&gt;=O196,INDEX('Spell Tables'!$AR$48:$AR$52,MATCH(O196,('Spell Tables'!$AP$48:$AP$52),0)),IF($R$224&gt;=O196,INDEX('Spell Tables'!$AR$26:$AR$33,MATCH(O196,('Spell Tables'!$AP$26:$AP$33),0)),IF($R$226&gt;=O196,INDEX('Spell Tables'!$AR$2:$AR$11,MATCH(O196,('Spell Tables'!$AL$2:$AL$11),0))," ")))))</f>
        <v xml:space="preserve"> </v>
      </c>
      <c r="S231" s="60" t="str">
        <f ca="1">IF($S$208&gt;=O196,INDEX($AL$128:$AL$137,MATCH(O196,($AJ$128:$AJ$137),0)),IF($S$212&gt;=O196,INDEX('Spell Tables'!$AV$168:$AV$172,MATCH(O196,('Spell Tables'!$AT$168:$AT$172),0)),IF($S$222&gt;=O196,INDEX('Spell Tables'!$AV$48:$AV$54,MATCH(O196,('Spell Tables'!$AT$48:$AT$54),0)),IF($S$224&gt;=O196,INDEX('Spell Tables'!$AV$26:$AV$29,MATCH(O196,('Spell Tables'!$AT$26:$AT$29),0)),IF($S$226&gt;=O196,INDEX('Spell Tables'!$AV$2:$AV$6,MATCH(O196,('Spell Tables'!$AT$2:$AT$6),0))," ")))))</f>
        <v xml:space="preserve"> </v>
      </c>
      <c r="T231" s="63" t="str">
        <f ca="1">IF($T$222&gt;=O196,INDEX('Spell Tables'!$AZ$48:$AZ$51,MATCH(O196,('Spell Tables'!$AX$48:$AX$51),0)),IF($T$208&gt;=O196,INDEX($AL$140:$AL$149,MATCH(O196,($AJ$140:$AJ$149),0)),IF($T$212&gt;=O196,INDEX('Spell Tables'!$AZ$168:$AZ$172,MATCH(O196,('Spell Tables'!$AX$168:$AX$172),0)),IF($T$224&gt;=O196,INDEX('Spell Tables'!$AZ$26:$AZ$29,MATCH(O196,('Spell Tables'!$AX$26:$AX$29),0)),IF($T$226&gt;=O196,INDEX('Spell Tables'!$AZ$2:$AZ$5,MATCH(O196,('Spell Tables'!$AX$2:$AX$5),0))," ")))))</f>
        <v xml:space="preserve"> </v>
      </c>
    </row>
    <row r="232" spans="2:20" x14ac:dyDescent="0.3">
      <c r="N232" s="72"/>
      <c r="O232" s="86">
        <v>5</v>
      </c>
      <c r="P232" s="65" t="str">
        <f ca="1">IF(AND($O$15="Otherworldly patron - great old one",P$210&gt;=O197),INDEX('Spell Tables'!$AJ$226:$AJ$231,MATCH(O197,('Spell Tables'!$AH$226:$AH$231),0)),IF(AND($O$15="Otherworldly patron - fiend",P$210&gt;=O197),INDEX('Spell Tables'!$AJ$210:$AJ$215,MATCH(O197,('Spell Tables'!$AH$210:$AH$215),0)),IF(AND($O$15="Otherworldly patron - archfey",P$210&gt;=O197),INDEX('Spell Tables'!$AJ$194:$AJ$199,MATCH(O197,('Spell Tables'!$AH$194:$AH$199),0)),IF($P$208&gt;=O197,INDEX($AL$92:$AL$101,MATCH(O197,($AJ$92:$AJ$101),0)),IF($P$212&gt;=O197,INDEX('Spell Tables'!$AJ$168:$AJ$178,MATCH(O197,('Spell Tables'!$AH$168:$AH$178),0)),IF($P$216&gt;=O197,INDEX('Spell Tables'!$AF$119:$AF$122,MATCH(O197,('Spell Tables'!$AD$119:$AD$122),0)),IF($P$218&gt;=O197,INDEX('Spell Tables'!$AF$97:$AF$102,MATCH(O197,('Spell Tables'!$AD$97:$AD$102),0)),IF($P$222&gt;=O197,INDEX('Spell Tables'!$AJ$48:$AJ$61,MATCH(O197,('Spell Tables'!$AH$48:$AH$61),0)),IF($P$224&gt;=O197,INDEX('Spell Tables'!$AJ$26:$AJ$38,MATCH(O197,('Spell Tables'!$AH$26:$AH$38),0)),IF($P$226&gt;=O197,INDEX('Spell Tables'!$AJ$2:$AJ$17,MATCH(O197,('Spell Tables'!$AH$2:$AH$17),0))," "))))))))))</f>
        <v xml:space="preserve"> </v>
      </c>
      <c r="Q232" s="65" t="str">
        <f ca="1">IF($Q$208&gt;=O197,INDEX($AL$104:$AL$113,MATCH(O197,($AJ$104:$AJ$113),0)),IF($Q$212&gt;=O197,INDEX('Spell Tables'!$AN$168:$AN$177,MATCH(O197,('Spell Tables'!$AL$168:$AL$177),0)),IF($Q$222&gt;=O197,INDEX('Spell Tables'!$AN$48:$AN$56,MATCH(O197,('Spell Tables'!$AL$48:$AL$56),0)),IF($Q$224&gt;=O197,INDEX('Spell Tables'!$AN$26:$AN$35,MATCH(O197,('Spell Tables'!$AL$26:$AL$35),0)),IF($Q$226&gt;=O197,INDEX('Spell Tables'!$AN$2:$AN$8,MATCH(O197,('Spell Tables'!$AL$2:$AL$8),0))," ")))))</f>
        <v xml:space="preserve"> </v>
      </c>
      <c r="R232" s="65" t="str">
        <f ca="1">IF($R$208&gt;=O197,INDEX($AL$116:$AL$125,MATCH(O197,($AJ$116:$AJ$125),0)),IF($R$212&gt;=O197,INDEX('Spell Tables'!$AR$168:$AR$175,MATCH(O197,('Spell Tables'!$AP$168:$AP$175),0)),IF($R$222&gt;=O197,INDEX('Spell Tables'!$AR$48:$AR$52,MATCH(O197,('Spell Tables'!$AP$48:$AP$52),0)),IF($R$224&gt;=O197,INDEX('Spell Tables'!$AR$26:$AR$33,MATCH(O197,('Spell Tables'!$AP$26:$AP$33),0)),IF($R$226&gt;=O197,INDEX('Spell Tables'!$AR$2:$AR$11,MATCH(O197,('Spell Tables'!$AL$2:$AL$11),0))," ")))))</f>
        <v xml:space="preserve"> </v>
      </c>
      <c r="S232" s="65" t="str">
        <f ca="1">IF($S$208&gt;=O197,INDEX($AL$128:$AL$137,MATCH(O197,($AJ$128:$AJ$137),0)),IF($S$212&gt;=O197,INDEX('Spell Tables'!$AV$168:$AV$172,MATCH(O197,('Spell Tables'!$AT$168:$AT$172),0)),IF($S$222&gt;=O197,INDEX('Spell Tables'!$AV$48:$AV$54,MATCH(O197,('Spell Tables'!$AT$48:$AT$54),0)),IF($S$224&gt;=O197,INDEX('Spell Tables'!$AV$26:$AV$29,MATCH(O197,('Spell Tables'!$AT$26:$AT$29),0)),IF($S$226&gt;=O197,INDEX('Spell Tables'!$AV$2:$AV$6,MATCH(O197,('Spell Tables'!$AT$2:$AT$6),0))," ")))))</f>
        <v xml:space="preserve"> </v>
      </c>
      <c r="T232" s="66" t="str">
        <f ca="1">IF($T$222&gt;=O197,INDEX('Spell Tables'!$AZ$48:$AZ$51,MATCH(O197,('Spell Tables'!$AX$48:$AX$51),0)),IF($T$208&gt;=O197,INDEX($AL$140:$AL$149,MATCH(O197,($AJ$140:$AJ$149),0)),IF($T$212&gt;=O197,INDEX('Spell Tables'!$AZ$168:$AZ$172,MATCH(O197,('Spell Tables'!$AX$168:$AX$172),0)),IF($T$224&gt;=O197,INDEX('Spell Tables'!$AZ$26:$AZ$29,MATCH(O197,('Spell Tables'!$AX$26:$AX$29),0)),IF($T$226&gt;=O197,INDEX('Spell Tables'!$AZ$2:$AZ$5,MATCH(O197,('Spell Tables'!$AX$2:$AX$5),0))," ")))))</f>
        <v xml:space="preserve"> </v>
      </c>
    </row>
    <row r="233" spans="2:20" x14ac:dyDescent="0.3">
      <c r="N233" s="72"/>
      <c r="O233" s="133">
        <v>6</v>
      </c>
      <c r="P233" s="60" t="str">
        <f ca="1">IF(AND($O$15="Otherworldly patron - great old one",P$210&gt;=O198),INDEX('Spell Tables'!$AJ$226:$AJ$231,MATCH(O198,('Spell Tables'!$AH$226:$AH$231),0)),IF(AND($O$15="Otherworldly patron - fiend",P$210&gt;=O198),INDEX('Spell Tables'!$AJ$210:$AJ$215,MATCH(O198,('Spell Tables'!$AH$210:$AH$215),0)),IF(AND($O$15="Otherworldly patron - archfey",P$210&gt;=O198),INDEX('Spell Tables'!$AJ$194:$AJ$199,MATCH(O198,('Spell Tables'!$AH$194:$AH$199),0)),IF($P$208&gt;=O198,INDEX($AL$92:$AL$101,MATCH(O198,($AJ$92:$AJ$101),0)),IF($P$212&gt;=O198,INDEX('Spell Tables'!$AJ$168:$AJ$178,MATCH(O198,('Spell Tables'!$AH$168:$AH$178),0)),IF($P$216&gt;=O198,INDEX('Spell Tables'!$AF$119:$AF$122,MATCH(O198,('Spell Tables'!$AD$119:$AD$122),0)),IF($P$218&gt;=O198,INDEX('Spell Tables'!$AF$97:$AF$102,MATCH(O198,('Spell Tables'!$AD$97:$AD$102),0)),IF($P$222&gt;=O198,INDEX('Spell Tables'!$AJ$48:$AJ$61,MATCH(O198,('Spell Tables'!$AH$48:$AH$61),0)),IF($P$224&gt;=O198,INDEX('Spell Tables'!$AJ$26:$AJ$38,MATCH(O198,('Spell Tables'!$AH$26:$AH$38),0)),IF($P$226&gt;=O198,INDEX('Spell Tables'!$AJ$2:$AJ$17,MATCH(O198,('Spell Tables'!$AH$2:$AH$17),0))," "))))))))))</f>
        <v xml:space="preserve"> </v>
      </c>
      <c r="Q233" s="60" t="str">
        <f ca="1">IF($Q$208&gt;=O198,INDEX($AL$104:$AL$113,MATCH(O198,($AJ$104:$AJ$113),0)),IF($Q$212&gt;=O198,INDEX('Spell Tables'!$AN$168:$AN$177,MATCH(O198,('Spell Tables'!$AL$168:$AL$177),0)),IF($Q$222&gt;=O198,INDEX('Spell Tables'!$AN$48:$AN$56,MATCH(O198,('Spell Tables'!$AL$48:$AL$56),0)),IF($Q$224&gt;=O198,INDEX('Spell Tables'!$AN$26:$AN$35,MATCH(O198,('Spell Tables'!$AL$26:$AL$35),0)),IF($Q$226&gt;=O198,INDEX('Spell Tables'!$AN$2:$AN$8,MATCH(O198,('Spell Tables'!$AL$2:$AL$8),0))," ")))))</f>
        <v xml:space="preserve"> </v>
      </c>
      <c r="R233" s="60" t="str">
        <f ca="1">IF($R$208&gt;=O198,INDEX($AL$116:$AL$125,MATCH(O198,($AJ$116:$AJ$125),0)),IF($R$212&gt;=O198,INDEX('Spell Tables'!$AR$168:$AR$175,MATCH(O198,('Spell Tables'!$AP$168:$AP$175),0)),IF($R$222&gt;=O198,INDEX('Spell Tables'!$AR$48:$AR$52,MATCH(O198,('Spell Tables'!$AP$48:$AP$52),0)),IF($R$224&gt;=O198,INDEX('Spell Tables'!$AR$26:$AR$33,MATCH(O198,('Spell Tables'!$AP$26:$AP$33),0)),IF($R$226&gt;=O198,INDEX('Spell Tables'!$AR$2:$AR$11,MATCH(O198,('Spell Tables'!$AL$2:$AL$11),0))," ")))))</f>
        <v xml:space="preserve"> </v>
      </c>
      <c r="S233" s="60" t="str">
        <f ca="1">IF($S$208&gt;=O198,INDEX($AL$128:$AL$137,MATCH(O198,($AJ$128:$AJ$137),0)),IF($S$212&gt;=O198,INDEX('Spell Tables'!$AV$168:$AV$172,MATCH(O198,('Spell Tables'!$AT$168:$AT$172),0)),IF($S$222&gt;=O198,INDEX('Spell Tables'!$AV$48:$AV$54,MATCH(O198,('Spell Tables'!$AT$48:$AT$54),0)),IF($S$224&gt;=O198,INDEX('Spell Tables'!$AV$26:$AV$29,MATCH(O198,('Spell Tables'!$AT$26:$AT$29),0)),IF($S$226&gt;=O198,INDEX('Spell Tables'!$AV$2:$AV$6,MATCH(O198,('Spell Tables'!$AT$2:$AT$6),0))," ")))))</f>
        <v xml:space="preserve"> </v>
      </c>
      <c r="T233" s="63" t="str">
        <f ca="1">IF($T$222&gt;=O198,INDEX('Spell Tables'!$AZ$48:$AZ$51,MATCH(O198,('Spell Tables'!$AX$48:$AX$51),0)),IF($T$208&gt;=O198,INDEX($AL$140:$AL$149,MATCH(O198,($AJ$140:$AJ$149),0)),IF($T$212&gt;=O198,INDEX('Spell Tables'!$AZ$168:$AZ$172,MATCH(O198,('Spell Tables'!$AX$168:$AX$172),0)),IF($T$224&gt;=O198,INDEX('Spell Tables'!$AZ$26:$AZ$29,MATCH(O198,('Spell Tables'!$AX$26:$AX$29),0)),IF($T$226&gt;=O198,INDEX('Spell Tables'!$AZ$2:$AZ$5,MATCH(O198,('Spell Tables'!$AX$2:$AX$5),0))," ")))))</f>
        <v xml:space="preserve"> </v>
      </c>
    </row>
    <row r="234" spans="2:20" x14ac:dyDescent="0.3">
      <c r="N234" s="72"/>
      <c r="O234" s="86">
        <v>7</v>
      </c>
      <c r="P234" s="65" t="str">
        <f ca="1">IF(AND($O$15="Otherworldly patron - great old one",P$210&gt;=O199),INDEX('Spell Tables'!$AJ$226:$AJ$231,MATCH(O199,('Spell Tables'!$AH$226:$AH$231),0)),IF(AND($O$15="Otherworldly patron - fiend",P$210&gt;=O199),INDEX('Spell Tables'!$AJ$210:$AJ$215,MATCH(O199,('Spell Tables'!$AH$210:$AH$215),0)),IF(AND($O$15="Otherworldly patron - archfey",P$210&gt;=O199),INDEX('Spell Tables'!$AJ$194:$AJ$199,MATCH(O199,('Spell Tables'!$AH$194:$AH$199),0)),IF($P$208&gt;=O199,INDEX($AL$92:$AL$101,MATCH(O199,($AJ$92:$AJ$101),0)),IF($P$212&gt;=O199,INDEX('Spell Tables'!$AJ$168:$AJ$178,MATCH(O199,('Spell Tables'!$AH$168:$AH$178),0)),IF($P$216&gt;=O199,INDEX('Spell Tables'!$AF$119:$AF$122,MATCH(O199,('Spell Tables'!$AD$119:$AD$122),0)),IF($P$218&gt;=O199,INDEX('Spell Tables'!$AF$97:$AF$102,MATCH(O199,('Spell Tables'!$AD$97:$AD$102),0)),IF($P$222&gt;=O199,INDEX('Spell Tables'!$AJ$48:$AJ$61,MATCH(O199,('Spell Tables'!$AH$48:$AH$61),0)),IF($P$224&gt;=O199,INDEX('Spell Tables'!$AJ$26:$AJ$38,MATCH(O199,('Spell Tables'!$AH$26:$AH$38),0)),IF($P$226&gt;=O199,INDEX('Spell Tables'!$AJ$2:$AJ$17,MATCH(O199,('Spell Tables'!$AH$2:$AH$17),0))," "))))))))))</f>
        <v xml:space="preserve"> </v>
      </c>
      <c r="Q234" s="65" t="str">
        <f ca="1">IF($Q$208&gt;=O199,INDEX($AL$104:$AL$113,MATCH(O199,($AJ$104:$AJ$113),0)),IF($Q$212&gt;=O199,INDEX('Spell Tables'!$AN$168:$AN$177,MATCH(O199,('Spell Tables'!$AL$168:$AL$177),0)),IF($Q$222&gt;=O199,INDEX('Spell Tables'!$AN$48:$AN$56,MATCH(O199,('Spell Tables'!$AL$48:$AL$56),0)),IF($Q$224&gt;=O199,INDEX('Spell Tables'!$AN$26:$AN$35,MATCH(O199,('Spell Tables'!$AL$26:$AL$35),0)),IF($Q$226&gt;=O199,INDEX('Spell Tables'!$AN$2:$AN$8,MATCH(O199,('Spell Tables'!$AL$2:$AL$8),0))," ")))))</f>
        <v xml:space="preserve"> </v>
      </c>
      <c r="R234" s="65" t="str">
        <f ca="1">IF($R$208&gt;=O199,INDEX($AL$116:$AL$125,MATCH(O199,($AJ$116:$AJ$125),0)),IF($R$212&gt;=O199,INDEX('Spell Tables'!$AR$168:$AR$175,MATCH(O199,('Spell Tables'!$AP$168:$AP$175),0)),IF($R$222&gt;=O199,INDEX('Spell Tables'!$AR$48:$AR$52,MATCH(O199,('Spell Tables'!$AP$48:$AP$52),0)),IF($R$224&gt;=O199,INDEX('Spell Tables'!$AR$26:$AR$33,MATCH(O199,('Spell Tables'!$AP$26:$AP$33),0)),IF($R$226&gt;=O199,INDEX('Spell Tables'!$AR$2:$AR$11,MATCH(O199,('Spell Tables'!$AL$2:$AL$11),0))," ")))))</f>
        <v xml:space="preserve"> </v>
      </c>
      <c r="S234" s="65" t="str">
        <f ca="1">IF($S$208&gt;=O199,INDEX($AL$128:$AL$137,MATCH(O199,($AJ$128:$AJ$137),0)),IF($S$212&gt;=O199,INDEX('Spell Tables'!$AV$168:$AV$172,MATCH(O199,('Spell Tables'!$AT$168:$AT$172),0)),IF($S$222&gt;=O199,INDEX('Spell Tables'!$AV$48:$AV$54,MATCH(O199,('Spell Tables'!$AT$48:$AT$54),0)),IF($S$224&gt;=O199,INDEX('Spell Tables'!$AV$26:$AV$29,MATCH(O199,('Spell Tables'!$AT$26:$AT$29),0)),IF($S$226&gt;=O199,INDEX('Spell Tables'!$AV$2:$AV$6,MATCH(O199,('Spell Tables'!$AT$2:$AT$6),0))," ")))))</f>
        <v xml:space="preserve"> </v>
      </c>
      <c r="T234" s="66" t="str">
        <f ca="1">IF($T$222&gt;=O199,INDEX('Spell Tables'!$AZ$48:$AZ$51,MATCH(O199,('Spell Tables'!$AX$48:$AX$51),0)),IF($T$208&gt;=O199,INDEX($AL$140:$AL$149,MATCH(O199,($AJ$140:$AJ$149),0)),IF($T$212&gt;=O199,INDEX('Spell Tables'!$AZ$168:$AZ$172,MATCH(O199,('Spell Tables'!$AX$168:$AX$172),0)),IF($T$224&gt;=O199,INDEX('Spell Tables'!$AZ$26:$AZ$29,MATCH(O199,('Spell Tables'!$AX$26:$AX$29),0)),IF($T$226&gt;=O199,INDEX('Spell Tables'!$AZ$2:$AZ$5,MATCH(O199,('Spell Tables'!$AX$2:$AX$5),0))," ")))))</f>
        <v xml:space="preserve"> </v>
      </c>
    </row>
    <row r="235" spans="2:20" x14ac:dyDescent="0.3">
      <c r="N235" s="72"/>
      <c r="O235" s="133">
        <v>8</v>
      </c>
      <c r="P235" s="60" t="str">
        <f ca="1">IF(AND($O$15="Otherworldly patron - great old one",P$210&gt;=O200),INDEX('Spell Tables'!$AJ$226:$AJ$231,MATCH(O200,('Spell Tables'!$AH$226:$AH$231),0)),IF(AND($O$15="Otherworldly patron - fiend",P$210&gt;=O200),INDEX('Spell Tables'!$AJ$210:$AJ$215,MATCH(O200,('Spell Tables'!$AH$210:$AH$215),0)),IF(AND($O$15="Otherworldly patron - archfey",P$210&gt;=O200),INDEX('Spell Tables'!$AJ$194:$AJ$199,MATCH(O200,('Spell Tables'!$AH$194:$AH$199),0)),IF($P$208&gt;=O200,INDEX($AL$92:$AL$101,MATCH(O200,($AJ$92:$AJ$101),0)),IF($P$212&gt;=O200,INDEX('Spell Tables'!$AJ$168:$AJ$178,MATCH(O200,('Spell Tables'!$AH$168:$AH$178),0)),IF($P$216&gt;=O200,INDEX('Spell Tables'!$AF$119:$AF$122,MATCH(O200,('Spell Tables'!$AD$119:$AD$122),0)),IF($P$218&gt;=O200,INDEX('Spell Tables'!$AF$97:$AF$102,MATCH(O200,('Spell Tables'!$AD$97:$AD$102),0)),IF($P$222&gt;=O200,INDEX('Spell Tables'!$AJ$48:$AJ$61,MATCH(O200,('Spell Tables'!$AH$48:$AH$61),0)),IF($P$224&gt;=O200,INDEX('Spell Tables'!$AJ$26:$AJ$38,MATCH(O200,('Spell Tables'!$AH$26:$AH$38),0)),IF($P$226&gt;=O200,INDEX('Spell Tables'!$AJ$2:$AJ$17,MATCH(O200,('Spell Tables'!$AH$2:$AH$17),0))," "))))))))))</f>
        <v xml:space="preserve"> </v>
      </c>
      <c r="Q235" s="60" t="str">
        <f ca="1">IF($Q$208&gt;=O200,INDEX($AL$104:$AL$113,MATCH(O200,($AJ$104:$AJ$113),0)),IF($Q$212&gt;=O200,INDEX('Spell Tables'!$AN$168:$AN$177,MATCH(O200,('Spell Tables'!$AL$168:$AL$177),0)),IF($Q$222&gt;=O200,INDEX('Spell Tables'!$AN$48:$AN$56,MATCH(O200,('Spell Tables'!$AL$48:$AL$56),0)),IF($Q$224&gt;=O200,INDEX('Spell Tables'!$AN$26:$AN$35,MATCH(O200,('Spell Tables'!$AL$26:$AL$35),0)),IF($Q$226&gt;=O200,INDEX('Spell Tables'!$AN$2:$AN$8,MATCH(O200,('Spell Tables'!$AL$2:$AL$8),0))," ")))))</f>
        <v xml:space="preserve"> </v>
      </c>
      <c r="R235" s="60" t="str">
        <f ca="1">IF($R$208&gt;=O200,INDEX($AL$116:$AL$125,MATCH(O200,($AJ$116:$AJ$125),0)),IF($R$212&gt;=O200,INDEX('Spell Tables'!$AR$168:$AR$175,MATCH(O200,('Spell Tables'!$AP$168:$AP$175),0)),IF($R$222&gt;=O200,INDEX('Spell Tables'!$AR$48:$AR$52,MATCH(O200,('Spell Tables'!$AP$48:$AP$52),0)),IF($R$224&gt;=O200,INDEX('Spell Tables'!$AR$26:$AR$33,MATCH(O200,('Spell Tables'!$AP$26:$AP$33),0)),IF($R$226&gt;=O200,INDEX('Spell Tables'!$AR$2:$AR$11,MATCH(O200,('Spell Tables'!$AL$2:$AL$11),0))," ")))))</f>
        <v xml:space="preserve"> </v>
      </c>
      <c r="S235" s="60" t="str">
        <f ca="1">IF($S$208&gt;=O200,INDEX($AL$128:$AL$137,MATCH(O200,($AJ$128:$AJ$137),0)),IF($S$212&gt;=O200,INDEX('Spell Tables'!$AV$168:$AV$172,MATCH(O200,('Spell Tables'!$AT$168:$AT$172),0)),IF($S$222&gt;=O200,INDEX('Spell Tables'!$AV$48:$AV$54,MATCH(O200,('Spell Tables'!$AT$48:$AT$54),0)),IF($S$224&gt;=O200,INDEX('Spell Tables'!$AV$26:$AV$29,MATCH(O200,('Spell Tables'!$AT$26:$AT$29),0)),IF($S$226&gt;=O200,INDEX('Spell Tables'!$AV$2:$AV$6,MATCH(O200,('Spell Tables'!$AT$2:$AT$6),0))," ")))))</f>
        <v xml:space="preserve"> </v>
      </c>
      <c r="T235" s="63" t="str">
        <f ca="1">IF($T$222&gt;=O200,INDEX('Spell Tables'!$AZ$48:$AZ$51,MATCH(O200,('Spell Tables'!$AX$48:$AX$51),0)),IF($T$208&gt;=O200,INDEX($AL$140:$AL$149,MATCH(O200,($AJ$140:$AJ$149),0)),IF($T$212&gt;=O200,INDEX('Spell Tables'!$AZ$168:$AZ$172,MATCH(O200,('Spell Tables'!$AX$168:$AX$172),0)),IF($T$224&gt;=O200,INDEX('Spell Tables'!$AZ$26:$AZ$29,MATCH(O200,('Spell Tables'!$AX$26:$AX$29),0)),IF($T$226&gt;=O200,INDEX('Spell Tables'!$AZ$2:$AZ$5,MATCH(O200,('Spell Tables'!$AX$2:$AX$5),0))," ")))))</f>
        <v xml:space="preserve"> </v>
      </c>
    </row>
    <row r="236" spans="2:20" x14ac:dyDescent="0.3">
      <c r="N236" s="72"/>
      <c r="O236" s="86">
        <v>9</v>
      </c>
      <c r="P236" s="65" t="str">
        <f ca="1">IF(AND($O$15="Otherworldly patron - great old one",P$210&gt;=O201),INDEX('Spell Tables'!$AJ$226:$AJ$231,MATCH(O201,('Spell Tables'!$AH$226:$AH$231),0)),IF(AND($O$15="Otherworldly patron - fiend",P$210&gt;=O201),INDEX('Spell Tables'!$AJ$210:$AJ$215,MATCH(O201,('Spell Tables'!$AH$210:$AH$215),0)),IF(AND($O$15="Otherworldly patron - archfey",P$210&gt;=O201),INDEX('Spell Tables'!$AJ$194:$AJ$199,MATCH(O201,('Spell Tables'!$AH$194:$AH$199),0)),IF($P$208&gt;=O201,INDEX($AL$92:$AL$101,MATCH(O201,($AJ$92:$AJ$101),0)),IF($P$212&gt;=O201,INDEX('Spell Tables'!$AJ$168:$AJ$178,MATCH(O201,('Spell Tables'!$AH$168:$AH$178),0)),IF($P$216&gt;=O201,INDEX('Spell Tables'!$AF$119:$AF$122,MATCH(O201,('Spell Tables'!$AD$119:$AD$122),0)),IF($P$218&gt;=O201,INDEX('Spell Tables'!$AF$97:$AF$102,MATCH(O201,('Spell Tables'!$AD$97:$AD$102),0)),IF($P$222&gt;=O201,INDEX('Spell Tables'!$AJ$48:$AJ$61,MATCH(O201,('Spell Tables'!$AH$48:$AH$61),0)),IF($P$224&gt;=O201,INDEX('Spell Tables'!$AJ$26:$AJ$38,MATCH(O201,('Spell Tables'!$AH$26:$AH$38),0)),IF($P$226&gt;=O201,INDEX('Spell Tables'!$AJ$2:$AJ$17,MATCH(O201,('Spell Tables'!$AH$2:$AH$17),0))," "))))))))))</f>
        <v xml:space="preserve"> </v>
      </c>
      <c r="Q236" s="65" t="str">
        <f ca="1">IF($Q$208&gt;=O201,INDEX($AL$104:$AL$113,MATCH(O201,($AJ$104:$AJ$113),0)),IF($Q$212&gt;=O201,INDEX('Spell Tables'!$AN$168:$AN$177,MATCH(O201,('Spell Tables'!$AL$168:$AL$177),0)),IF($Q$222&gt;=O201,INDEX('Spell Tables'!$AN$48:$AN$56,MATCH(O201,('Spell Tables'!$AL$48:$AL$56),0)),IF($Q$224&gt;=O201,INDEX('Spell Tables'!$AN$26:$AN$35,MATCH(O201,('Spell Tables'!$AL$26:$AL$35),0)),IF($Q$226&gt;=O201,INDEX('Spell Tables'!$AN$2:$AN$8,MATCH(O201,('Spell Tables'!$AL$2:$AL$8),0))," ")))))</f>
        <v xml:space="preserve"> </v>
      </c>
      <c r="R236" s="65" t="str">
        <f ca="1">IF($R$208&gt;=O201,INDEX($AL$116:$AL$125,MATCH(O201,($AJ$116:$AJ$125),0)),IF($R$212&gt;=O201,INDEX('Spell Tables'!$AR$168:$AR$175,MATCH(O201,('Spell Tables'!$AP$168:$AP$175),0)),IF($R$222&gt;=O201,INDEX('Spell Tables'!$AR$48:$AR$52,MATCH(O201,('Spell Tables'!$AP$48:$AP$52),0)),IF($R$224&gt;=O201,INDEX('Spell Tables'!$AR$26:$AR$33,MATCH(O201,('Spell Tables'!$AP$26:$AP$33),0)),IF($R$226&gt;=O201,INDEX('Spell Tables'!$AR$2:$AR$11,MATCH(O201,('Spell Tables'!$AL$2:$AL$11),0))," ")))))</f>
        <v xml:space="preserve"> </v>
      </c>
      <c r="S236" s="65" t="str">
        <f ca="1">IF($S$208&gt;=O201,INDEX($AL$128:$AL$137,MATCH(O201,($AJ$128:$AJ$137),0)),IF($S$212&gt;=O201,INDEX('Spell Tables'!$AV$168:$AV$172,MATCH(O201,('Spell Tables'!$AT$168:$AT$172),0)),IF($S$222&gt;=O201,INDEX('Spell Tables'!$AV$48:$AV$54,MATCH(O201,('Spell Tables'!$AT$48:$AT$54),0)),IF($S$224&gt;=O201,INDEX('Spell Tables'!$AV$26:$AV$29,MATCH(O201,('Spell Tables'!$AT$26:$AT$29),0)),IF($S$226&gt;=O201,INDEX('Spell Tables'!$AV$2:$AV$6,MATCH(O201,('Spell Tables'!$AT$2:$AT$6),0))," ")))))</f>
        <v xml:space="preserve"> </v>
      </c>
      <c r="T236" s="66" t="str">
        <f ca="1">IF($T$222&gt;=O201,INDEX('Spell Tables'!$AZ$48:$AZ$51,MATCH(O201,('Spell Tables'!$AX$48:$AX$51),0)),IF($T$208&gt;=O201,INDEX($AL$140:$AL$149,MATCH(O201,($AJ$140:$AJ$149),0)),IF($T$212&gt;=O201,INDEX('Spell Tables'!$AZ$168:$AZ$172,MATCH(O201,('Spell Tables'!$AX$168:$AX$172),0)),IF($T$224&gt;=O201,INDEX('Spell Tables'!$AZ$26:$AZ$29,MATCH(O201,('Spell Tables'!$AX$26:$AX$29),0)),IF($T$226&gt;=O201,INDEX('Spell Tables'!$AZ$2:$AZ$5,MATCH(O201,('Spell Tables'!$AX$2:$AX$5),0))," ")))))</f>
        <v xml:space="preserve"> </v>
      </c>
    </row>
    <row r="237" spans="2:20" ht="19.5" thickBot="1" x14ac:dyDescent="0.35">
      <c r="N237" s="72"/>
      <c r="O237" s="134">
        <v>10</v>
      </c>
      <c r="P237" s="67" t="str">
        <f ca="1">IF(AND($O$15="Otherworldly patron - great old one",P$210&gt;=O202),INDEX('Spell Tables'!$AJ$226:$AJ$231,MATCH(O202,('Spell Tables'!$AH$226:$AH$231),0)),IF(AND($O$15="Otherworldly patron - fiend",P$210&gt;=O202),INDEX('Spell Tables'!$AJ$210:$AJ$215,MATCH(O202,('Spell Tables'!$AH$210:$AH$215),0)),IF(AND($O$15="Otherworldly patron - archfey",P$210&gt;=O202),INDEX('Spell Tables'!$AJ$194:$AJ$199,MATCH(O202,('Spell Tables'!$AH$194:$AH$199),0)),IF($P$208&gt;=O202,INDEX($AL$92:$AL$101,MATCH(O202,($AJ$92:$AJ$101),0)),IF($P$212&gt;=O202,INDEX('Spell Tables'!$AJ$168:$AJ$178,MATCH(O202,('Spell Tables'!$AH$168:$AH$178),0)),IF($P$216&gt;=O202,INDEX('Spell Tables'!$AF$119:$AF$122,MATCH(O202,('Spell Tables'!$AD$119:$AD$122),0)),IF($P$218&gt;=O202,INDEX('Spell Tables'!$AF$97:$AF$102,MATCH(O202,('Spell Tables'!$AD$97:$AD$102),0)),IF($P$222&gt;=O202,INDEX('Spell Tables'!$AJ$48:$AJ$61,MATCH(O202,('Spell Tables'!$AH$48:$AH$61),0)),IF($P$224&gt;=O202,INDEX('Spell Tables'!$AJ$26:$AJ$38,MATCH(O202,('Spell Tables'!$AH$26:$AH$38),0)),IF($P$226&gt;=O202,INDEX('Spell Tables'!$AJ$2:$AJ$17,MATCH(O202,('Spell Tables'!$AH$2:$AH$17),0))," "))))))))))</f>
        <v xml:space="preserve"> </v>
      </c>
      <c r="Q237" s="67" t="str">
        <f ca="1">IF($Q$208&gt;=O202,INDEX($AL$104:$AL$113,MATCH(O202,($AJ$104:$AJ$113),0)),IF($Q$212&gt;=O202,INDEX('Spell Tables'!$AN$168:$AN$177,MATCH(O202,('Spell Tables'!$AL$168:$AL$177),0)),IF($Q$222&gt;=O202,INDEX('Spell Tables'!$AN$48:$AN$56,MATCH(O202,('Spell Tables'!$AL$48:$AL$56),0)),IF($Q$224&gt;=O202,INDEX('Spell Tables'!$AN$26:$AN$35,MATCH(O202,('Spell Tables'!$AL$26:$AL$35),0)),IF($Q$226&gt;=O202,INDEX('Spell Tables'!$AN$2:$AN$8,MATCH(O202,('Spell Tables'!$AL$2:$AL$8),0))," ")))))</f>
        <v xml:space="preserve"> </v>
      </c>
      <c r="R237" s="67" t="str">
        <f ca="1">IF($R$208&gt;=O202,INDEX($AL$116:$AL$125,MATCH(O202,($AJ$116:$AJ$125),0)),IF($R$212&gt;=O202,INDEX('Spell Tables'!$AR$168:$AR$175,MATCH(O202,('Spell Tables'!$AP$168:$AP$175),0)),IF($R$222&gt;=O202,INDEX('Spell Tables'!$AR$48:$AR$52,MATCH(O202,('Spell Tables'!$AP$48:$AP$52),0)),IF($R$224&gt;=O202,INDEX('Spell Tables'!$AR$26:$AR$33,MATCH(O202,('Spell Tables'!$AP$26:$AP$33),0)),IF($R$226&gt;=O202,INDEX('Spell Tables'!$AR$2:$AR$11,MATCH(O202,('Spell Tables'!$AL$2:$AL$11),0))," ")))))</f>
        <v xml:space="preserve"> </v>
      </c>
      <c r="S237" s="67" t="str">
        <f ca="1">IF($S$208&gt;=O202,INDEX($AL$128:$AL$137,MATCH(O202,($AJ$128:$AJ$137),0)),IF($S$212&gt;=O202,INDEX('Spell Tables'!$AV$168:$AV$172,MATCH(O202,('Spell Tables'!$AT$168:$AT$172),0)),IF($S$222&gt;=O202,INDEX('Spell Tables'!$AV$48:$AV$54,MATCH(O202,('Spell Tables'!$AT$48:$AT$54),0)),IF($S$224&gt;=O202,INDEX('Spell Tables'!$AV$26:$AV$29,MATCH(O202,('Spell Tables'!$AT$26:$AT$29),0)),IF($S$226&gt;=O202,INDEX('Spell Tables'!$AV$2:$AV$6,MATCH(O202,('Spell Tables'!$AT$2:$AT$6),0))," ")))))</f>
        <v xml:space="preserve"> </v>
      </c>
      <c r="T237" s="68" t="str">
        <f ca="1">IF($T$222&gt;=O202,INDEX('Spell Tables'!$AZ$48:$AZ$51,MATCH(O202,('Spell Tables'!$AX$48:$AX$51),0)),IF($T$208&gt;=O202,INDEX($AL$140:$AL$149,MATCH(O202,($AJ$140:$AJ$149),0)),IF($T$212&gt;=O202,INDEX('Spell Tables'!$AZ$168:$AZ$172,MATCH(O202,('Spell Tables'!$AX$168:$AX$172),0)),IF($T$224&gt;=O202,INDEX('Spell Tables'!$AZ$26:$AZ$29,MATCH(O202,('Spell Tables'!$AX$26:$AX$29),0)),IF($T$226&gt;=O202,INDEX('Spell Tables'!$AZ$2:$AZ$5,MATCH(O202,('Spell Tables'!$AX$2:$AX$5),0))," ")))))</f>
        <v xml:space="preserve"> </v>
      </c>
    </row>
    <row r="238" spans="2:20" ht="19.5" thickBot="1" x14ac:dyDescent="0.35"/>
    <row r="239" spans="2:20" ht="30.75" thickBot="1" x14ac:dyDescent="0.45">
      <c r="B239" s="105" t="s">
        <v>1323</v>
      </c>
      <c r="C239" s="57"/>
      <c r="D239" s="57"/>
      <c r="E239" s="57"/>
      <c r="F239" s="57"/>
      <c r="G239" s="57"/>
      <c r="H239" s="57"/>
      <c r="I239" s="57"/>
      <c r="J239" s="57"/>
      <c r="K239" s="57"/>
      <c r="L239" s="57"/>
      <c r="M239" s="57"/>
      <c r="N239" s="57"/>
      <c r="O239" s="57"/>
      <c r="P239" s="57"/>
      <c r="Q239" s="57"/>
      <c r="R239" s="57"/>
      <c r="S239" s="57"/>
    </row>
    <row r="240" spans="2:20" ht="19.5" thickBot="1" x14ac:dyDescent="0.35">
      <c r="B240" s="33"/>
      <c r="C240" s="27"/>
      <c r="D240" s="27"/>
      <c r="E240" s="27"/>
      <c r="F240" s="27"/>
      <c r="G240" s="27"/>
      <c r="H240" s="27"/>
      <c r="I240" s="27"/>
      <c r="J240" s="27"/>
      <c r="K240" s="27"/>
      <c r="L240" s="27"/>
      <c r="M240" s="27"/>
      <c r="O240" s="27"/>
      <c r="P240" s="87" t="s">
        <v>1341</v>
      </c>
      <c r="Q240" s="94" t="str">
        <f ca="1">IF($Q$11="warlock",INDEX('Spell Tables'!$D$194:$D$213,MATCH($Q$12,('Spell Tables'!$A$194:$A$213),0))," ")</f>
        <v xml:space="preserve"> </v>
      </c>
      <c r="R240" s="89" t="s">
        <v>1340</v>
      </c>
      <c r="S240" s="90" t="str">
        <f ca="1">IF($Q$11="warlock",INDEX('Spell Tables'!$E$194:$E$213,MATCH($Q$12,('Spell Tables'!$A$194:$A$213),0))," ")</f>
        <v xml:space="preserve"> </v>
      </c>
      <c r="T240" s="27"/>
    </row>
    <row r="241" spans="2:20" hidden="1" x14ac:dyDescent="0.3">
      <c r="B241" s="92" t="s">
        <v>1270</v>
      </c>
      <c r="C241" s="33"/>
      <c r="D241" s="33"/>
      <c r="E241" s="33"/>
      <c r="F241" s="33"/>
      <c r="G241" s="33"/>
      <c r="H241" s="33"/>
      <c r="I241" s="33"/>
      <c r="J241" s="33"/>
      <c r="K241" s="33"/>
      <c r="L241" s="33"/>
      <c r="M241" s="33"/>
      <c r="O241" s="33" t="s">
        <v>530</v>
      </c>
      <c r="P241" s="33" t="s">
        <v>530</v>
      </c>
      <c r="Q241" s="114" t="str">
        <f ca="1">IF(AND(Q11="wizard",Q12&gt;=3),"x",IF(Q11="wizard","xx"," "))</f>
        <v xml:space="preserve"> </v>
      </c>
      <c r="R241" s="114" t="str">
        <f ca="1">IF(AND(Q11="wizard",Q12&gt;=5),"x",IF(AND($Q$11="wizard",$Q$12&gt;=3),"xx"," "))</f>
        <v xml:space="preserve"> </v>
      </c>
      <c r="S241" s="114" t="str">
        <f ca="1">IF(AND(Q11="Wizard",Q12&gt;=7),"x",IF(AND($Q$11="wizard",$Q$12&gt;5),"xx",IF(AND(Q11="wizard",Q12=5),"xxx"," ")))</f>
        <v xml:space="preserve"> </v>
      </c>
      <c r="T241" s="114" t="str">
        <f ca="1">IF(AND(Q11="wizard",Q12&gt;=9),"x",IF(AND($Q$11="wizard",$Q$12&gt;7),"xx",IF(AND(Q11="wizard",Q12=7),"xxx"," ")))</f>
        <v xml:space="preserve"> </v>
      </c>
    </row>
    <row r="242" spans="2:20" hidden="1" x14ac:dyDescent="0.3">
      <c r="B242" s="92" t="s">
        <v>1272</v>
      </c>
      <c r="C242" s="33"/>
      <c r="D242" s="33"/>
      <c r="E242" s="33"/>
      <c r="F242" s="33"/>
      <c r="G242" s="33"/>
      <c r="H242" s="33"/>
      <c r="I242" s="33"/>
      <c r="J242" s="33"/>
      <c r="K242" s="33"/>
      <c r="L242" s="33"/>
      <c r="M242" s="33"/>
      <c r="O242" s="33" t="str">
        <f ca="1">IF(Q11="wizard",N41+Q12," ")</f>
        <v xml:space="preserve"> </v>
      </c>
      <c r="P242" s="33">
        <f ca="1">IF(Q11="wizard",INDEX('Spell Tables'!C242:C261,MATCH(Q12,('Spell Tables'!B242:B261),0)),0)</f>
        <v>0</v>
      </c>
      <c r="Q242" s="114">
        <f ca="1">IF($Q241="x",RANDBETWEEN(1,2),IF($Q241="xx",$O$242,0))</f>
        <v>0</v>
      </c>
      <c r="R242" s="114">
        <f ca="1">IF(R241="x",RANDBETWEEN(1,2),IF(R241="xx",$O$242-Q242,0))</f>
        <v>0</v>
      </c>
      <c r="S242" s="114">
        <f ca="1">IF(S241="x",O242-SUM(Q242:R242,U169:X169),IF(S241="xx",$O$242-SUM(Q242:R242),0))</f>
        <v>0</v>
      </c>
      <c r="T242" s="114">
        <f ca="1">IF(T241="x",RANDBETWEEN(1,2),IF(T241="xx",RANDBETWEEN(2,3),IF(T241="xxx",RANDBETWEEN(1,2),0)))</f>
        <v>0</v>
      </c>
    </row>
    <row r="243" spans="2:20" hidden="1" x14ac:dyDescent="0.3">
      <c r="B243" s="92" t="s">
        <v>1269</v>
      </c>
      <c r="C243" s="33"/>
      <c r="D243" s="33"/>
      <c r="E243" s="33"/>
      <c r="F243" s="33"/>
      <c r="G243" s="33"/>
      <c r="H243" s="33"/>
      <c r="I243" s="33"/>
      <c r="J243" s="33"/>
      <c r="K243" s="33"/>
      <c r="L243" s="33"/>
      <c r="M243" s="33"/>
      <c r="O243" s="33" t="s">
        <v>530</v>
      </c>
      <c r="P243" s="33" t="s">
        <v>530</v>
      </c>
      <c r="Q243" s="114" t="str">
        <f ca="1">IF(AND($Q$11="warlock",$Q$12&gt;=3),"x",IF(Q11="warlock","xx"," "))</f>
        <v xml:space="preserve"> </v>
      </c>
      <c r="R243" s="114" t="str">
        <f ca="1">IF(AND($Q$11="warlock",$Q$12&gt;=5),"x",IF(AND($Q$11="warlock",$Q$12&gt;=3),"xx"," "))</f>
        <v xml:space="preserve"> </v>
      </c>
      <c r="S243" s="114" t="str">
        <f ca="1">IF(AND($Q$11="warlock",$Q$12&gt;=7),"x",IF(AND($Q$11="warlock",$Q$12&gt;=5),"xx"," "))</f>
        <v xml:space="preserve"> </v>
      </c>
      <c r="T243" s="114" t="str">
        <f ca="1">IF(AND($Q$11="warlock",$Q$12&gt;=9),"x",IF(AND($Q$11="warlock",$Q$12&gt;=7),"xx"," "))</f>
        <v xml:space="preserve"> </v>
      </c>
    </row>
    <row r="244" spans="2:20" hidden="1" x14ac:dyDescent="0.3">
      <c r="B244" s="92" t="s">
        <v>1268</v>
      </c>
      <c r="C244" s="33"/>
      <c r="D244" s="33"/>
      <c r="E244" s="33"/>
      <c r="F244" s="33"/>
      <c r="G244" s="33"/>
      <c r="H244" s="33"/>
      <c r="I244" s="33"/>
      <c r="J244" s="33"/>
      <c r="K244" s="33"/>
      <c r="L244" s="33"/>
      <c r="M244" s="33"/>
      <c r="O244" s="33" t="str">
        <f ca="1">IF(Q11="warlock",INDEX('Spell Tables'!C194:C213,MATCH($Q$12,('Spell Tables'!A194:A213),0))," ")</f>
        <v xml:space="preserve"> </v>
      </c>
      <c r="P244" s="33">
        <f ca="1">IF($Q$11="warlock",INDEX('Spell Tables'!B194:B213,MATCH($Q$12,('Spell Tables'!A194:A213),0)),0)</f>
        <v>0</v>
      </c>
      <c r="Q244" s="114">
        <f ca="1">IF($Q243="x",RANDBETWEEN(1,2),IF($Q243="xx",$O$244,0))</f>
        <v>0</v>
      </c>
      <c r="R244" s="114">
        <f ca="1">IF(R243="x",RANDBETWEEN(1,2),IF(R243="xx",$O$244-Q244,0))</f>
        <v>0</v>
      </c>
      <c r="S244" s="114">
        <f ca="1">IF(S243="x",O244-SUM(Q244:R244,U171:X171),IF(S243="xx",$O$244-SUM(Q244:R244),0))</f>
        <v>0</v>
      </c>
      <c r="T244" s="114">
        <f ca="1">IF(T243="x",RANDBETWEEN(1,2),IF(T243="xx",RANDBETWEEN(2,3),0))</f>
        <v>0</v>
      </c>
    </row>
    <row r="245" spans="2:20" hidden="1" x14ac:dyDescent="0.3">
      <c r="B245" s="92" t="s">
        <v>1267</v>
      </c>
      <c r="C245" s="33"/>
      <c r="D245" s="33"/>
      <c r="E245" s="33"/>
      <c r="F245" s="33"/>
      <c r="G245" s="33"/>
      <c r="H245" s="33"/>
      <c r="I245" s="33"/>
      <c r="J245" s="33"/>
      <c r="K245" s="33"/>
      <c r="L245" s="33"/>
      <c r="M245" s="33"/>
      <c r="O245" s="33" t="s">
        <v>530</v>
      </c>
      <c r="P245" s="33" t="s">
        <v>530</v>
      </c>
      <c r="Q245" s="114" t="str">
        <f ca="1">IF(AND($Q$11="sorcerer",$Q$12&gt;=3),"x",IF($Q$11="sorcerer","xx"," "))</f>
        <v xml:space="preserve"> </v>
      </c>
      <c r="R245" s="114" t="str">
        <f ca="1">IF(AND($Q$11="sorcerer",$Q$12&gt;=5),"x",IF(AND($Q$11="sorcerer",$Q$12&gt;=3),"xx"," "))</f>
        <v xml:space="preserve"> </v>
      </c>
      <c r="S245" s="114" t="str">
        <f ca="1">IF(AND($Q$11="sorcerer",$Q$12&gt;=7),"x",IF(AND($Q$11="sorcerer",$Q$12&gt;=5),"xx"," "))</f>
        <v xml:space="preserve"> </v>
      </c>
      <c r="T245" s="114" t="str">
        <f ca="1">IF(AND($Q$11="sorcerer",$Q$12&gt;=9),"x",IF(AND($Q$11="sorcerer",$Q$12&gt;=7),"xx"," "))</f>
        <v xml:space="preserve"> </v>
      </c>
    </row>
    <row r="246" spans="2:20" hidden="1" x14ac:dyDescent="0.3">
      <c r="B246" s="92" t="s">
        <v>1266</v>
      </c>
      <c r="C246" s="33"/>
      <c r="D246" s="33"/>
      <c r="E246" s="33"/>
      <c r="F246" s="33"/>
      <c r="G246" s="33"/>
      <c r="H246" s="33"/>
      <c r="I246" s="33"/>
      <c r="J246" s="33"/>
      <c r="K246" s="33"/>
      <c r="L246" s="33"/>
      <c r="M246" s="33"/>
      <c r="O246" s="33" t="str">
        <f ca="1">IF(Q11="sorcerer",INDEX('Spell Tables'!C168:C187,MATCH($Q$12,('Spell Tables'!A168:A187),0))," ")</f>
        <v xml:space="preserve"> </v>
      </c>
      <c r="P246" s="33">
        <f ca="1">IF($Q$11="sorcerer",INDEX('Spell Tables'!B168:B187,MATCH($Q$12,('Spell Tables'!A168:A187),0)),0)</f>
        <v>0</v>
      </c>
      <c r="Q246" s="114">
        <f ca="1">IF($Q245="x",RANDBETWEEN(1,2),IF($Q245="xx",$O$246,0))</f>
        <v>0</v>
      </c>
      <c r="R246" s="114">
        <f ca="1">IF(R245="x",RANDBETWEEN(1,2),IF(R245="xx",$O$246-Q246,0))</f>
        <v>0</v>
      </c>
      <c r="S246" s="114">
        <f ca="1">IF(S245="x",O246-SUM(Q246:R246,U173:X173),IF(S245="xx",$O$246-SUM(Q246:R246),0))</f>
        <v>0</v>
      </c>
      <c r="T246" s="114">
        <f ca="1">IF(T245="x",RANDBETWEEN(1,2),IF(T245="xx",RANDBETWEEN(2,3),0))</f>
        <v>0</v>
      </c>
    </row>
    <row r="247" spans="2:20" hidden="1" x14ac:dyDescent="0.3">
      <c r="B247" s="92" t="s">
        <v>1254</v>
      </c>
      <c r="C247" s="33"/>
      <c r="D247" s="33"/>
      <c r="E247" s="33"/>
      <c r="F247" s="33"/>
      <c r="G247" s="33"/>
      <c r="H247" s="33"/>
      <c r="I247" s="33"/>
      <c r="J247" s="33"/>
      <c r="K247" s="33"/>
      <c r="L247" s="33"/>
      <c r="M247" s="33"/>
      <c r="O247" s="33" t="s">
        <v>530</v>
      </c>
      <c r="P247" s="33" t="s">
        <v>530</v>
      </c>
      <c r="Q247" s="114" t="str">
        <f ca="1">IF(AND(R15="arcane trickster",Q12&gt;=7),"x",IF(R15="arcane trickster","xx"," "))</f>
        <v xml:space="preserve"> </v>
      </c>
      <c r="R247" s="114" t="str">
        <f ca="1">IF(AND(R15="arcane trickster",Q12=13),"x",IF(AND(R15="arcane trickster",$Q$12&gt;=7),"xx"," "))</f>
        <v xml:space="preserve"> </v>
      </c>
      <c r="S247" s="114" t="str">
        <f ca="1">IF(AND(R15="arcane trickster",Q12&gt;=19),"x",IF(AND(R15="arcane trickster",$Q$12&gt;=13),"xx"," "))</f>
        <v xml:space="preserve"> </v>
      </c>
      <c r="T247" s="114" t="str">
        <f ca="1">IF(AND(R15="arcane trickster",$Q$12&gt;=19),"xx"," ")</f>
        <v xml:space="preserve"> </v>
      </c>
    </row>
    <row r="248" spans="2:20" hidden="1" x14ac:dyDescent="0.3">
      <c r="B248" s="92" t="s">
        <v>1253</v>
      </c>
      <c r="C248" s="33"/>
      <c r="D248" s="33"/>
      <c r="E248" s="33"/>
      <c r="F248" s="33"/>
      <c r="G248" s="33"/>
      <c r="H248" s="33"/>
      <c r="I248" s="33"/>
      <c r="J248" s="33"/>
      <c r="K248" s="33"/>
      <c r="L248" s="33"/>
      <c r="M248" s="33"/>
      <c r="O248" s="33" t="str">
        <f ca="1">IF(R15="arcane trickster",INDEX('Spell Tables'!C141:C160,MATCH($Q$12,('Spell Tables'!A141:A160),0))," ")</f>
        <v xml:space="preserve"> </v>
      </c>
      <c r="P248" s="33">
        <f ca="1">IF($R$15="arcane trickster",INDEX('Spell Tables'!B141:B160,MATCH($Q$12,('Spell Tables'!A141:A160),0)),0)</f>
        <v>0</v>
      </c>
      <c r="Q248" s="114">
        <f ca="1">IF($Q247="x",RANDBETWEEN(2,3),IF($Q247="xx",$O$248,0))</f>
        <v>0</v>
      </c>
      <c r="R248" s="114">
        <f ca="1">IF(R247="x",RANDBETWEEN(2,3),IF(R247="xx",$O$248-Q248,0))</f>
        <v>0</v>
      </c>
      <c r="S248" s="114">
        <f ca="1">IF(S247="x",O248-SUM(Q248:R248,U175:X175),IF(S247="xx",$O$248-SUM(Q248:R248),0))</f>
        <v>0</v>
      </c>
      <c r="T248" s="114">
        <f ca="1">IF(T247="x",RANDBETWEEN(1,2),IF(T247="xx",RANDBETWEEN(2,3),0))</f>
        <v>0</v>
      </c>
    </row>
    <row r="249" spans="2:20" hidden="1" x14ac:dyDescent="0.3">
      <c r="B249" s="92" t="s">
        <v>1247</v>
      </c>
      <c r="C249" s="33"/>
      <c r="D249" s="33"/>
      <c r="E249" s="33"/>
      <c r="F249" s="33"/>
      <c r="G249" s="33"/>
      <c r="H249" s="33"/>
      <c r="I249" s="33"/>
      <c r="J249" s="33"/>
      <c r="K249" s="33"/>
      <c r="L249" s="33"/>
      <c r="M249" s="33"/>
      <c r="O249" s="33" t="s">
        <v>530</v>
      </c>
      <c r="P249" s="33" t="s">
        <v>1324</v>
      </c>
      <c r="Q249" s="114" t="str">
        <f ca="1">IF(AND($Q$11="ranger",$Q$12&gt;=5),"x",IF(AND(Q11="ranger",Q12&gt;=2),"xx"," "))</f>
        <v xml:space="preserve"> </v>
      </c>
      <c r="R249" s="114" t="str">
        <f ca="1">IF(AND($Q$11="ranger",$Q$12&gt;=9),"x",IF(AND($Q$11="ranger",$Q$12&gt;=5),"xx"," "))</f>
        <v xml:space="preserve"> </v>
      </c>
      <c r="S249" s="114" t="str">
        <f ca="1">IF(AND($Q$11="ranger",$Q$12&gt;=13),"x",IF(AND($Q$11="ranger",$Q$12&gt;=9),"xx"," "))</f>
        <v xml:space="preserve"> </v>
      </c>
      <c r="T249" s="114" t="str">
        <f ca="1">IF(AND($Q$11="ranger",$Q$12&gt;=17),"x",IF(AND($Q$11="ranger",$Q$12&gt;=13),"xx"," "))</f>
        <v xml:space="preserve"> </v>
      </c>
    </row>
    <row r="250" spans="2:20" hidden="1" x14ac:dyDescent="0.3">
      <c r="B250" s="92" t="s">
        <v>1246</v>
      </c>
      <c r="C250" s="33"/>
      <c r="D250" s="33"/>
      <c r="E250" s="33"/>
      <c r="F250" s="33"/>
      <c r="G250" s="33"/>
      <c r="H250" s="33"/>
      <c r="I250" s="33"/>
      <c r="J250" s="33"/>
      <c r="K250" s="33"/>
      <c r="L250" s="33"/>
      <c r="M250" s="33"/>
      <c r="O250" s="33" t="str">
        <f ca="1">IF($Q$11="ranger",INDEX('Spell Tables'!C119:C138,MATCH($Q$12,('Spell Tables'!B119:B138),0))," ")</f>
        <v xml:space="preserve"> </v>
      </c>
      <c r="P250" s="33" t="s">
        <v>1324</v>
      </c>
      <c r="Q250" s="114">
        <f ca="1">IF($Q249="x",RANDBETWEEN(1,2),IF($Q249="xx",$O$250,0))</f>
        <v>0</v>
      </c>
      <c r="R250" s="114">
        <f ca="1">IF(R249="x",RANDBETWEEN(1,2),IF(R249="xx",$O$250-Q250,0))</f>
        <v>0</v>
      </c>
      <c r="S250" s="114">
        <f ca="1">IF(S249="x",O250-SUM(Q250:R250,U177:X177),IF(S249="xx",$O$250-SUM(Q250:R250),0))</f>
        <v>0</v>
      </c>
      <c r="T250" s="114">
        <f ca="1">IF(T249="x",RANDBETWEEN(1,2),IF(T249="xx",RANDBETWEEN(2,3),0))</f>
        <v>0</v>
      </c>
    </row>
    <row r="251" spans="2:20" hidden="1" x14ac:dyDescent="0.3">
      <c r="B251" s="92" t="s">
        <v>1245</v>
      </c>
      <c r="C251" s="33"/>
      <c r="D251" s="33"/>
      <c r="E251" s="33"/>
      <c r="F251" s="33"/>
      <c r="G251" s="33"/>
      <c r="H251" s="33"/>
      <c r="I251" s="33"/>
      <c r="J251" s="33"/>
      <c r="K251" s="33"/>
      <c r="L251" s="33"/>
      <c r="M251" s="33"/>
      <c r="O251" s="33" t="s">
        <v>530</v>
      </c>
      <c r="P251" s="33" t="s">
        <v>1324</v>
      </c>
      <c r="Q251" s="114" t="str">
        <f ca="1">IF(AND($Q$11="paladin",$Q$12&gt;=5),"x",IF($Q$11="paladin","xx"," "))</f>
        <v xml:space="preserve"> </v>
      </c>
      <c r="R251" s="114" t="str">
        <f ca="1">IF(AND(Q11="paladin",Q12&gt;=9),"x",IF(AND($Q$11="paladin",$Q$12&gt;=5),"xx"," "))</f>
        <v xml:space="preserve"> </v>
      </c>
      <c r="S251" s="114" t="str">
        <f ca="1">IF(AND(Q11="paladin",Q12&gt;=13),"x",IF(AND($Q$11="paladin",$Q$12&gt;=9),"xx"," "))</f>
        <v xml:space="preserve"> </v>
      </c>
      <c r="T251" s="114" t="str">
        <f ca="1">IF(AND(Q11="paladin",Q12&gt;=17),"x",IF(AND($Q$11="paladin",$Q$12&gt;=13),"xx"," "))</f>
        <v xml:space="preserve"> </v>
      </c>
    </row>
    <row r="252" spans="2:20" hidden="1" x14ac:dyDescent="0.3">
      <c r="B252" s="92" t="s">
        <v>1244</v>
      </c>
      <c r="C252" s="33"/>
      <c r="D252" s="33"/>
      <c r="E252" s="33"/>
      <c r="F252" s="33"/>
      <c r="G252" s="33"/>
      <c r="H252" s="33"/>
      <c r="I252" s="33"/>
      <c r="J252" s="33"/>
      <c r="K252" s="33"/>
      <c r="L252" s="33"/>
      <c r="M252" s="33"/>
      <c r="O252" s="33" t="str">
        <f ca="1">IF(Q11="paladin",ROUNDDOWN(N43+(Q12*0.5),0)," ")</f>
        <v xml:space="preserve"> </v>
      </c>
      <c r="P252" s="33" t="s">
        <v>1324</v>
      </c>
      <c r="Q252" s="114">
        <f ca="1">IF($Q251="x",RANDBETWEEN(1,2),IF($Q251="xx",$O$252,0))</f>
        <v>0</v>
      </c>
      <c r="R252" s="114">
        <f ca="1">IF(R251="x",RANDBETWEEN(1,2),IF(R251="xx",$O$252-Q252,0))</f>
        <v>0</v>
      </c>
      <c r="S252" s="114">
        <f ca="1">IF(S251="x",O252-SUM(Q252:R252,U179:X179),IF(S251="xx",$O$252-SUM(Q252:R252),0))</f>
        <v>0</v>
      </c>
      <c r="T252" s="114">
        <f ca="1">IF(T251="x",RANDBETWEEN(1,2),IF(T251="xx",RANDBETWEEN(2,3),0))</f>
        <v>0</v>
      </c>
    </row>
    <row r="253" spans="2:20" hidden="1" x14ac:dyDescent="0.3">
      <c r="B253" s="92" t="s">
        <v>1226</v>
      </c>
      <c r="C253" s="33"/>
      <c r="D253" s="33"/>
      <c r="E253" s="33"/>
      <c r="F253" s="33"/>
      <c r="G253" s="33"/>
      <c r="H253" s="33"/>
      <c r="I253" s="33"/>
      <c r="J253" s="33"/>
      <c r="K253" s="33"/>
      <c r="L253" s="33"/>
      <c r="M253" s="33"/>
      <c r="O253" s="33" t="s">
        <v>530</v>
      </c>
      <c r="P253" s="33" t="s">
        <v>530</v>
      </c>
      <c r="Q253" s="114" t="str">
        <f ca="1">IF(AND(R15="eldritch knight",Q12&gt;=7),"x",IF(R15="eldritch knight","xx"," "))</f>
        <v xml:space="preserve"> </v>
      </c>
      <c r="R253" s="114" t="str">
        <f ca="1">IF(AND(R15="eldritch knight",Q12&gt;=13),"x",IF(AND(R15="eldritch knight",$Q$12&gt;=7),"xx"," "))</f>
        <v xml:space="preserve"> </v>
      </c>
      <c r="S253" s="114" t="str">
        <f ca="1">IF(AND(R15="eldritch knight",Q12&gt;=19),"x",IF(AND(R15="eldritch knight",$Q$12&gt;=13),"xx"," "))</f>
        <v xml:space="preserve"> </v>
      </c>
      <c r="T253" s="114" t="str">
        <f ca="1">IF(AND(R15="eldritch knight",$Q$12&gt;=19),"xx"," ")</f>
        <v xml:space="preserve"> </v>
      </c>
    </row>
    <row r="254" spans="2:20" hidden="1" x14ac:dyDescent="0.3">
      <c r="B254" s="92" t="s">
        <v>1222</v>
      </c>
      <c r="C254" s="33"/>
      <c r="D254" s="33"/>
      <c r="E254" s="33"/>
      <c r="F254" s="33"/>
      <c r="G254" s="33"/>
      <c r="H254" s="33"/>
      <c r="I254" s="33"/>
      <c r="J254" s="33"/>
      <c r="K254" s="33"/>
      <c r="L254" s="33"/>
      <c r="M254" s="33"/>
      <c r="O254" s="33" t="str">
        <f ca="1">IF($R$15="eldritch knight",INDEX('Spell Tables'!C70:C89,MATCH($Q$12,('Spell Tables'!A70:A89),0))," ")</f>
        <v xml:space="preserve"> </v>
      </c>
      <c r="P254" s="33">
        <f ca="1">IF($R$15="eldritch knight",INDEX('Spell Tables'!B70:B89,MATCH($Q$12,('Spell Tables'!A70:A89),0)),0)</f>
        <v>0</v>
      </c>
      <c r="Q254" s="114">
        <f ca="1">IF($Q253="x",RANDBETWEEN(2,3),IF($Q253="xx",$O$254,0))</f>
        <v>0</v>
      </c>
      <c r="R254" s="114">
        <f ca="1">IF(R253="x",RANDBETWEEN(2,3),IF(R253="xx",$O$254-Q254,0))</f>
        <v>0</v>
      </c>
      <c r="S254" s="114">
        <f ca="1">IF(S253="x",O254-SUM(Q254:R254,U181:X181),IF(S253="xx",$O$254-SUM(Q254:R254),0))</f>
        <v>0</v>
      </c>
      <c r="T254" s="114">
        <f ca="1">IF(T253="x",RANDBETWEEN(1,2),IF(T253="xx",RANDBETWEEN(2,3),0))</f>
        <v>0</v>
      </c>
    </row>
    <row r="255" spans="2:20" hidden="1" x14ac:dyDescent="0.3">
      <c r="B255" s="92" t="s">
        <v>1219</v>
      </c>
      <c r="C255" s="33"/>
      <c r="D255" s="33"/>
      <c r="E255" s="33"/>
      <c r="F255" s="33"/>
      <c r="G255" s="33"/>
      <c r="H255" s="33"/>
      <c r="I255" s="33"/>
      <c r="J255" s="33"/>
      <c r="K255" s="33"/>
      <c r="L255" s="33"/>
      <c r="M255" s="33"/>
      <c r="O255" s="33" t="s">
        <v>530</v>
      </c>
      <c r="P255" s="33" t="s">
        <v>530</v>
      </c>
      <c r="Q255" s="114" t="str">
        <f ca="1">IF(AND($Q$11="druid",$Q$12&gt;=3),"x",IF($Q$11="druid","xx"," "))</f>
        <v xml:space="preserve"> </v>
      </c>
      <c r="R255" s="114" t="str">
        <f ca="1">IF(AND($Q$11="druid",$Q$12&gt;=5),"x",IF(AND($Q$11="druid",$Q$12&gt;=3),"xx"," "))</f>
        <v xml:space="preserve"> </v>
      </c>
      <c r="S255" s="114" t="str">
        <f ca="1">IF(AND($Q$11="druid",$Q$12&gt;=7),"x",IF(AND($Q$11="druid",$Q$12&gt;=5),"xx"," "))</f>
        <v xml:space="preserve"> </v>
      </c>
      <c r="T255" s="114" t="str">
        <f ca="1">IF(AND($Q$11="druid",$Q$12&gt;=9),"x",IF(AND($Q$11="druid",$Q$12&gt;=7),"xx"," "))</f>
        <v xml:space="preserve"> </v>
      </c>
    </row>
    <row r="256" spans="2:20" hidden="1" x14ac:dyDescent="0.3">
      <c r="B256" s="92" t="s">
        <v>1220</v>
      </c>
      <c r="C256" s="33"/>
      <c r="D256" s="33"/>
      <c r="E256" s="33"/>
      <c r="F256" s="33"/>
      <c r="G256" s="33"/>
      <c r="H256" s="33"/>
      <c r="I256" s="33"/>
      <c r="J256" s="95"/>
      <c r="K256" s="95"/>
      <c r="L256" s="95"/>
      <c r="M256" s="95"/>
      <c r="O256" s="33" t="str">
        <f ca="1">IF(Q11="druid",Q12+N42," ")</f>
        <v xml:space="preserve"> </v>
      </c>
      <c r="P256" s="33">
        <f ca="1">IF($Q$11="druid",INDEX('Spell Tables'!C48:C67,MATCH($Q$12,('Spell Tables'!B48:B67),0)),0)</f>
        <v>0</v>
      </c>
      <c r="Q256" s="114">
        <f ca="1">IF($Q255="x",RANDBETWEEN(1,2),IF($Q255="xx",$O$256,0))</f>
        <v>0</v>
      </c>
      <c r="R256" s="114">
        <f ca="1">IF(R255="x",RANDBETWEEN(1,2),IF(R255="xx",$O$256-Q256,0))</f>
        <v>0</v>
      </c>
      <c r="S256" s="114">
        <f ca="1">IF(S255="x",O256-SUM(Q256:R256,U183:X183),IF(S255="xx",$O$256-SUM(Q256:R256),0))</f>
        <v>0</v>
      </c>
      <c r="T256" s="114">
        <f ca="1">IF(T255="x",RANDBETWEEN(1,2),IF(T255="xx",RANDBETWEEN(2,3),0))</f>
        <v>0</v>
      </c>
    </row>
    <row r="257" spans="2:20" hidden="1" x14ac:dyDescent="0.3">
      <c r="B257" s="92" t="s">
        <v>1143</v>
      </c>
      <c r="C257" s="33"/>
      <c r="D257" s="33"/>
      <c r="E257" s="33"/>
      <c r="F257" s="33"/>
      <c r="G257" s="33"/>
      <c r="H257" s="33"/>
      <c r="I257" s="33"/>
      <c r="J257" s="33"/>
      <c r="K257" s="33"/>
      <c r="L257" s="33"/>
      <c r="M257" s="33"/>
      <c r="O257" s="33" t="s">
        <v>530</v>
      </c>
      <c r="P257" s="33" t="s">
        <v>530</v>
      </c>
      <c r="Q257" s="114" t="str">
        <f ca="1">IF(AND(Q11="cleric",Q12&gt;=3),"x",IF(Q11="cleric","xx"," "))</f>
        <v xml:space="preserve"> </v>
      </c>
      <c r="R257" s="114" t="str">
        <f ca="1">IF(AND(Q11="cleric",Q12&gt;=5),"x",IF(AND($Q$11="cleric",$Q$12&gt;=3),"xx"," "))</f>
        <v xml:space="preserve"> </v>
      </c>
      <c r="S257" s="114" t="str">
        <f ca="1">IF(AND(Q11="cleric",Q12&gt;=7),"x",IF(AND($Q$11="cleric",$Q$12&gt;=5),"xx"," "))</f>
        <v xml:space="preserve"> </v>
      </c>
      <c r="T257" s="114" t="str">
        <f ca="1">IF(AND(Q11="cleric",Q12&gt;=9),"x",IF(AND($Q$11="cleric",$Q$12&gt;=7),"xx"," "))</f>
        <v xml:space="preserve"> </v>
      </c>
    </row>
    <row r="258" spans="2:20" hidden="1" x14ac:dyDescent="0.3">
      <c r="B258" s="92" t="s">
        <v>1142</v>
      </c>
      <c r="C258" s="33"/>
      <c r="D258" s="33"/>
      <c r="E258" s="33"/>
      <c r="F258" s="33"/>
      <c r="G258" s="33"/>
      <c r="H258" s="33"/>
      <c r="I258" s="33"/>
      <c r="J258" s="33"/>
      <c r="K258" s="33"/>
      <c r="L258" s="33"/>
      <c r="M258" s="33"/>
      <c r="O258" s="33" t="str">
        <f ca="1">IF(Q11="cleric",Q12+N42," ")</f>
        <v xml:space="preserve"> </v>
      </c>
      <c r="P258" s="33">
        <f ca="1">IF($Q$11="cleric",INDEX('Spell Tables'!C26:C45,MATCH($Q$12,('Spell Tables'!B26:B45),0)),0)</f>
        <v>0</v>
      </c>
      <c r="Q258" s="114">
        <f ca="1">IF($Q257="x",RANDBETWEEN(1,2),IF($Q257="xx",$O$258,0))</f>
        <v>0</v>
      </c>
      <c r="R258" s="114">
        <f ca="1">IF(R257="x",RANDBETWEEN(1,2),IF(R257="xx",$O$258-Q258,0))</f>
        <v>0</v>
      </c>
      <c r="S258" s="114">
        <f ca="1">IF(S257="x",O258-SUM(Q258:R258,U185:X185),IF(S257="xx",$O$258-SUM(Q258:R258),0))</f>
        <v>0</v>
      </c>
      <c r="T258" s="114">
        <f ca="1">IF(T257="x",RANDBETWEEN(1,2),IF(T257="xx",RANDBETWEEN(2,3),0))</f>
        <v>0</v>
      </c>
    </row>
    <row r="259" spans="2:20" hidden="1" x14ac:dyDescent="0.3">
      <c r="B259" s="92" t="s">
        <v>1248</v>
      </c>
      <c r="C259" s="33"/>
      <c r="D259" s="33"/>
      <c r="E259" s="33"/>
      <c r="F259" s="33"/>
      <c r="G259" s="33"/>
      <c r="H259" s="33"/>
      <c r="I259" s="33"/>
      <c r="J259" s="33"/>
      <c r="K259" s="33"/>
      <c r="L259" s="33"/>
      <c r="M259" s="33"/>
      <c r="O259" s="33" t="s">
        <v>530</v>
      </c>
      <c r="P259" s="33" t="s">
        <v>530</v>
      </c>
      <c r="Q259" s="114" t="str">
        <f ca="1">IF(AND($Q$11="bard",$Q$12&gt;=3),"x",IF($Q$11="bard","xx"," "))</f>
        <v xml:space="preserve"> </v>
      </c>
      <c r="R259" s="114" t="str">
        <f ca="1">IF(AND($Q$11="bard",$Q$12&gt;=5),"x",IF(AND($Q$11="bard",$Q$12&gt;=3),"xx"," "))</f>
        <v xml:space="preserve"> </v>
      </c>
      <c r="S259" s="114" t="str">
        <f ca="1">IF(AND($Q$11="bard",$Q$12&gt;=7),"x",IF(AND($Q$11="bard",$Q$12&gt;=5),"xx"," "))</f>
        <v xml:space="preserve"> </v>
      </c>
      <c r="T259" s="114" t="str">
        <f ca="1">IF(AND($Q$11="bard",$Q$12&gt;=9),"x",IF(AND($Q$11="bard",$Q$12&gt;=7),"xx"," "))</f>
        <v xml:space="preserve"> </v>
      </c>
    </row>
    <row r="260" spans="2:20" hidden="1" x14ac:dyDescent="0.3">
      <c r="B260" s="92" t="s">
        <v>1141</v>
      </c>
      <c r="C260" s="33"/>
      <c r="D260" s="33"/>
      <c r="E260" s="33"/>
      <c r="F260" s="33"/>
      <c r="G260" s="33"/>
      <c r="H260" s="33"/>
      <c r="I260" s="33"/>
      <c r="J260" s="33"/>
      <c r="K260" s="33"/>
      <c r="L260" s="33"/>
      <c r="M260" s="33"/>
      <c r="O260" s="33" t="str">
        <f ca="1">IF($Q$11="bard",INDEX('Spell Tables'!C$2:C$21,MATCH($Q$12,('Spell Tables'!$A$2:$A$21),0))," ")</f>
        <v xml:space="preserve"> </v>
      </c>
      <c r="P260" s="33">
        <f ca="1">IF($Q$11="bard",INDEX('Spell Tables'!B2:B21,MATCH($Q$12,('Spell Tables'!A2:A21),0)),0)</f>
        <v>0</v>
      </c>
      <c r="Q260" s="114">
        <f ca="1">IF($Q259="x",RANDBETWEEN(1,2),IF($Q259="xx",$O$260,0))</f>
        <v>0</v>
      </c>
      <c r="R260" s="114">
        <f ca="1">IF(R259="x",RANDBETWEEN(1,2),IF(R259="xx",$O$260-Q260,0))</f>
        <v>0</v>
      </c>
      <c r="S260" s="114">
        <f ca="1">IF(S259="x",O260-SUM(Q260:R260,U187:X187),IF(S259="xx",$O$260-SUM(Q260:R260),0))</f>
        <v>0</v>
      </c>
      <c r="T260" s="114">
        <f ca="1">IF(T259="x",RANDBETWEEN(1,2),IF(T259="xx",RANDBETWEEN(2,3),0))</f>
        <v>0</v>
      </c>
    </row>
    <row r="261" spans="2:20" x14ac:dyDescent="0.3">
      <c r="B261" s="92" t="s">
        <v>1122</v>
      </c>
      <c r="C261" s="33"/>
      <c r="D261" s="33"/>
      <c r="E261" s="33"/>
      <c r="F261" s="33"/>
      <c r="G261" s="33"/>
      <c r="H261" s="33"/>
      <c r="I261" s="33"/>
      <c r="J261" s="33"/>
      <c r="K261" s="33"/>
      <c r="L261" s="33"/>
      <c r="M261" s="33"/>
      <c r="O261" s="33"/>
      <c r="P261" s="92" t="s">
        <v>1124</v>
      </c>
      <c r="Q261" s="92" t="s">
        <v>746</v>
      </c>
      <c r="R261" s="92" t="s">
        <v>747</v>
      </c>
      <c r="S261" s="92" t="s">
        <v>748</v>
      </c>
      <c r="T261" s="92" t="s">
        <v>749</v>
      </c>
    </row>
    <row r="262" spans="2:20" x14ac:dyDescent="0.3">
      <c r="B262" s="33" t="str">
        <f ca="1">IF(OR(Q11="bard",Q11="paladin",Q11="sorcerer",Q11="warlock"),8+$P$8+$N$43,IF(OR(Q11="druid",Q11="cleric",Q11="ranger"),8+P8+N42,IF(OR(R15="eldritch knight",R15="arcane trickster",Q11="wizard"),8+P8+N41," ")))</f>
        <v xml:space="preserve"> </v>
      </c>
      <c r="C262" s="33"/>
      <c r="D262" s="33"/>
      <c r="E262" s="33"/>
      <c r="F262" s="33"/>
      <c r="G262" s="33"/>
      <c r="H262" s="33"/>
      <c r="I262" s="33"/>
      <c r="J262" s="33"/>
      <c r="K262" s="33"/>
      <c r="L262" s="33"/>
      <c r="M262" s="33"/>
      <c r="O262" s="34">
        <v>1</v>
      </c>
      <c r="P262" s="33" t="str">
        <f ca="1">IF(P$242&gt;=O193,INDEX('Spell Tables'!$P$242:$P$257,MATCH(O193,('Spell Tables'!$N$242:$N$257),0)),IF(P$244&gt;=O193,INDEX('Spell Tables'!$P$194:$P$201,MATCH(O193,('Spell Tables'!$N$194:$N$201),0)),IF(P$246&gt;=O193,INDEX('Spell Tables'!$P$168:$P$183,MATCH(O193,('Spell Tables'!$N$168:$N$183),0)),IF(P$248&gt;=O193,INDEX('Spell Tables'!$P$141:$P$156,MATCH(O193,('Spell Tables'!$N$141:$N$157),0)),IF(P$254&gt;=O193,INDEX('Spell Tables'!$P$70:$P$83,MATCH(O193,('Spell Tables'!$N$70:$N$83),0)),IF(P$256&gt;=O193,INDEX('Spell Tables'!$P$48:$P$55,MATCH(O193,('Spell Tables'!$N$48:$N$55),0)),IF(P$258&gt;=O193,INDEX('Spell Tables'!$P$26:$P$32,MATCH(O193,('Spell Tables'!$N$26:$N$32),0)),IF(P$260&gt;=O193,INDEX('Spell Tables'!$P$2:$P$12,MATCH(O193,('Spell Tables'!$N$2:$N$12),0))," "))))))))</f>
        <v xml:space="preserve"> </v>
      </c>
      <c r="Q262" s="33" t="str">
        <f ca="1">IF(AND($Q$15="Otherworldly patron - great old one",Q$244&gt;=O193),INDEX('Spell Tables'!$T$226:$T$238,MATCH(O193,('Spell Tables'!$R$226:$R$238),0)),IF(AND($Q$15="Otherworldly patron - fiend",Q$244&gt;=O193),INDEX('Spell Tables'!$T$210:$T$222,MATCH(O193,('Spell Tables'!$R$210:$R$222),0)),IF(Q$242&gt;=O193,INDEX($AL$44:$AL$53,MATCH(O193,($AJ$44:$AJ$53),0)),IF(AND($Q$15="Otherworldly patron - archfey",Q$244&gt;=O193),INDEX('Spell Tables'!T$206:$T294,MATCH(O193,('Spell Tables'!$R$194:$R$206),0)),IF(Q$246&gt;=O193,INDEX('Spell Tables'!T268:T287,MATCH(O193,('Spell Tables'!$R$168:$R$187),0)),IF(Q$248&gt;=O193,INDEX('Spell Tables'!T241:T247,MATCH(O193,('Spell Tables'!$R$141:$R$147),0)),IF(Q$250&gt;=O193,INDEX('Spell Tables'!$P$119:$P$131,MATCH(O193,('Spell Tables'!$N$119:$N$131),0)),IF(Q$252&gt;=O193,INDEX('Spell Tables'!$P$97:$P$111,MATCH(O193,('Spell Tables'!$N$97:$N$111),0)),IF(Q$254&gt;=O193,INDEX('Spell Tables'!$T$70:$T$78,MATCH(O193,('Spell Tables'!$R$70:$R$78),0)),IF(Q$256&gt;=O193,INDEX('Spell Tables'!$T$48:$T$63,MATCH(O193,('Spell Tables'!$R$48:$R$63),0)),IF(Q$258&gt;=O193,INDEX('Spell Tables'!$T$26:$T$40,MATCH(O193,('Spell Tables'!$R$26:$R$40),0)),IF(Q$260&gt;=O193,INDEX('Spell Tables'!$T$2:$T$22,MATCH(O193,('Spell Tables'!$R$2:$R$22),0))," "))))))))))))</f>
        <v xml:space="preserve"> </v>
      </c>
      <c r="R262" s="33" t="str">
        <f ca="1">IF(AND($Q$15="Otherworldly patron - great old one",R$244&gt;=O193),INDEX('Spell Tables'!$X$226:$X$239,MATCH(O193,('Spell Tables'!$V$226:$V$239),0)),IF(AND($Q$15="Otherworldly patron - fiend",R$244&gt;=O193),INDEX('Spell Tables'!$X$210:$X$223,MATCH(O193,('Spell Tables'!$V$210:$V$223),0)),IF(AND($Q$15="Otherworldly patron - archfey",R$244&gt;=O193),INDEX('Spell Tables'!$X$194:$X$207,MATCH(O193,('Spell Tables'!$V$194:$V$207),0)),IF($R$242&gt;=O193,INDEX($AL$56:$AL$65,MATCH(O193,($AJ$56:$AJ$65),0)),IF($R$246&gt;=O193,INDEX('Spell Tables'!$X$168:$X$191,MATCH(O193,('Spell Tables'!$V$168:$V$191),0)),IF($R$248&gt;=O193,INDEX('Spell Tables'!$AB$141:$AB$149,MATCH(O193,('Spell Tables'!$Z$141:$Z$149),0)),IF($R$250&gt;=O193,INDEX('Spell Tables'!T219:T231,MATCH(O193,('Spell Tables'!$R$119:$R$131),0)),IF($R$252&gt;=O193,INDEX('Spell Tables'!$T$97:T204,MATCH(O193,('Spell Tables'!$R$97:$R$104),0)),IF($R$254&gt;=O193,INDEX('Spell Tables'!$AB$70:$AB$75,MATCH(O193,('Spell Tables'!$Z$70:$Z$75),0)),IF($R$256&gt;=O193,INDEX('Spell Tables'!$X$48:$X$65,MATCH(O193,('Spell Tables'!$V$48:$V$65),0)),IF($R$258&gt;=O193,INDEX('Spell Tables'!$X$26:$X$42,MATCH(O193,('Spell Tables'!$V$26:$V$42),0)),IF($R$260&gt;=O193,INDEX('Spell Tables'!$X$2:$X$23,MATCH(O193,('Spell Tables'!$V$2:$V$23),0))," "))))))))))))</f>
        <v xml:space="preserve"> </v>
      </c>
      <c r="S262" s="33" t="str">
        <f ca="1">IF(AND($Q$15="Otherworldly patron - great old one",S$244&gt;=O193),INDEX('Spell Tables'!$AB$226:$AB$238,MATCH(O193,('Spell Tables'!$Z$226:$Z$238),0)),IF(AND($Q$15="Otherworldly patron - fiend",S$244&gt;=O193),INDEX('Spell Tables'!$AB$210:$AB$222,MATCH(O193,('Spell Tables'!$Z$210:$Z$222),0)),IF(AND($Q$15="Otherworldly patron - archfey",S$244&gt;=O193),INDEX('Spell Tables'!$AB$194:$AB$206,MATCH(O193,('Spell Tables'!$Z$194:$Z$206),0)),IF($S$242&gt;=O193,INDEX($AL$68:$AL$77,MATCH(O193,($AJ$68:$AJ$77),0)),IF($S$246&gt;=O193,INDEX('Spell Tables'!$AB$168:$AB$187,MATCH(O193,('Spell Tables'!$Z$168:$Z$187),0)),IF($S$248&gt;=O193,INDEX('Spell Tables'!$AJ$141:$AJ$144,MATCH(O193,('Spell Tables'!$AH$141:$AH$144),0)),IF($S$250&gt;=O193,INDEX('Spell Tables'!$X$119:$X$129,MATCH(O193,('Spell Tables'!$V$119:$V$129),0)),IF($S$252&gt;=O193,INDEX('Spell Tables'!$X$97:$X$106,MATCH(O193,('Spell Tables'!$V$97:$V$106),0)),IF($S$254&gt;=O193,INDEX('Spell Tables'!$AJ$70:$AJ$79,MATCH(O193,('Spell Tables'!$AH$70:$AH$79),0)),IF($S$256&gt;=O193,INDEX('Spell Tables'!$AB$48:$AB$60,MATCH(O193,('Spell Tables'!$Z$48:$Z$60),0)),IF($S$258&gt;=O193,INDEX('Spell Tables'!$AB$26:$AB$45,MATCH(O193,('Spell Tables'!$Z$26:$Z$45),0)),IF($S$260&gt;=O193,INDEX('Spell Tables'!$AB$2:$AB$17,MATCH(O193,('Spell Tables'!$Z$2:$Z$17),0))," "))))))))))))</f>
        <v xml:space="preserve"> </v>
      </c>
      <c r="T262" s="33" t="str">
        <f ca="1">IF(AND($Q$15="Otherworldly patron - great old one",T$244&gt;=O193),INDEX('Spell Tables'!$AF$226:$AF$231,MATCH(O193,('Spell Tables'!$AD$226:$AD$231),0)),IF(AND($Q$15="Otherworldly patron - fiend",T$244&gt;=O193),INDEX('Spell Tables'!$AF$210:$AF$215,MATCH(O193,('Spell Tables'!$AD$210:$AD$215),0)),IF(AND($Q$15="Otherworldly patron - archfey",T$244&gt;=O193),INDEX('Spell Tables'!$AF$194:$AF$199,MATCH(O193,('Spell Tables'!$AD$194:$AD$199),0)),IF($T$242&gt;=O193,INDEX($AL$80:$AL$89,MATCH(O193,($AJ$80:$AJ$89),0)),IF($T$246&gt;=O193,INDEX('Spell Tables'!$AF$168:$AF$177,MATCH(O193,('Spell Tables'!$AD$168:$AD$177),0)),IF($T$248&gt;=O193,INDEX('Spell Tables'!$AR$141:$AR$144,MATCH(O193,('Spell Tables'!$AP$141:$AP$144),0)),IF($T$250&gt;=O193,INDEX('Spell Tables'!$AB$119:$AB$123,MATCH(O193,('Spell Tables'!$Z$119:$Z$123),0)),IF($T$252&gt;=O193,INDEX('Spell Tables'!$AB$97:$AB$102,MATCH(O193,('Spell Tables'!$Z$97:$Z$102),0)),IF($T$254&gt;=O193,INDEX('Spell Tables'!$AR$70:$AR$75,MATCH(O193,('Spell Tables'!$AP$70:$AP$75),0)),IF($T$256&gt;=O193,INDEX('Spell Tables'!$AF$48:$AF$63,MATCH(O193,('Spell Tables'!$AD$48:$AD$63),0)),IF($T$258&gt;=O193,INDEX('Spell Tables'!$AF$26:$AF$33,MATCH(O193,('Spell Tables'!$AD$26:$AD$33),0)),IF($T$260&gt;=O193,INDEX('Spell Tables'!$AF$2:$AF$9,MATCH(O193,('Spell Tables'!$AD$2:$AD$9),0))," "))))))))))))</f>
        <v xml:space="preserve"> </v>
      </c>
    </row>
    <row r="263" spans="2:20" x14ac:dyDescent="0.3">
      <c r="B263" s="92" t="s">
        <v>1123</v>
      </c>
      <c r="C263" s="33"/>
      <c r="D263" s="33"/>
      <c r="E263" s="33"/>
      <c r="F263" s="33"/>
      <c r="G263" s="33"/>
      <c r="H263" s="33"/>
      <c r="I263" s="33"/>
      <c r="J263" s="33"/>
      <c r="K263" s="33"/>
      <c r="L263" s="33"/>
      <c r="M263" s="33"/>
      <c r="O263" s="34">
        <v>2</v>
      </c>
      <c r="P263" s="33" t="str">
        <f ca="1">IF(P$242&gt;=O194,INDEX('Spell Tables'!$P$242:$P$257,MATCH(O194,('Spell Tables'!$N$242:$N$257),0)),IF(P$244&gt;=O194,INDEX('Spell Tables'!$P$194:$P$201,MATCH(O194,('Spell Tables'!$N$194:$N$201),0)),IF(P$246&gt;=O194,INDEX('Spell Tables'!$P$168:$P$183,MATCH(O194,('Spell Tables'!$N$168:$N$183),0)),IF(P$248&gt;=O194,INDEX('Spell Tables'!$P$141:$P$156,MATCH(O194,('Spell Tables'!$N$141:$N$157),0)),IF(P$254&gt;=O194,INDEX('Spell Tables'!$P$70:$P$83,MATCH(O194,('Spell Tables'!$N$70:$N$83),0)),IF(P$256&gt;=O194,INDEX('Spell Tables'!$P$48:$P$55,MATCH(O194,('Spell Tables'!$N$48:$N$55),0)),IF(P$258&gt;=O194,INDEX('Spell Tables'!$P$26:$P$32,MATCH(O194,('Spell Tables'!$N$26:$N$32),0)),IF(P$260&gt;=O194,INDEX('Spell Tables'!$P$2:$P$12,MATCH(O194,('Spell Tables'!$N$2:$N$12),0))," "))))))))</f>
        <v xml:space="preserve"> </v>
      </c>
      <c r="Q263" s="33" t="str">
        <f ca="1">IF(AND($Q$15="Otherworldly patron - great old one",Q$244&gt;=O194),INDEX('Spell Tables'!$T$226:$T$238,MATCH(O194,('Spell Tables'!$R$226:$R$238),0)),IF(AND($Q$15="Otherworldly patron - fiend",Q$244&gt;=O194),INDEX('Spell Tables'!$T$210:$T$222,MATCH(O194,('Spell Tables'!$R$210:$R$222),0)),IF(Q$242&gt;=O194,INDEX($AL$44:$AL$53,MATCH(O194,($AJ$44:$AJ$53),0)),IF(AND($Q$15="Otherworldly patron - archfey",Q$244&gt;=O194),INDEX('Spell Tables'!T$206:$T295,MATCH(O194,('Spell Tables'!$R$194:$R$206),0)),IF(Q$246&gt;=O194,INDEX('Spell Tables'!T269:T288,MATCH(O194,('Spell Tables'!$R$168:$R$187),0)),IF(Q$248&gt;=O194,INDEX('Spell Tables'!T242:T248,MATCH(O194,('Spell Tables'!$R$141:$R$147),0)),IF(Q$250&gt;=O194,INDEX('Spell Tables'!$P$119:$P$131,MATCH(O194,('Spell Tables'!$N$119:$N$131),0)),IF(Q$252&gt;=O194,INDEX('Spell Tables'!$P$97:$P$111,MATCH(O194,('Spell Tables'!$N$97:$N$111),0)),IF(Q$254&gt;=O194,INDEX('Spell Tables'!$T$70:$T$78,MATCH(O194,('Spell Tables'!$R$70:$R$78),0)),IF(Q$256&gt;=O194,INDEX('Spell Tables'!$T$48:$T$63,MATCH(O194,('Spell Tables'!$R$48:$R$63),0)),IF(Q$258&gt;=O194,INDEX('Spell Tables'!$T$26:$T$40,MATCH(O194,('Spell Tables'!$R$26:$R$40),0)),IF(Q$260&gt;=O194,INDEX('Spell Tables'!$T$2:$T$22,MATCH(O194,('Spell Tables'!$R$2:$R$22),0))," "))))))))))))</f>
        <v xml:space="preserve"> </v>
      </c>
      <c r="R263" s="33" t="str">
        <f ca="1">IF(AND($Q$15="Otherworldly patron - great old one",R$244&gt;=O194),INDEX('Spell Tables'!$X$226:$X$239,MATCH(O194,('Spell Tables'!$V$226:$V$239),0)),IF(AND($Q$15="Otherworldly patron - fiend",R$244&gt;=O194),INDEX('Spell Tables'!$X$210:$X$223,MATCH(O194,('Spell Tables'!$V$210:$V$223),0)),IF(AND($Q$15="Otherworldly patron - archfey",R$244&gt;=O194),INDEX('Spell Tables'!$X$194:$X$207,MATCH(O194,('Spell Tables'!$V$194:$V$207),0)),IF($R$242&gt;=O194,INDEX($AL$56:$AL$65,MATCH(O194,($AJ$56:$AJ$65),0)),IF($R$246&gt;=O194,INDEX('Spell Tables'!$X$168:$X$191,MATCH(O194,('Spell Tables'!$V$168:$V$191),0)),IF($R$248&gt;=O194,INDEX('Spell Tables'!$AB$141:$AB$149,MATCH(O194,('Spell Tables'!$Z$141:$Z$149),0)),IF($R$250&gt;=O194,INDEX('Spell Tables'!T220:T232,MATCH(O194,('Spell Tables'!$R$119:$R$131),0)),IF($R$252&gt;=O194,INDEX('Spell Tables'!$T$97:T205,MATCH(O194,('Spell Tables'!$R$97:$R$104),0)),IF($R$254&gt;=O194,INDEX('Spell Tables'!$AB$70:$AB$75,MATCH(O194,('Spell Tables'!$Z$70:$Z$75),0)),IF($R$256&gt;=O194,INDEX('Spell Tables'!$X$48:$X$65,MATCH(O194,('Spell Tables'!$V$48:$V$65),0)),IF($R$258&gt;=O194,INDEX('Spell Tables'!$X$26:$X$42,MATCH(O194,('Spell Tables'!$V$26:$V$42),0)),IF($R$260&gt;=O194,INDEX('Spell Tables'!$X$2:$X$23,MATCH(O194,('Spell Tables'!$V$2:$V$23),0))," "))))))))))))</f>
        <v xml:space="preserve"> </v>
      </c>
      <c r="S263" s="33" t="str">
        <f ca="1">IF(AND($Q$15="Otherworldly patron - great old one",S$244&gt;=O194),INDEX('Spell Tables'!$AB$226:$AB$238,MATCH(O194,('Spell Tables'!$Z$226:$Z$238),0)),IF(AND($Q$15="Otherworldly patron - fiend",S$244&gt;=O194),INDEX('Spell Tables'!$AB$210:$AB$222,MATCH(O194,('Spell Tables'!$Z$210:$Z$222),0)),IF(AND($Q$15="Otherworldly patron - archfey",S$244&gt;=O194),INDEX('Spell Tables'!$AB$194:$AB$206,MATCH(O194,('Spell Tables'!$Z$194:$Z$206),0)),IF($S$242&gt;=O194,INDEX($AL$68:$AL$77,MATCH(O194,($AJ$68:$AJ$77),0)),IF($S$246&gt;=O194,INDEX('Spell Tables'!$AB$168:$AB$187,MATCH(O194,('Spell Tables'!$Z$168:$Z$187),0)),IF($S$248&gt;=O194,INDEX('Spell Tables'!$AJ$141:$AJ$144,MATCH(O194,('Spell Tables'!$AH$141:$AH$144),0)),IF($S$250&gt;=O194,INDEX('Spell Tables'!$X$119:$X$129,MATCH(O194,('Spell Tables'!$V$119:$V$129),0)),IF($S$252&gt;=O194,INDEX('Spell Tables'!$X$97:$X$106,MATCH(O194,('Spell Tables'!$V$97:$V$106),0)),IF($S$254&gt;=O194,INDEX('Spell Tables'!$AJ$70:$AJ$79,MATCH(O194,('Spell Tables'!$AH$70:$AH$79),0)),IF($S$256&gt;=O194,INDEX('Spell Tables'!$AB$48:$AB$60,MATCH(O194,('Spell Tables'!$Z$48:$Z$60),0)),IF($S$258&gt;=O194,INDEX('Spell Tables'!$AB$26:$AB$45,MATCH(O194,('Spell Tables'!$Z$26:$Z$45),0)),IF($S$260&gt;=O194,INDEX('Spell Tables'!$AB$2:$AB$17,MATCH(O194,('Spell Tables'!$Z$2:$Z$17),0))," "))))))))))))</f>
        <v xml:space="preserve"> </v>
      </c>
      <c r="T263" s="33" t="str">
        <f ca="1">IF(AND($Q$15="Otherworldly patron - great old one",T$244&gt;=O194),INDEX('Spell Tables'!$AF$226:$AF$231,MATCH(O194,('Spell Tables'!$AD$226:$AD$231),0)),IF(AND($Q$15="Otherworldly patron - fiend",T$244&gt;=O194),INDEX('Spell Tables'!$AF$210:$AF$215,MATCH(O194,('Spell Tables'!$AD$210:$AD$215),0)),IF(AND($Q$15="Otherworldly patron - archfey",T$244&gt;=O194),INDEX('Spell Tables'!$AF$194:$AF$199,MATCH(O194,('Spell Tables'!$AD$194:$AD$199),0)),IF($T$242&gt;=O194,INDEX($AL$80:$AL$89,MATCH(O194,($AJ$80:$AJ$89),0)),IF($T$246&gt;=O194,INDEX('Spell Tables'!$AF$168:$AF$177,MATCH(O194,('Spell Tables'!$AD$168:$AD$177),0)),IF($T$248&gt;=O194,INDEX('Spell Tables'!$AR$141:$AR$144,MATCH(O194,('Spell Tables'!$AP$141:$AP$144),0)),IF($T$250&gt;=O194,INDEX('Spell Tables'!$AB$119:$AB$123,MATCH(O194,('Spell Tables'!$Z$119:$Z$123),0)),IF($T$252&gt;=O194,INDEX('Spell Tables'!$AB$97:$AB$102,MATCH(O194,('Spell Tables'!$Z$97:$Z$102),0)),IF($T$254&gt;=O194,INDEX('Spell Tables'!$AR$70:$AR$75,MATCH(O194,('Spell Tables'!$AP$70:$AP$75),0)),IF($T$256&gt;=O194,INDEX('Spell Tables'!$AF$48:$AF$63,MATCH(O194,('Spell Tables'!$AD$48:$AD$63),0)),IF($T$258&gt;=O194,INDEX('Spell Tables'!$AF$26:$AF$33,MATCH(O194,('Spell Tables'!$AD$26:$AD$33),0)),IF($T$260&gt;=O194,INDEX('Spell Tables'!$AF$2:$AF$9,MATCH(O194,('Spell Tables'!$AD$2:$AD$9),0))," "))))))))))))</f>
        <v xml:space="preserve"> </v>
      </c>
    </row>
    <row r="264" spans="2:20" x14ac:dyDescent="0.3">
      <c r="B264" s="33" t="str">
        <f ca="1">IF(OR(Q11="bard",Q11="paladin",Q11="sorcerer",Q11="warlock"),P8+$N$43,IF(OR(Q11="druid",Q11="cleric",Q11="ranger"),P8+N42,IF(OR(R15="eldritch knight",R15="arcane trickster",Q11="wizard"),P8+N41," ")))</f>
        <v xml:space="preserve"> </v>
      </c>
      <c r="C264" s="33"/>
      <c r="D264" s="33"/>
      <c r="E264" s="33"/>
      <c r="F264" s="33"/>
      <c r="G264" s="33"/>
      <c r="H264" s="33"/>
      <c r="I264" s="33"/>
      <c r="J264" s="33"/>
      <c r="K264" s="33"/>
      <c r="L264" s="33"/>
      <c r="M264" s="33"/>
      <c r="O264" s="34">
        <v>3</v>
      </c>
      <c r="P264" s="33" t="str">
        <f ca="1">IF(P$242&gt;=O195,INDEX('Spell Tables'!$P$242:$P$257,MATCH(O195,('Spell Tables'!$N$242:$N$257),0)),IF(P$244&gt;=O195,INDEX('Spell Tables'!$P$194:$P$201,MATCH(O195,('Spell Tables'!$N$194:$N$201),0)),IF(P$246&gt;=O195,INDEX('Spell Tables'!$P$168:$P$183,MATCH(O195,('Spell Tables'!$N$168:$N$183),0)),IF(P$248&gt;=O195,INDEX('Spell Tables'!$P$141:$P$156,MATCH(O195,('Spell Tables'!$N$141:$N$157),0)),IF(P$254&gt;=O195,INDEX('Spell Tables'!$P$70:$P$83,MATCH(O195,('Spell Tables'!$N$70:$N$83),0)),IF(P$256&gt;=O195,INDEX('Spell Tables'!$P$48:$P$55,MATCH(O195,('Spell Tables'!$N$48:$N$55),0)),IF(P$258&gt;=O195,INDEX('Spell Tables'!$P$26:$P$32,MATCH(O195,('Spell Tables'!$N$26:$N$32),0)),IF(P$260&gt;=O195,INDEX('Spell Tables'!$P$2:$P$12,MATCH(O195,('Spell Tables'!$N$2:$N$12),0))," "))))))))</f>
        <v xml:space="preserve"> </v>
      </c>
      <c r="Q264" s="33" t="str">
        <f ca="1">IF(AND($Q$15="Otherworldly patron - great old one",Q$244&gt;=O195),INDEX('Spell Tables'!$T$226:$T$238,MATCH(O195,('Spell Tables'!$R$226:$R$238),0)),IF(AND($Q$15="Otherworldly patron - fiend",Q$244&gt;=O195),INDEX('Spell Tables'!$T$210:$T$222,MATCH(O195,('Spell Tables'!$R$210:$R$222),0)),IF(Q$242&gt;=O195,INDEX($AL$44:$AL$53,MATCH(O195,($AJ$44:$AJ$53),0)),IF(AND($Q$15="Otherworldly patron - archfey",Q$244&gt;=O195),INDEX('Spell Tables'!T$206:$T296,MATCH(O195,('Spell Tables'!$R$194:$R$206),0)),IF(Q$246&gt;=O195,INDEX('Spell Tables'!T270:T289,MATCH(O195,('Spell Tables'!$R$168:$R$187),0)),IF(Q$248&gt;=O195,INDEX('Spell Tables'!T243:T249,MATCH(O195,('Spell Tables'!$R$141:$R$147),0)),IF(Q$250&gt;=O195,INDEX('Spell Tables'!$P$119:$P$131,MATCH(O195,('Spell Tables'!$N$119:$N$131),0)),IF(Q$252&gt;=O195,INDEX('Spell Tables'!$P$97:$P$111,MATCH(O195,('Spell Tables'!$N$97:$N$111),0)),IF(Q$254&gt;=O195,INDEX('Spell Tables'!$T$70:$T$78,MATCH(O195,('Spell Tables'!$R$70:$R$78),0)),IF(Q$256&gt;=O195,INDEX('Spell Tables'!$T$48:$T$63,MATCH(O195,('Spell Tables'!$R$48:$R$63),0)),IF(Q$258&gt;=O195,INDEX('Spell Tables'!$T$26:$T$40,MATCH(O195,('Spell Tables'!$R$26:$R$40),0)),IF(Q$260&gt;=O195,INDEX('Spell Tables'!$T$2:$T$22,MATCH(O195,('Spell Tables'!$R$2:$R$22),0))," "))))))))))))</f>
        <v xml:space="preserve"> </v>
      </c>
      <c r="R264" s="33" t="str">
        <f ca="1">IF(AND($Q$15="Otherworldly patron - great old one",R$244&gt;=O195),INDEX('Spell Tables'!$X$226:$X$239,MATCH(O195,('Spell Tables'!$V$226:$V$239),0)),IF(AND($Q$15="Otherworldly patron - fiend",R$244&gt;=O195),INDEX('Spell Tables'!$X$210:$X$223,MATCH(O195,('Spell Tables'!$V$210:$V$223),0)),IF(AND($Q$15="Otherworldly patron - archfey",R$244&gt;=O195),INDEX('Spell Tables'!$X$194:$X$207,MATCH(O195,('Spell Tables'!$V$194:$V$207),0)),IF($R$242&gt;=O195,INDEX($AL$56:$AL$65,MATCH(O195,($AJ$56:$AJ$65),0)),IF($R$246&gt;=O195,INDEX('Spell Tables'!$X$168:$X$191,MATCH(O195,('Spell Tables'!$V$168:$V$191),0)),IF($R$248&gt;=O195,INDEX('Spell Tables'!$AB$141:$AB$149,MATCH(O195,('Spell Tables'!$Z$141:$Z$149),0)),IF($R$250&gt;=O195,INDEX('Spell Tables'!T221:T233,MATCH(O195,('Spell Tables'!$R$119:$R$131),0)),IF($R$252&gt;=O195,INDEX('Spell Tables'!$T$97:T206,MATCH(O195,('Spell Tables'!$R$97:$R$104),0)),IF($R$254&gt;=O195,INDEX('Spell Tables'!$AB$70:$AB$75,MATCH(O195,('Spell Tables'!$Z$70:$Z$75),0)),IF($R$256&gt;=O195,INDEX('Spell Tables'!$X$48:$X$65,MATCH(O195,('Spell Tables'!$V$48:$V$65),0)),IF($R$258&gt;=O195,INDEX('Spell Tables'!$X$26:$X$42,MATCH(O195,('Spell Tables'!$V$26:$V$42),0)),IF($R$260&gt;=O195,INDEX('Spell Tables'!$X$2:$X$23,MATCH(O195,('Spell Tables'!$V$2:$V$23),0))," "))))))))))))</f>
        <v xml:space="preserve"> </v>
      </c>
      <c r="S264" s="33" t="str">
        <f ca="1">IF(AND($Q$15="Otherworldly patron - great old one",S$244&gt;=O195),INDEX('Spell Tables'!$AB$226:$AB$238,MATCH(O195,('Spell Tables'!$Z$226:$Z$238),0)),IF(AND($Q$15="Otherworldly patron - fiend",S$244&gt;=O195),INDEX('Spell Tables'!$AB$210:$AB$222,MATCH(O195,('Spell Tables'!$Z$210:$Z$222),0)),IF(AND($Q$15="Otherworldly patron - archfey",S$244&gt;=O195),INDEX('Spell Tables'!$AB$194:$AB$206,MATCH(O195,('Spell Tables'!$Z$194:$Z$206),0)),IF($S$242&gt;=O195,INDEX($AL$68:$AL$77,MATCH(O195,($AJ$68:$AJ$77),0)),IF($S$246&gt;=O195,INDEX('Spell Tables'!$AB$168:$AB$187,MATCH(O195,('Spell Tables'!$Z$168:$Z$187),0)),IF($S$248&gt;=O195,INDEX('Spell Tables'!$AJ$141:$AJ$144,MATCH(O195,('Spell Tables'!$AH$141:$AH$144),0)),IF($S$250&gt;=O195,INDEX('Spell Tables'!$X$119:$X$129,MATCH(O195,('Spell Tables'!$V$119:$V$129),0)),IF($S$252&gt;=O195,INDEX('Spell Tables'!$X$97:$X$106,MATCH(O195,('Spell Tables'!$V$97:$V$106),0)),IF($S$254&gt;=O195,INDEX('Spell Tables'!$AJ$70:$AJ$79,MATCH(O195,('Spell Tables'!$AH$70:$AH$79),0)),IF($S$256&gt;=O195,INDEX('Spell Tables'!$AB$48:$AB$60,MATCH(O195,('Spell Tables'!$Z$48:$Z$60),0)),IF($S$258&gt;=O195,INDEX('Spell Tables'!$AB$26:$AB$45,MATCH(O195,('Spell Tables'!$Z$26:$Z$45),0)),IF($S$260&gt;=O195,INDEX('Spell Tables'!$AB$2:$AB$17,MATCH(O195,('Spell Tables'!$Z$2:$Z$17),0))," "))))))))))))</f>
        <v xml:space="preserve"> </v>
      </c>
      <c r="T264" s="33" t="str">
        <f ca="1">IF(AND($Q$15="Otherworldly patron - great old one",T$244&gt;=O195),INDEX('Spell Tables'!$AF$226:$AF$231,MATCH(O195,('Spell Tables'!$AD$226:$AD$231),0)),IF(AND($Q$15="Otherworldly patron - fiend",T$244&gt;=O195),INDEX('Spell Tables'!$AF$210:$AF$215,MATCH(O195,('Spell Tables'!$AD$210:$AD$215),0)),IF(AND($Q$15="Otherworldly patron - archfey",T$244&gt;=O195),INDEX('Spell Tables'!$AF$194:$AF$199,MATCH(O195,('Spell Tables'!$AD$194:$AD$199),0)),IF($T$242&gt;=O195,INDEX($AL$80:$AL$89,MATCH(O195,($AJ$80:$AJ$89),0)),IF($T$246&gt;=O195,INDEX('Spell Tables'!$AF$168:$AF$177,MATCH(O195,('Spell Tables'!$AD$168:$AD$177),0)),IF($T$248&gt;=O195,INDEX('Spell Tables'!$AR$141:$AR$144,MATCH(O195,('Spell Tables'!$AP$141:$AP$144),0)),IF($T$250&gt;=O195,INDEX('Spell Tables'!$AB$119:$AB$123,MATCH(O195,('Spell Tables'!$Z$119:$Z$123),0)),IF($T$252&gt;=O195,INDEX('Spell Tables'!$AB$97:$AB$102,MATCH(O195,('Spell Tables'!$Z$97:$Z$102),0)),IF($T$254&gt;=O195,INDEX('Spell Tables'!$AR$70:$AR$75,MATCH(O195,('Spell Tables'!$AP$70:$AP$75),0)),IF($T$256&gt;=O195,INDEX('Spell Tables'!$AF$48:$AF$63,MATCH(O195,('Spell Tables'!$AD$48:$AD$63),0)),IF($T$258&gt;=O195,INDEX('Spell Tables'!$AF$26:$AF$33,MATCH(O195,('Spell Tables'!$AD$26:$AD$33),0)),IF($T$260&gt;=O195,INDEX('Spell Tables'!$AF$2:$AF$9,MATCH(O195,('Spell Tables'!$AD$2:$AD$9),0))," "))))))))))))</f>
        <v xml:space="preserve"> </v>
      </c>
    </row>
    <row r="265" spans="2:20" x14ac:dyDescent="0.3">
      <c r="C265" s="33"/>
      <c r="D265" s="33"/>
      <c r="E265" s="33"/>
      <c r="F265" s="33"/>
      <c r="G265" s="33"/>
      <c r="H265" s="33"/>
      <c r="I265" s="33"/>
      <c r="J265" s="33"/>
      <c r="K265" s="33"/>
      <c r="L265" s="33"/>
      <c r="M265" s="33"/>
      <c r="O265" s="34">
        <v>4</v>
      </c>
      <c r="P265" s="33" t="str">
        <f ca="1">IF(P$242&gt;=O196,INDEX('Spell Tables'!$P$242:$P$257,MATCH(O196,('Spell Tables'!$N$242:$N$257),0)),IF(P$244&gt;=O196,INDEX('Spell Tables'!$P$194:$P$201,MATCH(O196,('Spell Tables'!$N$194:$N$201),0)),IF(P$246&gt;=O196,INDEX('Spell Tables'!$P$168:$P$183,MATCH(O196,('Spell Tables'!$N$168:$N$183),0)),IF(P$248&gt;=O196,INDEX('Spell Tables'!$P$141:$P$156,MATCH(O196,('Spell Tables'!$N$141:$N$157),0)),IF(P$254&gt;=O196,INDEX('Spell Tables'!$P$70:$P$83,MATCH(O196,('Spell Tables'!$N$70:$N$83),0)),IF(P$256&gt;=O196,INDEX('Spell Tables'!$P$48:$P$55,MATCH(O196,('Spell Tables'!$N$48:$N$55),0)),IF(P$258&gt;=O196,INDEX('Spell Tables'!$P$26:$P$32,MATCH(O196,('Spell Tables'!$N$26:$N$32),0)),IF(P$260&gt;=O196,INDEX('Spell Tables'!$P$2:$P$12,MATCH(O196,('Spell Tables'!$N$2:$N$12),0))," "))))))))</f>
        <v xml:space="preserve"> </v>
      </c>
      <c r="Q265" s="33" t="str">
        <f ca="1">IF(AND($Q$15="Otherworldly patron - great old one",Q$244&gt;=O196),INDEX('Spell Tables'!$T$226:$T$238,MATCH(O196,('Spell Tables'!$R$226:$R$238),0)),IF(AND($Q$15="Otherworldly patron - fiend",Q$244&gt;=O196),INDEX('Spell Tables'!$T$210:$T$222,MATCH(O196,('Spell Tables'!$R$210:$R$222),0)),IF(Q$242&gt;=O196,INDEX($AL$44:$AL$53,MATCH(O196,($AJ$44:$AJ$53),0)),IF(AND($Q$15="Otherworldly patron - archfey",Q$244&gt;=O196),INDEX('Spell Tables'!T$206:$T297,MATCH(O196,('Spell Tables'!$R$194:$R$206),0)),IF(Q$246&gt;=O196,INDEX('Spell Tables'!T271:T290,MATCH(O196,('Spell Tables'!$R$168:$R$187),0)),IF(Q$248&gt;=O196,INDEX('Spell Tables'!T244:T250,MATCH(O196,('Spell Tables'!$R$141:$R$147),0)),IF(Q$250&gt;=O196,INDEX('Spell Tables'!$P$119:$P$131,MATCH(O196,('Spell Tables'!$N$119:$N$131),0)),IF(Q$252&gt;=O196,INDEX('Spell Tables'!$P$97:$P$111,MATCH(O196,('Spell Tables'!$N$97:$N$111),0)),IF(Q$254&gt;=O196,INDEX('Spell Tables'!$T$70:$T$78,MATCH(O196,('Spell Tables'!$R$70:$R$78),0)),IF(Q$256&gt;=O196,INDEX('Spell Tables'!$T$48:$T$63,MATCH(O196,('Spell Tables'!$R$48:$R$63),0)),IF(Q$258&gt;=O196,INDEX('Spell Tables'!$T$26:$T$40,MATCH(O196,('Spell Tables'!$R$26:$R$40),0)),IF(Q$260&gt;=O196,INDEX('Spell Tables'!$T$2:$T$22,MATCH(O196,('Spell Tables'!$R$2:$R$22),0))," "))))))))))))</f>
        <v xml:space="preserve"> </v>
      </c>
      <c r="R265" s="33" t="str">
        <f ca="1">IF(AND($Q$15="Otherworldly patron - great old one",R$244&gt;=O196),INDEX('Spell Tables'!$X$226:$X$239,MATCH(O196,('Spell Tables'!$V$226:$V$239),0)),IF(AND($Q$15="Otherworldly patron - fiend",R$244&gt;=O196),INDEX('Spell Tables'!$X$210:$X$223,MATCH(O196,('Spell Tables'!$V$210:$V$223),0)),IF(AND($Q$15="Otherworldly patron - archfey",R$244&gt;=O196),INDEX('Spell Tables'!$X$194:$X$207,MATCH(O196,('Spell Tables'!$V$194:$V$207),0)),IF($R$242&gt;=O196,INDEX($AL$56:$AL$65,MATCH(O196,($AJ$56:$AJ$65),0)),IF($R$246&gt;=O196,INDEX('Spell Tables'!$X$168:$X$191,MATCH(O196,('Spell Tables'!$V$168:$V$191),0)),IF($R$248&gt;=O196,INDEX('Spell Tables'!$AB$141:$AB$149,MATCH(O196,('Spell Tables'!$Z$141:$Z$149),0)),IF($R$250&gt;=O196,INDEX('Spell Tables'!T222:T234,MATCH(O196,('Spell Tables'!$R$119:$R$131),0)),IF($R$252&gt;=O196,INDEX('Spell Tables'!$T$97:T207,MATCH(O196,('Spell Tables'!$R$97:$R$104),0)),IF($R$254&gt;=O196,INDEX('Spell Tables'!$AB$70:$AB$75,MATCH(O196,('Spell Tables'!$Z$70:$Z$75),0)),IF($R$256&gt;=O196,INDEX('Spell Tables'!$X$48:$X$65,MATCH(O196,('Spell Tables'!$V$48:$V$65),0)),IF($R$258&gt;=O196,INDEX('Spell Tables'!$X$26:$X$42,MATCH(O196,('Spell Tables'!$V$26:$V$42),0)),IF($R$260&gt;=O196,INDEX('Spell Tables'!$X$2:$X$23,MATCH(O196,('Spell Tables'!$V$2:$V$23),0))," "))))))))))))</f>
        <v xml:space="preserve"> </v>
      </c>
      <c r="S265" s="33" t="str">
        <f ca="1">IF(AND($Q$15="Otherworldly patron - great old one",S$244&gt;=O196),INDEX('Spell Tables'!$AB$226:$AB$238,MATCH(O196,('Spell Tables'!$Z$226:$Z$238),0)),IF(AND($Q$15="Otherworldly patron - fiend",S$244&gt;=O196),INDEX('Spell Tables'!$AB$210:$AB$222,MATCH(O196,('Spell Tables'!$Z$210:$Z$222),0)),IF(AND($Q$15="Otherworldly patron - archfey",S$244&gt;=O196),INDEX('Spell Tables'!$AB$194:$AB$206,MATCH(O196,('Spell Tables'!$Z$194:$Z$206),0)),IF($S$242&gt;=O196,INDEX($AL$68:$AL$77,MATCH(O196,($AJ$68:$AJ$77),0)),IF($S$246&gt;=O196,INDEX('Spell Tables'!$AB$168:$AB$187,MATCH(O196,('Spell Tables'!$Z$168:$Z$187),0)),IF($S$248&gt;=O196,INDEX('Spell Tables'!$AJ$141:$AJ$144,MATCH(O196,('Spell Tables'!$AH$141:$AH$144),0)),IF($S$250&gt;=O196,INDEX('Spell Tables'!$X$119:$X$129,MATCH(O196,('Spell Tables'!$V$119:$V$129),0)),IF($S$252&gt;=O196,INDEX('Spell Tables'!$X$97:$X$106,MATCH(O196,('Spell Tables'!$V$97:$V$106),0)),IF($S$254&gt;=O196,INDEX('Spell Tables'!$AJ$70:$AJ$79,MATCH(O196,('Spell Tables'!$AH$70:$AH$79),0)),IF($S$256&gt;=O196,INDEX('Spell Tables'!$AB$48:$AB$60,MATCH(O196,('Spell Tables'!$Z$48:$Z$60),0)),IF($S$258&gt;=O196,INDEX('Spell Tables'!$AB$26:$AB$45,MATCH(O196,('Spell Tables'!$Z$26:$Z$45),0)),IF($S$260&gt;=O196,INDEX('Spell Tables'!$AB$2:$AB$17,MATCH(O196,('Spell Tables'!$Z$2:$Z$17),0))," "))))))))))))</f>
        <v xml:space="preserve"> </v>
      </c>
      <c r="T265" s="33" t="str">
        <f ca="1">IF(AND($Q$15="Otherworldly patron - great old one",T$244&gt;=O196),INDEX('Spell Tables'!$AF$226:$AF$231,MATCH(O196,('Spell Tables'!$AD$226:$AD$231),0)),IF(AND($Q$15="Otherworldly patron - fiend",T$244&gt;=O196),INDEX('Spell Tables'!$AF$210:$AF$215,MATCH(O196,('Spell Tables'!$AD$210:$AD$215),0)),IF(AND($Q$15="Otherworldly patron - archfey",T$244&gt;=O196),INDEX('Spell Tables'!$AF$194:$AF$199,MATCH(O196,('Spell Tables'!$AD$194:$AD$199),0)),IF($T$242&gt;=O196,INDEX($AL$80:$AL$89,MATCH(O196,($AJ$80:$AJ$89),0)),IF($T$246&gt;=O196,INDEX('Spell Tables'!$AF$168:$AF$177,MATCH(O196,('Spell Tables'!$AD$168:$AD$177),0)),IF($T$248&gt;=O196,INDEX('Spell Tables'!$AR$141:$AR$144,MATCH(O196,('Spell Tables'!$AP$141:$AP$144),0)),IF($T$250&gt;=O196,INDEX('Spell Tables'!$AB$119:$AB$123,MATCH(O196,('Spell Tables'!$Z$119:$Z$123),0)),IF($T$252&gt;=O196,INDEX('Spell Tables'!$AB$97:$AB$102,MATCH(O196,('Spell Tables'!$Z$97:$Z$102),0)),IF($T$254&gt;=O196,INDEX('Spell Tables'!$AR$70:$AR$75,MATCH(O196,('Spell Tables'!$AP$70:$AP$75),0)),IF($T$256&gt;=O196,INDEX('Spell Tables'!$AF$48:$AF$63,MATCH(O196,('Spell Tables'!$AD$48:$AD$63),0)),IF($T$258&gt;=O196,INDEX('Spell Tables'!$AF$26:$AF$33,MATCH(O196,('Spell Tables'!$AD$26:$AD$33),0)),IF($T$260&gt;=O196,INDEX('Spell Tables'!$AF$2:$AF$9,MATCH(O196,('Spell Tables'!$AD$2:$AD$9),0))," "))))))))))))</f>
        <v xml:space="preserve"> </v>
      </c>
    </row>
    <row r="266" spans="2:20" x14ac:dyDescent="0.3">
      <c r="C266" s="33"/>
      <c r="D266" s="33"/>
      <c r="E266" s="33"/>
      <c r="F266" s="33"/>
      <c r="G266" s="33"/>
      <c r="H266" s="33"/>
      <c r="I266" s="33"/>
      <c r="J266" s="33"/>
      <c r="K266" s="33"/>
      <c r="L266" s="33"/>
      <c r="M266" s="33"/>
      <c r="O266" s="34">
        <v>5</v>
      </c>
      <c r="P266" s="33" t="str">
        <f ca="1">IF(P$242&gt;=O197,INDEX('Spell Tables'!$P$242:$P$257,MATCH(O197,('Spell Tables'!$N$242:$N$257),0)),IF(P$244&gt;=O197,INDEX('Spell Tables'!$P$194:$P$201,MATCH(O197,('Spell Tables'!$N$194:$N$201),0)),IF(P$246&gt;=O197,INDEX('Spell Tables'!$P$168:$P$183,MATCH(O197,('Spell Tables'!$N$168:$N$183),0)),IF(P$248&gt;=O197,INDEX('Spell Tables'!$P$141:$P$156,MATCH(O197,('Spell Tables'!$N$141:$N$157),0)),IF(P$254&gt;=O197,INDEX('Spell Tables'!$P$70:$P$83,MATCH(O197,('Spell Tables'!$N$70:$N$83),0)),IF(P$256&gt;=O197,INDEX('Spell Tables'!$P$48:$P$55,MATCH(O197,('Spell Tables'!$N$48:$N$55),0)),IF(P$258&gt;=O197,INDEX('Spell Tables'!$P$26:$P$32,MATCH(O197,('Spell Tables'!$N$26:$N$32),0)),IF(P$260&gt;=O197,INDEX('Spell Tables'!$P$2:$P$12,MATCH(O197,('Spell Tables'!$N$2:$N$12),0))," "))))))))</f>
        <v xml:space="preserve"> </v>
      </c>
      <c r="Q266" s="33" t="str">
        <f ca="1">IF(AND($Q$15="Otherworldly patron - great old one",Q$244&gt;=O197),INDEX('Spell Tables'!$T$226:$T$238,MATCH(O197,('Spell Tables'!$R$226:$R$238),0)),IF(AND($Q$15="Otherworldly patron - fiend",Q$244&gt;=O197),INDEX('Spell Tables'!$T$210:$T$222,MATCH(O197,('Spell Tables'!$R$210:$R$222),0)),IF(Q$242&gt;=O197,INDEX($AL$44:$AL$53,MATCH(O197,($AJ$44:$AJ$53),0)),IF(AND($Q$15="Otherworldly patron - archfey",Q$244&gt;=O197),INDEX('Spell Tables'!T$206:$T298,MATCH(O197,('Spell Tables'!$R$194:$R$206),0)),IF(Q$246&gt;=O197,INDEX('Spell Tables'!T272:T291,MATCH(O197,('Spell Tables'!$R$168:$R$187),0)),IF(Q$248&gt;=O197,INDEX('Spell Tables'!T245:T251,MATCH(O197,('Spell Tables'!$R$141:$R$147),0)),IF(Q$250&gt;=O197,INDEX('Spell Tables'!$P$119:$P$131,MATCH(O197,('Spell Tables'!$N$119:$N$131),0)),IF(Q$252&gt;=O197,INDEX('Spell Tables'!$P$97:$P$111,MATCH(O197,('Spell Tables'!$N$97:$N$111),0)),IF(Q$254&gt;=O197,INDEX('Spell Tables'!$T$70:$T$78,MATCH(O197,('Spell Tables'!$R$70:$R$78),0)),IF(Q$256&gt;=O197,INDEX('Spell Tables'!$T$48:$T$63,MATCH(O197,('Spell Tables'!$R$48:$R$63),0)),IF(Q$258&gt;=O197,INDEX('Spell Tables'!$T$26:$T$40,MATCH(O197,('Spell Tables'!$R$26:$R$40),0)),IF(Q$260&gt;=O197,INDEX('Spell Tables'!$T$2:$T$22,MATCH(O197,('Spell Tables'!$R$2:$R$22),0))," "))))))))))))</f>
        <v xml:space="preserve"> </v>
      </c>
      <c r="R266" s="33" t="str">
        <f ca="1">IF(AND($Q$15="Otherworldly patron - great old one",R$244&gt;=O197),INDEX('Spell Tables'!$X$226:$X$239,MATCH(O197,('Spell Tables'!$V$226:$V$239),0)),IF(AND($Q$15="Otherworldly patron - fiend",R$244&gt;=O197),INDEX('Spell Tables'!$X$210:$X$223,MATCH(O197,('Spell Tables'!$V$210:$V$223),0)),IF(AND($Q$15="Otherworldly patron - archfey",R$244&gt;=O197),INDEX('Spell Tables'!$X$194:$X$207,MATCH(O197,('Spell Tables'!$V$194:$V$207),0)),IF($R$242&gt;=O197,INDEX($AL$56:$AL$65,MATCH(O197,($AJ$56:$AJ$65),0)),IF($R$246&gt;=O197,INDEX('Spell Tables'!$X$168:$X$191,MATCH(O197,('Spell Tables'!$V$168:$V$191),0)),IF($R$248&gt;=O197,INDEX('Spell Tables'!$AB$141:$AB$149,MATCH(O197,('Spell Tables'!$Z$141:$Z$149),0)),IF($R$250&gt;=O197,INDEX('Spell Tables'!T223:T235,MATCH(O197,('Spell Tables'!$R$119:$R$131),0)),IF($R$252&gt;=O197,INDEX('Spell Tables'!$T$97:T208,MATCH(O197,('Spell Tables'!$R$97:$R$104),0)),IF($R$254&gt;=O197,INDEX('Spell Tables'!$AB$70:$AB$75,MATCH(O197,('Spell Tables'!$Z$70:$Z$75),0)),IF($R$256&gt;=O197,INDEX('Spell Tables'!$X$48:$X$65,MATCH(O197,('Spell Tables'!$V$48:$V$65),0)),IF($R$258&gt;=O197,INDEX('Spell Tables'!$X$26:$X$42,MATCH(O197,('Spell Tables'!$V$26:$V$42),0)),IF($R$260&gt;=O197,INDEX('Spell Tables'!$X$2:$X$23,MATCH(O197,('Spell Tables'!$V$2:$V$23),0))," "))))))))))))</f>
        <v xml:space="preserve"> </v>
      </c>
      <c r="S266" s="33" t="str">
        <f ca="1">IF(AND($Q$15="Otherworldly patron - great old one",S$244&gt;=O197),INDEX('Spell Tables'!$AB$226:$AB$238,MATCH(O197,('Spell Tables'!$Z$226:$Z$238),0)),IF(AND($Q$15="Otherworldly patron - fiend",S$244&gt;=O197),INDEX('Spell Tables'!$AB$210:$AB$222,MATCH(O197,('Spell Tables'!$Z$210:$Z$222),0)),IF(AND($Q$15="Otherworldly patron - archfey",S$244&gt;=O197),INDEX('Spell Tables'!$AB$194:$AB$206,MATCH(O197,('Spell Tables'!$Z$194:$Z$206),0)),IF($S$242&gt;=O197,INDEX($AL$68:$AL$77,MATCH(O197,($AJ$68:$AJ$77),0)),IF($S$246&gt;=O197,INDEX('Spell Tables'!$AB$168:$AB$187,MATCH(O197,('Spell Tables'!$Z$168:$Z$187),0)),IF($S$248&gt;=O197,INDEX('Spell Tables'!$AJ$141:$AJ$144,MATCH(O197,('Spell Tables'!$AH$141:$AH$144),0)),IF($S$250&gt;=O197,INDEX('Spell Tables'!$X$119:$X$129,MATCH(O197,('Spell Tables'!$V$119:$V$129),0)),IF($S$252&gt;=O197,INDEX('Spell Tables'!$X$97:$X$106,MATCH(O197,('Spell Tables'!$V$97:$V$106),0)),IF($S$254&gt;=O197,INDEX('Spell Tables'!$AJ$70:$AJ$79,MATCH(O197,('Spell Tables'!$AH$70:$AH$79),0)),IF($S$256&gt;=O197,INDEX('Spell Tables'!$AB$48:$AB$60,MATCH(O197,('Spell Tables'!$Z$48:$Z$60),0)),IF($S$258&gt;=O197,INDEX('Spell Tables'!$AB$26:$AB$45,MATCH(O197,('Spell Tables'!$Z$26:$Z$45),0)),IF($S$260&gt;=O197,INDEX('Spell Tables'!$AB$2:$AB$17,MATCH(O197,('Spell Tables'!$Z$2:$Z$17),0))," "))))))))))))</f>
        <v xml:space="preserve"> </v>
      </c>
      <c r="T266" s="33" t="str">
        <f ca="1">IF(AND($Q$15="Otherworldly patron - great old one",T$244&gt;=O197),INDEX('Spell Tables'!$AF$226:$AF$231,MATCH(O197,('Spell Tables'!$AD$226:$AD$231),0)),IF(AND($Q$15="Otherworldly patron - fiend",T$244&gt;=O197),INDEX('Spell Tables'!$AF$210:$AF$215,MATCH(O197,('Spell Tables'!$AD$210:$AD$215),0)),IF(AND($Q$15="Otherworldly patron - archfey",T$244&gt;=O197),INDEX('Spell Tables'!$AF$194:$AF$199,MATCH(O197,('Spell Tables'!$AD$194:$AD$199),0)),IF($T$242&gt;=O197,INDEX($AL$80:$AL$89,MATCH(O197,($AJ$80:$AJ$89),0)),IF($T$246&gt;=O197,INDEX('Spell Tables'!$AF$168:$AF$177,MATCH(O197,('Spell Tables'!$AD$168:$AD$177),0)),IF($T$248&gt;=O197,INDEX('Spell Tables'!$AR$141:$AR$144,MATCH(O197,('Spell Tables'!$AP$141:$AP$144),0)),IF($T$250&gt;=O197,INDEX('Spell Tables'!$AB$119:$AB$123,MATCH(O197,('Spell Tables'!$Z$119:$Z$123),0)),IF($T$252&gt;=O197,INDEX('Spell Tables'!$AB$97:$AB$102,MATCH(O197,('Spell Tables'!$Z$97:$Z$102),0)),IF($T$254&gt;=O197,INDEX('Spell Tables'!$AR$70:$AR$75,MATCH(O197,('Spell Tables'!$AP$70:$AP$75),0)),IF($T$256&gt;=O197,INDEX('Spell Tables'!$AF$48:$AF$63,MATCH(O197,('Spell Tables'!$AD$48:$AD$63),0)),IF($T$258&gt;=O197,INDEX('Spell Tables'!$AF$26:$AF$33,MATCH(O197,('Spell Tables'!$AD$26:$AD$33),0)),IF($T$260&gt;=O197,INDEX('Spell Tables'!$AF$2:$AF$9,MATCH(O197,('Spell Tables'!$AD$2:$AD$9),0))," "))))))))))))</f>
        <v xml:space="preserve"> </v>
      </c>
    </row>
    <row r="267" spans="2:20" x14ac:dyDescent="0.3">
      <c r="B267" s="33"/>
      <c r="C267" s="33"/>
      <c r="D267" s="33"/>
      <c r="E267" s="33"/>
      <c r="F267" s="33"/>
      <c r="G267" s="33"/>
      <c r="H267" s="33"/>
      <c r="I267" s="33"/>
      <c r="J267" s="33"/>
      <c r="K267" s="33"/>
      <c r="L267" s="33"/>
      <c r="M267" s="33"/>
      <c r="O267" s="34">
        <v>6</v>
      </c>
      <c r="P267" s="33" t="str">
        <f ca="1">IF(P$242&gt;=O198,INDEX('Spell Tables'!$P$242:$P$257,MATCH(O198,('Spell Tables'!$N$242:$N$257),0)),IF(P$244&gt;=O198,INDEX('Spell Tables'!$P$194:$P$201,MATCH(O198,('Spell Tables'!$N$194:$N$201),0)),IF(P$246&gt;=O198,INDEX('Spell Tables'!$P$168:$P$183,MATCH(O198,('Spell Tables'!$N$168:$N$183),0)),IF(P$248&gt;=O198,INDEX('Spell Tables'!$P$141:$P$156,MATCH(O198,('Spell Tables'!$N$141:$N$157),0)),IF(P$254&gt;=O198,INDEX('Spell Tables'!$P$70:$P$83,MATCH(O198,('Spell Tables'!$N$70:$N$83),0)),IF(P$256&gt;=O198,INDEX('Spell Tables'!$P$48:$P$55,MATCH(O198,('Spell Tables'!$N$48:$N$55),0)),IF(P$258&gt;=O198,INDEX('Spell Tables'!$P$26:$P$32,MATCH(O198,('Spell Tables'!$N$26:$N$32),0)),IF(P$260&gt;=O198,INDEX('Spell Tables'!$P$2:$P$12,MATCH(O198,('Spell Tables'!$N$2:$N$12),0))," "))))))))</f>
        <v xml:space="preserve"> </v>
      </c>
      <c r="Q267" s="33" t="str">
        <f ca="1">IF(AND($Q$15="Otherworldly patron - great old one",Q$244&gt;=O198),INDEX('Spell Tables'!$T$226:$T$238,MATCH(O198,('Spell Tables'!$R$226:$R$238),0)),IF(AND($Q$15="Otherworldly patron - fiend",Q$244&gt;=O198),INDEX('Spell Tables'!$T$210:$T$222,MATCH(O198,('Spell Tables'!$R$210:$R$222),0)),IF(Q$242&gt;=O198,INDEX($AL$44:$AL$53,MATCH(O198,($AJ$44:$AJ$53),0)),IF(AND($Q$15="Otherworldly patron - archfey",Q$244&gt;=O198),INDEX('Spell Tables'!T$206:$T299,MATCH(O198,('Spell Tables'!$R$194:$R$206),0)),IF(Q$246&gt;=O198,INDEX('Spell Tables'!T273:T292,MATCH(O198,('Spell Tables'!$R$168:$R$187),0)),IF(Q$248&gt;=O198,INDEX('Spell Tables'!T246:T252,MATCH(O198,('Spell Tables'!$R$141:$R$147),0)),IF(Q$250&gt;=O198,INDEX('Spell Tables'!$P$119:$P$131,MATCH(O198,('Spell Tables'!$N$119:$N$131),0)),IF(Q$252&gt;=O198,INDEX('Spell Tables'!$P$97:$P$111,MATCH(O198,('Spell Tables'!$N$97:$N$111),0)),IF(Q$254&gt;=O198,INDEX('Spell Tables'!$T$70:$T$78,MATCH(O198,('Spell Tables'!$R$70:$R$78),0)),IF(Q$256&gt;=O198,INDEX('Spell Tables'!$T$48:$T$63,MATCH(O198,('Spell Tables'!$R$48:$R$63),0)),IF(Q$258&gt;=O198,INDEX('Spell Tables'!$T$26:$T$40,MATCH(O198,('Spell Tables'!$R$26:$R$40),0)),IF(Q$260&gt;=O198,INDEX('Spell Tables'!$T$2:$T$22,MATCH(O198,('Spell Tables'!$R$2:$R$22),0))," "))))))))))))</f>
        <v xml:space="preserve"> </v>
      </c>
      <c r="R267" s="33" t="str">
        <f ca="1">IF(AND($Q$15="Otherworldly patron - great old one",R$244&gt;=O198),INDEX('Spell Tables'!$X$226:$X$239,MATCH(O198,('Spell Tables'!$V$226:$V$239),0)),IF(AND($Q$15="Otherworldly patron - fiend",R$244&gt;=O198),INDEX('Spell Tables'!$X$210:$X$223,MATCH(O198,('Spell Tables'!$V$210:$V$223),0)),IF(AND($Q$15="Otherworldly patron - archfey",R$244&gt;=O198),INDEX('Spell Tables'!$X$194:$X$207,MATCH(O198,('Spell Tables'!$V$194:$V$207),0)),IF($R$242&gt;=O198,INDEX($AL$56:$AL$65,MATCH(O198,($AJ$56:$AJ$65),0)),IF($R$246&gt;=O198,INDEX('Spell Tables'!$X$168:$X$191,MATCH(O198,('Spell Tables'!$V$168:$V$191),0)),IF($R$248&gt;=O198,INDEX('Spell Tables'!$AB$141:$AB$149,MATCH(O198,('Spell Tables'!$Z$141:$Z$149),0)),IF($R$250&gt;=O198,INDEX('Spell Tables'!T224:T236,MATCH(O198,('Spell Tables'!$R$119:$R$131),0)),IF($R$252&gt;=O198,INDEX('Spell Tables'!$T$97:T209,MATCH(O198,('Spell Tables'!$R$97:$R$104),0)),IF($R$254&gt;=O198,INDEX('Spell Tables'!$AB$70:$AB$75,MATCH(O198,('Spell Tables'!$Z$70:$Z$75),0)),IF($R$256&gt;=O198,INDEX('Spell Tables'!$X$48:$X$65,MATCH(O198,('Spell Tables'!$V$48:$V$65),0)),IF($R$258&gt;=O198,INDEX('Spell Tables'!$X$26:$X$42,MATCH(O198,('Spell Tables'!$V$26:$V$42),0)),IF($R$260&gt;=O198,INDEX('Spell Tables'!$X$2:$X$23,MATCH(O198,('Spell Tables'!$V$2:$V$23),0))," "))))))))))))</f>
        <v xml:space="preserve"> </v>
      </c>
      <c r="S267" s="33" t="str">
        <f ca="1">IF(AND($Q$15="Otherworldly patron - great old one",S$244&gt;=O198),INDEX('Spell Tables'!$AB$226:$AB$238,MATCH(O198,('Spell Tables'!$Z$226:$Z$238),0)),IF(AND($Q$15="Otherworldly patron - fiend",S$244&gt;=O198),INDEX('Spell Tables'!$AB$210:$AB$222,MATCH(O198,('Spell Tables'!$Z$210:$Z$222),0)),IF(AND($Q$15="Otherworldly patron - archfey",S$244&gt;=O198),INDEX('Spell Tables'!$AB$194:$AB$206,MATCH(O198,('Spell Tables'!$Z$194:$Z$206),0)),IF($S$242&gt;=O198,INDEX($AL$68:$AL$77,MATCH(O198,($AJ$68:$AJ$77),0)),IF($S$246&gt;=O198,INDEX('Spell Tables'!$AB$168:$AB$187,MATCH(O198,('Spell Tables'!$Z$168:$Z$187),0)),IF($S$248&gt;=O198,INDEX('Spell Tables'!$AJ$141:$AJ$144,MATCH(O198,('Spell Tables'!$AH$141:$AH$144),0)),IF($S$250&gt;=O198,INDEX('Spell Tables'!$X$119:$X$129,MATCH(O198,('Spell Tables'!$V$119:$V$129),0)),IF($S$252&gt;=O198,INDEX('Spell Tables'!$X$97:$X$106,MATCH(O198,('Spell Tables'!$V$97:$V$106),0)),IF($S$254&gt;=O198,INDEX('Spell Tables'!$AJ$70:$AJ$79,MATCH(O198,('Spell Tables'!$AH$70:$AH$79),0)),IF($S$256&gt;=O198,INDEX('Spell Tables'!$AB$48:$AB$60,MATCH(O198,('Spell Tables'!$Z$48:$Z$60),0)),IF($S$258&gt;=O198,INDEX('Spell Tables'!$AB$26:$AB$45,MATCH(O198,('Spell Tables'!$Z$26:$Z$45),0)),IF($S$260&gt;=O198,INDEX('Spell Tables'!$AB$2:$AB$17,MATCH(O198,('Spell Tables'!$Z$2:$Z$17),0))," "))))))))))))</f>
        <v xml:space="preserve"> </v>
      </c>
      <c r="T267" s="33" t="str">
        <f ca="1">IF(AND($Q$15="Otherworldly patron - great old one",T$244&gt;=O198),INDEX('Spell Tables'!$AF$226:$AF$231,MATCH(O198,('Spell Tables'!$AD$226:$AD$231),0)),IF(AND($Q$15="Otherworldly patron - fiend",T$244&gt;=O198),INDEX('Spell Tables'!$AF$210:$AF$215,MATCH(O198,('Spell Tables'!$AD$210:$AD$215),0)),IF(AND($Q$15="Otherworldly patron - archfey",T$244&gt;=O198),INDEX('Spell Tables'!$AF$194:$AF$199,MATCH(O198,('Spell Tables'!$AD$194:$AD$199),0)),IF($T$242&gt;=O198,INDEX($AL$80:$AL$89,MATCH(O198,($AJ$80:$AJ$89),0)),IF($T$246&gt;=O198,INDEX('Spell Tables'!$AF$168:$AF$177,MATCH(O198,('Spell Tables'!$AD$168:$AD$177),0)),IF($T$248&gt;=O198,INDEX('Spell Tables'!$AR$141:$AR$144,MATCH(O198,('Spell Tables'!$AP$141:$AP$144),0)),IF($T$250&gt;=O198,INDEX('Spell Tables'!$AB$119:$AB$123,MATCH(O198,('Spell Tables'!$Z$119:$Z$123),0)),IF($T$252&gt;=O198,INDEX('Spell Tables'!$AB$97:$AB$102,MATCH(O198,('Spell Tables'!$Z$97:$Z$102),0)),IF($T$254&gt;=O198,INDEX('Spell Tables'!$AR$70:$AR$75,MATCH(O198,('Spell Tables'!$AP$70:$AP$75),0)),IF($T$256&gt;=O198,INDEX('Spell Tables'!$AF$48:$AF$63,MATCH(O198,('Spell Tables'!$AD$48:$AD$63),0)),IF($T$258&gt;=O198,INDEX('Spell Tables'!$AF$26:$AF$33,MATCH(O198,('Spell Tables'!$AD$26:$AD$33),0)),IF($T$260&gt;=O198,INDEX('Spell Tables'!$AF$2:$AF$9,MATCH(O198,('Spell Tables'!$AD$2:$AD$9),0))," "))))))))))))</f>
        <v xml:space="preserve"> </v>
      </c>
    </row>
    <row r="268" spans="2:20" x14ac:dyDescent="0.3">
      <c r="B268" s="33"/>
      <c r="C268" s="33"/>
      <c r="D268" s="33"/>
      <c r="E268" s="33"/>
      <c r="F268" s="33"/>
      <c r="G268" s="33"/>
      <c r="H268" s="33"/>
      <c r="I268" s="33"/>
      <c r="J268" s="33"/>
      <c r="K268" s="33"/>
      <c r="L268" s="33"/>
      <c r="M268" s="33"/>
      <c r="O268" s="34">
        <v>7</v>
      </c>
      <c r="P268" s="33" t="str">
        <f ca="1">IF(P$242&gt;=O199,INDEX('Spell Tables'!$P$242:$P$257,MATCH(O199,('Spell Tables'!$N$242:$N$257),0)),IF(P$244&gt;=O199,INDEX('Spell Tables'!$P$194:$P$201,MATCH(O199,('Spell Tables'!$N$194:$N$201),0)),IF(P$246&gt;=O199,INDEX('Spell Tables'!$P$168:$P$183,MATCH(O199,('Spell Tables'!$N$168:$N$183),0)),IF(P$248&gt;=O199,INDEX('Spell Tables'!$P$141:$P$156,MATCH(O199,('Spell Tables'!$N$141:$N$157),0)),IF(P$254&gt;=O199,INDEX('Spell Tables'!$P$70:$P$83,MATCH(O199,('Spell Tables'!$N$70:$N$83),0)),IF(P$256&gt;=O199,INDEX('Spell Tables'!$P$48:$P$55,MATCH(O199,('Spell Tables'!$N$48:$N$55),0)),IF(P$258&gt;=O199,INDEX('Spell Tables'!$P$26:$P$32,MATCH(O199,('Spell Tables'!$N$26:$N$32),0)),IF(P$260&gt;=O199,INDEX('Spell Tables'!$P$2:$P$12,MATCH(O199,('Spell Tables'!$N$2:$N$12),0))," "))))))))</f>
        <v xml:space="preserve"> </v>
      </c>
      <c r="Q268" s="33" t="str">
        <f ca="1">IF(AND($Q$15="Otherworldly patron - great old one",Q$244&gt;=O199),INDEX('Spell Tables'!$T$226:$T$238,MATCH(O199,('Spell Tables'!$R$226:$R$238),0)),IF(AND($Q$15="Otherworldly patron - fiend",Q$244&gt;=O199),INDEX('Spell Tables'!$T$210:$T$222,MATCH(O199,('Spell Tables'!$R$210:$R$222),0)),IF(Q$242&gt;=O199,INDEX($AL$44:$AL$53,MATCH(O199,($AJ$44:$AJ$53),0)),IF(AND($Q$15="Otherworldly patron - archfey",Q$244&gt;=O199),INDEX('Spell Tables'!T$206:$T300,MATCH(O199,('Spell Tables'!$R$194:$R$206),0)),IF(Q$246&gt;=O199,INDEX('Spell Tables'!T274:T293,MATCH(O199,('Spell Tables'!$R$168:$R$187),0)),IF(Q$248&gt;=O199,INDEX('Spell Tables'!T247:T253,MATCH(O199,('Spell Tables'!$R$141:$R$147),0)),IF(Q$250&gt;=O199,INDEX('Spell Tables'!$P$119:$P$131,MATCH(O199,('Spell Tables'!$N$119:$N$131),0)),IF(Q$252&gt;=O199,INDEX('Spell Tables'!$P$97:$P$111,MATCH(O199,('Spell Tables'!$N$97:$N$111),0)),IF(Q$254&gt;=O199,INDEX('Spell Tables'!$T$70:$T$78,MATCH(O199,('Spell Tables'!$R$70:$R$78),0)),IF(Q$256&gt;=O199,INDEX('Spell Tables'!$T$48:$T$63,MATCH(O199,('Spell Tables'!$R$48:$R$63),0)),IF(Q$258&gt;=O199,INDEX('Spell Tables'!$T$26:$T$40,MATCH(O199,('Spell Tables'!$R$26:$R$40),0)),IF(Q$260&gt;=O199,INDEX('Spell Tables'!$T$2:$T$22,MATCH(O199,('Spell Tables'!$R$2:$R$22),0))," "))))))))))))</f>
        <v xml:space="preserve"> </v>
      </c>
      <c r="R268" s="33" t="str">
        <f ca="1">IF(AND($Q$15="Otherworldly patron - great old one",R$244&gt;=O199),INDEX('Spell Tables'!$X$226:$X$239,MATCH(O199,('Spell Tables'!$V$226:$V$239),0)),IF(AND($Q$15="Otherworldly patron - fiend",R$244&gt;=O199),INDEX('Spell Tables'!$X$210:$X$223,MATCH(O199,('Spell Tables'!$V$210:$V$223),0)),IF(AND($Q$15="Otherworldly patron - archfey",R$244&gt;=O199),INDEX('Spell Tables'!$X$194:$X$207,MATCH(O199,('Spell Tables'!$V$194:$V$207),0)),IF($R$242&gt;=O199,INDEX($AL$56:$AL$65,MATCH(O199,($AJ$56:$AJ$65),0)),IF($R$246&gt;=O199,INDEX('Spell Tables'!$X$168:$X$191,MATCH(O199,('Spell Tables'!$V$168:$V$191),0)),IF($R$248&gt;=O199,INDEX('Spell Tables'!$AB$141:$AB$149,MATCH(O199,('Spell Tables'!$Z$141:$Z$149),0)),IF($R$250&gt;=O199,INDEX('Spell Tables'!T225:T237,MATCH(O199,('Spell Tables'!$R$119:$R$131),0)),IF($R$252&gt;=O199,INDEX('Spell Tables'!$T$97:T210,MATCH(O199,('Spell Tables'!$R$97:$R$104),0)),IF($R$254&gt;=O199,INDEX('Spell Tables'!$AB$70:$AB$75,MATCH(O199,('Spell Tables'!$Z$70:$Z$75),0)),IF($R$256&gt;=O199,INDEX('Spell Tables'!$X$48:$X$65,MATCH(O199,('Spell Tables'!$V$48:$V$65),0)),IF($R$258&gt;=O199,INDEX('Spell Tables'!$X$26:$X$42,MATCH(O199,('Spell Tables'!$V$26:$V$42),0)),IF($R$260&gt;=O199,INDEX('Spell Tables'!$X$2:$X$23,MATCH(O199,('Spell Tables'!$V$2:$V$23),0))," "))))))))))))</f>
        <v xml:space="preserve"> </v>
      </c>
      <c r="S268" s="33" t="str">
        <f ca="1">IF(AND($Q$15="Otherworldly patron - great old one",S$244&gt;=O199),INDEX('Spell Tables'!$AB$226:$AB$238,MATCH(O199,('Spell Tables'!$Z$226:$Z$238),0)),IF(AND($Q$15="Otherworldly patron - fiend",S$244&gt;=O199),INDEX('Spell Tables'!$AB$210:$AB$222,MATCH(O199,('Spell Tables'!$Z$210:$Z$222),0)),IF(AND($Q$15="Otherworldly patron - archfey",S$244&gt;=O199),INDEX('Spell Tables'!$AB$194:$AB$206,MATCH(O199,('Spell Tables'!$Z$194:$Z$206),0)),IF($S$242&gt;=O199,INDEX($AL$68:$AL$77,MATCH(O199,($AJ$68:$AJ$77),0)),IF($S$246&gt;=O199,INDEX('Spell Tables'!$AB$168:$AB$187,MATCH(O199,('Spell Tables'!$Z$168:$Z$187),0)),IF($S$248&gt;=O199,INDEX('Spell Tables'!$AJ$141:$AJ$144,MATCH(O199,('Spell Tables'!$AH$141:$AH$144),0)),IF($S$250&gt;=O199,INDEX('Spell Tables'!$X$119:$X$129,MATCH(O199,('Spell Tables'!$V$119:$V$129),0)),IF($S$252&gt;=O199,INDEX('Spell Tables'!$X$97:$X$106,MATCH(O199,('Spell Tables'!$V$97:$V$106),0)),IF($S$254&gt;=O199,INDEX('Spell Tables'!$AJ$70:$AJ$79,MATCH(O199,('Spell Tables'!$AH$70:$AH$79),0)),IF($S$256&gt;=O199,INDEX('Spell Tables'!$AB$48:$AB$60,MATCH(O199,('Spell Tables'!$Z$48:$Z$60),0)),IF($S$258&gt;=O199,INDEX('Spell Tables'!$AB$26:$AB$45,MATCH(O199,('Spell Tables'!$Z$26:$Z$45),0)),IF($S$260&gt;=O199,INDEX('Spell Tables'!$AB$2:$AB$17,MATCH(O199,('Spell Tables'!$Z$2:$Z$17),0))," "))))))))))))</f>
        <v xml:space="preserve"> </v>
      </c>
      <c r="T268" s="33" t="str">
        <f ca="1">IF(AND($Q$15="Otherworldly patron - great old one",T$244&gt;=O199),INDEX('Spell Tables'!$AF$226:$AF$231,MATCH(O199,('Spell Tables'!$AD$226:$AD$231),0)),IF(AND($Q$15="Otherworldly patron - fiend",T$244&gt;=O199),INDEX('Spell Tables'!$AF$210:$AF$215,MATCH(O199,('Spell Tables'!$AD$210:$AD$215),0)),IF(AND($Q$15="Otherworldly patron - archfey",T$244&gt;=O199),INDEX('Spell Tables'!$AF$194:$AF$199,MATCH(O199,('Spell Tables'!$AD$194:$AD$199),0)),IF($T$242&gt;=O199,INDEX($AL$80:$AL$89,MATCH(O199,($AJ$80:$AJ$89),0)),IF($T$246&gt;=O199,INDEX('Spell Tables'!$AF$168:$AF$177,MATCH(O199,('Spell Tables'!$AD$168:$AD$177),0)),IF($T$248&gt;=O199,INDEX('Spell Tables'!$AR$141:$AR$144,MATCH(O199,('Spell Tables'!$AP$141:$AP$144),0)),IF($T$250&gt;=O199,INDEX('Spell Tables'!$AB$119:$AB$123,MATCH(O199,('Spell Tables'!$Z$119:$Z$123),0)),IF($T$252&gt;=O199,INDEX('Spell Tables'!$AB$97:$AB$102,MATCH(O199,('Spell Tables'!$Z$97:$Z$102),0)),IF($T$254&gt;=O199,INDEX('Spell Tables'!$AR$70:$AR$75,MATCH(O199,('Spell Tables'!$AP$70:$AP$75),0)),IF($T$256&gt;=O199,INDEX('Spell Tables'!$AF$48:$AF$63,MATCH(O199,('Spell Tables'!$AD$48:$AD$63),0)),IF($T$258&gt;=O199,INDEX('Spell Tables'!$AF$26:$AF$33,MATCH(O199,('Spell Tables'!$AD$26:$AD$33),0)),IF($T$260&gt;=O199,INDEX('Spell Tables'!$AF$2:$AF$9,MATCH(O199,('Spell Tables'!$AD$2:$AD$9),0))," "))))))))))))</f>
        <v xml:space="preserve"> </v>
      </c>
    </row>
    <row r="269" spans="2:20" x14ac:dyDescent="0.3">
      <c r="B269" s="33"/>
      <c r="C269" s="33"/>
      <c r="D269" s="33"/>
      <c r="E269" s="33"/>
      <c r="F269" s="33"/>
      <c r="G269" s="33"/>
      <c r="H269" s="33"/>
      <c r="I269" s="33"/>
      <c r="J269" s="33"/>
      <c r="K269" s="33"/>
      <c r="L269" s="33"/>
      <c r="M269" s="33"/>
      <c r="O269" s="34">
        <v>8</v>
      </c>
      <c r="P269" s="33" t="str">
        <f ca="1">IF(P$242&gt;=O200,INDEX('Spell Tables'!$P$242:$P$257,MATCH(O200,('Spell Tables'!$N$242:$N$257),0)),IF(P$244&gt;=O200,INDEX('Spell Tables'!$P$194:$P$201,MATCH(O200,('Spell Tables'!$N$194:$N$201),0)),IF(P$246&gt;=O200,INDEX('Spell Tables'!$P$168:$P$183,MATCH(O200,('Spell Tables'!$N$168:$N$183),0)),IF(P$248&gt;=O200,INDEX('Spell Tables'!$P$141:$P$156,MATCH(O200,('Spell Tables'!$N$141:$N$157),0)),IF(P$254&gt;=O200,INDEX('Spell Tables'!$P$70:$P$83,MATCH(O200,('Spell Tables'!$N$70:$N$83),0)),IF(P$256&gt;=O200,INDEX('Spell Tables'!$P$48:$P$55,MATCH(O200,('Spell Tables'!$N$48:$N$55),0)),IF(P$258&gt;=O200,INDEX('Spell Tables'!$P$26:$P$32,MATCH(O200,('Spell Tables'!$N$26:$N$32),0)),IF(P$260&gt;=O200,INDEX('Spell Tables'!$P$2:$P$12,MATCH(O200,('Spell Tables'!$N$2:$N$12),0))," "))))))))</f>
        <v xml:space="preserve"> </v>
      </c>
      <c r="Q269" s="33" t="str">
        <f ca="1">IF(AND($Q$15="Otherworldly patron - great old one",Q$244&gt;=O200),INDEX('Spell Tables'!$T$226:$T$238,MATCH(O200,('Spell Tables'!$R$226:$R$238),0)),IF(AND($Q$15="Otherworldly patron - fiend",Q$244&gt;=O200),INDEX('Spell Tables'!$T$210:$T$222,MATCH(O200,('Spell Tables'!$R$210:$R$222),0)),IF(Q$242&gt;=O200,INDEX($AL$44:$AL$53,MATCH(O200,($AJ$44:$AJ$53),0)),IF(AND($Q$15="Otherworldly patron - archfey",Q$244&gt;=O200),INDEX('Spell Tables'!T$206:$T301,MATCH(O200,('Spell Tables'!$R$194:$R$206),0)),IF(Q$246&gt;=O200,INDEX('Spell Tables'!T275:T294,MATCH(O200,('Spell Tables'!$R$168:$R$187),0)),IF(Q$248&gt;=O200,INDEX('Spell Tables'!T248:T254,MATCH(O200,('Spell Tables'!$R$141:$R$147),0)),IF(Q$250&gt;=O200,INDEX('Spell Tables'!$P$119:$P$131,MATCH(O200,('Spell Tables'!$N$119:$N$131),0)),IF(Q$252&gt;=O200,INDEX('Spell Tables'!$P$97:$P$111,MATCH(O200,('Spell Tables'!$N$97:$N$111),0)),IF(Q$254&gt;=O200,INDEX('Spell Tables'!$T$70:$T$78,MATCH(O200,('Spell Tables'!$R$70:$R$78),0)),IF(Q$256&gt;=O200,INDEX('Spell Tables'!$T$48:$T$63,MATCH(O200,('Spell Tables'!$R$48:$R$63),0)),IF(Q$258&gt;=O200,INDEX('Spell Tables'!$T$26:$T$40,MATCH(O200,('Spell Tables'!$R$26:$R$40),0)),IF(Q$260&gt;=O200,INDEX('Spell Tables'!$T$2:$T$22,MATCH(O200,('Spell Tables'!$R$2:$R$22),0))," "))))))))))))</f>
        <v xml:space="preserve"> </v>
      </c>
      <c r="R269" s="33" t="str">
        <f ca="1">IF(AND($Q$15="Otherworldly patron - great old one",R$244&gt;=O200),INDEX('Spell Tables'!$X$226:$X$239,MATCH(O200,('Spell Tables'!$V$226:$V$239),0)),IF(AND($Q$15="Otherworldly patron - fiend",R$244&gt;=O200),INDEX('Spell Tables'!$X$210:$X$223,MATCH(O200,('Spell Tables'!$V$210:$V$223),0)),IF(AND($Q$15="Otherworldly patron - archfey",R$244&gt;=O200),INDEX('Spell Tables'!$X$194:$X$207,MATCH(O200,('Spell Tables'!$V$194:$V$207),0)),IF($R$242&gt;=O200,INDEX($AL$56:$AL$65,MATCH(O200,($AJ$56:$AJ$65),0)),IF($R$246&gt;=O200,INDEX('Spell Tables'!$X$168:$X$191,MATCH(O200,('Spell Tables'!$V$168:$V$191),0)),IF($R$248&gt;=O200,INDEX('Spell Tables'!$AB$141:$AB$149,MATCH(O200,('Spell Tables'!$Z$141:$Z$149),0)),IF($R$250&gt;=O200,INDEX('Spell Tables'!T226:T238,MATCH(O200,('Spell Tables'!$R$119:$R$131),0)),IF($R$252&gt;=O200,INDEX('Spell Tables'!$T$97:T211,MATCH(O200,('Spell Tables'!$R$97:$R$104),0)),IF($R$254&gt;=O200,INDEX('Spell Tables'!$AB$70:$AB$75,MATCH(O200,('Spell Tables'!$Z$70:$Z$75),0)),IF($R$256&gt;=O200,INDEX('Spell Tables'!$X$48:$X$65,MATCH(O200,('Spell Tables'!$V$48:$V$65),0)),IF($R$258&gt;=O200,INDEX('Spell Tables'!$X$26:$X$42,MATCH(O200,('Spell Tables'!$V$26:$V$42),0)),IF($R$260&gt;=O200,INDEX('Spell Tables'!$X$2:$X$23,MATCH(O200,('Spell Tables'!$V$2:$V$23),0))," "))))))))))))</f>
        <v xml:space="preserve"> </v>
      </c>
      <c r="S269" s="33" t="str">
        <f ca="1">IF(AND($Q$15="Otherworldly patron - great old one",S$244&gt;=O200),INDEX('Spell Tables'!$AB$226:$AB$238,MATCH(O200,('Spell Tables'!$Z$226:$Z$238),0)),IF(AND($Q$15="Otherworldly patron - fiend",S$244&gt;=O200),INDEX('Spell Tables'!$AB$210:$AB$222,MATCH(O200,('Spell Tables'!$Z$210:$Z$222),0)),IF(AND($Q$15="Otherworldly patron - archfey",S$244&gt;=O200),INDEX('Spell Tables'!$AB$194:$AB$206,MATCH(O200,('Spell Tables'!$Z$194:$Z$206),0)),IF($S$242&gt;=O200,INDEX($AL$68:$AL$77,MATCH(O200,($AJ$68:$AJ$77),0)),IF($S$246&gt;=O200,INDEX('Spell Tables'!$AB$168:$AB$187,MATCH(O200,('Spell Tables'!$Z$168:$Z$187),0)),IF($S$248&gt;=O200,INDEX('Spell Tables'!$AJ$141:$AJ$144,MATCH(O200,('Spell Tables'!$AH$141:$AH$144),0)),IF($S$250&gt;=O200,INDEX('Spell Tables'!$X$119:$X$129,MATCH(O200,('Spell Tables'!$V$119:$V$129),0)),IF($S$252&gt;=O200,INDEX('Spell Tables'!$X$97:$X$106,MATCH(O200,('Spell Tables'!$V$97:$V$106),0)),IF($S$254&gt;=O200,INDEX('Spell Tables'!$AJ$70:$AJ$79,MATCH(O200,('Spell Tables'!$AH$70:$AH$79),0)),IF($S$256&gt;=O200,INDEX('Spell Tables'!$AB$48:$AB$60,MATCH(O200,('Spell Tables'!$Z$48:$Z$60),0)),IF($S$258&gt;=O200,INDEX('Spell Tables'!$AB$26:$AB$45,MATCH(O200,('Spell Tables'!$Z$26:$Z$45),0)),IF($S$260&gt;=O200,INDEX('Spell Tables'!$AB$2:$AB$17,MATCH(O200,('Spell Tables'!$Z$2:$Z$17),0))," "))))))))))))</f>
        <v xml:space="preserve"> </v>
      </c>
      <c r="T269" s="33" t="str">
        <f ca="1">IF(AND($Q$15="Otherworldly patron - great old one",T$244&gt;=O200),INDEX('Spell Tables'!$AF$226:$AF$231,MATCH(O200,('Spell Tables'!$AD$226:$AD$231),0)),IF(AND($Q$15="Otherworldly patron - fiend",T$244&gt;=O200),INDEX('Spell Tables'!$AF$210:$AF$215,MATCH(O200,('Spell Tables'!$AD$210:$AD$215),0)),IF(AND($Q$15="Otherworldly patron - archfey",T$244&gt;=O200),INDEX('Spell Tables'!$AF$194:$AF$199,MATCH(O200,('Spell Tables'!$AD$194:$AD$199),0)),IF($T$242&gt;=O200,INDEX($AL$80:$AL$89,MATCH(O200,($AJ$80:$AJ$89),0)),IF($T$246&gt;=O200,INDEX('Spell Tables'!$AF$168:$AF$177,MATCH(O200,('Spell Tables'!$AD$168:$AD$177),0)),IF($T$248&gt;=O200,INDEX('Spell Tables'!$AR$141:$AR$144,MATCH(O200,('Spell Tables'!$AP$141:$AP$144),0)),IF($T$250&gt;=O200,INDEX('Spell Tables'!$AB$119:$AB$123,MATCH(O200,('Spell Tables'!$Z$119:$Z$123),0)),IF($T$252&gt;=O200,INDEX('Spell Tables'!$AB$97:$AB$102,MATCH(O200,('Spell Tables'!$Z$97:$Z$102),0)),IF($T$254&gt;=O200,INDEX('Spell Tables'!$AR$70:$AR$75,MATCH(O200,('Spell Tables'!$AP$70:$AP$75),0)),IF($T$256&gt;=O200,INDEX('Spell Tables'!$AF$48:$AF$63,MATCH(O200,('Spell Tables'!$AD$48:$AD$63),0)),IF($T$258&gt;=O200,INDEX('Spell Tables'!$AF$26:$AF$33,MATCH(O200,('Spell Tables'!$AD$26:$AD$33),0)),IF($T$260&gt;=O200,INDEX('Spell Tables'!$AF$2:$AF$9,MATCH(O200,('Spell Tables'!$AD$2:$AD$9),0))," "))))))))))))</f>
        <v xml:space="preserve"> </v>
      </c>
    </row>
    <row r="270" spans="2:20" x14ac:dyDescent="0.3">
      <c r="B270" s="33"/>
      <c r="C270" s="33"/>
      <c r="D270" s="33"/>
      <c r="E270" s="33"/>
      <c r="F270" s="33"/>
      <c r="G270" s="33"/>
      <c r="H270" s="33"/>
      <c r="I270" s="33"/>
      <c r="J270" s="33"/>
      <c r="K270" s="33"/>
      <c r="L270" s="33"/>
      <c r="M270" s="33"/>
      <c r="O270" s="34">
        <v>9</v>
      </c>
      <c r="P270" s="33" t="str">
        <f ca="1">IF(P$242&gt;=O201,INDEX('Spell Tables'!$P$242:$P$257,MATCH(O201,('Spell Tables'!$N$242:$N$257),0)),IF(P$244&gt;=O201,INDEX('Spell Tables'!$P$194:$P$201,MATCH(O201,('Spell Tables'!$N$194:$N$201),0)),IF(P$246&gt;=O201,INDEX('Spell Tables'!$P$168:$P$183,MATCH(O201,('Spell Tables'!$N$168:$N$183),0)),IF(P$248&gt;=O201,INDEX('Spell Tables'!$P$141:$P$156,MATCH(O201,('Spell Tables'!$N$141:$N$157),0)),IF(P$254&gt;=O201,INDEX('Spell Tables'!$P$70:$P$83,MATCH(O201,('Spell Tables'!$N$70:$N$83),0)),IF(P$256&gt;=O201,INDEX('Spell Tables'!$P$48:$P$55,MATCH(O201,('Spell Tables'!$N$48:$N$55),0)),IF(P$258&gt;=O201,INDEX('Spell Tables'!$P$26:$P$32,MATCH(O201,('Spell Tables'!$N$26:$N$32),0)),IF(P$260&gt;=O201,INDEX('Spell Tables'!$P$2:$P$12,MATCH(O201,('Spell Tables'!$N$2:$N$12),0))," "))))))))</f>
        <v xml:space="preserve"> </v>
      </c>
      <c r="Q270" s="33" t="str">
        <f ca="1">IF(AND($Q$15="Otherworldly patron - great old one",Q$244&gt;=O201),INDEX('Spell Tables'!$T$226:$T$238,MATCH(O201,('Spell Tables'!$R$226:$R$238),0)),IF(AND($Q$15="Otherworldly patron - fiend",Q$244&gt;=O201),INDEX('Spell Tables'!$T$210:$T$222,MATCH(O201,('Spell Tables'!$R$210:$R$222),0)),IF(Q$242&gt;=O201,INDEX($AL$44:$AL$53,MATCH(O201,($AJ$44:$AJ$53),0)),IF(AND($Q$15="Otherworldly patron - archfey",Q$244&gt;=O201),INDEX('Spell Tables'!T$206:$T302,MATCH(O201,('Spell Tables'!$R$194:$R$206),0)),IF(Q$246&gt;=O201,INDEX('Spell Tables'!T276:T295,MATCH(O201,('Spell Tables'!$R$168:$R$187),0)),IF(Q$248&gt;=O201,INDEX('Spell Tables'!T249:T255,MATCH(O201,('Spell Tables'!$R$141:$R$147),0)),IF(Q$250&gt;=O201,INDEX('Spell Tables'!$P$119:$P$131,MATCH(O201,('Spell Tables'!$N$119:$N$131),0)),IF(Q$252&gt;=O201,INDEX('Spell Tables'!$P$97:$P$111,MATCH(O201,('Spell Tables'!$N$97:$N$111),0)),IF(Q$254&gt;=O201,INDEX('Spell Tables'!$T$70:$T$78,MATCH(O201,('Spell Tables'!$R$70:$R$78),0)),IF(Q$256&gt;=O201,INDEX('Spell Tables'!$T$48:$T$63,MATCH(O201,('Spell Tables'!$R$48:$R$63),0)),IF(Q$258&gt;=O201,INDEX('Spell Tables'!$T$26:$T$40,MATCH(O201,('Spell Tables'!$R$26:$R$40),0)),IF(Q$260&gt;=O201,INDEX('Spell Tables'!$T$2:$T$22,MATCH(O201,('Spell Tables'!$R$2:$R$22),0))," "))))))))))))</f>
        <v xml:space="preserve"> </v>
      </c>
      <c r="R270" s="33" t="str">
        <f ca="1">IF(AND($Q$15="Otherworldly patron - great old one",R$244&gt;=O201),INDEX('Spell Tables'!$X$226:$X$239,MATCH(O201,('Spell Tables'!$V$226:$V$239),0)),IF(AND($Q$15="Otherworldly patron - fiend",R$244&gt;=O201),INDEX('Spell Tables'!$X$210:$X$223,MATCH(O201,('Spell Tables'!$V$210:$V$223),0)),IF(AND($Q$15="Otherworldly patron - archfey",R$244&gt;=O201),INDEX('Spell Tables'!$X$194:$X$207,MATCH(O201,('Spell Tables'!$V$194:$V$207),0)),IF($R$242&gt;=O201,INDEX($AL$56:$AL$65,MATCH(O201,($AJ$56:$AJ$65),0)),IF($R$246&gt;=O201,INDEX('Spell Tables'!$X$168:$X$191,MATCH(O201,('Spell Tables'!$V$168:$V$191),0)),IF($R$248&gt;=O201,INDEX('Spell Tables'!$AB$141:$AB$149,MATCH(O201,('Spell Tables'!$Z$141:$Z$149),0)),IF($R$250&gt;=O201,INDEX('Spell Tables'!T227:T239,MATCH(O201,('Spell Tables'!$R$119:$R$131),0)),IF($R$252&gt;=O201,INDEX('Spell Tables'!$T$97:T212,MATCH(O201,('Spell Tables'!$R$97:$R$104),0)),IF($R$254&gt;=O201,INDEX('Spell Tables'!$AB$70:$AB$75,MATCH(O201,('Spell Tables'!$Z$70:$Z$75),0)),IF($R$256&gt;=O201,INDEX('Spell Tables'!$X$48:$X$65,MATCH(O201,('Spell Tables'!$V$48:$V$65),0)),IF($R$258&gt;=O201,INDEX('Spell Tables'!$X$26:$X$42,MATCH(O201,('Spell Tables'!$V$26:$V$42),0)),IF($R$260&gt;=O201,INDEX('Spell Tables'!$X$2:$X$23,MATCH(O201,('Spell Tables'!$V$2:$V$23),0))," "))))))))))))</f>
        <v xml:space="preserve"> </v>
      </c>
      <c r="S270" s="33" t="str">
        <f ca="1">IF(AND($Q$15="Otherworldly patron - great old one",S$244&gt;=O201),INDEX('Spell Tables'!$AB$226:$AB$238,MATCH(O201,('Spell Tables'!$Z$226:$Z$238),0)),IF(AND($Q$15="Otherworldly patron - fiend",S$244&gt;=O201),INDEX('Spell Tables'!$AB$210:$AB$222,MATCH(O201,('Spell Tables'!$Z$210:$Z$222),0)),IF(AND($Q$15="Otherworldly patron - archfey",S$244&gt;=O201),INDEX('Spell Tables'!$AB$194:$AB$206,MATCH(O201,('Spell Tables'!$Z$194:$Z$206),0)),IF($S$242&gt;=O201,INDEX($AL$68:$AL$77,MATCH(O201,($AJ$68:$AJ$77),0)),IF($S$246&gt;=O201,INDEX('Spell Tables'!$AB$168:$AB$187,MATCH(O201,('Spell Tables'!$Z$168:$Z$187),0)),IF($S$248&gt;=O201,INDEX('Spell Tables'!$AJ$141:$AJ$144,MATCH(O201,('Spell Tables'!$AH$141:$AH$144),0)),IF($S$250&gt;=O201,INDEX('Spell Tables'!$X$119:$X$129,MATCH(O201,('Spell Tables'!$V$119:$V$129),0)),IF($S$252&gt;=O201,INDEX('Spell Tables'!$X$97:$X$106,MATCH(O201,('Spell Tables'!$V$97:$V$106),0)),IF($S$254&gt;=O201,INDEX('Spell Tables'!$AJ$70:$AJ$79,MATCH(O201,('Spell Tables'!$AH$70:$AH$79),0)),IF($S$256&gt;=O201,INDEX('Spell Tables'!$AB$48:$AB$60,MATCH(O201,('Spell Tables'!$Z$48:$Z$60),0)),IF($S$258&gt;=O201,INDEX('Spell Tables'!$AB$26:$AB$45,MATCH(O201,('Spell Tables'!$Z$26:$Z$45),0)),IF($S$260&gt;=O201,INDEX('Spell Tables'!$AB$2:$AB$17,MATCH(O201,('Spell Tables'!$Z$2:$Z$17),0))," "))))))))))))</f>
        <v xml:space="preserve"> </v>
      </c>
      <c r="T270" s="33" t="str">
        <f ca="1">IF(AND($Q$15="Otherworldly patron - great old one",T$244&gt;=O201),INDEX('Spell Tables'!$AF$226:$AF$231,MATCH(O201,('Spell Tables'!$AD$226:$AD$231),0)),IF(AND($Q$15="Otherworldly patron - fiend",T$244&gt;=O201),INDEX('Spell Tables'!$AF$210:$AF$215,MATCH(O201,('Spell Tables'!$AD$210:$AD$215),0)),IF(AND($Q$15="Otherworldly patron - archfey",T$244&gt;=O201),INDEX('Spell Tables'!$AF$194:$AF$199,MATCH(O201,('Spell Tables'!$AD$194:$AD$199),0)),IF($T$242&gt;=O201,INDEX($AL$80:$AL$89,MATCH(O201,($AJ$80:$AJ$89),0)),IF($T$246&gt;=O201,INDEX('Spell Tables'!$AF$168:$AF$177,MATCH(O201,('Spell Tables'!$AD$168:$AD$177),0)),IF($T$248&gt;=O201,INDEX('Spell Tables'!$AR$141:$AR$144,MATCH(O201,('Spell Tables'!$AP$141:$AP$144),0)),IF($T$250&gt;=O201,INDEX('Spell Tables'!$AB$119:$AB$123,MATCH(O201,('Spell Tables'!$Z$119:$Z$123),0)),IF($T$252&gt;=O201,INDEX('Spell Tables'!$AB$97:$AB$102,MATCH(O201,('Spell Tables'!$Z$97:$Z$102),0)),IF($T$254&gt;=O201,INDEX('Spell Tables'!$AR$70:$AR$75,MATCH(O201,('Spell Tables'!$AP$70:$AP$75),0)),IF($T$256&gt;=O201,INDEX('Spell Tables'!$AF$48:$AF$63,MATCH(O201,('Spell Tables'!$AD$48:$AD$63),0)),IF($T$258&gt;=O201,INDEX('Spell Tables'!$AF$26:$AF$33,MATCH(O201,('Spell Tables'!$AD$26:$AD$33),0)),IF($T$260&gt;=O201,INDEX('Spell Tables'!$AF$2:$AF$9,MATCH(O201,('Spell Tables'!$AD$2:$AD$9),0))," "))))))))))))</f>
        <v xml:space="preserve"> </v>
      </c>
    </row>
    <row r="271" spans="2:20" x14ac:dyDescent="0.3">
      <c r="B271" s="33"/>
      <c r="C271" s="33"/>
      <c r="D271" s="33"/>
      <c r="E271" s="33"/>
      <c r="F271" s="33"/>
      <c r="G271" s="33"/>
      <c r="H271" s="33"/>
      <c r="I271" s="33"/>
      <c r="J271" s="33"/>
      <c r="K271" s="33"/>
      <c r="L271" s="33"/>
      <c r="M271" s="33"/>
      <c r="O271" s="34">
        <v>10</v>
      </c>
      <c r="P271" s="33" t="str">
        <f ca="1">IF(P$242&gt;=O202,INDEX('Spell Tables'!$P$242:$P$257,MATCH(O202,('Spell Tables'!$N$242:$N$257),0)),IF(P$244&gt;=O202,INDEX('Spell Tables'!$P$194:$P$201,MATCH(O202,('Spell Tables'!$N$194:$N$201),0)),IF(P$246&gt;=O202,INDEX('Spell Tables'!$P$168:$P$183,MATCH(O202,('Spell Tables'!$N$168:$N$183),0)),IF(P$248&gt;=O202,INDEX('Spell Tables'!$P$141:$P$156,MATCH(O202,('Spell Tables'!$N$141:$N$157),0)),IF(P$254&gt;=O202,INDEX('Spell Tables'!$P$70:$P$83,MATCH(O202,('Spell Tables'!$N$70:$N$83),0)),IF(P$256&gt;=O202,INDEX('Spell Tables'!$P$48:$P$55,MATCH(O202,('Spell Tables'!$N$48:$N$55),0)),IF(P$258&gt;=O202,INDEX('Spell Tables'!$P$26:$P$32,MATCH(O202,('Spell Tables'!$N$26:$N$32),0)),IF(P$260&gt;=O202,INDEX('Spell Tables'!$P$2:$P$12,MATCH(O202,('Spell Tables'!$N$2:$N$12),0))," "))))))))</f>
        <v xml:space="preserve"> </v>
      </c>
      <c r="Q271" s="33" t="str">
        <f ca="1">IF(AND($Q$15="Otherworldly patron - great old one",Q$244&gt;=O202),INDEX('Spell Tables'!$T$226:$T$238,MATCH(O202,('Spell Tables'!$R$226:$R$238),0)),IF(AND($Q$15="Otherworldly patron - fiend",Q$244&gt;=O202),INDEX('Spell Tables'!$T$210:$T$222,MATCH(O202,('Spell Tables'!$R$210:$R$222),0)),IF(Q$242&gt;=O202,INDEX($AL$44:$AL$53,MATCH(O202,($AJ$44:$AJ$53),0)),IF(AND($Q$15="Otherworldly patron - archfey",Q$244&gt;=O202),INDEX('Spell Tables'!T$206:$T303,MATCH(O202,('Spell Tables'!$R$194:$R$206),0)),IF(Q$246&gt;=O202,INDEX('Spell Tables'!T277:T296,MATCH(O202,('Spell Tables'!$R$168:$R$187),0)),IF(Q$248&gt;=O202,INDEX('Spell Tables'!T250:T256,MATCH(O202,('Spell Tables'!$R$141:$R$147),0)),IF(Q$250&gt;=O202,INDEX('Spell Tables'!$P$119:$P$131,MATCH(O202,('Spell Tables'!$N$119:$N$131),0)),IF(Q$252&gt;=O202,INDEX('Spell Tables'!$P$97:$P$111,MATCH(O202,('Spell Tables'!$N$97:$N$111),0)),IF(Q$254&gt;=O202,INDEX('Spell Tables'!$T$70:$T$78,MATCH(O202,('Spell Tables'!$R$70:$R$78),0)),IF(Q$256&gt;=O202,INDEX('Spell Tables'!$T$48:$T$63,MATCH(O202,('Spell Tables'!$R$48:$R$63),0)),IF(Q$258&gt;=O202,INDEX('Spell Tables'!$T$26:$T$40,MATCH(O202,('Spell Tables'!$R$26:$R$40),0)),IF(Q$260&gt;=O202,INDEX('Spell Tables'!$T$2:$T$22,MATCH(O202,('Spell Tables'!$R$2:$R$22),0))," "))))))))))))</f>
        <v xml:space="preserve"> </v>
      </c>
      <c r="R271" s="33" t="str">
        <f ca="1">IF(AND($Q$15="Otherworldly patron - great old one",R$244&gt;=O202),INDEX('Spell Tables'!$X$226:$X$239,MATCH(O202,('Spell Tables'!$V$226:$V$239),0)),IF(AND($Q$15="Otherworldly patron - fiend",R$244&gt;=O202),INDEX('Spell Tables'!$X$210:$X$223,MATCH(O202,('Spell Tables'!$V$210:$V$223),0)),IF(AND($Q$15="Otherworldly patron - archfey",R$244&gt;=O202),INDEX('Spell Tables'!$X$194:$X$207,MATCH(O202,('Spell Tables'!$V$194:$V$207),0)),IF($R$242&gt;=O202,INDEX($AL$56:$AL$65,MATCH(O202,($AJ$56:$AJ$65),0)),IF($R$246&gt;=O202,INDEX('Spell Tables'!$X$168:$X$191,MATCH(O202,('Spell Tables'!$V$168:$V$191),0)),IF($R$248&gt;=O202,INDEX('Spell Tables'!$AB$141:$AB$149,MATCH(O202,('Spell Tables'!$Z$141:$Z$149),0)),IF($R$250&gt;=O202,INDEX('Spell Tables'!T228:T240,MATCH(O202,('Spell Tables'!$R$119:$R$131),0)),IF($R$252&gt;=O202,INDEX('Spell Tables'!$T$97:T213,MATCH(O202,('Spell Tables'!$R$97:$R$104),0)),IF($R$254&gt;=O202,INDEX('Spell Tables'!$AB$70:$AB$75,MATCH(O202,('Spell Tables'!$Z$70:$Z$75),0)),IF($R$256&gt;=O202,INDEX('Spell Tables'!$X$48:$X$65,MATCH(O202,('Spell Tables'!$V$48:$V$65),0)),IF($R$258&gt;=O202,INDEX('Spell Tables'!$X$26:$X$42,MATCH(O202,('Spell Tables'!$V$26:$V$42),0)),IF($R$260&gt;=O202,INDEX('Spell Tables'!$X$2:$X$23,MATCH(O202,('Spell Tables'!$V$2:$V$23),0))," "))))))))))))</f>
        <v xml:space="preserve"> </v>
      </c>
      <c r="S271" s="33" t="str">
        <f ca="1">IF(AND($Q$15="Otherworldly patron - great old one",S$244&gt;=O202),INDEX('Spell Tables'!$AB$226:$AB$238,MATCH(O202,('Spell Tables'!$Z$226:$Z$238),0)),IF(AND($Q$15="Otherworldly patron - fiend",S$244&gt;=O202),INDEX('Spell Tables'!$AB$210:$AB$222,MATCH(O202,('Spell Tables'!$Z$210:$Z$222),0)),IF(AND($Q$15="Otherworldly patron - archfey",S$244&gt;=O202),INDEX('Spell Tables'!$AB$194:$AB$206,MATCH(O202,('Spell Tables'!$Z$194:$Z$206),0)),IF($S$242&gt;=O202,INDEX($AL$68:$AL$77,MATCH(O202,($AJ$68:$AJ$77),0)),IF($S$246&gt;=O202,INDEX('Spell Tables'!$AB$168:$AB$187,MATCH(O202,('Spell Tables'!$Z$168:$Z$187),0)),IF($S$248&gt;=O202,INDEX('Spell Tables'!$AJ$141:$AJ$144,MATCH(O202,('Spell Tables'!$AH$141:$AH$144),0)),IF($S$250&gt;=O202,INDEX('Spell Tables'!$X$119:$X$129,MATCH(O202,('Spell Tables'!$V$119:$V$129),0)),IF($S$252&gt;=O202,INDEX('Spell Tables'!$X$97:$X$106,MATCH(O202,('Spell Tables'!$V$97:$V$106),0)),IF($S$254&gt;=O202,INDEX('Spell Tables'!$AJ$70:$AJ$79,MATCH(O202,('Spell Tables'!$AH$70:$AH$79),0)),IF($S$256&gt;=O202,INDEX('Spell Tables'!$AB$48:$AB$60,MATCH(O202,('Spell Tables'!$Z$48:$Z$60),0)),IF($S$258&gt;=O202,INDEX('Spell Tables'!$AB$26:$AB$45,MATCH(O202,('Spell Tables'!$Z$26:$Z$45),0)),IF($S$260&gt;=O202,INDEX('Spell Tables'!$AB$2:$AB$17,MATCH(O202,('Spell Tables'!$Z$2:$Z$17),0))," "))))))))))))</f>
        <v xml:space="preserve"> </v>
      </c>
      <c r="T271" s="33" t="str">
        <f ca="1">IF(AND($Q$15="Otherworldly patron - great old one",T$244&gt;=O202),INDEX('Spell Tables'!$AF$226:$AF$231,MATCH(O202,('Spell Tables'!$AD$226:$AD$231),0)),IF(AND($Q$15="Otherworldly patron - fiend",T$244&gt;=O202),INDEX('Spell Tables'!$AF$210:$AF$215,MATCH(O202,('Spell Tables'!$AD$210:$AD$215),0)),IF(AND($Q$15="Otherworldly patron - archfey",T$244&gt;=O202),INDEX('Spell Tables'!$AF$194:$AF$199,MATCH(O202,('Spell Tables'!$AD$194:$AD$199),0)),IF($T$242&gt;=O202,INDEX($AL$80:$AL$89,MATCH(O202,($AJ$80:$AJ$89),0)),IF($T$246&gt;=O202,INDEX('Spell Tables'!$AF$168:$AF$177,MATCH(O202,('Spell Tables'!$AD$168:$AD$177),0)),IF($T$248&gt;=O202,INDEX('Spell Tables'!$AR$141:$AR$144,MATCH(O202,('Spell Tables'!$AP$141:$AP$144),0)),IF($T$250&gt;=O202,INDEX('Spell Tables'!$AB$119:$AB$123,MATCH(O202,('Spell Tables'!$Z$119:$Z$123),0)),IF($T$252&gt;=O202,INDEX('Spell Tables'!$AB$97:$AB$102,MATCH(O202,('Spell Tables'!$Z$97:$Z$102),0)),IF($T$254&gt;=O202,INDEX('Spell Tables'!$AR$70:$AR$75,MATCH(O202,('Spell Tables'!$AP$70:$AP$75),0)),IF($T$256&gt;=O202,INDEX('Spell Tables'!$AF$48:$AF$63,MATCH(O202,('Spell Tables'!$AD$48:$AD$63),0)),IF($T$258&gt;=O202,INDEX('Spell Tables'!$AF$26:$AF$33,MATCH(O202,('Spell Tables'!$AD$26:$AD$33),0)),IF($T$260&gt;=O202,INDEX('Spell Tables'!$AF$2:$AF$9,MATCH(O202,('Spell Tables'!$AD$2:$AD$9),0))," "))))))))))))</f>
        <v xml:space="preserve"> </v>
      </c>
    </row>
    <row r="272" spans="2:20" ht="19.5" thickBot="1" x14ac:dyDescent="0.35">
      <c r="B272" s="33"/>
      <c r="C272" s="38"/>
      <c r="D272" s="38"/>
      <c r="E272" s="38"/>
      <c r="F272" s="38"/>
      <c r="G272" s="38"/>
      <c r="H272" s="38"/>
      <c r="I272" s="38"/>
      <c r="J272" s="38"/>
      <c r="K272" s="38"/>
      <c r="L272" s="38"/>
      <c r="M272" s="38"/>
      <c r="N272" s="38"/>
      <c r="O272" s="38"/>
      <c r="P272" s="38"/>
      <c r="Q272" s="38"/>
      <c r="R272" s="38"/>
      <c r="S272" s="38"/>
      <c r="T272" s="38"/>
    </row>
    <row r="273" spans="15:19" hidden="1" x14ac:dyDescent="0.3">
      <c r="O273" s="108"/>
      <c r="P273" s="108"/>
      <c r="Q273" s="108"/>
      <c r="R273" s="108"/>
      <c r="S273" s="109"/>
    </row>
    <row r="274" spans="15:19" hidden="1" x14ac:dyDescent="0.3">
      <c r="O274" s="60" t="str">
        <f ca="1">IF(AND(Q11="wizard",Q12&gt;=11),"x",IF(AND($Q$11="wizard",$Q$12&gt;9),"xx",IF(AND(Q11="wizard",Q12=9),"xxx"," ")))</f>
        <v xml:space="preserve"> </v>
      </c>
      <c r="P274" s="60" t="str">
        <f ca="1">IF(AND(Q11="wizard",Q12&gt;=13),"x",IF(AND($Q$11="wizard",$Q$12&gt;11),"xx",IF(AND(Q11="wizard",Q12=11),"xxx"," ")))</f>
        <v xml:space="preserve"> </v>
      </c>
      <c r="Q274" s="60" t="str">
        <f ca="1">IF(AND(Q11="wizard",Q12&gt;=15),"x",IF(AND($Q$11="wizard",$Q$12&gt;13),"xx",IF(AND(Q11="wizard",Q12=13),"xxx"," ")))</f>
        <v xml:space="preserve"> </v>
      </c>
      <c r="R274" s="60" t="str">
        <f ca="1">IF(AND(Q11="wizard",Q12&gt;=17),"x",IF(AND($Q$11="wizard",$Q$12&gt;15),"xx",IF(AND(Q11="wizard",Q12=15),"xxx"," ")))</f>
        <v xml:space="preserve"> </v>
      </c>
      <c r="S274" s="63" t="str">
        <f ca="1">IF(AND($Q$11="wizard",$Q$12&gt;17),"xx",IF(AND(Q11="wizard",Q12=17),"xxx"," "))</f>
        <v xml:space="preserve"> </v>
      </c>
    </row>
    <row r="275" spans="15:19" hidden="1" x14ac:dyDescent="0.3">
      <c r="O275" s="65">
        <f ca="1">IF(O274="x",RANDBETWEEN(2,3),IF(O274="xx",RANDBETWEEN(2,3),IF(O274="xxx",RANDBETWEEN(1,2),0)))</f>
        <v>0</v>
      </c>
      <c r="P275" s="65">
        <f ca="1">IF(P274="x",RANDBETWEEN(2,3),IF(P274="xx",RANDBETWEEN(2,3),IF(P274="xxx",RANDBETWEEN(1,2),0)))</f>
        <v>0</v>
      </c>
      <c r="Q275" s="65">
        <f ca="1">IF(Q274="x",RANDBETWEEN(1,2),IF(Q274="xx",RANDBETWEEN(1,2),IF(Q274="xxx",RANDBETWEEN(1,2),0)))</f>
        <v>0</v>
      </c>
      <c r="R275" s="65">
        <f ca="1">IF(OR(R274="x",R274="xx"),RANDBETWEEN(1,2),IF(R274="xxx",RANDBETWEEN(1,2),0))</f>
        <v>0</v>
      </c>
      <c r="S275" s="66">
        <f ca="1">IF(S274="xx",RANDBETWEEN(1,2),IF(S274="xxx",RANDBETWEEN(1,2),0))</f>
        <v>0</v>
      </c>
    </row>
    <row r="276" spans="15:19" hidden="1" x14ac:dyDescent="0.3">
      <c r="O276" s="60" t="str">
        <f ca="1">IF(AND($Q$11="warlock",$Q$12&gt;=9),"xx"," ")</f>
        <v xml:space="preserve"> </v>
      </c>
      <c r="P276" s="60"/>
      <c r="Q276" s="60"/>
      <c r="R276" s="60"/>
      <c r="S276" s="63"/>
    </row>
    <row r="277" spans="15:19" hidden="1" x14ac:dyDescent="0.3">
      <c r="O277" s="65">
        <f ca="1">IF(O276="x",RANDBETWEEN(2,3),IF(O276="xx",RANDBETWEEN(2,3),0))</f>
        <v>0</v>
      </c>
      <c r="P277" s="65"/>
      <c r="Q277" s="65"/>
      <c r="R277" s="65"/>
      <c r="S277" s="66"/>
    </row>
    <row r="278" spans="15:19" hidden="1" x14ac:dyDescent="0.3">
      <c r="O278" s="60" t="str">
        <f ca="1">IF(AND($Q$11="sorcerer",$Q$12&gt;=11),"x",IF(AND($Q$11="sorcerer",$Q$12&gt;=9),"xx"," "))</f>
        <v xml:space="preserve"> </v>
      </c>
      <c r="P278" s="60" t="str">
        <f ca="1">IF(AND($Q$11="sorcerer",$Q$12&gt;=13),"x",IF(AND($Q$11="sorcerer",$Q$12&gt;=11),"xx"," "))</f>
        <v xml:space="preserve"> </v>
      </c>
      <c r="Q278" s="60" t="str">
        <f ca="1">IF(AND($Q$11="sorcerer",$Q$12&gt;=15),"x",IF(AND($Q$11="sorcerer",$Q$12&gt;=13),"xx"," "))</f>
        <v xml:space="preserve"> </v>
      </c>
      <c r="R278" s="60" t="str">
        <f ca="1">IF(AND($Q$11="sorcerer",$Q$12&gt;=17),"x",IF(AND($Q$11="sorcerer",$Q$12&gt;15),"xx"," "))</f>
        <v xml:space="preserve"> </v>
      </c>
      <c r="S278" s="63" t="str">
        <f ca="1">IF(AND($Q$11="sorcerer",$Q$12&gt;=17),"xx"," ")</f>
        <v xml:space="preserve"> </v>
      </c>
    </row>
    <row r="279" spans="15:19" hidden="1" x14ac:dyDescent="0.3">
      <c r="O279" s="65">
        <f ca="1">IF(O278="x",RANDBETWEEN(2,3),IF(O278="xx",RANDBETWEEN(2,3),0))</f>
        <v>0</v>
      </c>
      <c r="P279" s="65">
        <f ca="1">IF(P278="x",RANDBETWEEN(2,3),IF(P278="xx",RANDBETWEEN(2,3),0))</f>
        <v>0</v>
      </c>
      <c r="Q279" s="65">
        <f ca="1">IF(Q278="x",RANDBETWEEN(1,2),IF(Q278="xx",RANDBETWEEN(1,2),0))</f>
        <v>0</v>
      </c>
      <c r="R279" s="65">
        <f ca="1">IF(OR(R278="x",R278="xx"),RANDBETWEEN(1,2),0)</f>
        <v>0</v>
      </c>
      <c r="S279" s="66">
        <f ca="1">IF(S278="xx",RANDBETWEEN(1,2),0)</f>
        <v>0</v>
      </c>
    </row>
    <row r="280" spans="15:19" hidden="1" x14ac:dyDescent="0.3">
      <c r="O280" s="60"/>
      <c r="P280" s="60"/>
      <c r="Q280" s="60"/>
      <c r="R280" s="60"/>
      <c r="S280" s="63"/>
    </row>
    <row r="281" spans="15:19" hidden="1" x14ac:dyDescent="0.3">
      <c r="O281" s="65"/>
      <c r="P281" s="65"/>
      <c r="Q281" s="65"/>
      <c r="R281" s="65"/>
      <c r="S281" s="66"/>
    </row>
    <row r="282" spans="15:19" hidden="1" x14ac:dyDescent="0.3">
      <c r="O282" s="60" t="str">
        <f ca="1">IF(AND($Q$11="ranger",$Q$12&gt;=17),"xx"," ")</f>
        <v xml:space="preserve"> </v>
      </c>
      <c r="P282" s="60"/>
      <c r="Q282" s="60"/>
      <c r="R282" s="60"/>
      <c r="S282" s="63"/>
    </row>
    <row r="283" spans="15:19" hidden="1" x14ac:dyDescent="0.3">
      <c r="O283" s="65">
        <f ca="1">IF(O282="x",RANDBETWEEN(2,3),IF(O282="xx",RANDBETWEEN(2,3),0))</f>
        <v>0</v>
      </c>
      <c r="P283" s="65"/>
      <c r="Q283" s="65"/>
      <c r="R283" s="65"/>
      <c r="S283" s="66"/>
    </row>
    <row r="284" spans="15:19" hidden="1" x14ac:dyDescent="0.3">
      <c r="O284" s="60" t="str">
        <f ca="1">IF(AND(Q11="paladin",Q12&gt;=17),"xx"," ")</f>
        <v xml:space="preserve"> </v>
      </c>
      <c r="P284" s="60"/>
      <c r="Q284" s="60"/>
      <c r="R284" s="60"/>
      <c r="S284" s="63"/>
    </row>
    <row r="285" spans="15:19" hidden="1" x14ac:dyDescent="0.3">
      <c r="O285" s="65">
        <f ca="1">IF(O284="x",RANDBETWEEN(2,3),IF(O284="xx",RANDBETWEEN(2,3),0))</f>
        <v>0</v>
      </c>
      <c r="P285" s="65"/>
      <c r="Q285" s="65"/>
      <c r="R285" s="65"/>
      <c r="S285" s="66"/>
    </row>
    <row r="286" spans="15:19" hidden="1" x14ac:dyDescent="0.3">
      <c r="O286" s="60"/>
      <c r="P286" s="60"/>
      <c r="Q286" s="60"/>
      <c r="R286" s="60"/>
      <c r="S286" s="63"/>
    </row>
    <row r="287" spans="15:19" hidden="1" x14ac:dyDescent="0.3">
      <c r="O287" s="65"/>
      <c r="P287" s="65"/>
      <c r="Q287" s="65"/>
      <c r="R287" s="65"/>
      <c r="S287" s="66"/>
    </row>
    <row r="288" spans="15:19" hidden="1" x14ac:dyDescent="0.3">
      <c r="O288" s="60" t="str">
        <f ca="1">IF(AND($Q$11="druid",$Q$12&gt;=11),"x",IF(AND($Q$11="druid",$Q$12&gt;=9),"xx"," "))</f>
        <v xml:space="preserve"> </v>
      </c>
      <c r="P288" s="60" t="str">
        <f ca="1">IF(AND($Q$11="druid",$Q$12&gt;=13),"x",IF(AND($Q$11="druid",$Q$12&gt;=11),"xx"," "))</f>
        <v xml:space="preserve"> </v>
      </c>
      <c r="Q288" s="60" t="str">
        <f ca="1">IF(AND($Q$11="druid",$Q$12&gt;=15),"x",IF(AND($Q$11="druid",$Q$12&gt;=13),"xx"," "))</f>
        <v xml:space="preserve"> </v>
      </c>
      <c r="R288" s="60" t="str">
        <f ca="1">IF(AND($Q$11="druid",$Q$12&gt;=17),"x",IF(AND($Q$11="druid",$Q$12&gt;15),"xx"," "))</f>
        <v xml:space="preserve"> </v>
      </c>
      <c r="S288" s="63" t="str">
        <f ca="1">IF(AND($Q$11="druid",$Q$12&gt;=17),"xx"," ")</f>
        <v xml:space="preserve"> </v>
      </c>
    </row>
    <row r="289" spans="14:20" hidden="1" x14ac:dyDescent="0.3">
      <c r="O289" s="65">
        <f ca="1">IF(O288="x",RANDBETWEEN(2,3),IF(O288="xx",RANDBETWEEN(2,3),0))</f>
        <v>0</v>
      </c>
      <c r="P289" s="65">
        <f ca="1">IF(P288="x",RANDBETWEEN(2,3),IF(P288="xx",RANDBETWEEN(2,3),0))</f>
        <v>0</v>
      </c>
      <c r="Q289" s="65">
        <f ca="1">IF(Q288="x",RANDBETWEEN(1,2),IF(Q288="xx",RANDBETWEEN(1,2),0))</f>
        <v>0</v>
      </c>
      <c r="R289" s="65">
        <f ca="1">IF(OR(R288="x",R288="xx"),RANDBETWEEN(1,2),0)</f>
        <v>0</v>
      </c>
      <c r="S289" s="66">
        <f ca="1">IF(S288="xx",RANDBETWEEN(1,2),0)</f>
        <v>0</v>
      </c>
    </row>
    <row r="290" spans="14:20" hidden="1" x14ac:dyDescent="0.3">
      <c r="O290" s="60" t="str">
        <f ca="1">IF(AND(Q11="cleric",Q12&gt;=11),"x",IF(AND($Q$11="cleric",$Q$12&gt;=9),"xx"," "))</f>
        <v xml:space="preserve"> </v>
      </c>
      <c r="P290" s="60" t="str">
        <f ca="1">IF(AND(Q11="cleric",Q12&gt;=13),"x",IF(AND($Q$11="cleric",$Q$12&gt;=11),"xx"," "))</f>
        <v xml:space="preserve"> </v>
      </c>
      <c r="Q290" s="60" t="str">
        <f ca="1">IF(AND(Q11="cleric",Q12&gt;=15),"x",IF(AND($Q$11="cleric",$Q$12&gt;=13),"xx"," "))</f>
        <v xml:space="preserve"> </v>
      </c>
      <c r="R290" s="60" t="str">
        <f ca="1">IF(AND(Q11="cleric",Q12&gt;=17),"x",IF(AND($Q$11="cleric",$Q$12&gt;15),"xx"," "))</f>
        <v xml:space="preserve"> </v>
      </c>
      <c r="S290" s="63" t="str">
        <f ca="1">IF(AND($Q$11="cleric",$Q$12&gt;=17),"xx"," ")</f>
        <v xml:space="preserve"> </v>
      </c>
    </row>
    <row r="291" spans="14:20" hidden="1" x14ac:dyDescent="0.3">
      <c r="O291" s="65">
        <f ca="1">IF(O290="x",RANDBETWEEN(2,3),IF(O290="xx",RANDBETWEEN(2,3),0))</f>
        <v>0</v>
      </c>
      <c r="P291" s="65">
        <f ca="1">IF(P290="x",RANDBETWEEN(2,3),IF(P290="xx",RANDBETWEEN(2,3),0))</f>
        <v>0</v>
      </c>
      <c r="Q291" s="65">
        <f ca="1">IF(Q290="x",RANDBETWEEN(1,2),IF(Q290="xx",RANDBETWEEN(1,2),0))</f>
        <v>0</v>
      </c>
      <c r="R291" s="65">
        <f ca="1">IF(OR(R290="x",R290="xx"),RANDBETWEEN(1,2),0)</f>
        <v>0</v>
      </c>
      <c r="S291" s="66">
        <f ca="1">IF(S290="xx",RANDBETWEEN(1,2),0)</f>
        <v>0</v>
      </c>
    </row>
    <row r="292" spans="14:20" hidden="1" x14ac:dyDescent="0.3">
      <c r="O292" s="60" t="str">
        <f ca="1">IF(AND($Q$11="bard",$Q$12&gt;=11),"x",IF(AND($Q$11="bard",$Q$12&gt;=9),"xx"," "))</f>
        <v xml:space="preserve"> </v>
      </c>
      <c r="P292" s="60" t="str">
        <f ca="1">IF(AND($Q$11="bard",$Q$12&gt;=13),"x",IF(AND($Q$11="bard",$Q$12&gt;=11),"xx"," "))</f>
        <v xml:space="preserve"> </v>
      </c>
      <c r="Q292" s="60" t="str">
        <f ca="1">IF(AND($Q$11="bard",$Q$12&gt;=15),"x",IF(AND($Q$11="bard",$Q$12&gt;=13),"xx"," "))</f>
        <v xml:space="preserve"> </v>
      </c>
      <c r="R292" s="60" t="str">
        <f ca="1">IF(AND($Q$11="bard",$Q$12&gt;=17),"x",IF(AND($Q$11="bard",$Q$12&gt;15),"xx"," "))</f>
        <v xml:space="preserve"> </v>
      </c>
      <c r="S292" s="63" t="str">
        <f ca="1">IF(AND($Q$11="bard",$Q$12&gt;=17),"xx"," ")</f>
        <v xml:space="preserve"> </v>
      </c>
    </row>
    <row r="293" spans="14:20" hidden="1" x14ac:dyDescent="0.3">
      <c r="O293" s="65">
        <f ca="1">IF(O292="x",RANDBETWEEN(2,3),IF(O292="xx",RANDBETWEEN(2,3),0))</f>
        <v>0</v>
      </c>
      <c r="P293" s="65">
        <f ca="1">IF(P292="x",RANDBETWEEN(2,3),IF(P292="xx",RANDBETWEEN(2,3),0))</f>
        <v>0</v>
      </c>
      <c r="Q293" s="65">
        <f ca="1">IF(Q292="x",RANDBETWEEN(1,2),IF(Q292="xx",RANDBETWEEN(1,2),0))</f>
        <v>0</v>
      </c>
      <c r="R293" s="65">
        <f ca="1">IF(OR(R292="x",R292="xx"),RANDBETWEEN(1,2),0)</f>
        <v>0</v>
      </c>
      <c r="S293" s="66">
        <f ca="1">IF(S292="xx",RANDBETWEEN(1,2),0)</f>
        <v>0</v>
      </c>
    </row>
    <row r="294" spans="14:20" x14ac:dyDescent="0.3">
      <c r="N294" s="72"/>
      <c r="O294" s="136"/>
      <c r="P294" s="96" t="s">
        <v>750</v>
      </c>
      <c r="Q294" s="96" t="s">
        <v>1125</v>
      </c>
      <c r="R294" s="96" t="s">
        <v>1126</v>
      </c>
      <c r="S294" s="96" t="s">
        <v>1127</v>
      </c>
      <c r="T294" s="97" t="s">
        <v>751</v>
      </c>
    </row>
    <row r="295" spans="14:20" x14ac:dyDescent="0.3">
      <c r="N295" s="72"/>
      <c r="O295" s="86">
        <v>1</v>
      </c>
      <c r="P295" s="65" t="str">
        <f ca="1">IF(AND($Q$15="Otherworldly patron - great old one",O$277&gt;=O193),INDEX('Spell Tables'!$AJ$226:$AJ$231,MATCH(O193,('Spell Tables'!$AH$226:$AH$231),0)),IF(AND($Q$15="Otherworldly patron - fiend",O$277&gt;=O193),INDEX('Spell Tables'!$AJ$210:$AJ$215,MATCH(O193,('Spell Tables'!$AH$210:$AH$215),0)),IF(AND($Q$15="Otherworldly patron - archfey",O$277&gt;=O193),INDEX('Spell Tables'!$AJ$194:$AJ$199,MATCH(O193,('Spell Tables'!$AH$194:$AH$199),0)),IF($O$275&gt;=O193,INDEX($AL$92:$AL$101,MATCH(O193,($AJ$92:$AJ$101),0)),IF($O$279&gt;=O193,INDEX('Spell Tables'!$AJ$168:$AJ$178,MATCH(O193,('Spell Tables'!$AH$168:$AH$178),0)),IF($O$283&gt;=O193,INDEX('Spell Tables'!$AF$119:$AF$122,MATCH(O193,('Spell Tables'!$AD$119:$AD$122),0)),IF($O$285&gt;=O193,INDEX('Spell Tables'!$AF$97:$AF$102,MATCH(O193,('Spell Tables'!$AD$97:$AD$102),0)),IF($O$289&gt;=O193,INDEX('Spell Tables'!$AJ$48:$AJ$61,MATCH(O193,('Spell Tables'!$AH$48:$AH$61),0)),IF($O$291&gt;=O193,INDEX('Spell Tables'!$AJ$26:$AJ$38,MATCH(O193,('Spell Tables'!$AH$26:$AH$38),0)),IF($O$293&gt;=O193,INDEX('Spell Tables'!$AJ$2:$AJ$17,MATCH(O193,('Spell Tables'!$AH$2:$AH$17),0))," "))))))))))</f>
        <v xml:space="preserve"> </v>
      </c>
      <c r="Q295" s="65" t="str">
        <f ca="1">IF($P$275&gt;=O262,INDEX($AL$104:$AL$113,MATCH(O262,($AJ$104:$AJ$113),0)),IF($P$279&gt;=O262,INDEX('Spell Tables'!$AN$168:$AN$177,MATCH(O262,('Spell Tables'!$AL$168:$AL$177),0)),IF($P$289&gt;=O262,INDEX('Spell Tables'!$AN$48:$AN$56,MATCH(O262,('Spell Tables'!$AL$48:$AL$56),0)),IF($P$291&gt;=O262,INDEX('Spell Tables'!$AN$26:$AN$35,MATCH(O262,('Spell Tables'!$AL$26:$AL$35),0)),IF($P$293&gt;=O262,INDEX('Spell Tables'!$AN$2:$AN$8,MATCH(O262,('Spell Tables'!$AL$2:$AL$8),0))," ")))))</f>
        <v xml:space="preserve"> </v>
      </c>
      <c r="R295" s="65" t="str">
        <f ca="1">IF($Q$275&gt;=O262,INDEX($AL$116:$AL$125,MATCH(O262,($AJ$116:$AJ$125),0)),IF($Q$279&gt;=O262,INDEX('Spell Tables'!$AR$168:$AR$175,MATCH(O262,('Spell Tables'!$AP$168:$AP$175),0)),IF($Q$289&gt;=O262,INDEX('Spell Tables'!$AR$48:$AR$52,MATCH(O262,('Spell Tables'!$AP$48:$AP$52),0)),IF($Q$291&gt;=O262,INDEX('Spell Tables'!$AR$26:$AR$33,MATCH(O262,('Spell Tables'!$AP$26:$AP$33),0)),IF($Q$293&gt;=O262,INDEX('Spell Tables'!$AR$2:$AR$11,MATCH(O262,('Spell Tables'!$AL$2:$AL$11),0))," ")))))</f>
        <v xml:space="preserve"> </v>
      </c>
      <c r="S295" s="65" t="str">
        <f ca="1">IF($R$275&gt;=O262,INDEX($AL$128:$AL$137,MATCH(O262,($AJ$128:$AJ$137),0)),IF($R$279&gt;=O262,INDEX('Spell Tables'!$AV$168:$AV$172,MATCH(O262,('Spell Tables'!$AT$168:$AT$172),0)),IF($R$289&gt;=O262,INDEX('Spell Tables'!$AV$48:$AV$54,MATCH(O262,('Spell Tables'!$AT$48:$AT$54),0)),IF($R$291&gt;=O262,INDEX('Spell Tables'!$AV$26:$AV$29,MATCH(O262,('Spell Tables'!$AT$26:$AT$29),0)),IF($R$293&gt;=O262,INDEX('Spell Tables'!$AV$2:$AV$6,MATCH(O262,('Spell Tables'!$AT$2:$AT$6),0))," ")))))</f>
        <v xml:space="preserve"> </v>
      </c>
      <c r="T295" s="66" t="str">
        <f ca="1">IF($S$289&gt;=O262,INDEX($AL$140:$AL$149,MATCH(O262,($AJ$140:$AJ$149),0)),IF($S$275&gt;=O262,INDEX('Spell Tables'!$AZ$242:$AZ$253,MATCH(O262,('Spell Tables'!$AX$242:$AX$253),0)),IF($S$279&gt;=O262,INDEX('Spell Tables'!$AZ$168:$AZ$172,MATCH(O262,('Spell Tables'!$AX$168:$AX$172),0)),IF($S$291&gt;=O262,INDEX('Spell Tables'!$AZ$26:$AZ$29,MATCH(O262,('Spell Tables'!$AX$26:$AX$29),0)),IF($S$293&gt;=O262,INDEX('Spell Tables'!$AZ$2:$AZ$5,MATCH(O262,('Spell Tables'!$AX$2:$AX$5),0))," ")))))</f>
        <v xml:space="preserve"> </v>
      </c>
    </row>
    <row r="296" spans="14:20" x14ac:dyDescent="0.3">
      <c r="N296" s="72"/>
      <c r="O296" s="133">
        <v>2</v>
      </c>
      <c r="P296" s="60" t="str">
        <f ca="1">IF(AND($Q$15="Otherworldly patron - great old one",O$277&gt;=O194),INDEX('Spell Tables'!$AJ$226:$AJ$231,MATCH(O194,('Spell Tables'!$AH$226:$AH$231),0)),IF(AND($Q$15="Otherworldly patron - fiend",O$277&gt;=O194),INDEX('Spell Tables'!$AJ$210:$AJ$215,MATCH(O194,('Spell Tables'!$AH$210:$AH$215),0)),IF(AND($Q$15="Otherworldly patron - archfey",O$277&gt;=O194),INDEX('Spell Tables'!$AJ$194:$AJ$199,MATCH(O194,('Spell Tables'!$AH$194:$AH$199),0)),IF($O$275&gt;=O194,INDEX($AL$92:$AL$101,MATCH(O194,($AJ$92:$AJ$101),0)),IF($O$279&gt;=O194,INDEX('Spell Tables'!$AJ$168:$AJ$178,MATCH(O194,('Spell Tables'!$AH$168:$AH$178),0)),IF($O$283&gt;=O194,INDEX('Spell Tables'!$AF$119:$AF$122,MATCH(O194,('Spell Tables'!$AD$119:$AD$122),0)),IF($O$285&gt;=O194,INDEX('Spell Tables'!$AF$97:$AF$102,MATCH(O194,('Spell Tables'!$AD$97:$AD$102),0)),IF($O$289&gt;=O194,INDEX('Spell Tables'!$AJ$48:$AJ$61,MATCH(O194,('Spell Tables'!$AH$48:$AH$61),0)),IF($O$291&gt;=O194,INDEX('Spell Tables'!$AJ$26:$AJ$38,MATCH(O194,('Spell Tables'!$AH$26:$AH$38),0)),IF($O$293&gt;=O194,INDEX('Spell Tables'!$AJ$2:$AJ$17,MATCH(O194,('Spell Tables'!$AH$2:$AH$17),0))," "))))))))))</f>
        <v xml:space="preserve"> </v>
      </c>
      <c r="Q296" s="60" t="str">
        <f ca="1">IF($P$275&gt;=O263,INDEX($AL$104:$AL$113,MATCH(O263,($AJ$104:$AJ$113),0)),IF($P$279&gt;=O263,INDEX('Spell Tables'!$AN$168:$AN$177,MATCH(O263,('Spell Tables'!$AL$168:$AL$177),0)),IF($P$289&gt;=O263,INDEX('Spell Tables'!$AN$48:$AN$56,MATCH(O263,('Spell Tables'!$AL$48:$AL$56),0)),IF($P$291&gt;=O263,INDEX('Spell Tables'!$AN$26:$AN$35,MATCH(O263,('Spell Tables'!$AL$26:$AL$35),0)),IF($P$293&gt;=O263,INDEX('Spell Tables'!$AN$2:$AN$8,MATCH(O263,('Spell Tables'!$AL$2:$AL$8),0))," ")))))</f>
        <v xml:space="preserve"> </v>
      </c>
      <c r="R296" s="60" t="str">
        <f ca="1">IF($Q$275&gt;=O263,INDEX($AL$116:$AL$125,MATCH(O263,($AJ$116:$AJ$125),0)),IF($Q$279&gt;=O263,INDEX('Spell Tables'!$AR$168:$AR$175,MATCH(O263,('Spell Tables'!$AP$168:$AP$175),0)),IF($Q$289&gt;=O263,INDEX('Spell Tables'!$AR$48:$AR$52,MATCH(O263,('Spell Tables'!$AP$48:$AP$52),0)),IF($Q$291&gt;=O263,INDEX('Spell Tables'!$AR$26:$AR$33,MATCH(O263,('Spell Tables'!$AP$26:$AP$33),0)),IF($Q$293&gt;=O263,INDEX('Spell Tables'!$AR$2:$AR$11,MATCH(O263,('Spell Tables'!$AL$2:$AL$11),0))," ")))))</f>
        <v xml:space="preserve"> </v>
      </c>
      <c r="S296" s="60" t="str">
        <f ca="1">IF($R$275&gt;=O263,INDEX($AL$128:$AL$137,MATCH(O263,($AJ$128:$AJ$137),0)),IF($R$279&gt;=O263,INDEX('Spell Tables'!$AV$168:$AV$172,MATCH(O263,('Spell Tables'!$AT$168:$AT$172),0)),IF($R$289&gt;=O263,INDEX('Spell Tables'!$AV$48:$AV$54,MATCH(O263,('Spell Tables'!$AT$48:$AT$54),0)),IF($R$291&gt;=O263,INDEX('Spell Tables'!$AV$26:$AV$29,MATCH(O263,('Spell Tables'!$AT$26:$AT$29),0)),IF($R$293&gt;=O263,INDEX('Spell Tables'!$AV$2:$AV$6,MATCH(O263,('Spell Tables'!$AT$2:$AT$6),0))," ")))))</f>
        <v xml:space="preserve"> </v>
      </c>
      <c r="T296" s="63" t="str">
        <f ca="1">IF($S$289&gt;=O263,INDEX($AL$140:$AL$149,MATCH(O263,($AJ$140:$AJ$149),0)),IF($S$275&gt;=O263,INDEX('Spell Tables'!$AZ$242:$AZ$253,MATCH(O263,('Spell Tables'!$AX$242:$AX$253),0)),IF($S$279&gt;=O263,INDEX('Spell Tables'!$AZ$168:$AZ$172,MATCH(O263,('Spell Tables'!$AX$168:$AX$172),0)),IF($S$291&gt;=O263,INDEX('Spell Tables'!$AZ$26:$AZ$29,MATCH(O263,('Spell Tables'!$AX$26:$AX$29),0)),IF($S$293&gt;=O263,INDEX('Spell Tables'!$AZ$2:$AZ$5,MATCH(O263,('Spell Tables'!$AX$2:$AX$5),0))," ")))))</f>
        <v xml:space="preserve"> </v>
      </c>
    </row>
    <row r="297" spans="14:20" x14ac:dyDescent="0.3">
      <c r="N297" s="72"/>
      <c r="O297" s="86">
        <v>3</v>
      </c>
      <c r="P297" s="65" t="str">
        <f ca="1">IF(AND($Q$15="Otherworldly patron - great old one",O$277&gt;=O195),INDEX('Spell Tables'!$AJ$226:$AJ$231,MATCH(O195,('Spell Tables'!$AH$226:$AH$231),0)),IF(AND($Q$15="Otherworldly patron - fiend",O$277&gt;=O195),INDEX('Spell Tables'!$AJ$210:$AJ$215,MATCH(O195,('Spell Tables'!$AH$210:$AH$215),0)),IF(AND($Q$15="Otherworldly patron - archfey",O$277&gt;=O195),INDEX('Spell Tables'!$AJ$194:$AJ$199,MATCH(O195,('Spell Tables'!$AH$194:$AH$199),0)),IF($O$275&gt;=O195,INDEX($AL$92:$AL$101,MATCH(O195,($AJ$92:$AJ$101),0)),IF($O$279&gt;=O195,INDEX('Spell Tables'!$AJ$168:$AJ$178,MATCH(O195,('Spell Tables'!$AH$168:$AH$178),0)),IF($O$283&gt;=O195,INDEX('Spell Tables'!$AF$119:$AF$122,MATCH(O195,('Spell Tables'!$AD$119:$AD$122),0)),IF($O$285&gt;=O195,INDEX('Spell Tables'!$AF$97:$AF$102,MATCH(O195,('Spell Tables'!$AD$97:$AD$102),0)),IF($O$289&gt;=O195,INDEX('Spell Tables'!$AJ$48:$AJ$61,MATCH(O195,('Spell Tables'!$AH$48:$AH$61),0)),IF($O$291&gt;=O195,INDEX('Spell Tables'!$AJ$26:$AJ$38,MATCH(O195,('Spell Tables'!$AH$26:$AH$38),0)),IF($O$293&gt;=O195,INDEX('Spell Tables'!$AJ$2:$AJ$17,MATCH(O195,('Spell Tables'!$AH$2:$AH$17),0))," "))))))))))</f>
        <v xml:space="preserve"> </v>
      </c>
      <c r="Q297" s="65" t="str">
        <f ca="1">IF($P$275&gt;=O264,INDEX($AL$104:$AL$113,MATCH(O264,($AJ$104:$AJ$113),0)),IF($P$279&gt;=O264,INDEX('Spell Tables'!$AN$168:$AN$177,MATCH(O264,('Spell Tables'!$AL$168:$AL$177),0)),IF($P$289&gt;=O264,INDEX('Spell Tables'!$AN$48:$AN$56,MATCH(O264,('Spell Tables'!$AL$48:$AL$56),0)),IF($P$291&gt;=O264,INDEX('Spell Tables'!$AN$26:$AN$35,MATCH(O264,('Spell Tables'!$AL$26:$AL$35),0)),IF($P$293&gt;=O264,INDEX('Spell Tables'!$AN$2:$AN$8,MATCH(O264,('Spell Tables'!$AL$2:$AL$8),0))," ")))))</f>
        <v xml:space="preserve"> </v>
      </c>
      <c r="R297" s="65" t="str">
        <f ca="1">IF($Q$275&gt;=O264,INDEX($AL$116:$AL$125,MATCH(O264,($AJ$116:$AJ$125),0)),IF($Q$279&gt;=O264,INDEX('Spell Tables'!$AR$168:$AR$175,MATCH(O264,('Spell Tables'!$AP$168:$AP$175),0)),IF($Q$289&gt;=O264,INDEX('Spell Tables'!$AR$48:$AR$52,MATCH(O264,('Spell Tables'!$AP$48:$AP$52),0)),IF($Q$291&gt;=O264,INDEX('Spell Tables'!$AR$26:$AR$33,MATCH(O264,('Spell Tables'!$AP$26:$AP$33),0)),IF($Q$293&gt;=O264,INDEX('Spell Tables'!$AR$2:$AR$11,MATCH(O264,('Spell Tables'!$AL$2:$AL$11),0))," ")))))</f>
        <v xml:space="preserve"> </v>
      </c>
      <c r="S297" s="65" t="str">
        <f ca="1">IF($R$275&gt;=O264,INDEX($AL$128:$AL$137,MATCH(O264,($AJ$128:$AJ$137),0)),IF($R$279&gt;=O264,INDEX('Spell Tables'!$AV$168:$AV$172,MATCH(O264,('Spell Tables'!$AT$168:$AT$172),0)),IF($R$289&gt;=O264,INDEX('Spell Tables'!$AV$48:$AV$54,MATCH(O264,('Spell Tables'!$AT$48:$AT$54),0)),IF($R$291&gt;=O264,INDEX('Spell Tables'!$AV$26:$AV$29,MATCH(O264,('Spell Tables'!$AT$26:$AT$29),0)),IF($R$293&gt;=O264,INDEX('Spell Tables'!$AV$2:$AV$6,MATCH(O264,('Spell Tables'!$AT$2:$AT$6),0))," ")))))</f>
        <v xml:space="preserve"> </v>
      </c>
      <c r="T297" s="66" t="str">
        <f ca="1">IF($S$289&gt;=O264,INDEX($AL$140:$AL$149,MATCH(O264,($AJ$140:$AJ$149),0)),IF($S$275&gt;=O264,INDEX('Spell Tables'!$AZ$242:$AZ$253,MATCH(O264,('Spell Tables'!$AX$242:$AX$253),0)),IF($S$279&gt;=O264,INDEX('Spell Tables'!$AZ$168:$AZ$172,MATCH(O264,('Spell Tables'!$AX$168:$AX$172),0)),IF($S$291&gt;=O264,INDEX('Spell Tables'!$AZ$26:$AZ$29,MATCH(O264,('Spell Tables'!$AX$26:$AX$29),0)),IF($S$293&gt;=O264,INDEX('Spell Tables'!$AZ$2:$AZ$5,MATCH(O264,('Spell Tables'!$AX$2:$AX$5),0))," ")))))</f>
        <v xml:space="preserve"> </v>
      </c>
    </row>
    <row r="298" spans="14:20" x14ac:dyDescent="0.3">
      <c r="N298" s="72"/>
      <c r="O298" s="133">
        <v>4</v>
      </c>
      <c r="P298" s="60" t="str">
        <f ca="1">IF(AND($Q$15="Otherworldly patron - great old one",O$277&gt;=O196),INDEX('Spell Tables'!$AJ$226:$AJ$231,MATCH(O196,('Spell Tables'!$AH$226:$AH$231),0)),IF(AND($Q$15="Otherworldly patron - fiend",O$277&gt;=O196),INDEX('Spell Tables'!$AJ$210:$AJ$215,MATCH(O196,('Spell Tables'!$AH$210:$AH$215),0)),IF(AND($Q$15="Otherworldly patron - archfey",O$277&gt;=O196),INDEX('Spell Tables'!$AJ$194:$AJ$199,MATCH(O196,('Spell Tables'!$AH$194:$AH$199),0)),IF($O$275&gt;=O196,INDEX($AL$92:$AL$101,MATCH(O196,($AJ$92:$AJ$101),0)),IF($O$279&gt;=O196,INDEX('Spell Tables'!$AJ$168:$AJ$178,MATCH(O196,('Spell Tables'!$AH$168:$AH$178),0)),IF($O$283&gt;=O196,INDEX('Spell Tables'!$AF$119:$AF$122,MATCH(O196,('Spell Tables'!$AD$119:$AD$122),0)),IF($O$285&gt;=O196,INDEX('Spell Tables'!$AF$97:$AF$102,MATCH(O196,('Spell Tables'!$AD$97:$AD$102),0)),IF($O$289&gt;=O196,INDEX('Spell Tables'!$AJ$48:$AJ$61,MATCH(O196,('Spell Tables'!$AH$48:$AH$61),0)),IF($O$291&gt;=O196,INDEX('Spell Tables'!$AJ$26:$AJ$38,MATCH(O196,('Spell Tables'!$AH$26:$AH$38),0)),IF($O$293&gt;=O196,INDEX('Spell Tables'!$AJ$2:$AJ$17,MATCH(O196,('Spell Tables'!$AH$2:$AH$17),0))," "))))))))))</f>
        <v xml:space="preserve"> </v>
      </c>
      <c r="Q298" s="60" t="str">
        <f ca="1">IF($P$275&gt;=O265,INDEX($AL$104:$AL$113,MATCH(O265,($AJ$104:$AJ$113),0)),IF($P$279&gt;=O265,INDEX('Spell Tables'!$AN$168:$AN$177,MATCH(O265,('Spell Tables'!$AL$168:$AL$177),0)),IF($P$289&gt;=O265,INDEX('Spell Tables'!$AN$48:$AN$56,MATCH(O265,('Spell Tables'!$AL$48:$AL$56),0)),IF($P$291&gt;=O265,INDEX('Spell Tables'!$AN$26:$AN$35,MATCH(O265,('Spell Tables'!$AL$26:$AL$35),0)),IF($P$293&gt;=O265,INDEX('Spell Tables'!$AN$2:$AN$8,MATCH(O265,('Spell Tables'!$AL$2:$AL$8),0))," ")))))</f>
        <v xml:space="preserve"> </v>
      </c>
      <c r="R298" s="60" t="str">
        <f ca="1">IF($Q$275&gt;=O265,INDEX($AL$116:$AL$125,MATCH(O265,($AJ$116:$AJ$125),0)),IF($Q$279&gt;=O265,INDEX('Spell Tables'!$AR$168:$AR$175,MATCH(O265,('Spell Tables'!$AP$168:$AP$175),0)),IF($Q$289&gt;=O265,INDEX('Spell Tables'!$AR$48:$AR$52,MATCH(O265,('Spell Tables'!$AP$48:$AP$52),0)),IF($Q$291&gt;=O265,INDEX('Spell Tables'!$AR$26:$AR$33,MATCH(O265,('Spell Tables'!$AP$26:$AP$33),0)),IF($Q$293&gt;=O265,INDEX('Spell Tables'!$AR$2:$AR$11,MATCH(O265,('Spell Tables'!$AL$2:$AL$11),0))," ")))))</f>
        <v xml:space="preserve"> </v>
      </c>
      <c r="S298" s="60" t="str">
        <f ca="1">IF($R$275&gt;=O265,INDEX($AL$128:$AL$137,MATCH(O265,($AJ$128:$AJ$137),0)),IF($R$279&gt;=O265,INDEX('Spell Tables'!$AV$168:$AV$172,MATCH(O265,('Spell Tables'!$AT$168:$AT$172),0)),IF($R$289&gt;=O265,INDEX('Spell Tables'!$AV$48:$AV$54,MATCH(O265,('Spell Tables'!$AT$48:$AT$54),0)),IF($R$291&gt;=O265,INDEX('Spell Tables'!$AV$26:$AV$29,MATCH(O265,('Spell Tables'!$AT$26:$AT$29),0)),IF($R$293&gt;=O265,INDEX('Spell Tables'!$AV$2:$AV$6,MATCH(O265,('Spell Tables'!$AT$2:$AT$6),0))," ")))))</f>
        <v xml:space="preserve"> </v>
      </c>
      <c r="T298" s="63" t="str">
        <f ca="1">IF($S$289&gt;=O265,INDEX($AL$140:$AL$149,MATCH(O265,($AJ$140:$AJ$149),0)),IF($S$275&gt;=O265,INDEX('Spell Tables'!$AZ$242:$AZ$253,MATCH(O265,('Spell Tables'!$AX$242:$AX$253),0)),IF($S$279&gt;=O265,INDEX('Spell Tables'!$AZ$168:$AZ$172,MATCH(O265,('Spell Tables'!$AX$168:$AX$172),0)),IF($S$291&gt;=O265,INDEX('Spell Tables'!$AZ$26:$AZ$29,MATCH(O265,('Spell Tables'!$AX$26:$AX$29),0)),IF($S$293&gt;=O265,INDEX('Spell Tables'!$AZ$2:$AZ$5,MATCH(O265,('Spell Tables'!$AX$2:$AX$5),0))," ")))))</f>
        <v xml:space="preserve"> </v>
      </c>
    </row>
    <row r="299" spans="14:20" x14ac:dyDescent="0.3">
      <c r="N299" s="72"/>
      <c r="O299" s="86">
        <v>5</v>
      </c>
      <c r="P299" s="65" t="str">
        <f ca="1">IF(AND($Q$15="Otherworldly patron - great old one",O$277&gt;=O197),INDEX('Spell Tables'!$AJ$226:$AJ$231,MATCH(O197,('Spell Tables'!$AH$226:$AH$231),0)),IF(AND($Q$15="Otherworldly patron - fiend",O$277&gt;=O197),INDEX('Spell Tables'!$AJ$210:$AJ$215,MATCH(O197,('Spell Tables'!$AH$210:$AH$215),0)),IF(AND($Q$15="Otherworldly patron - archfey",O$277&gt;=O197),INDEX('Spell Tables'!$AJ$194:$AJ$199,MATCH(O197,('Spell Tables'!$AH$194:$AH$199),0)),IF($O$275&gt;=O197,INDEX($AL$92:$AL$101,MATCH(O197,($AJ$92:$AJ$101),0)),IF($O$279&gt;=O197,INDEX('Spell Tables'!$AJ$168:$AJ$178,MATCH(O197,('Spell Tables'!$AH$168:$AH$178),0)),IF($O$283&gt;=O197,INDEX('Spell Tables'!$AF$119:$AF$122,MATCH(O197,('Spell Tables'!$AD$119:$AD$122),0)),IF($O$285&gt;=O197,INDEX('Spell Tables'!$AF$97:$AF$102,MATCH(O197,('Spell Tables'!$AD$97:$AD$102),0)),IF($O$289&gt;=O197,INDEX('Spell Tables'!$AJ$48:$AJ$61,MATCH(O197,('Spell Tables'!$AH$48:$AH$61),0)),IF($O$291&gt;=O197,INDEX('Spell Tables'!$AJ$26:$AJ$38,MATCH(O197,('Spell Tables'!$AH$26:$AH$38),0)),IF($O$293&gt;=O197,INDEX('Spell Tables'!$AJ$2:$AJ$17,MATCH(O197,('Spell Tables'!$AH$2:$AH$17),0))," "))))))))))</f>
        <v xml:space="preserve"> </v>
      </c>
      <c r="Q299" s="65" t="str">
        <f ca="1">IF($P$275&gt;=O266,INDEX($AL$104:$AL$113,MATCH(O266,($AJ$104:$AJ$113),0)),IF($P$279&gt;=O266,INDEX('Spell Tables'!$AN$168:$AN$177,MATCH(O266,('Spell Tables'!$AL$168:$AL$177),0)),IF($P$289&gt;=O266,INDEX('Spell Tables'!$AN$48:$AN$56,MATCH(O266,('Spell Tables'!$AL$48:$AL$56),0)),IF($P$291&gt;=O266,INDEX('Spell Tables'!$AN$26:$AN$35,MATCH(O266,('Spell Tables'!$AL$26:$AL$35),0)),IF($P$293&gt;=O266,INDEX('Spell Tables'!$AN$2:$AN$8,MATCH(O266,('Spell Tables'!$AL$2:$AL$8),0))," ")))))</f>
        <v xml:space="preserve"> </v>
      </c>
      <c r="R299" s="65" t="str">
        <f ca="1">IF($Q$275&gt;=O266,INDEX($AL$116:$AL$125,MATCH(O266,($AJ$116:$AJ$125),0)),IF($Q$279&gt;=O266,INDEX('Spell Tables'!$AR$168:$AR$175,MATCH(O266,('Spell Tables'!$AP$168:$AP$175),0)),IF($Q$289&gt;=O266,INDEX('Spell Tables'!$AR$48:$AR$52,MATCH(O266,('Spell Tables'!$AP$48:$AP$52),0)),IF($Q$291&gt;=O266,INDEX('Spell Tables'!$AR$26:$AR$33,MATCH(O266,('Spell Tables'!$AP$26:$AP$33),0)),IF($Q$293&gt;=O266,INDEX('Spell Tables'!$AR$2:$AR$11,MATCH(O266,('Spell Tables'!$AL$2:$AL$11),0))," ")))))</f>
        <v xml:space="preserve"> </v>
      </c>
      <c r="S299" s="65" t="str">
        <f ca="1">IF($R$275&gt;=O266,INDEX($AL$128:$AL$137,MATCH(O266,($AJ$128:$AJ$137),0)),IF($R$279&gt;=O266,INDEX('Spell Tables'!$AV$168:$AV$172,MATCH(O266,('Spell Tables'!$AT$168:$AT$172),0)),IF($R$289&gt;=O266,INDEX('Spell Tables'!$AV$48:$AV$54,MATCH(O266,('Spell Tables'!$AT$48:$AT$54),0)),IF($R$291&gt;=O266,INDEX('Spell Tables'!$AV$26:$AV$29,MATCH(O266,('Spell Tables'!$AT$26:$AT$29),0)),IF($R$293&gt;=O266,INDEX('Spell Tables'!$AV$2:$AV$6,MATCH(O266,('Spell Tables'!$AT$2:$AT$6),0))," ")))))</f>
        <v xml:space="preserve"> </v>
      </c>
      <c r="T299" s="66" t="str">
        <f ca="1">IF($S$289&gt;=O266,INDEX($AL$140:$AL$149,MATCH(O266,($AJ$140:$AJ$149),0)),IF($S$275&gt;=O266,INDEX('Spell Tables'!$AZ$242:$AZ$253,MATCH(O266,('Spell Tables'!$AX$242:$AX$253),0)),IF($S$279&gt;=O266,INDEX('Spell Tables'!$AZ$168:$AZ$172,MATCH(O266,('Spell Tables'!$AX$168:$AX$172),0)),IF($S$291&gt;=O266,INDEX('Spell Tables'!$AZ$26:$AZ$29,MATCH(O266,('Spell Tables'!$AX$26:$AX$29),0)),IF($S$293&gt;=O266,INDEX('Spell Tables'!$AZ$2:$AZ$5,MATCH(O266,('Spell Tables'!$AX$2:$AX$5),0))," ")))))</f>
        <v xml:space="preserve"> </v>
      </c>
    </row>
    <row r="300" spans="14:20" x14ac:dyDescent="0.3">
      <c r="N300" s="72"/>
      <c r="O300" s="133">
        <v>6</v>
      </c>
      <c r="P300" s="60" t="str">
        <f ca="1">IF(AND($Q$15="Otherworldly patron - great old one",O$277&gt;=O198),INDEX('Spell Tables'!$AJ$226:$AJ$231,MATCH(O198,('Spell Tables'!$AH$226:$AH$231),0)),IF(AND($Q$15="Otherworldly patron - fiend",O$277&gt;=O198),INDEX('Spell Tables'!$AJ$210:$AJ$215,MATCH(O198,('Spell Tables'!$AH$210:$AH$215),0)),IF(AND($Q$15="Otherworldly patron - archfey",O$277&gt;=O198),INDEX('Spell Tables'!$AJ$194:$AJ$199,MATCH(O198,('Spell Tables'!$AH$194:$AH$199),0)),IF($O$275&gt;=O198,INDEX($AL$92:$AL$101,MATCH(O198,($AJ$92:$AJ$101),0)),IF($O$279&gt;=O198,INDEX('Spell Tables'!$AJ$168:$AJ$178,MATCH(O198,('Spell Tables'!$AH$168:$AH$178),0)),IF($O$283&gt;=O198,INDEX('Spell Tables'!$AF$119:$AF$122,MATCH(O198,('Spell Tables'!$AD$119:$AD$122),0)),IF($O$285&gt;=O198,INDEX('Spell Tables'!$AF$97:$AF$102,MATCH(O198,('Spell Tables'!$AD$97:$AD$102),0)),IF($O$289&gt;=O198,INDEX('Spell Tables'!$AJ$48:$AJ$61,MATCH(O198,('Spell Tables'!$AH$48:$AH$61),0)),IF($O$291&gt;=O198,INDEX('Spell Tables'!$AJ$26:$AJ$38,MATCH(O198,('Spell Tables'!$AH$26:$AH$38),0)),IF($O$293&gt;=O198,INDEX('Spell Tables'!$AJ$2:$AJ$17,MATCH(O198,('Spell Tables'!$AH$2:$AH$17),0))," "))))))))))</f>
        <v xml:space="preserve"> </v>
      </c>
      <c r="Q300" s="60" t="str">
        <f ca="1">IF($P$275&gt;=O267,INDEX($AL$104:$AL$113,MATCH(O267,($AJ$104:$AJ$113),0)),IF($P$279&gt;=O267,INDEX('Spell Tables'!$AN$168:$AN$177,MATCH(O267,('Spell Tables'!$AL$168:$AL$177),0)),IF($P$289&gt;=O267,INDEX('Spell Tables'!$AN$48:$AN$56,MATCH(O267,('Spell Tables'!$AL$48:$AL$56),0)),IF($P$291&gt;=O267,INDEX('Spell Tables'!$AN$26:$AN$35,MATCH(O267,('Spell Tables'!$AL$26:$AL$35),0)),IF($P$293&gt;=O267,INDEX('Spell Tables'!$AN$2:$AN$8,MATCH(O267,('Spell Tables'!$AL$2:$AL$8),0))," ")))))</f>
        <v xml:space="preserve"> </v>
      </c>
      <c r="R300" s="60" t="str">
        <f ca="1">IF($Q$275&gt;=O267,INDEX($AL$116:$AL$125,MATCH(O267,($AJ$116:$AJ$125),0)),IF($Q$279&gt;=O267,INDEX('Spell Tables'!$AR$168:$AR$175,MATCH(O267,('Spell Tables'!$AP$168:$AP$175),0)),IF($Q$289&gt;=O267,INDEX('Spell Tables'!$AR$48:$AR$52,MATCH(O267,('Spell Tables'!$AP$48:$AP$52),0)),IF($Q$291&gt;=O267,INDEX('Spell Tables'!$AR$26:$AR$33,MATCH(O267,('Spell Tables'!$AP$26:$AP$33),0)),IF($Q$293&gt;=O267,INDEX('Spell Tables'!$AR$2:$AR$11,MATCH(O267,('Spell Tables'!$AL$2:$AL$11),0))," ")))))</f>
        <v xml:space="preserve"> </v>
      </c>
      <c r="S300" s="60" t="str">
        <f ca="1">IF($R$275&gt;=O267,INDEX($AL$128:$AL$137,MATCH(O267,($AJ$128:$AJ$137),0)),IF($R$279&gt;=O267,INDEX('Spell Tables'!$AV$168:$AV$172,MATCH(O267,('Spell Tables'!$AT$168:$AT$172),0)),IF($R$289&gt;=O267,INDEX('Spell Tables'!$AV$48:$AV$54,MATCH(O267,('Spell Tables'!$AT$48:$AT$54),0)),IF($R$291&gt;=O267,INDEX('Spell Tables'!$AV$26:$AV$29,MATCH(O267,('Spell Tables'!$AT$26:$AT$29),0)),IF($R$293&gt;=O267,INDEX('Spell Tables'!$AV$2:$AV$6,MATCH(O267,('Spell Tables'!$AT$2:$AT$6),0))," ")))))</f>
        <v xml:space="preserve"> </v>
      </c>
      <c r="T300" s="63" t="str">
        <f ca="1">IF($S$289&gt;=O267,INDEX($AL$140:$AL$149,MATCH(O267,($AJ$140:$AJ$149),0)),IF($S$275&gt;=O267,INDEX('Spell Tables'!$AZ$242:$AZ$253,MATCH(O267,('Spell Tables'!$AX$242:$AX$253),0)),IF($S$279&gt;=O267,INDEX('Spell Tables'!$AZ$168:$AZ$172,MATCH(O267,('Spell Tables'!$AX$168:$AX$172),0)),IF($S$291&gt;=O267,INDEX('Spell Tables'!$AZ$26:$AZ$29,MATCH(O267,('Spell Tables'!$AX$26:$AX$29),0)),IF($S$293&gt;=O267,INDEX('Spell Tables'!$AZ$2:$AZ$5,MATCH(O267,('Spell Tables'!$AX$2:$AX$5),0))," ")))))</f>
        <v xml:space="preserve"> </v>
      </c>
    </row>
    <row r="301" spans="14:20" x14ac:dyDescent="0.3">
      <c r="N301" s="72"/>
      <c r="O301" s="86">
        <v>7</v>
      </c>
      <c r="P301" s="65" t="str">
        <f ca="1">IF(AND($Q$15="Otherworldly patron - great old one",O$277&gt;=O199),INDEX('Spell Tables'!$AJ$226:$AJ$231,MATCH(O199,('Spell Tables'!$AH$226:$AH$231),0)),IF(AND($Q$15="Otherworldly patron - fiend",O$277&gt;=O199),INDEX('Spell Tables'!$AJ$210:$AJ$215,MATCH(O199,('Spell Tables'!$AH$210:$AH$215),0)),IF(AND($Q$15="Otherworldly patron - archfey",O$277&gt;=O199),INDEX('Spell Tables'!$AJ$194:$AJ$199,MATCH(O199,('Spell Tables'!$AH$194:$AH$199),0)),IF($O$275&gt;=O199,INDEX($AL$92:$AL$101,MATCH(O199,($AJ$92:$AJ$101),0)),IF($O$279&gt;=O199,INDEX('Spell Tables'!$AJ$168:$AJ$178,MATCH(O199,('Spell Tables'!$AH$168:$AH$178),0)),IF($O$283&gt;=O199,INDEX('Spell Tables'!$AF$119:$AF$122,MATCH(O199,('Spell Tables'!$AD$119:$AD$122),0)),IF($O$285&gt;=O199,INDEX('Spell Tables'!$AF$97:$AF$102,MATCH(O199,('Spell Tables'!$AD$97:$AD$102),0)),IF($O$289&gt;=O199,INDEX('Spell Tables'!$AJ$48:$AJ$61,MATCH(O199,('Spell Tables'!$AH$48:$AH$61),0)),IF($O$291&gt;=O199,INDEX('Spell Tables'!$AJ$26:$AJ$38,MATCH(O199,('Spell Tables'!$AH$26:$AH$38),0)),IF($O$293&gt;=O199,INDEX('Spell Tables'!$AJ$2:$AJ$17,MATCH(O199,('Spell Tables'!$AH$2:$AH$17),0))," "))))))))))</f>
        <v xml:space="preserve"> </v>
      </c>
      <c r="Q301" s="65" t="str">
        <f ca="1">IF($P$275&gt;=O268,INDEX($AL$104:$AL$113,MATCH(O268,($AJ$104:$AJ$113),0)),IF($P$279&gt;=O268,INDEX('Spell Tables'!$AN$168:$AN$177,MATCH(O268,('Spell Tables'!$AL$168:$AL$177),0)),IF($P$289&gt;=O268,INDEX('Spell Tables'!$AN$48:$AN$56,MATCH(O268,('Spell Tables'!$AL$48:$AL$56),0)),IF($P$291&gt;=O268,INDEX('Spell Tables'!$AN$26:$AN$35,MATCH(O268,('Spell Tables'!$AL$26:$AL$35),0)),IF($P$293&gt;=O268,INDEX('Spell Tables'!$AN$2:$AN$8,MATCH(O268,('Spell Tables'!$AL$2:$AL$8),0))," ")))))</f>
        <v xml:space="preserve"> </v>
      </c>
      <c r="R301" s="65" t="str">
        <f ca="1">IF($Q$275&gt;=O268,INDEX($AL$116:$AL$125,MATCH(O268,($AJ$116:$AJ$125),0)),IF($Q$279&gt;=O268,INDEX('Spell Tables'!$AR$168:$AR$175,MATCH(O268,('Spell Tables'!$AP$168:$AP$175),0)),IF($Q$289&gt;=O268,INDEX('Spell Tables'!$AR$48:$AR$52,MATCH(O268,('Spell Tables'!$AP$48:$AP$52),0)),IF($Q$291&gt;=O268,INDEX('Spell Tables'!$AR$26:$AR$33,MATCH(O268,('Spell Tables'!$AP$26:$AP$33),0)),IF($Q$293&gt;=O268,INDEX('Spell Tables'!$AR$2:$AR$11,MATCH(O268,('Spell Tables'!$AL$2:$AL$11),0))," ")))))</f>
        <v xml:space="preserve"> </v>
      </c>
      <c r="S301" s="65" t="str">
        <f ca="1">IF($R$275&gt;=O268,INDEX($AL$128:$AL$137,MATCH(O268,($AJ$128:$AJ$137),0)),IF($R$279&gt;=O268,INDEX('Spell Tables'!$AV$168:$AV$172,MATCH(O268,('Spell Tables'!$AT$168:$AT$172),0)),IF($R$289&gt;=O268,INDEX('Spell Tables'!$AV$48:$AV$54,MATCH(O268,('Spell Tables'!$AT$48:$AT$54),0)),IF($R$291&gt;=O268,INDEX('Spell Tables'!$AV$26:$AV$29,MATCH(O268,('Spell Tables'!$AT$26:$AT$29),0)),IF($R$293&gt;=O268,INDEX('Spell Tables'!$AV$2:$AV$6,MATCH(O268,('Spell Tables'!$AT$2:$AT$6),0))," ")))))</f>
        <v xml:space="preserve"> </v>
      </c>
      <c r="T301" s="66" t="str">
        <f ca="1">IF($S$289&gt;=O268,INDEX($AL$140:$AL$149,MATCH(O268,($AJ$140:$AJ$149),0)),IF($S$275&gt;=O268,INDEX('Spell Tables'!$AZ$242:$AZ$253,MATCH(O268,('Spell Tables'!$AX$242:$AX$253),0)),IF($S$279&gt;=O268,INDEX('Spell Tables'!$AZ$168:$AZ$172,MATCH(O268,('Spell Tables'!$AX$168:$AX$172),0)),IF($S$291&gt;=O268,INDEX('Spell Tables'!$AZ$26:$AZ$29,MATCH(O268,('Spell Tables'!$AX$26:$AX$29),0)),IF($S$293&gt;=O268,INDEX('Spell Tables'!$AZ$2:$AZ$5,MATCH(O268,('Spell Tables'!$AX$2:$AX$5),0))," ")))))</f>
        <v xml:space="preserve"> </v>
      </c>
    </row>
    <row r="302" spans="14:20" x14ac:dyDescent="0.3">
      <c r="N302" s="72"/>
      <c r="O302" s="133">
        <v>8</v>
      </c>
      <c r="P302" s="60" t="str">
        <f ca="1">IF(AND($Q$15="Otherworldly patron - great old one",O$277&gt;=O200),INDEX('Spell Tables'!$AJ$226:$AJ$231,MATCH(O200,('Spell Tables'!$AH$226:$AH$231),0)),IF(AND($Q$15="Otherworldly patron - fiend",O$277&gt;=O200),INDEX('Spell Tables'!$AJ$210:$AJ$215,MATCH(O200,('Spell Tables'!$AH$210:$AH$215),0)),IF(AND($Q$15="Otherworldly patron - archfey",O$277&gt;=O200),INDEX('Spell Tables'!$AJ$194:$AJ$199,MATCH(O200,('Spell Tables'!$AH$194:$AH$199),0)),IF($O$275&gt;=O200,INDEX($AL$92:$AL$101,MATCH(O200,($AJ$92:$AJ$101),0)),IF($O$279&gt;=O200,INDEX('Spell Tables'!$AJ$168:$AJ$178,MATCH(O200,('Spell Tables'!$AH$168:$AH$178),0)),IF($O$283&gt;=O200,INDEX('Spell Tables'!$AF$119:$AF$122,MATCH(O200,('Spell Tables'!$AD$119:$AD$122),0)),IF($O$285&gt;=O200,INDEX('Spell Tables'!$AF$97:$AF$102,MATCH(O200,('Spell Tables'!$AD$97:$AD$102),0)),IF($O$289&gt;=O200,INDEX('Spell Tables'!$AJ$48:$AJ$61,MATCH(O200,('Spell Tables'!$AH$48:$AH$61),0)),IF($O$291&gt;=O200,INDEX('Spell Tables'!$AJ$26:$AJ$38,MATCH(O200,('Spell Tables'!$AH$26:$AH$38),0)),IF($O$293&gt;=O200,INDEX('Spell Tables'!$AJ$2:$AJ$17,MATCH(O200,('Spell Tables'!$AH$2:$AH$17),0))," "))))))))))</f>
        <v xml:space="preserve"> </v>
      </c>
      <c r="Q302" s="60" t="str">
        <f ca="1">IF($P$275&gt;=O269,INDEX($AL$104:$AL$113,MATCH(O269,($AJ$104:$AJ$113),0)),IF($P$279&gt;=O269,INDEX('Spell Tables'!$AN$168:$AN$177,MATCH(O269,('Spell Tables'!$AL$168:$AL$177),0)),IF($P$289&gt;=O269,INDEX('Spell Tables'!$AN$48:$AN$56,MATCH(O269,('Spell Tables'!$AL$48:$AL$56),0)),IF($P$291&gt;=O269,INDEX('Spell Tables'!$AN$26:$AN$35,MATCH(O269,('Spell Tables'!$AL$26:$AL$35),0)),IF($P$293&gt;=O269,INDEX('Spell Tables'!$AN$2:$AN$8,MATCH(O269,('Spell Tables'!$AL$2:$AL$8),0))," ")))))</f>
        <v xml:space="preserve"> </v>
      </c>
      <c r="R302" s="60" t="str">
        <f ca="1">IF($Q$275&gt;=O269,INDEX($AL$116:$AL$125,MATCH(O269,($AJ$116:$AJ$125),0)),IF($Q$279&gt;=O269,INDEX('Spell Tables'!$AR$168:$AR$175,MATCH(O269,('Spell Tables'!$AP$168:$AP$175),0)),IF($Q$289&gt;=O269,INDEX('Spell Tables'!$AR$48:$AR$52,MATCH(O269,('Spell Tables'!$AP$48:$AP$52),0)),IF($Q$291&gt;=O269,INDEX('Spell Tables'!$AR$26:$AR$33,MATCH(O269,('Spell Tables'!$AP$26:$AP$33),0)),IF($Q$293&gt;=O269,INDEX('Spell Tables'!$AR$2:$AR$11,MATCH(O269,('Spell Tables'!$AL$2:$AL$11),0))," ")))))</f>
        <v xml:space="preserve"> </v>
      </c>
      <c r="S302" s="60" t="str">
        <f ca="1">IF($R$275&gt;=O269,INDEX($AL$128:$AL$137,MATCH(O269,($AJ$128:$AJ$137),0)),IF($R$279&gt;=O269,INDEX('Spell Tables'!$AV$168:$AV$172,MATCH(O269,('Spell Tables'!$AT$168:$AT$172),0)),IF($R$289&gt;=O269,INDEX('Spell Tables'!$AV$48:$AV$54,MATCH(O269,('Spell Tables'!$AT$48:$AT$54),0)),IF($R$291&gt;=O269,INDEX('Spell Tables'!$AV$26:$AV$29,MATCH(O269,('Spell Tables'!$AT$26:$AT$29),0)),IF($R$293&gt;=O269,INDEX('Spell Tables'!$AV$2:$AV$6,MATCH(O269,('Spell Tables'!$AT$2:$AT$6),0))," ")))))</f>
        <v xml:space="preserve"> </v>
      </c>
      <c r="T302" s="63" t="str">
        <f ca="1">IF($S$289&gt;=O269,INDEX($AL$140:$AL$149,MATCH(O269,($AJ$140:$AJ$149),0)),IF($S$275&gt;=O269,INDEX('Spell Tables'!$AZ$242:$AZ$253,MATCH(O269,('Spell Tables'!$AX$242:$AX$253),0)),IF($S$279&gt;=O269,INDEX('Spell Tables'!$AZ$168:$AZ$172,MATCH(O269,('Spell Tables'!$AX$168:$AX$172),0)),IF($S$291&gt;=O269,INDEX('Spell Tables'!$AZ$26:$AZ$29,MATCH(O269,('Spell Tables'!$AX$26:$AX$29),0)),IF($S$293&gt;=O269,INDEX('Spell Tables'!$AZ$2:$AZ$5,MATCH(O269,('Spell Tables'!$AX$2:$AX$5),0))," ")))))</f>
        <v xml:space="preserve"> </v>
      </c>
    </row>
    <row r="303" spans="14:20" x14ac:dyDescent="0.3">
      <c r="N303" s="72"/>
      <c r="O303" s="86">
        <v>9</v>
      </c>
      <c r="P303" s="65" t="str">
        <f ca="1">IF(AND($Q$15="Otherworldly patron - great old one",O$277&gt;=O201),INDEX('Spell Tables'!$AJ$226:$AJ$231,MATCH(O201,('Spell Tables'!$AH$226:$AH$231),0)),IF(AND($Q$15="Otherworldly patron - fiend",O$277&gt;=O201),INDEX('Spell Tables'!$AJ$210:$AJ$215,MATCH(O201,('Spell Tables'!$AH$210:$AH$215),0)),IF(AND($Q$15="Otherworldly patron - archfey",O$277&gt;=O201),INDEX('Spell Tables'!$AJ$194:$AJ$199,MATCH(O201,('Spell Tables'!$AH$194:$AH$199),0)),IF($O$275&gt;=O201,INDEX($AL$92:$AL$101,MATCH(O201,($AJ$92:$AJ$101),0)),IF($O$279&gt;=O201,INDEX('Spell Tables'!$AJ$168:$AJ$178,MATCH(O201,('Spell Tables'!$AH$168:$AH$178),0)),IF($O$283&gt;=O201,INDEX('Spell Tables'!$AF$119:$AF$122,MATCH(O201,('Spell Tables'!$AD$119:$AD$122),0)),IF($O$285&gt;=O201,INDEX('Spell Tables'!$AF$97:$AF$102,MATCH(O201,('Spell Tables'!$AD$97:$AD$102),0)),IF($O$289&gt;=O201,INDEX('Spell Tables'!$AJ$48:$AJ$61,MATCH(O201,('Spell Tables'!$AH$48:$AH$61),0)),IF($O$291&gt;=O201,INDEX('Spell Tables'!$AJ$26:$AJ$38,MATCH(O201,('Spell Tables'!$AH$26:$AH$38),0)),IF($O$293&gt;=O201,INDEX('Spell Tables'!$AJ$2:$AJ$17,MATCH(O201,('Spell Tables'!$AH$2:$AH$17),0))," "))))))))))</f>
        <v xml:space="preserve"> </v>
      </c>
      <c r="Q303" s="65" t="str">
        <f ca="1">IF($P$275&gt;=O270,INDEX($AL$104:$AL$113,MATCH(O270,($AJ$104:$AJ$113),0)),IF($P$279&gt;=O270,INDEX('Spell Tables'!$AN$168:$AN$177,MATCH(O270,('Spell Tables'!$AL$168:$AL$177),0)),IF($P$289&gt;=O270,INDEX('Spell Tables'!$AN$48:$AN$56,MATCH(O270,('Spell Tables'!$AL$48:$AL$56),0)),IF($P$291&gt;=O270,INDEX('Spell Tables'!$AN$26:$AN$35,MATCH(O270,('Spell Tables'!$AL$26:$AL$35),0)),IF($P$293&gt;=O270,INDEX('Spell Tables'!$AN$2:$AN$8,MATCH(O270,('Spell Tables'!$AL$2:$AL$8),0))," ")))))</f>
        <v xml:space="preserve"> </v>
      </c>
      <c r="R303" s="65" t="str">
        <f ca="1">IF($Q$275&gt;=O270,INDEX($AL$116:$AL$125,MATCH(O270,($AJ$116:$AJ$125),0)),IF($Q$279&gt;=O270,INDEX('Spell Tables'!$AR$168:$AR$175,MATCH(O270,('Spell Tables'!$AP$168:$AP$175),0)),IF($Q$289&gt;=O270,INDEX('Spell Tables'!$AR$48:$AR$52,MATCH(O270,('Spell Tables'!$AP$48:$AP$52),0)),IF($Q$291&gt;=O270,INDEX('Spell Tables'!$AR$26:$AR$33,MATCH(O270,('Spell Tables'!$AP$26:$AP$33),0)),IF($Q$293&gt;=O270,INDEX('Spell Tables'!$AR$2:$AR$11,MATCH(O270,('Spell Tables'!$AL$2:$AL$11),0))," ")))))</f>
        <v xml:space="preserve"> </v>
      </c>
      <c r="S303" s="65" t="str">
        <f ca="1">IF($R$275&gt;=O270,INDEX($AL$128:$AL$137,MATCH(O270,($AJ$128:$AJ$137),0)),IF($R$279&gt;=O270,INDEX('Spell Tables'!$AV$168:$AV$172,MATCH(O270,('Spell Tables'!$AT$168:$AT$172),0)),IF($R$289&gt;=O270,INDEX('Spell Tables'!$AV$48:$AV$54,MATCH(O270,('Spell Tables'!$AT$48:$AT$54),0)),IF($R$291&gt;=O270,INDEX('Spell Tables'!$AV$26:$AV$29,MATCH(O270,('Spell Tables'!$AT$26:$AT$29),0)),IF($R$293&gt;=O270,INDEX('Spell Tables'!$AV$2:$AV$6,MATCH(O270,('Spell Tables'!$AT$2:$AT$6),0))," ")))))</f>
        <v xml:space="preserve"> </v>
      </c>
      <c r="T303" s="66" t="str">
        <f ca="1">IF($S$289&gt;=O270,INDEX($AL$140:$AL$149,MATCH(O270,($AJ$140:$AJ$149),0)),IF($S$275&gt;=O270,INDEX('Spell Tables'!$AZ$242:$AZ$253,MATCH(O270,('Spell Tables'!$AX$242:$AX$253),0)),IF($S$279&gt;=O270,INDEX('Spell Tables'!$AZ$168:$AZ$172,MATCH(O270,('Spell Tables'!$AX$168:$AX$172),0)),IF($S$291&gt;=O270,INDEX('Spell Tables'!$AZ$26:$AZ$29,MATCH(O270,('Spell Tables'!$AX$26:$AX$29),0)),IF($S$293&gt;=O270,INDEX('Spell Tables'!$AZ$2:$AZ$5,MATCH(O270,('Spell Tables'!$AX$2:$AX$5),0))," ")))))</f>
        <v xml:space="preserve"> </v>
      </c>
    </row>
    <row r="304" spans="14:20" ht="19.5" thickBot="1" x14ac:dyDescent="0.35">
      <c r="N304" s="72"/>
      <c r="O304" s="134">
        <v>10</v>
      </c>
      <c r="P304" s="67" t="str">
        <f ca="1">IF(AND($Q$15="Otherworldly patron - great old one",O$277&gt;=O202),INDEX('Spell Tables'!$AJ$226:$AJ$231,MATCH(O202,('Spell Tables'!$AH$226:$AH$231),0)),IF(AND($Q$15="Otherworldly patron - fiend",O$277&gt;=O202),INDEX('Spell Tables'!$AJ$210:$AJ$215,MATCH(O202,('Spell Tables'!$AH$210:$AH$215),0)),IF(AND($Q$15="Otherworldly patron - archfey",O$277&gt;=O202),INDEX('Spell Tables'!$AJ$194:$AJ$199,MATCH(O202,('Spell Tables'!$AH$194:$AH$199),0)),IF($O$275&gt;=O202,INDEX($AL$92:$AL$101,MATCH(O202,($AJ$92:$AJ$101),0)),IF($O$279&gt;=O202,INDEX('Spell Tables'!$AJ$168:$AJ$178,MATCH(O202,('Spell Tables'!$AH$168:$AH$178),0)),IF($O$283&gt;=O202,INDEX('Spell Tables'!$AF$119:$AF$122,MATCH(O202,('Spell Tables'!$AD$119:$AD$122),0)),IF($O$285&gt;=O202,INDEX('Spell Tables'!$AF$97:$AF$102,MATCH(O202,('Spell Tables'!$AD$97:$AD$102),0)),IF($O$289&gt;=O202,INDEX('Spell Tables'!$AJ$48:$AJ$61,MATCH(O202,('Spell Tables'!$AH$48:$AH$61),0)),IF($O$291&gt;=O202,INDEX('Spell Tables'!$AJ$26:$AJ$38,MATCH(O202,('Spell Tables'!$AH$26:$AH$38),0)),IF($O$293&gt;=O202,INDEX('Spell Tables'!$AJ$2:$AJ$17,MATCH(O202,('Spell Tables'!$AH$2:$AH$17),0))," "))))))))))</f>
        <v xml:space="preserve"> </v>
      </c>
      <c r="Q304" s="67" t="str">
        <f ca="1">IF($P$275&gt;=O271,INDEX($AL$104:$AL$113,MATCH(O271,($AJ$104:$AJ$113),0)),IF($P$279&gt;=O271,INDEX('Spell Tables'!$AN$168:$AN$177,MATCH(O271,('Spell Tables'!$AL$168:$AL$177),0)),IF($P$289&gt;=O271,INDEX('Spell Tables'!$AN$48:$AN$56,MATCH(O271,('Spell Tables'!$AL$48:$AL$56),0)),IF($P$291&gt;=O271,INDEX('Spell Tables'!$AN$26:$AN$35,MATCH(O271,('Spell Tables'!$AL$26:$AL$35),0)),IF($P$293&gt;=O271,INDEX('Spell Tables'!$AN$2:$AN$8,MATCH(O271,('Spell Tables'!$AL$2:$AL$8),0))," ")))))</f>
        <v xml:space="preserve"> </v>
      </c>
      <c r="R304" s="67" t="str">
        <f ca="1">IF($Q$275&gt;=O271,INDEX($AL$116:$AL$125,MATCH(O271,($AJ$116:$AJ$125),0)),IF($Q$279&gt;=O271,INDEX('Spell Tables'!$AR$168:$AR$175,MATCH(O271,('Spell Tables'!$AP$168:$AP$175),0)),IF($Q$289&gt;=O271,INDEX('Spell Tables'!$AR$48:$AR$52,MATCH(O271,('Spell Tables'!$AP$48:$AP$52),0)),IF($Q$291&gt;=O271,INDEX('Spell Tables'!$AR$26:$AR$33,MATCH(O271,('Spell Tables'!$AP$26:$AP$33),0)),IF($Q$293&gt;=O271,INDEX('Spell Tables'!$AR$2:$AR$11,MATCH(O271,('Spell Tables'!$AL$2:$AL$11),0))," ")))))</f>
        <v xml:space="preserve"> </v>
      </c>
      <c r="S304" s="67" t="str">
        <f ca="1">IF($R$275&gt;=O271,INDEX($AL$128:$AL$137,MATCH(O271,($AJ$128:$AJ$137),0)),IF($R$279&gt;=O271,INDEX('Spell Tables'!$AV$168:$AV$172,MATCH(O271,('Spell Tables'!$AT$168:$AT$172),0)),IF($R$289&gt;=O271,INDEX('Spell Tables'!$AV$48:$AV$54,MATCH(O271,('Spell Tables'!$AT$48:$AT$54),0)),IF($R$291&gt;=O271,INDEX('Spell Tables'!$AV$26:$AV$29,MATCH(O271,('Spell Tables'!$AT$26:$AT$29),0)),IF($R$293&gt;=O271,INDEX('Spell Tables'!$AV$2:$AV$6,MATCH(O271,('Spell Tables'!$AT$2:$AT$6),0))," ")))))</f>
        <v xml:space="preserve"> </v>
      </c>
      <c r="T304" s="68" t="str">
        <f ca="1">IF($S$289&gt;=O271,INDEX($AL$140:$AL$149,MATCH(O271,($AJ$140:$AJ$149),0)),IF($S$275&gt;=O271,INDEX('Spell Tables'!$AZ$242:$AZ$253,MATCH(O271,('Spell Tables'!$AX$242:$AX$253),0)),IF($S$279&gt;=O271,INDEX('Spell Tables'!$AZ$168:$AZ$172,MATCH(O271,('Spell Tables'!$AX$168:$AX$172),0)),IF($S$291&gt;=O271,INDEX('Spell Tables'!$AZ$26:$AZ$29,MATCH(O271,('Spell Tables'!$AX$26:$AX$29),0)),IF($S$293&gt;=O271,INDEX('Spell Tables'!$AZ$2:$AZ$5,MATCH(O271,('Spell Tables'!$AX$2:$AX$5),0))," ")))))</f>
        <v xml:space="preserve"> </v>
      </c>
    </row>
    <row r="305" spans="2:20" ht="19.5" thickBot="1" x14ac:dyDescent="0.35"/>
    <row r="306" spans="2:20" ht="30.75" thickBot="1" x14ac:dyDescent="0.45">
      <c r="B306" s="105" t="s">
        <v>1271</v>
      </c>
    </row>
    <row r="307" spans="2:20" ht="19.5" hidden="1" thickBot="1" x14ac:dyDescent="0.35">
      <c r="P307" s="29" t="s">
        <v>1166</v>
      </c>
      <c r="Q307" s="29" t="s">
        <v>1167</v>
      </c>
      <c r="R307" s="29" t="s">
        <v>1168</v>
      </c>
      <c r="S307" s="29" t="s">
        <v>676</v>
      </c>
    </row>
    <row r="308" spans="2:20" ht="19.5" hidden="1" thickBot="1" x14ac:dyDescent="0.35">
      <c r="B308" s="29" t="s">
        <v>1270</v>
      </c>
      <c r="O308" s="29" t="s">
        <v>530</v>
      </c>
      <c r="P308" s="29" t="str">
        <f ca="1">IF(AND(O11="wizard",O12&gt;=3),"x",IF(O11="wizard","xx"," "))</f>
        <v>x</v>
      </c>
      <c r="Q308" s="29" t="str">
        <f ca="1">IF(AND(O11="wizard",O12&gt;=9),"xxxx",IF(AND(O11="wizard",O12&gt;=5),"x",IF(AND($O$11="wizard",$O$12&gt;3),"xx",IF(AND(O11="wizard",O12=3),"xxx"," "))))</f>
        <v>xxxx</v>
      </c>
      <c r="R308" s="29" t="str">
        <f ca="1">IF(AND(O11="wizard",O12&gt;=11),"xxxx",IF(AND(O11="wizard",O12&gt;=7),"x",IF(AND($O$11="wizard",$O$12&gt;5),"xx",IF(AND(O11="wizard",O12=5),"xxx"," "))))</f>
        <v>xxxx</v>
      </c>
      <c r="S308" s="29" t="str">
        <f ca="1">IF(AND(O11="wizard",O12&gt;=13),"xxxx",IF(AND(O11="wizard",O12&gt;=9),"x",IF(AND($O$11="wizard",$O$12&gt;7),"xx",IF(AND(O11="wizard",O12=7),"xxx"," "))))</f>
        <v>x</v>
      </c>
    </row>
    <row r="309" spans="2:20" ht="19.5" hidden="1" thickBot="1" x14ac:dyDescent="0.35">
      <c r="B309" s="29" t="s">
        <v>1271</v>
      </c>
      <c r="O309" s="29">
        <f ca="1">IF(O11="wizard",((O12-1)*2)+6," ")</f>
        <v>28</v>
      </c>
      <c r="P309" s="29">
        <f ca="1">IF(AND(O11="wizard",O12=2),O309,IF(AND(O11="wizard",O12=1),$O$309,IF(AND(O11="wizard",O12&gt;=3),MAX(8,O309-SUM(U216:X216)),0)))</f>
        <v>28</v>
      </c>
      <c r="Q309" s="29">
        <f ca="1">IF(Q$308="xxxx",MAX(R173,(RANDBETWEEN(5,6))),IF(Q308="x",MAX(R173,(RANDBETWEEN(3,6))),IF(Q308="xx",MAX(R173,(RANDBETWEEN(2,4))),IF(Q308="xxx",MAX(R173,(2)),0))))</f>
        <v>5</v>
      </c>
      <c r="R309" s="29">
        <f ca="1">IF($R308="xxxx",MAX(S173,(RANDBETWEEN(5,6))),IF(R308="x",MAX(S173,(RANDBETWEEN(3,6))),IF(R308="xx",MAX(S173,(RANDBETWEEN(2,4))),IF(R308="xxx",MAX(S173,(2)),0))))</f>
        <v>12</v>
      </c>
      <c r="S309" s="29">
        <f ca="1">IF(S$308="xxxx",MAX(T173,(RANDBETWEEN(5,6))),IF(S308="x",MAX(T173,(RANDBETWEEN(3,6))),IF(S308="xx",MAX(T173,(RANDBETWEEN(2,4))),IF(S308="xxx",MAX(T173,(2)),0))))</f>
        <v>5</v>
      </c>
    </row>
    <row r="310" spans="2:20" ht="19.5" hidden="1" thickBot="1" x14ac:dyDescent="0.35">
      <c r="P310" s="98" t="s">
        <v>1166</v>
      </c>
      <c r="Q310" s="98" t="s">
        <v>1167</v>
      </c>
      <c r="R310" s="98" t="s">
        <v>1168</v>
      </c>
      <c r="S310" s="98" t="s">
        <v>676</v>
      </c>
    </row>
    <row r="311" spans="2:20" ht="19.5" hidden="1" thickBot="1" x14ac:dyDescent="0.35">
      <c r="P311" s="98" t="str">
        <f ca="1">IF(AND(Q11="wizard",Q12&gt;=3),"x",IF(Q11="wizard","xx"," "))</f>
        <v xml:space="preserve"> </v>
      </c>
      <c r="Q311" s="98" t="str">
        <f ca="1">IF(AND(Q11="wizard",Q12&gt;=9),"xxxx",IF(AND(Q11="wizard",Q12&gt;=5),"x",IF(AND($Q$11="wizard",$Q$12&gt;3),"xx",IF(AND(Q11="wizard",Q12=3),"xxx"," "))))</f>
        <v xml:space="preserve"> </v>
      </c>
      <c r="R311" s="98" t="str">
        <f ca="1">IF(AND(Q11="wizard",Q12&gt;=11),"xxxx",IF(AND(Q11="wizard",Q12&gt;=7),"x",IF(AND($Q$11="wizard",$Q$12&gt;5),"xx",IF(AND(Q11="wizard",Q12=5),"xxx"," "))))</f>
        <v xml:space="preserve"> </v>
      </c>
      <c r="S311" s="98" t="str">
        <f ca="1">IF(AND(Q11="wizard",Q12&gt;=13),"xxxx",IF(AND(Q11="wizard",Q12&gt;=9),"x",IF(AND($Q$11="wizard",$Q$12&gt;7),"xx",IF(AND(Q11="wizard",Q12=7),"xxx"," "))))</f>
        <v xml:space="preserve"> </v>
      </c>
    </row>
    <row r="312" spans="2:20" ht="19.5" hidden="1" thickBot="1" x14ac:dyDescent="0.35">
      <c r="P312" s="98">
        <f ca="1">IF(AND(Q11="wizard",Q12=2),AK41,IF(AND(Q11="wizard",Q12=1),$AK$41,IF(AND(Q11="wizard",Q12&gt;=3),MAX(8,AK41-SUM(U219:X219)),0)))</f>
        <v>0</v>
      </c>
      <c r="Q312" s="98">
        <f ca="1">IF(Q$311="xxxx",MAX(R242,(RANDBETWEEN(5,6))),IF(Q311="x",MAX(R242,(RANDBETWEEN(3,6))),IF(Q311="xx",MAX(R242,(RANDBETWEEN(2,4))),IF(Q311="xxx",MAX(R242,(2)),0))))</f>
        <v>0</v>
      </c>
      <c r="R312" s="98">
        <f ca="1">IF($R311="xxxx",MAX(S242,(RANDBETWEEN(5,6))),IF(R311="x",MAX(S242,(RANDBETWEEN(3,6))),IF(R311="xx",MAX(S242,(RANDBETWEEN(2,4))),IF(R311="xxx",MAX(S242,(2)),0))))</f>
        <v>0</v>
      </c>
      <c r="S312" s="98">
        <f ca="1">IF(S$311="xxxx",MAX(T242,(RANDBETWEEN(5,6))),IF(S311="x",MAX(T242,(RANDBETWEEN(3,6))),IF(S311="xx",MAX(T242,(RANDBETWEEN(2,4))),IF(S311="xxx",MAX(T242,(2)),0))))</f>
        <v>0</v>
      </c>
    </row>
    <row r="313" spans="2:20" ht="19.5" hidden="1" thickBot="1" x14ac:dyDescent="0.35"/>
    <row r="314" spans="2:20" x14ac:dyDescent="0.3">
      <c r="B314" s="79"/>
      <c r="C314" s="27"/>
      <c r="D314" s="27"/>
      <c r="E314" s="27"/>
      <c r="F314" s="27"/>
      <c r="G314" s="27"/>
      <c r="H314" s="27"/>
      <c r="I314" s="27"/>
      <c r="J314" s="27"/>
      <c r="K314" s="27"/>
      <c r="L314" s="27"/>
      <c r="M314" s="27"/>
      <c r="N314" s="27"/>
      <c r="O314" s="27"/>
      <c r="P314" s="76" t="s">
        <v>1124</v>
      </c>
      <c r="Q314" s="76" t="s">
        <v>1166</v>
      </c>
      <c r="R314" s="76" t="s">
        <v>1167</v>
      </c>
      <c r="S314" s="76" t="s">
        <v>1168</v>
      </c>
      <c r="T314" s="77" t="s">
        <v>676</v>
      </c>
    </row>
    <row r="315" spans="2:20" x14ac:dyDescent="0.3">
      <c r="B315" s="79"/>
      <c r="C315" s="33"/>
      <c r="D315" s="33"/>
      <c r="E315" s="33"/>
      <c r="F315" s="33"/>
      <c r="G315" s="33"/>
      <c r="H315" s="33"/>
      <c r="I315" s="33"/>
      <c r="J315" s="33"/>
      <c r="K315" s="33"/>
      <c r="L315" s="33"/>
      <c r="M315" s="33"/>
      <c r="N315" s="33"/>
      <c r="O315" s="34">
        <v>1</v>
      </c>
      <c r="P315" s="33" t="str">
        <f t="shared" ref="P315:P324" ca="1" si="67">IF($O$11="wizard",P193,IF($Q$11="wizard",P262," "))</f>
        <v>Minor Illusion</v>
      </c>
      <c r="Q315" s="33" t="str">
        <f ca="1">IF(AND($O$11="wizard",$P$309&gt;=O315),INDEX('Spell Tables'!$T$242:$T$271,MATCH(1,(O315:O324),0)),IF(AND($Q$11="wizard",$P$312&gt;=O315),INDEX('Spell Tables'!$T$242:$T$271,MATCH(O315,('Spell Tables'!$R$242:$R$271),0))," "))</f>
        <v>Alarm</v>
      </c>
      <c r="R315" s="33" t="str">
        <f ca="1">IF($Q$309&gt;=O315,INDEX('Spell Tables'!$X$242:$X$275,MATCH(O315,('Spell Tables'!$V$242:$V$275),0)),IF(AND($Q$11="wizard",$Q$312&gt;=O315),INDEX('Spell Tables'!$X$242:$X$275,MATCH(O315,('Spell Tables'!$V$242:$V$275),0))," "))</f>
        <v>Invisibility</v>
      </c>
      <c r="S315" s="33" t="str">
        <f ca="1">IF($R$309&gt;=O315,INDEX('Spell Tables'!$AB$242:$AB$270,MATCH(O315,('Spell Tables'!$Z$242:$Z$270),0)),IF(AND($Q$11="wizard",$R$312&gt;=O315),INDEX('Spell Tables'!$AB$242:$AB$270,MATCH(O315,('Spell Tables'!$Z$242:$Z$270),0))," "))</f>
        <v>Clairvoyance</v>
      </c>
      <c r="T315" s="72" t="str">
        <f ca="1">IF($S$309&gt;=O315,INDEX('Spell Tables'!$AF$242:$AF$264,MATCH(O315,('Spell Tables'!$AD$242:$AD$264),0)),IF(AND($Q$11="wizard",$S$312&gt;=O315),INDEX('Spell Tables'!$AF$242:$AF$264,MATCH(O315,('Spell Tables'!$AD$242:$AD$264),0))," "))</f>
        <v>Blight</v>
      </c>
    </row>
    <row r="316" spans="2:20" x14ac:dyDescent="0.3">
      <c r="B316" s="79"/>
      <c r="C316" s="33"/>
      <c r="D316" s="33"/>
      <c r="E316" s="33"/>
      <c r="F316" s="33"/>
      <c r="G316" s="33"/>
      <c r="H316" s="33"/>
      <c r="I316" s="33"/>
      <c r="J316" s="33"/>
      <c r="K316" s="33"/>
      <c r="L316" s="33"/>
      <c r="M316" s="33"/>
      <c r="N316" s="33"/>
      <c r="O316" s="34">
        <v>2</v>
      </c>
      <c r="P316" s="33" t="str">
        <f t="shared" ca="1" si="67"/>
        <v>Ray of Frost</v>
      </c>
      <c r="Q316" s="33" t="str">
        <f ca="1">IF(AND($O$11="wizard",$P$309&gt;=O316),INDEX('Spell Tables'!$T$242:$T$271,MATCH(O316,('Spell Tables'!$R$242:$R$271),0)),IF(AND($Q$11="wizard",$P$312&gt;=O316),INDEX('Spell Tables'!$T$242:$T$271,MATCH(O316,('Spell Tables'!$R$242:$R$271),0))," "))</f>
        <v>Shield</v>
      </c>
      <c r="R316" s="33" t="str">
        <f ca="1">IF($Q$309&gt;=O316,INDEX('Spell Tables'!$X$242:$X$275,MATCH(O316,('Spell Tables'!$V$242:$V$275),0)),IF(AND($Q$11="wizard",$Q$312&gt;=O316),INDEX('Spell Tables'!$X$242:$X$275,MATCH(O316,('Spell Tables'!$V$242:$V$275),0))," "))</f>
        <v>Alter Self</v>
      </c>
      <c r="S316" s="33" t="str">
        <f ca="1">IF($R$309&gt;=O316,INDEX('Spell Tables'!$AB$242:$AB$270,MATCH(O316,('Spell Tables'!$Z$242:$Z$270),0)),IF(AND($Q$11="wizard",$R$312&gt;=O316),INDEX('Spell Tables'!$AB$242:$AB$270,MATCH(O316,('Spell Tables'!$Z$242:$Z$270),0))," "))</f>
        <v>Protection from Energy</v>
      </c>
      <c r="T316" s="72" t="str">
        <f ca="1">IF($S$309&gt;=O316,INDEX('Spell Tables'!$AF$242:$AF$264,MATCH(O316,('Spell Tables'!$AD$242:$AD$264),0)),IF(AND($Q$11="wizard",$S$312&gt;=O316),INDEX('Spell Tables'!$AF$242:$AF$264,MATCH(O316,('Spell Tables'!$AD$242:$AD$264),0))," "))</f>
        <v>Ice Storm</v>
      </c>
    </row>
    <row r="317" spans="2:20" x14ac:dyDescent="0.3">
      <c r="B317" s="79"/>
      <c r="C317" s="33"/>
      <c r="D317" s="33"/>
      <c r="E317" s="33"/>
      <c r="F317" s="33"/>
      <c r="G317" s="33"/>
      <c r="H317" s="33"/>
      <c r="I317" s="33"/>
      <c r="J317" s="33"/>
      <c r="K317" s="33"/>
      <c r="L317" s="33"/>
      <c r="M317" s="33"/>
      <c r="N317" s="33"/>
      <c r="O317" s="34">
        <v>3</v>
      </c>
      <c r="P317" s="33" t="str">
        <f t="shared" ca="1" si="67"/>
        <v>Light</v>
      </c>
      <c r="Q317" s="33" t="str">
        <f ca="1">IF(AND($O$11="wizard",$P$309&gt;=O317),INDEX('Spell Tables'!$T$242:$T$271,MATCH(O317,('Spell Tables'!$R$242:$R$271),0)),IF(AND($Q$11="wizard",$P$312&gt;=O317),INDEX('Spell Tables'!$T$242:$T$271,MATCH(O317,('Spell Tables'!$R$242:$R$271),0))," "))</f>
        <v>Charm Person</v>
      </c>
      <c r="R317" s="33" t="str">
        <f ca="1">IF($Q$309&gt;=O317,INDEX('Spell Tables'!$X$242:$X$275,MATCH(O317,('Spell Tables'!$V$242:$V$275),0)),IF(AND($Q$11="wizard",$Q$312&gt;=O317),INDEX('Spell Tables'!$X$242:$X$275,MATCH(O317,('Spell Tables'!$V$242:$V$275),0))," "))</f>
        <v>Mirror Image</v>
      </c>
      <c r="S317" s="33" t="str">
        <f ca="1">IF($R$309&gt;=O317,INDEX('Spell Tables'!$AB$242:$AB$270,MATCH(O317,('Spell Tables'!$Z$242:$Z$270),0)),IF(AND($Q$11="wizard",$R$312&gt;=O317),INDEX('Spell Tables'!$AB$242:$AB$270,MATCH(O317,('Spell Tables'!$Z$242:$Z$270),0))," "))</f>
        <v>Magic Circle</v>
      </c>
      <c r="T317" s="72" t="str">
        <f ca="1">IF($S$309&gt;=O317,INDEX('Spell Tables'!$AF$242:$AF$264,MATCH(O317,('Spell Tables'!$AD$242:$AD$264),0)),IF(AND($Q$11="wizard",$S$312&gt;=O317),INDEX('Spell Tables'!$AF$242:$AF$264,MATCH(O317,('Spell Tables'!$AD$242:$AD$264),0))," "))</f>
        <v>Polymorph</v>
      </c>
    </row>
    <row r="318" spans="2:20" x14ac:dyDescent="0.3">
      <c r="B318" s="79"/>
      <c r="C318" s="33"/>
      <c r="D318" s="33"/>
      <c r="E318" s="33"/>
      <c r="F318" s="33"/>
      <c r="G318" s="33"/>
      <c r="H318" s="33"/>
      <c r="I318" s="33"/>
      <c r="J318" s="33"/>
      <c r="K318" s="33"/>
      <c r="L318" s="33"/>
      <c r="M318" s="33"/>
      <c r="N318" s="33"/>
      <c r="O318" s="34">
        <v>4</v>
      </c>
      <c r="P318" s="33" t="str">
        <f t="shared" ca="1" si="67"/>
        <v>Poison Spray</v>
      </c>
      <c r="Q318" s="33" t="str">
        <f ca="1">IF(AND($O$11="wizard",$P$309&gt;=O318),INDEX('Spell Tables'!$T$242:$T$271,MATCH(O318,('Spell Tables'!$R$242:$R$271),0)),IF(AND($Q$11="wizard",$P$312&gt;=O318),INDEX('Spell Tables'!$T$242:$T$271,MATCH(O318,('Spell Tables'!$R$242:$R$271),0))," "))</f>
        <v>Expeditious Retreat</v>
      </c>
      <c r="R318" s="33" t="str">
        <f ca="1">IF($Q$309&gt;=O318,INDEX('Spell Tables'!$X$242:$X$275,MATCH(O318,('Spell Tables'!$V$242:$V$275),0)),IF(AND($Q$11="wizard",$Q$312&gt;=O318),INDEX('Spell Tables'!$X$242:$X$275,MATCH(O318,('Spell Tables'!$V$242:$V$275),0))," "))</f>
        <v>Magic Mouth</v>
      </c>
      <c r="S318" s="33" t="str">
        <f ca="1">IF($R$309&gt;=O318,INDEX('Spell Tables'!$AB$242:$AB$270,MATCH(O318,('Spell Tables'!$Z$242:$Z$270),0)),IF(AND($Q$11="wizard",$R$312&gt;=O318),INDEX('Spell Tables'!$AB$242:$AB$270,MATCH(O318,('Spell Tables'!$Z$242:$Z$270),0))," "))</f>
        <v>Vampiric Touch</v>
      </c>
      <c r="T318" s="72" t="str">
        <f ca="1">IF($S$309&gt;=O318,INDEX('Spell Tables'!$AF$242:$AF$264,MATCH(O318,('Spell Tables'!$AD$242:$AD$264),0)),IF(AND($Q$11="wizard",$S$312&gt;=O318),INDEX('Spell Tables'!$AF$242:$AF$264,MATCH(O318,('Spell Tables'!$AD$242:$AD$264),0))," "))</f>
        <v>Fabricate</v>
      </c>
    </row>
    <row r="319" spans="2:20" x14ac:dyDescent="0.3">
      <c r="B319" s="79"/>
      <c r="C319" s="33"/>
      <c r="D319" s="33"/>
      <c r="E319" s="33"/>
      <c r="F319" s="33"/>
      <c r="G319" s="33"/>
      <c r="H319" s="33"/>
      <c r="I319" s="33"/>
      <c r="J319" s="33"/>
      <c r="K319" s="33"/>
      <c r="L319" s="33"/>
      <c r="M319" s="33"/>
      <c r="N319" s="33"/>
      <c r="O319" s="34">
        <v>5</v>
      </c>
      <c r="P319" s="33" t="str">
        <f t="shared" ca="1" si="67"/>
        <v>Mending</v>
      </c>
      <c r="Q319" s="33" t="str">
        <f ca="1">IF(AND($O$11="wizard",$P$309&gt;=O319),INDEX('Spell Tables'!$T$242:$T$271,MATCH(O319,('Spell Tables'!$R$242:$R$271),0)),IF(AND($Q$11="wizard",$P$312&gt;=O319),INDEX('Spell Tables'!$T$242:$T$271,MATCH(O319,('Spell Tables'!$R$242:$R$271),0))," "))</f>
        <v>Protection from Evil and Good</v>
      </c>
      <c r="R319" s="33" t="str">
        <f ca="1">IF($Q$309&gt;=O319,INDEX('Spell Tables'!$X$242:$X$275,MATCH(O319,('Spell Tables'!$V$242:$V$275),0)),IF(AND($Q$11="wizard",$Q$312&gt;=O319),INDEX('Spell Tables'!$X$242:$X$275,MATCH(O319,('Spell Tables'!$V$242:$V$275),0))," "))</f>
        <v>Darkvision</v>
      </c>
      <c r="S319" s="33" t="str">
        <f ca="1">IF($R$309&gt;=O319,INDEX('Spell Tables'!$AB$242:$AB$270,MATCH(O319,('Spell Tables'!$Z$242:$Z$270),0)),IF(AND($Q$11="wizard",$R$312&gt;=O319),INDEX('Spell Tables'!$AB$242:$AB$270,MATCH(O319,('Spell Tables'!$Z$242:$Z$270),0))," "))</f>
        <v>Sending</v>
      </c>
      <c r="T319" s="72" t="str">
        <f ca="1">IF($S$309&gt;=O319,INDEX('Spell Tables'!$AF$242:$AF$264,MATCH(O319,('Spell Tables'!$AD$242:$AD$264),0)),IF(AND($Q$11="wizard",$S$312&gt;=O319),INDEX('Spell Tables'!$AF$242:$AF$264,MATCH(O319,('Spell Tables'!$AD$242:$AD$264),0))," "))</f>
        <v>Wall of Fire</v>
      </c>
    </row>
    <row r="320" spans="2:20" x14ac:dyDescent="0.3">
      <c r="B320" s="79"/>
      <c r="C320" s="33"/>
      <c r="D320" s="33"/>
      <c r="E320" s="33"/>
      <c r="F320" s="33"/>
      <c r="G320" s="33"/>
      <c r="H320" s="33"/>
      <c r="I320" s="33"/>
      <c r="J320" s="33"/>
      <c r="K320" s="33"/>
      <c r="L320" s="33"/>
      <c r="M320" s="33"/>
      <c r="N320" s="33"/>
      <c r="O320" s="34">
        <v>6</v>
      </c>
      <c r="P320" s="33" t="str">
        <f t="shared" ca="1" si="67"/>
        <v xml:space="preserve"> </v>
      </c>
      <c r="Q320" s="33" t="str">
        <f ca="1">IF(AND($O$11="wizard",$P$309&gt;=O320),INDEX('Spell Tables'!$T$242:$T$271,MATCH(O320,('Spell Tables'!$R$242:$R$271),0)),IF(AND($Q$11="wizard",$P$312&gt;=O320),INDEX('Spell Tables'!$T$242:$T$271,MATCH(O320,('Spell Tables'!$R$242:$R$271),0))," "))</f>
        <v>Feather Fall</v>
      </c>
      <c r="R320" s="33" t="str">
        <f ca="1">IF($Q$309&gt;=O320,INDEX('Spell Tables'!$X$242:$X$275,MATCH(O320,('Spell Tables'!$V$242:$V$275),0)),IF(AND($Q$11="wizard",$Q$312&gt;=O320),INDEX('Spell Tables'!$X$242:$X$275,MATCH(O320,('Spell Tables'!$V$242:$V$275),0))," "))</f>
        <v xml:space="preserve"> </v>
      </c>
      <c r="S320" s="33" t="str">
        <f ca="1">IF($R$309&gt;=O320,INDEX('Spell Tables'!$AB$242:$AB$270,MATCH(O320,('Spell Tables'!$Z$242:$Z$270),0)),IF(AND($Q$11="wizard",$R$312&gt;=O320),INDEX('Spell Tables'!$AB$242:$AB$270,MATCH(O320,('Spell Tables'!$Z$242:$Z$270),0))," "))</f>
        <v>Lightning Bolt</v>
      </c>
      <c r="T320" s="72" t="str">
        <f ca="1">IF($S$309&gt;=O320,INDEX('Spell Tables'!$AF$242:$AF$264,MATCH(O320,('Spell Tables'!$AD$242:$AD$264),0)),IF(AND($Q$11="wizard",$S$312&gt;=O320),INDEX('Spell Tables'!$AF$242:$AF$264,MATCH(O320,('Spell Tables'!$AD$242:$AD$264),0))," "))</f>
        <v xml:space="preserve"> </v>
      </c>
    </row>
    <row r="321" spans="1:20" x14ac:dyDescent="0.3">
      <c r="B321" s="79"/>
      <c r="C321" s="33"/>
      <c r="D321" s="33"/>
      <c r="E321" s="33"/>
      <c r="F321" s="33"/>
      <c r="G321" s="33"/>
      <c r="H321" s="33"/>
      <c r="I321" s="33"/>
      <c r="J321" s="33"/>
      <c r="K321" s="33"/>
      <c r="L321" s="33"/>
      <c r="M321" s="33"/>
      <c r="N321" s="33"/>
      <c r="O321" s="34">
        <v>7</v>
      </c>
      <c r="P321" s="33" t="str">
        <f t="shared" ca="1" si="67"/>
        <v xml:space="preserve"> </v>
      </c>
      <c r="Q321" s="33" t="str">
        <f ca="1">IF(AND($O$11="wizard",$P$309&gt;=O321),INDEX('Spell Tables'!$T$242:$T$271,MATCH(O321,('Spell Tables'!$R$242:$R$271),0)),IF(AND($Q$11="wizard",$P$312&gt;=O321),INDEX('Spell Tables'!$T$242:$T$271,MATCH(O321,('Spell Tables'!$R$242:$R$271),0))," "))</f>
        <v>Silent Image</v>
      </c>
      <c r="R321" s="33" t="str">
        <f ca="1">IF($Q$309&gt;=O321,INDEX('Spell Tables'!$X$242:$X$275,MATCH(O321,('Spell Tables'!$V$242:$V$275),0)),IF(AND($Q$11="wizard",$Q$312&gt;=O321),INDEX('Spell Tables'!$X$242:$X$275,MATCH(O321,('Spell Tables'!$V$242:$V$275),0))," "))</f>
        <v xml:space="preserve"> </v>
      </c>
      <c r="S321" s="33" t="str">
        <f ca="1">IF($R$309&gt;=O321,INDEX('Spell Tables'!$AB$242:$AB$270,MATCH(O321,('Spell Tables'!$Z$242:$Z$270),0)),IF(AND($Q$11="wizard",$R$312&gt;=O321),INDEX('Spell Tables'!$AB$242:$AB$270,MATCH(O321,('Spell Tables'!$Z$242:$Z$270),0))," "))</f>
        <v>Water Breathing</v>
      </c>
      <c r="T321" s="72" t="str">
        <f ca="1">IF($S$309&gt;=O321,INDEX('Spell Tables'!$AF$242:$AF$264,MATCH(O321,('Spell Tables'!$AD$242:$AD$264),0)),IF(AND($Q$11="wizard",$S$312&gt;=O321),INDEX('Spell Tables'!$AF$242:$AF$264,MATCH(O321,('Spell Tables'!$AD$242:$AD$264),0))," "))</f>
        <v xml:space="preserve"> </v>
      </c>
    </row>
    <row r="322" spans="1:20" x14ac:dyDescent="0.3">
      <c r="B322" s="79"/>
      <c r="C322" s="33"/>
      <c r="D322" s="33"/>
      <c r="E322" s="33"/>
      <c r="F322" s="33"/>
      <c r="G322" s="33"/>
      <c r="H322" s="33"/>
      <c r="I322" s="33"/>
      <c r="J322" s="33"/>
      <c r="K322" s="33"/>
      <c r="L322" s="33"/>
      <c r="M322" s="33"/>
      <c r="N322" s="33"/>
      <c r="O322" s="34">
        <v>8</v>
      </c>
      <c r="P322" s="33" t="str">
        <f t="shared" ca="1" si="67"/>
        <v xml:space="preserve"> </v>
      </c>
      <c r="Q322" s="33" t="str">
        <f ca="1">IF(AND($O$11="wizard",$P$309&gt;=O322),INDEX('Spell Tables'!$T$242:$T$271,MATCH(O322,('Spell Tables'!$R$242:$R$271),0)),IF(AND($Q$11="wizard",$P$312&gt;=O322),INDEX('Spell Tables'!$T$242:$T$271,MATCH(O322,('Spell Tables'!$R$242:$R$271),0))," "))</f>
        <v>Fog Cloud</v>
      </c>
      <c r="R322" s="33" t="str">
        <f ca="1">IF($Q$309&gt;=O322,INDEX('Spell Tables'!$X$242:$X$275,MATCH(O322,('Spell Tables'!$V$242:$V$275),0)),IF(AND($Q$11="wizard",$Q$312&gt;=O322),INDEX('Spell Tables'!$X$242:$X$275,MATCH(O322,('Spell Tables'!$V$242:$V$275),0))," "))</f>
        <v xml:space="preserve"> </v>
      </c>
      <c r="S322" s="33" t="str">
        <f ca="1">IF($R$309&gt;=O322,INDEX('Spell Tables'!$AB$242:$AB$270,MATCH(O322,('Spell Tables'!$Z$242:$Z$270),0)),IF(AND($Q$11="wizard",$R$312&gt;=O322),INDEX('Spell Tables'!$AB$242:$AB$270,MATCH(O322,('Spell Tables'!$Z$242:$Z$270),0))," "))</f>
        <v>Gaseous Form</v>
      </c>
      <c r="T322" s="72" t="str">
        <f ca="1">IF($S$309&gt;=O322,INDEX('Spell Tables'!$AF$242:$AF$264,MATCH(O322,('Spell Tables'!$AD$242:$AD$264),0)),IF(AND($Q$11="wizard",$S$312&gt;=O322),INDEX('Spell Tables'!$AF$242:$AF$264,MATCH(O322,('Spell Tables'!$AD$242:$AD$264),0))," "))</f>
        <v xml:space="preserve"> </v>
      </c>
    </row>
    <row r="323" spans="1:20" x14ac:dyDescent="0.3">
      <c r="B323" s="79"/>
      <c r="C323" s="33"/>
      <c r="D323" s="33"/>
      <c r="E323" s="33"/>
      <c r="F323" s="33"/>
      <c r="G323" s="33"/>
      <c r="H323" s="33"/>
      <c r="I323" s="33"/>
      <c r="J323" s="33"/>
      <c r="K323" s="33"/>
      <c r="L323" s="33"/>
      <c r="M323" s="33"/>
      <c r="N323" s="33"/>
      <c r="O323" s="34">
        <v>9</v>
      </c>
      <c r="P323" s="33" t="str">
        <f t="shared" ca="1" si="67"/>
        <v xml:space="preserve"> </v>
      </c>
      <c r="Q323" s="33" t="str">
        <f ca="1">IF(AND($O$11="wizard",$P$309&gt;=O323),INDEX('Spell Tables'!$T$242:$T$271,MATCH(O323,('Spell Tables'!$R$242:$R$271),0)),IF(AND($Q$11="wizard",$P$312&gt;=O323),INDEX('Spell Tables'!$T$242:$T$271,MATCH(O323,('Spell Tables'!$R$242:$R$271),0))," "))</f>
        <v>Alarm</v>
      </c>
      <c r="R323" s="33" t="str">
        <f ca="1">IF($Q$309&gt;=O323,INDEX('Spell Tables'!$X$242:$X$275,MATCH(O323,('Spell Tables'!$V$242:$V$275),0)),IF(AND($Q$11="wizard",$Q$312&gt;=O323),INDEX('Spell Tables'!$X$242:$X$275,MATCH(O323,('Spell Tables'!$V$242:$V$275),0))," "))</f>
        <v xml:space="preserve"> </v>
      </c>
      <c r="S323" s="33" t="str">
        <f ca="1">IF($R$309&gt;=O323,INDEX('Spell Tables'!$AB$242:$AB$270,MATCH(O323,('Spell Tables'!$Z$242:$Z$270),0)),IF(AND($Q$11="wizard",$R$312&gt;=O323),INDEX('Spell Tables'!$AB$242:$AB$270,MATCH(O323,('Spell Tables'!$Z$242:$Z$270),0))," "))</f>
        <v>Tongues</v>
      </c>
      <c r="T323" s="72" t="str">
        <f ca="1">IF($S$309&gt;=O323,INDEX('Spell Tables'!$AF$242:$AF$264,MATCH(O323,('Spell Tables'!$AD$242:$AD$264),0)),IF(AND($Q$11="wizard",$S$312&gt;=O323),INDEX('Spell Tables'!$AF$242:$AF$264,MATCH(O323,('Spell Tables'!$AD$242:$AD$264),0))," "))</f>
        <v xml:space="preserve"> </v>
      </c>
    </row>
    <row r="324" spans="1:20" ht="19.5" thickBot="1" x14ac:dyDescent="0.35">
      <c r="B324" s="80"/>
      <c r="C324" s="38"/>
      <c r="D324" s="38"/>
      <c r="E324" s="38"/>
      <c r="F324" s="38"/>
      <c r="G324" s="38"/>
      <c r="H324" s="38"/>
      <c r="I324" s="38"/>
      <c r="J324" s="38"/>
      <c r="K324" s="38"/>
      <c r="L324" s="38"/>
      <c r="M324" s="38"/>
      <c r="N324" s="38"/>
      <c r="O324" s="82">
        <v>10</v>
      </c>
      <c r="P324" s="38" t="str">
        <f t="shared" ca="1" si="67"/>
        <v xml:space="preserve"> </v>
      </c>
      <c r="Q324" s="38" t="str">
        <f ca="1">IF(AND($O$11="wizard",$P$309&gt;=O324),INDEX('Spell Tables'!$T$242:$T$271,MATCH(O324,('Spell Tables'!$R$242:$R$271),0)),IF(AND($Q$11="wizard",$P$312&gt;=O324),INDEX('Spell Tables'!$T$242:$T$271,MATCH(O324,('Spell Tables'!$R$242:$R$271),0))," "))</f>
        <v>Disguise Self</v>
      </c>
      <c r="R324" s="38" t="str">
        <f ca="1">IF($Q$309&gt;=O324,INDEX('Spell Tables'!$X$242:$X$275,MATCH(O324,('Spell Tables'!$V$242:$V$275),0)),IF(AND($Q$11="wizard",$Q$312&gt;=O324),INDEX('Spell Tables'!$X$242:$X$275,MATCH(O324,('Spell Tables'!$V$242:$V$275),0))," "))</f>
        <v xml:space="preserve"> </v>
      </c>
      <c r="S324" s="38" t="str">
        <f ca="1">IF($R$309&gt;=O324,INDEX('Spell Tables'!$AB$242:$AB$270,MATCH(O324,('Spell Tables'!$Z$242:$Z$270),0)),IF(AND($Q$11="wizard",$R$312&gt;=O324),INDEX('Spell Tables'!$AB$242:$AB$270,MATCH(O324,('Spell Tables'!$Z$242:$Z$270),0))," "))</f>
        <v>Stinking Cloud</v>
      </c>
      <c r="T324" s="73" t="str">
        <f ca="1">IF($S$309&gt;=O324,INDEX('Spell Tables'!$AF$242:$AF$264,MATCH(O324,('Spell Tables'!$AD$242:$AD$264),0)),IF(AND($Q$11="wizard",$S$312&gt;=O324),INDEX('Spell Tables'!$AF$242:$AF$264,MATCH(O324,('Spell Tables'!$AD$242:$AD$264),0))," "))</f>
        <v xml:space="preserve"> </v>
      </c>
    </row>
    <row r="325" spans="1:20" ht="19.5" thickBot="1" x14ac:dyDescent="0.35">
      <c r="K325" s="100"/>
      <c r="L325" s="60"/>
      <c r="O325" s="99"/>
    </row>
    <row r="326" spans="1:20" ht="19.5" hidden="1" thickBot="1" x14ac:dyDescent="0.35">
      <c r="K326" s="100"/>
      <c r="L326" s="60"/>
      <c r="O326" s="65" t="s">
        <v>1169</v>
      </c>
      <c r="P326" s="65" t="s">
        <v>1170</v>
      </c>
      <c r="Q326" s="65" t="s">
        <v>1171</v>
      </c>
      <c r="R326" s="65" t="s">
        <v>677</v>
      </c>
      <c r="S326" s="101" t="s">
        <v>1172</v>
      </c>
    </row>
    <row r="327" spans="1:20" ht="19.5" hidden="1" thickBot="1" x14ac:dyDescent="0.35">
      <c r="K327" s="100"/>
      <c r="L327" s="60"/>
      <c r="O327" s="60" t="str">
        <f ca="1">IF(AND(O11="wizard",O12&gt;=15),"xxxx",IF(AND(O11="wizard",O12&gt;=11),"x",IF(AND($O$11="wizard",$O$12&gt;9),"xx",IF(AND(O11="wizard",O12=9),"xxx"," "))))</f>
        <v>x</v>
      </c>
      <c r="P327" s="60" t="str">
        <f ca="1">IF(AND(O11="wizard",O12&gt;=17),"xxxx",IF(AND(O11="wizard",O12&gt;=13),"x",IF(AND($O$11="wizard",$O$12&gt;11),"xx",IF(AND(O11="wizard",O12=11),"xxx"," "))))</f>
        <v>xx</v>
      </c>
      <c r="Q327" s="60" t="str">
        <f ca="1">IF(AND(O11="wizard",O12&gt;=19),"xxxx",IF(AND(O11="wizard",O12&gt;=15),"x",IF(AND($O$11="wizard",$O$12&gt;13),"xx",IF(AND(O11="wizard",O12=13),"xxx"," "))))</f>
        <v xml:space="preserve"> </v>
      </c>
      <c r="R327" s="60" t="str">
        <f ca="1">IF(AND(O11="wizard",O12&gt;=17),"x",IF(AND($O$11="wizard",$O$12&gt;15),"xx",IF(AND(O11="wizard",O12=15),"xxx"," ")))</f>
        <v xml:space="preserve"> </v>
      </c>
      <c r="S327" s="102" t="str">
        <f ca="1">IF(AND($O$11="wizard",$O$12&gt;17),"xx",IF(AND(O11="wizard",O12=17),"xxx"," "))</f>
        <v xml:space="preserve"> </v>
      </c>
    </row>
    <row r="328" spans="1:20" ht="19.5" hidden="1" thickBot="1" x14ac:dyDescent="0.35">
      <c r="K328" s="100"/>
      <c r="L328" s="60"/>
      <c r="O328" s="65">
        <f ca="1">IF($O327="xxxx",MAX(P208,(RANDBETWEEN(5,6))),IF(O327="x",MAX(P208,(RANDBETWEEN(3,6))),IF(O327="xx",MAX(P208,(RANDBETWEEN(2,4))),IF(O327="xxx",MAX(P208,(2)),0))))</f>
        <v>5</v>
      </c>
      <c r="P328" s="65">
        <f ca="1">IF($P327="xxxx",RANDBETWEEN(5,6),IF(P327="x",RANDBETWEEN(3,6),IF(P327="xx",RANDBETWEEN(2,4),IF(P327="xxx",2,0))))</f>
        <v>4</v>
      </c>
      <c r="Q328" s="65">
        <f ca="1">IF($Q327="xxxx",RANDBETWEEN(5,6),IF(Q327="x",RANDBETWEEN(3,6),IF(Q327="xx",RANDBETWEEN(2,4),IF(Q327="xxx",2,0))))</f>
        <v>0</v>
      </c>
      <c r="R328" s="65">
        <f ca="1">IF(OR(R327="x",R327="xx"),RANDBETWEEN(2,4),IF(R327="xxx",2,0))</f>
        <v>0</v>
      </c>
      <c r="S328" s="101">
        <f ca="1">IF(S327="xx",RANDBETWEEN(2,4),IF(S327="xxx",2,0))</f>
        <v>0</v>
      </c>
    </row>
    <row r="329" spans="1:20" ht="19.5" hidden="1" thickBot="1" x14ac:dyDescent="0.35">
      <c r="K329" s="100"/>
      <c r="L329" s="60"/>
      <c r="O329" s="60" t="s">
        <v>1169</v>
      </c>
      <c r="P329" s="60" t="s">
        <v>1170</v>
      </c>
      <c r="Q329" s="60" t="s">
        <v>1171</v>
      </c>
      <c r="R329" s="60" t="s">
        <v>677</v>
      </c>
      <c r="S329" s="102" t="s">
        <v>1172</v>
      </c>
    </row>
    <row r="330" spans="1:20" ht="19.5" hidden="1" thickBot="1" x14ac:dyDescent="0.35">
      <c r="K330" s="100"/>
      <c r="L330" s="60"/>
      <c r="O330" s="65" t="str">
        <f ca="1">IF(AND(Q11="wizard",Q12&gt;=15),"xxxx",IF(AND(Q11="wizard",Q12&gt;=11),"x",IF(AND($Q$11="wizard",$Q$12&gt;9),"xx",IF(AND(Q11="wizard",Q12=9),"xxx"," "))))</f>
        <v xml:space="preserve"> </v>
      </c>
      <c r="P330" s="65" t="str">
        <f ca="1">IF(AND(Q11="wizard",Q12&gt;=17),"xxxx",IF(AND(Q11="wizard",Q12&gt;=13),"x",IF(AND($Q$11="wizard",$Q$12&gt;11),"xx",IF(AND(Q11="wizard",Q12=11),"xxx"," "))))</f>
        <v xml:space="preserve"> </v>
      </c>
      <c r="Q330" s="65" t="str">
        <f ca="1">IF(AND(Q11="wizard",Q12&gt;=19),"xxxx",IF(AND(Q11="wizard",Q12&gt;=15),"x",IF(AND($Q$11="wizard",$Q$12&gt;13),"xx",IF(AND(Q11="wizard",Q12=13),"xxx"," "))))</f>
        <v xml:space="preserve"> </v>
      </c>
      <c r="R330" s="65" t="str">
        <f ca="1">IF(AND(Q11="wizard",Q12&gt;=17),"x",IF(AND($Q$11="wizard",$Q$12&gt;15),"xx",IF(AND(Q11="wizard",Q12=15),"xxx"," ")))</f>
        <v xml:space="preserve"> </v>
      </c>
      <c r="S330" s="101" t="str">
        <f ca="1">IF(AND($Q$11="wizard",$Q$12&gt;17),"xx",IF(AND(Q11="wizard",Q12=17),"xxx"," "))</f>
        <v xml:space="preserve"> </v>
      </c>
    </row>
    <row r="331" spans="1:20" ht="19.5" hidden="1" thickBot="1" x14ac:dyDescent="0.35">
      <c r="K331" s="100"/>
      <c r="L331" s="60"/>
      <c r="O331" s="60">
        <f ca="1">IF($O330="xxxx",MAX(O275,(RANDBETWEEN(5,6))),IF(O330="x",MAX(O275,(RANDBETWEEN(3,6))),IF(O330="xx",MAX(O275,(RANDBETWEEN(2,4))),IF(O330="xxx",MAX(O275,(2)),0))))</f>
        <v>0</v>
      </c>
      <c r="P331" s="60">
        <f ca="1">IF($P330="xxxx",RANDBETWEEN(5,6),IF(P330="x",RANDBETWEEN(3,6),IF(P330="xx",RANDBETWEEN(2,4),IF(P330="xxx",2,0))))</f>
        <v>0</v>
      </c>
      <c r="Q331" s="60">
        <f ca="1">IF($Q330="xxxx",RANDBETWEEN(5,6),IF(Q330="x",RANDBETWEEN(3,6),IF(Q330="xx",RANDBETWEEN(2,4),IF(Q330="xxx",2,0))))</f>
        <v>0</v>
      </c>
      <c r="R331" s="60">
        <f ca="1">IF(OR(R330="x",R330="xx"),RANDBETWEEN(2,4),IF(R330="xxx",2,0))</f>
        <v>0</v>
      </c>
      <c r="S331" s="102">
        <f ca="1">IF(S330="xx",RANDBETWEEN(2,4),IF(S330="xxx",2,0))</f>
        <v>0</v>
      </c>
    </row>
    <row r="332" spans="1:20" ht="19.5" hidden="1" thickBot="1" x14ac:dyDescent="0.35">
      <c r="K332" s="100"/>
      <c r="L332" s="60"/>
      <c r="O332" s="65"/>
      <c r="P332" s="65"/>
      <c r="Q332" s="65"/>
      <c r="R332" s="65"/>
      <c r="S332" s="101"/>
    </row>
    <row r="333" spans="1:20" x14ac:dyDescent="0.3">
      <c r="A333" s="33"/>
      <c r="B333" s="72"/>
      <c r="K333" s="100"/>
      <c r="L333" s="60"/>
      <c r="P333" s="103" t="s">
        <v>1169</v>
      </c>
      <c r="Q333" s="103" t="s">
        <v>1170</v>
      </c>
      <c r="R333" s="103" t="s">
        <v>1171</v>
      </c>
      <c r="S333" s="103" t="s">
        <v>677</v>
      </c>
      <c r="T333" s="104" t="s">
        <v>1172</v>
      </c>
    </row>
    <row r="334" spans="1:20" x14ac:dyDescent="0.3">
      <c r="A334" s="33"/>
      <c r="B334" s="72"/>
      <c r="K334" s="100"/>
      <c r="L334" s="60"/>
      <c r="O334" s="83">
        <v>1</v>
      </c>
      <c r="P334" s="65" t="str">
        <f ca="1">IF($O$328&gt;=O315,INDEX('Spell Tables'!$AJ$242:$AJ$264,MATCH(O315,('Spell Tables'!$AH$242:$AH$264),0)),IF(AND($Q$11="wizard",$O$331&gt;=O315),INDEX('Spell Tables'!$AJ$242:$AJ$264,MATCH(O315,('Spell Tables'!$AH$242:$AH$264),0))," "))</f>
        <v>Animate Objects</v>
      </c>
      <c r="Q334" s="65" t="str">
        <f ca="1">IF($P$328&gt;=O$315,INDEX('Spell Tables'!$AN$242:$AN$260,MATCH(O$315,('Spell Tables'!$AL$242:$AL$260),0))," ")</f>
        <v>Globe of Invulnerability</v>
      </c>
      <c r="R334" s="65" t="str">
        <f ca="1">IF($Q$328&gt;=O$315,INDEX('Spell Tables'!$AR$242:$AR$256,MATCH(O$315,('Spell Tables'!$AP$242:$AP$256),0))," ")</f>
        <v xml:space="preserve"> </v>
      </c>
      <c r="S334" s="65" t="str">
        <f ca="1">IF($R$328&gt;=O$315,INDEX('Spell Tables'!$AV$242:$AV$255,MATCH(O$315,('Spell Tables'!$AT$242:$AT$255),0))," ")</f>
        <v xml:space="preserve"> </v>
      </c>
      <c r="T334" s="66" t="str">
        <f ca="1">IF($S$328&gt;=O$315,INDEX('Spell Tables'!$AZ$242:$AZ$253,MATCH(O$315,('Spell Tables'!$AX$242:$AX$253),0))," ")</f>
        <v xml:space="preserve"> </v>
      </c>
    </row>
    <row r="335" spans="1:20" x14ac:dyDescent="0.3">
      <c r="A335" s="33"/>
      <c r="B335" s="72"/>
      <c r="O335" s="84">
        <v>2</v>
      </c>
      <c r="P335" s="60" t="str">
        <f ca="1">IF($O$328&gt;=O316,INDEX('Spell Tables'!$AJ$242:$AJ$264,MATCH(O316,('Spell Tables'!$AH$242:$AH$264),0)),IF(AND($Q$11="wizard",$O$331&gt;=O316),INDEX('Spell Tables'!$AJ$242:$AJ$264,MATCH(O316,('Spell Tables'!$AH$242:$AH$264),0))," "))</f>
        <v>Rary's Telepathic Bond</v>
      </c>
      <c r="Q335" s="60" t="str">
        <f ca="1">IF($P$328&gt;=O$316,INDEX('Spell Tables'!$AN$242:$AN$260,MATCH(O$316,('Spell Tables'!$AL$242:$AL$260),0))," ")</f>
        <v>Flesh to Stone</v>
      </c>
      <c r="R335" s="60" t="str">
        <f ca="1">IF($Q$328&gt;=O$316,INDEX('Spell Tables'!$AR$242:$AR$256,MATCH(O$316,('Spell Tables'!$AP$242:$AP$256),0))," ")</f>
        <v xml:space="preserve"> </v>
      </c>
      <c r="S335" s="60" t="str">
        <f ca="1">IF($R$328&gt;=O$316,INDEX('Spell Tables'!$AV$242:$AV$255,MATCH(O$316,('Spell Tables'!$AT$242:$AT$255),0))," ")</f>
        <v xml:space="preserve"> </v>
      </c>
      <c r="T335" s="63" t="str">
        <f ca="1">IF($S$328&gt;=O$316,INDEX('Spell Tables'!$AZ$242:$AZ$253,MATCH(O$316,('Spell Tables'!$AX$242:$AX$253),0))," ")</f>
        <v xml:space="preserve"> </v>
      </c>
    </row>
    <row r="336" spans="1:20" x14ac:dyDescent="0.3">
      <c r="A336" s="33"/>
      <c r="B336" s="72"/>
      <c r="O336" s="83">
        <v>3</v>
      </c>
      <c r="P336" s="65" t="str">
        <f ca="1">IF($O$328&gt;=O317,INDEX('Spell Tables'!$AJ$242:$AJ$264,MATCH(O317,('Spell Tables'!$AH$242:$AH$264),0)),IF(AND($Q$11="wizard",$O$331&gt;=O317),INDEX('Spell Tables'!$AJ$242:$AJ$264,MATCH(O317,('Spell Tables'!$AH$242:$AH$264),0))," "))</f>
        <v>Modify Memory</v>
      </c>
      <c r="Q336" s="65" t="str">
        <f ca="1">IF($P$328&gt;=O$317,INDEX('Spell Tables'!$AN$242:$AN$260,MATCH(O$317,('Spell Tables'!$AL$242:$AL$260),0))," ")</f>
        <v>Wall of Ice</v>
      </c>
      <c r="R336" s="65" t="str">
        <f ca="1">IF($Q$328&gt;=O$317,INDEX('Spell Tables'!$AR$242:$AR$256,MATCH(O$317,('Spell Tables'!$AP$242:$AP$256),0))," ")</f>
        <v xml:space="preserve"> </v>
      </c>
      <c r="S336" s="65" t="str">
        <f ca="1">IF($R$328&gt;=O$317,INDEX('Spell Tables'!$AV$242:$AV$255,MATCH(O$317,('Spell Tables'!$AT$242:$AT$255),0))," ")</f>
        <v xml:space="preserve"> </v>
      </c>
      <c r="T336" s="66" t="str">
        <f ca="1">IF($S$328&gt;=O$317,INDEX('Spell Tables'!$AZ$242:$AZ$253,MATCH(O$317,('Spell Tables'!$AX$242:$AX$253),0))," ")</f>
        <v xml:space="preserve"> </v>
      </c>
    </row>
    <row r="337" spans="1:20" x14ac:dyDescent="0.3">
      <c r="A337" s="33"/>
      <c r="B337" s="72"/>
      <c r="O337" s="84">
        <v>4</v>
      </c>
      <c r="P337" s="60" t="str">
        <f ca="1">IF($O$328&gt;=O318,INDEX('Spell Tables'!$AJ$242:$AJ$264,MATCH(O318,('Spell Tables'!$AH$242:$AH$264),0)),IF(AND($Q$11="wizard",$O$331&gt;=O318),INDEX('Spell Tables'!$AJ$242:$AJ$264,MATCH(O318,('Spell Tables'!$AH$242:$AH$264),0))," "))</f>
        <v>Dream</v>
      </c>
      <c r="Q337" s="60" t="str">
        <f ca="1">IF($P$328&gt;=O$318,INDEX('Spell Tables'!$AN$242:$AN$260,MATCH(O$318,('Spell Tables'!$AL$242:$AL$260),0))," ")</f>
        <v>Guards and Wards</v>
      </c>
      <c r="R337" s="60" t="str">
        <f ca="1">IF($Q$328&gt;=O$318,INDEX('Spell Tables'!$AR$242:$AR$256,MATCH(O$318,('Spell Tables'!$AP$242:$AP$256),0))," ")</f>
        <v xml:space="preserve"> </v>
      </c>
      <c r="S337" s="60" t="str">
        <f ca="1">IF($R$328&gt;=O$318,INDEX('Spell Tables'!$AV$242:$AV$255,MATCH(O$318,('Spell Tables'!$AT$242:$AT$255),0))," ")</f>
        <v xml:space="preserve"> </v>
      </c>
      <c r="T337" s="63" t="str">
        <f ca="1">IF($S$328&gt;=O$318,INDEX('Spell Tables'!$AZ$242:$AZ$253,MATCH(O$318,('Spell Tables'!$AX$242:$AX$253),0))," ")</f>
        <v xml:space="preserve"> </v>
      </c>
    </row>
    <row r="338" spans="1:20" x14ac:dyDescent="0.3">
      <c r="A338" s="33"/>
      <c r="B338" s="72"/>
      <c r="O338" s="83">
        <v>5</v>
      </c>
      <c r="P338" s="65" t="str">
        <f ca="1">IF($O$328&gt;=O319,INDEX('Spell Tables'!$AJ$242:$AJ$264,MATCH(O319,('Spell Tables'!$AH$242:$AH$264),0)),IF(AND($Q$11="wizard",$O$331&gt;=O319),INDEX('Spell Tables'!$AJ$242:$AJ$264,MATCH(O319,('Spell Tables'!$AH$242:$AH$264),0))," "))</f>
        <v>Telekinesis</v>
      </c>
      <c r="Q338" s="65" t="str">
        <f ca="1">IF($P$328&gt;=O$319,INDEX('Spell Tables'!$AN$242:$AN$260,MATCH(O$319,('Spell Tables'!$AL$242:$AL$260),0))," ")</f>
        <v xml:space="preserve"> </v>
      </c>
      <c r="R338" s="65" t="str">
        <f ca="1">IF($Q$328&gt;=O$319,INDEX('Spell Tables'!$AR$242:$AR$256,MATCH(O$319,('Spell Tables'!$AP$242:$AP$256),0))," ")</f>
        <v xml:space="preserve"> </v>
      </c>
      <c r="S338" s="65" t="str">
        <f ca="1">IF($R$328&gt;=O$319,INDEX('Spell Tables'!$AV$242:$AV$255,MATCH(O$319,('Spell Tables'!$AT$242:$AT$255),0))," ")</f>
        <v xml:space="preserve"> </v>
      </c>
      <c r="T338" s="66" t="str">
        <f ca="1">IF($S$328&gt;=O$319,INDEX('Spell Tables'!$AZ$242:$AZ$253,MATCH(O$319,('Spell Tables'!$AX$242:$AX$253),0))," ")</f>
        <v xml:space="preserve"> </v>
      </c>
    </row>
    <row r="339" spans="1:20" x14ac:dyDescent="0.3">
      <c r="A339" s="33"/>
      <c r="B339" s="72"/>
      <c r="K339" s="100"/>
      <c r="L339" s="60"/>
      <c r="O339" s="84">
        <v>6</v>
      </c>
      <c r="P339" s="60" t="str">
        <f ca="1">IF($O$328&gt;=O320,INDEX('Spell Tables'!$AJ$242:$AJ$264,MATCH(O320,('Spell Tables'!$AH$242:$AH$264),0)),IF(AND($Q$11="wizard",$O$331&gt;=O320),INDEX('Spell Tables'!$AJ$242:$AJ$264,MATCH(O320,('Spell Tables'!$AH$242:$AH$264),0))," "))</f>
        <v xml:space="preserve"> </v>
      </c>
      <c r="Q339" s="60" t="str">
        <f ca="1">IF($P$328&gt;=O$320,INDEX('Spell Tables'!$AN$242:$AN$260,MATCH(O$320,('Spell Tables'!$AL$242:$AL$260),0))," ")</f>
        <v xml:space="preserve"> </v>
      </c>
      <c r="R339" s="60" t="str">
        <f ca="1">IF($Q$328&gt;=O$320,INDEX('Spell Tables'!$AR$242:$AR$256,MATCH(O$320,('Spell Tables'!$AP$242:$AP$256),0))," ")</f>
        <v xml:space="preserve"> </v>
      </c>
      <c r="S339" s="60" t="str">
        <f ca="1">IF($R$328&gt;=O$320,INDEX('Spell Tables'!$AV$242:$AV$255,MATCH(O$320,('Spell Tables'!$AT$242:$AT$255),0))," ")</f>
        <v xml:space="preserve"> </v>
      </c>
      <c r="T339" s="63" t="str">
        <f ca="1">IF($S$328&gt;=O$320,INDEX('Spell Tables'!$AZ$242:$AZ$253,MATCH(O$320,('Spell Tables'!$AX$242:$AX$253),0))," ")</f>
        <v xml:space="preserve"> </v>
      </c>
    </row>
    <row r="340" spans="1:20" x14ac:dyDescent="0.3">
      <c r="A340" s="33"/>
      <c r="B340" s="72"/>
      <c r="K340" s="100"/>
      <c r="L340" s="60"/>
      <c r="O340" s="83">
        <v>7</v>
      </c>
      <c r="P340" s="65" t="str">
        <f ca="1">IF($O$328&gt;=O321,INDEX('Spell Tables'!$AJ$242:$AJ$264,MATCH(O321,('Spell Tables'!$AH$242:$AH$264),0)),IF(AND($Q$11="wizard",$O$331&gt;=O321),INDEX('Spell Tables'!$AJ$242:$AJ$264,MATCH(O321,('Spell Tables'!$AH$242:$AH$264),0))," "))</f>
        <v xml:space="preserve"> </v>
      </c>
      <c r="Q340" s="65" t="str">
        <f ca="1">IF($P$328&gt;=O$321,INDEX('Spell Tables'!$AN$242:$AN$260,MATCH(O$321,('Spell Tables'!$AL$242:$AL$260),0))," ")</f>
        <v xml:space="preserve"> </v>
      </c>
      <c r="R340" s="65" t="str">
        <f ca="1">IF($Q$328&gt;=O$321,INDEX('Spell Tables'!$AR$242:$AR$256,MATCH(O$321,('Spell Tables'!$AP$242:$AP$256),0))," ")</f>
        <v xml:space="preserve"> </v>
      </c>
      <c r="S340" s="65" t="str">
        <f ca="1">IF($R$328&gt;=O$321,INDEX('Spell Tables'!$AV$242:$AV$255,MATCH(O$321,('Spell Tables'!$AT$242:$AT$255),0))," ")</f>
        <v xml:space="preserve"> </v>
      </c>
      <c r="T340" s="66" t="str">
        <f ca="1">IF($S$328&gt;=O$321,INDEX('Spell Tables'!$AZ$242:$AZ$253,MATCH(O$321,('Spell Tables'!$AX$242:$AX$253),0))," ")</f>
        <v xml:space="preserve"> </v>
      </c>
    </row>
    <row r="341" spans="1:20" x14ac:dyDescent="0.3">
      <c r="A341" s="33"/>
      <c r="B341" s="72"/>
      <c r="K341" s="100"/>
      <c r="L341" s="60"/>
      <c r="O341" s="84">
        <v>8</v>
      </c>
      <c r="P341" s="60" t="str">
        <f ca="1">IF($O$328&gt;=O322,INDEX('Spell Tables'!$AJ$242:$AJ$264,MATCH(O322,('Spell Tables'!$AH$242:$AH$264),0)),IF(AND($Q$11="wizard",$O$331&gt;=O322),INDEX('Spell Tables'!$AJ$242:$AJ$264,MATCH(O322,('Spell Tables'!$AH$242:$AH$264),0))," "))</f>
        <v xml:space="preserve"> </v>
      </c>
      <c r="Q341" s="60" t="str">
        <f ca="1">IF($P$328&gt;=O$322,INDEX('Spell Tables'!$AN$242:$AN$260,MATCH(O$322,('Spell Tables'!$AL$242:$AL$260),0))," ")</f>
        <v xml:space="preserve"> </v>
      </c>
      <c r="R341" s="60" t="str">
        <f ca="1">IF($Q$328&gt;=O$322,INDEX('Spell Tables'!$AR$242:$AR$256,MATCH(O$322,('Spell Tables'!$AP$242:$AP$256),0))," ")</f>
        <v xml:space="preserve"> </v>
      </c>
      <c r="S341" s="60" t="str">
        <f ca="1">IF($R$328&gt;=O$322,INDEX('Spell Tables'!$AV$242:$AV$255,MATCH(O$322,('Spell Tables'!$AT$242:$AT$255),0))," ")</f>
        <v xml:space="preserve"> </v>
      </c>
      <c r="T341" s="63" t="str">
        <f ca="1">IF($S$328&gt;=O$322,INDEX('Spell Tables'!$AZ$242:$AZ$253,MATCH(O$322,('Spell Tables'!$AX$242:$AX$253),0))," ")</f>
        <v xml:space="preserve"> </v>
      </c>
    </row>
    <row r="342" spans="1:20" x14ac:dyDescent="0.3">
      <c r="A342" s="33"/>
      <c r="B342" s="72"/>
      <c r="O342" s="83">
        <v>9</v>
      </c>
      <c r="P342" s="65" t="str">
        <f ca="1">IF($O$328&gt;=O323,INDEX('Spell Tables'!$AJ$242:$AJ$264,MATCH(O323,('Spell Tables'!$AH$242:$AH$264),0)),IF(AND($Q$11="wizard",$O$331&gt;=O323),INDEX('Spell Tables'!$AJ$242:$AJ$264,MATCH(O323,('Spell Tables'!$AH$242:$AH$264),0))," "))</f>
        <v xml:space="preserve"> </v>
      </c>
      <c r="Q342" s="65" t="str">
        <f ca="1">IF($P$328&gt;=O$323,INDEX('Spell Tables'!$AN$242:$AN$260,MATCH(O$323,('Spell Tables'!$AL$242:$AL$260),0))," ")</f>
        <v xml:space="preserve"> </v>
      </c>
      <c r="R342" s="65" t="str">
        <f ca="1">IF($Q$328&gt;=O$323,INDEX('Spell Tables'!$AR$242:$AR$256,MATCH(O$323,('Spell Tables'!$AP$242:$AP$256),0))," ")</f>
        <v xml:space="preserve"> </v>
      </c>
      <c r="S342" s="65" t="str">
        <f ca="1">IF($R$328&gt;=O$323,INDEX('Spell Tables'!$AV$242:$AV$255,MATCH(O$323,('Spell Tables'!$AT$242:$AT$255),0))," ")</f>
        <v xml:space="preserve"> </v>
      </c>
      <c r="T342" s="66" t="str">
        <f ca="1">IF($S$328&gt;=O$323,INDEX('Spell Tables'!$AZ$242:$AZ$253,MATCH(O$323,('Spell Tables'!$AX$242:$AX$253),0))," ")</f>
        <v xml:space="preserve"> </v>
      </c>
    </row>
    <row r="343" spans="1:20" ht="19.5" thickBot="1" x14ac:dyDescent="0.35">
      <c r="A343" s="33"/>
      <c r="B343" s="72"/>
      <c r="K343" s="31"/>
      <c r="O343" s="85">
        <v>10</v>
      </c>
      <c r="P343" s="67" t="str">
        <f ca="1">IF($O$328&gt;=O324,INDEX('Spell Tables'!$AJ$242:$AJ$264,MATCH(O324,('Spell Tables'!$AH$242:$AH$264),0)),IF(AND($Q$11="wizard",$O$331&gt;=O324),INDEX('Spell Tables'!$AJ$242:$AJ$264,MATCH(O324,('Spell Tables'!$AH$242:$AH$264),0))," "))</f>
        <v xml:space="preserve"> </v>
      </c>
      <c r="Q343" s="67" t="str">
        <f ca="1">IF($P$328&gt;=O$324,INDEX('Spell Tables'!$AN$242:$AN$260,MATCH(O$324,('Spell Tables'!$AL$242:$AL$260),0))," ")</f>
        <v xml:space="preserve"> </v>
      </c>
      <c r="R343" s="67" t="str">
        <f ca="1">IF($Q$328&gt;=O$324,INDEX('Spell Tables'!$AR$242:$AR$256,MATCH(O$324,('Spell Tables'!$AP$242:$AP$256),0))," ")</f>
        <v xml:space="preserve"> </v>
      </c>
      <c r="S343" s="67" t="str">
        <f ca="1">IF($R$328&gt;=O$324,INDEX('Spell Tables'!$AV$242:$AV$255,MATCH(O$324,('Spell Tables'!$AT$242:$AT$255),0))," ")</f>
        <v xml:space="preserve"> </v>
      </c>
      <c r="T343" s="68" t="str">
        <f ca="1">IF($S$328&gt;=O$324,INDEX('Spell Tables'!$AZ$242:$AZ$253,MATCH(O$324,('Spell Tables'!$AX$242:$AX$253),0))," ")</f>
        <v xml:space="preserve"> </v>
      </c>
    </row>
  </sheetData>
  <sheetProtection sheet="1" objects="1" scenarios="1"/>
  <hyperlinks>
    <hyperlink ref="A1" location="'Character Overview'!A1" display="Back to Overview" xr:uid="{24E669EE-7897-4EBA-875B-337F3E0166C1}"/>
  </hyperlinks>
  <pageMargins left="0.25" right="0.25" top="0.75" bottom="0.75" header="0.3" footer="0.3"/>
  <pageSetup scale="34" orientation="landscape" horizontalDpi="4294967293" r:id="rId1"/>
  <drawing r:id="rId2"/>
  <tableParts count="56">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 r:id="rId50"/>
    <tablePart r:id="rId51"/>
    <tablePart r:id="rId52"/>
    <tablePart r:id="rId53"/>
    <tablePart r:id="rId54"/>
    <tablePart r:id="rId55"/>
    <tablePart r:id="rId56"/>
    <tablePart r:id="rId57"/>
    <tablePart r:id="rId58"/>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0B91F3-270F-45EE-B217-22B599DB377E}">
  <sheetPr codeName="Аркуш9">
    <pageSetUpPr fitToPage="1"/>
  </sheetPr>
  <dimension ref="A1:CJ343"/>
  <sheetViews>
    <sheetView showGridLines="0" showRowColHeaders="0" zoomScale="54" zoomScaleNormal="54" workbookViewId="0"/>
  </sheetViews>
  <sheetFormatPr defaultColWidth="8.85546875" defaultRowHeight="18.75" x14ac:dyDescent="0.3"/>
  <cols>
    <col min="1" max="1" width="23.140625" style="29" customWidth="1"/>
    <col min="2" max="2" width="62.7109375" style="29" customWidth="1"/>
    <col min="3" max="3" width="13.7109375" style="29" hidden="1" customWidth="1"/>
    <col min="4" max="5" width="3.85546875" style="29" hidden="1" customWidth="1"/>
    <col min="6" max="8" width="5" style="29" hidden="1" customWidth="1"/>
    <col min="9" max="9" width="11.7109375" style="29" hidden="1" customWidth="1"/>
    <col min="10" max="10" width="2.28515625" style="29" hidden="1" customWidth="1"/>
    <col min="11" max="11" width="14.7109375" style="29" hidden="1" customWidth="1"/>
    <col min="12" max="12" width="13.28515625" style="29" hidden="1" customWidth="1"/>
    <col min="13" max="13" width="7.28515625" style="29" hidden="1" customWidth="1"/>
    <col min="14" max="14" width="2.140625" style="29" hidden="1" customWidth="1"/>
    <col min="15" max="19" width="50.7109375" style="29" customWidth="1"/>
    <col min="20" max="20" width="34" style="29" customWidth="1"/>
    <col min="21" max="21" width="34.28515625" style="29" customWidth="1"/>
    <col min="22" max="22" width="34.140625" style="29" customWidth="1"/>
    <col min="23" max="23" width="29.85546875" style="29" customWidth="1"/>
    <col min="24" max="24" width="18.5703125" style="29" customWidth="1"/>
    <col min="25" max="25" width="34.28515625" style="29" bestFit="1" customWidth="1"/>
    <col min="26" max="26" width="32.7109375" style="29" customWidth="1"/>
    <col min="27" max="27" width="9.7109375" style="29" bestFit="1" customWidth="1"/>
    <col min="28" max="28" width="12.140625" style="29" bestFit="1" customWidth="1"/>
    <col min="29" max="29" width="8.85546875" style="29"/>
    <col min="30" max="30" width="0" style="29" hidden="1" customWidth="1"/>
    <col min="31" max="31" width="10.28515625" style="29" hidden="1" customWidth="1"/>
    <col min="32" max="32" width="23.5703125" style="29" hidden="1" customWidth="1"/>
    <col min="33" max="33" width="8.85546875" style="29" hidden="1" customWidth="1"/>
    <col min="34" max="34" width="17.85546875" style="29" hidden="1" customWidth="1"/>
    <col min="35" max="35" width="3.5703125" style="29" hidden="1" customWidth="1"/>
    <col min="36" max="36" width="21.85546875" style="29" hidden="1" customWidth="1"/>
    <col min="37" max="37" width="14.140625" style="29" hidden="1" customWidth="1"/>
    <col min="38" max="38" width="21.85546875" style="29" hidden="1" customWidth="1"/>
    <col min="39" max="39" width="5.7109375" style="29" hidden="1" customWidth="1"/>
    <col min="40" max="40" width="27.7109375" style="29" hidden="1" customWidth="1"/>
    <col min="41" max="41" width="10.7109375" style="29" hidden="1" customWidth="1"/>
    <col min="42" max="42" width="13.28515625" style="29" hidden="1" customWidth="1"/>
    <col min="43" max="43" width="13" style="29" hidden="1" customWidth="1"/>
    <col min="44" max="44" width="8.85546875" style="29" hidden="1" customWidth="1"/>
    <col min="45" max="45" width="11.7109375" style="29" hidden="1" customWidth="1"/>
    <col min="46" max="47" width="8.85546875" style="29" hidden="1" customWidth="1"/>
    <col min="48" max="49" width="15.28515625" style="29" hidden="1" customWidth="1"/>
    <col min="50" max="50" width="14.140625" style="29" hidden="1" customWidth="1"/>
    <col min="51" max="51" width="9.85546875" style="29" hidden="1" customWidth="1"/>
    <col min="52" max="52" width="12.140625" style="29" hidden="1" customWidth="1"/>
    <col min="53" max="53" width="15.28515625" style="29" hidden="1" customWidth="1"/>
    <col min="54" max="54" width="12.140625" style="29" hidden="1" customWidth="1"/>
    <col min="55" max="55" width="9" style="29" hidden="1" customWidth="1"/>
    <col min="56" max="57" width="10.42578125" style="29" hidden="1" customWidth="1"/>
    <col min="58" max="58" width="9.7109375" style="29" hidden="1" customWidth="1"/>
    <col min="59" max="59" width="10.42578125" style="29" hidden="1" customWidth="1"/>
    <col min="60" max="60" width="7.140625" style="29" hidden="1" customWidth="1"/>
    <col min="61" max="61" width="10.42578125" style="29" hidden="1" customWidth="1"/>
    <col min="62" max="62" width="11.7109375" style="29" hidden="1" customWidth="1"/>
    <col min="63" max="63" width="14.140625" style="29" hidden="1" customWidth="1"/>
    <col min="64" max="64" width="8.85546875" style="29" hidden="1" customWidth="1"/>
    <col min="65" max="65" width="15.7109375" style="29" hidden="1" customWidth="1"/>
    <col min="66" max="66" width="10" style="29" hidden="1" customWidth="1"/>
    <col min="67" max="67" width="13.42578125" style="29" hidden="1" customWidth="1"/>
    <col min="68" max="68" width="15.28515625" style="29" hidden="1" customWidth="1"/>
    <col min="69" max="69" width="15" style="29" hidden="1" customWidth="1"/>
    <col min="70" max="70" width="7.28515625" style="29" hidden="1" customWidth="1"/>
    <col min="71" max="71" width="17.85546875" style="29" hidden="1" customWidth="1"/>
    <col min="72" max="72" width="14.140625" style="29" hidden="1" customWidth="1"/>
    <col min="73" max="73" width="8.28515625" style="29" hidden="1" customWidth="1"/>
    <col min="74" max="74" width="15.28515625" style="29" hidden="1" customWidth="1"/>
    <col min="75" max="79" width="8.85546875" style="29" hidden="1" customWidth="1"/>
    <col min="80" max="80" width="21.140625" style="29" hidden="1" customWidth="1"/>
    <col min="81" max="81" width="12" style="29" hidden="1" customWidth="1"/>
    <col min="82" max="82" width="15.28515625" style="29" hidden="1" customWidth="1"/>
    <col min="83" max="88" width="8.85546875" style="29" hidden="1" customWidth="1"/>
    <col min="89" max="115" width="8.85546875" style="29" customWidth="1"/>
    <col min="116" max="16384" width="8.85546875" style="29"/>
  </cols>
  <sheetData>
    <row r="1" spans="1:83" ht="26.25" thickBot="1" x14ac:dyDescent="0.4">
      <c r="A1" s="153" t="s">
        <v>2755</v>
      </c>
      <c r="B1" s="30"/>
      <c r="C1" s="99"/>
      <c r="D1" s="99"/>
      <c r="E1" s="99"/>
      <c r="F1" s="99"/>
      <c r="G1" s="99"/>
      <c r="H1" s="99"/>
      <c r="I1" s="99"/>
      <c r="J1" s="99"/>
      <c r="K1" s="99"/>
      <c r="L1" s="99"/>
      <c r="M1" s="99"/>
      <c r="N1" s="99"/>
      <c r="O1" s="125" t="s">
        <v>0</v>
      </c>
      <c r="P1" s="126" t="str">
        <f ca="1">IF(AND(Q2="dwarf",O2="male"),VLOOKUP(RANDBETWEEN(1,30),Table4[],2),IF(AND(Q2="dwarf",O2="female"),VLOOKUP(RANDBETWEEN(1,23),Table13[],2),IF(AND(Q2="elf",O2="male"),VLOOKUP(RANDBETWEEN(1,38),Table6[],2),IF(AND(Q2="elf",O2="female"),VLOOKUP(RANDBETWEEN(1,36),Table15[],2),IF(AND(Q2="halfling",O2="male"),VLOOKUP(RANDBETWEEN(1,17),Table10[],2),IF(AND(Q2="halfling",O2="female"),VLOOKUP(RANDBETWEEN(1,18),Table16[],2),IF(AND(Q2="human",O2="male"),VLOOKUP(RANDBETWEEN(1,70),Table17[],2),IF(AND(Q2="human",O2="female"),VLOOKUP(RANDBETWEEN(1,67),Table19[],2),IF(AND(Q2="dragonborn",O2="male"),VLOOKUP(RANDBETWEEN(1,17),Table21[],2),IF(AND(Q2="dragonborn",O2="female"),VLOOKUP(RANDBETWEEN(1,17),Table22[],2),IF(AND(Q2="gnome",O2="male"),VLOOKUP(RANDBETWEEN(1,23),Table28[],2),IF(AND(Q2="gnome",O2="female"),VLOOKUP(RANDBETWEEN(1,22),Table29[],2),IF(AND(Q2="half-elf",O2="male"),VLOOKUP(RANDBETWEEN(1,108),Table31[],2),IF(AND(Q2="half-elf",O2="female"),VLOOKUP(RANDBETWEEN(1,103),Table32[],2),IF(AND(Q2="half-orc",O2="male"),VLOOKUP(RANDBETWEEN(1,10),Table35[],2),IF(AND(Q2="half-orc",O2="female"),VLOOKUP(RANDBETWEEN(1,13),Table36[],2),IF(AND(Q2="tiefling",O2="male"),VLOOKUP(RANDBETWEEN(1,33),Table37[],2),IF(AND(Q2="tiefling",O2="female"),VLOOKUP(RANDBETWEEN(1,34),Table38[],2)," "))))))))))))))))))</f>
        <v>Heskan</v>
      </c>
      <c r="Q1" s="127" t="str">
        <f ca="1">IF(Q2="dwarf",VLOOKUP(RANDBETWEEN(1,53),Table5[],2),IF(Q2="elf",VLOOKUP(RANDBETWEEN(1,73),Table7[],2),IF(Q2="halfling",VLOOKUP(RANDBETWEEN(1,20),Table11[],2),IF(Q2="human",VLOOKUP(RANDBETWEEN(1,52),Table18[],2),IF(Q2="dragonborn",VLOOKUP(RANDBETWEEN(1,18),Table24[],2),IF(Q2="gnome",VLOOKUP(RANDBETWEEN(1,13),Table27[],2),IF(Q2="half-elf",VLOOKUP(RANDBETWEEN(1,62),Table33[],2)," ")))))))</f>
        <v>Norixius</v>
      </c>
      <c r="R1" s="30"/>
      <c r="S1" s="30"/>
      <c r="AF1" s="29" t="s">
        <v>674</v>
      </c>
      <c r="AH1" s="29" t="s">
        <v>711</v>
      </c>
      <c r="AI1" s="29">
        <f ca="1">IF(O11="non-classed",RANDBETWEEN(1,10),IF(O11="wizard",SUM(6,4*O12,-4),IF(O11="warlock",SUM(8,5*O12,-5),IF(O11="sorcerer",SUM(6,4*O12,-6),IF(O11="rogue",SUM(8,5*O12,-5),IF(O11="ranger",SUM(10,6*O12,-6),IF(O11="paladin",SUM(10,6*O12,-6),IF(O11="barbarian",SUM(12,7*O12,-7),IF(O11="bard",SUM(8,5*O12,-5),IF(O11="cleric",SUM(8,5*O12,-5),IF(O11="druid",SUM(8,5*O12,-5),IF(O11="fighter",SUM(10,6*O12,-6),IF(O11="monk",SUM(8,5*O12,-5)," ")))))))))))))</f>
        <v>22</v>
      </c>
      <c r="AJ1" s="29" t="s">
        <v>714</v>
      </c>
      <c r="AK1" s="29">
        <f ca="1">(P40*P6)</f>
        <v>3</v>
      </c>
      <c r="CB1" s="31" t="s">
        <v>670</v>
      </c>
      <c r="CE1" s="31"/>
    </row>
    <row r="2" spans="1:83" x14ac:dyDescent="0.3">
      <c r="A2" s="30"/>
      <c r="B2" s="30"/>
      <c r="C2" s="33"/>
      <c r="D2" s="33"/>
      <c r="E2" s="33"/>
      <c r="F2" s="33"/>
      <c r="G2" s="33"/>
      <c r="H2" s="33"/>
      <c r="I2" s="33"/>
      <c r="J2" s="33"/>
      <c r="K2" s="33"/>
      <c r="L2" s="33"/>
      <c r="M2" s="33"/>
      <c r="N2" s="33"/>
      <c r="O2" s="110" t="str">
        <f ca="1">VLOOKUP(RANDBETWEEN(1,2),Table14[],2)</f>
        <v>Male</v>
      </c>
      <c r="P2" s="33" t="str">
        <f ca="1">IF(Q2="dwarf",VLOOKUP(RANDBETWEEN(1,2),Table8[],2),IF(Q2="elf",VLOOKUP(RANDBETWEEN(1,3),Table9[],2),IF(Q2="halfling",VLOOKUP(RANDBETWEEN(1,2),Table12[],2),IF(Q2="Dragonborn",VLOOKUP(RANDBETWEEN(1,10),Table25[],2),IF(Q2="Gnome",VLOOKUP(RANDBETWEEN(1,2),Table30[],2)," ")))))</f>
        <v>Black (Acid)</v>
      </c>
      <c r="Q2" s="72" t="str">
        <f ca="1">VLOOKUP(RANDBETWEEN(1,9),Table2[],2)</f>
        <v>Dragonborn</v>
      </c>
      <c r="R2" s="30"/>
      <c r="S2" s="30"/>
      <c r="AE2" s="29" t="s">
        <v>676</v>
      </c>
      <c r="AF2" s="29" t="str">
        <f ca="1">IF($P$6&gt;=4,VLOOKUP(RANDBETWEEN(1,6),Table41[],2)," ")</f>
        <v xml:space="preserve"> </v>
      </c>
      <c r="AH2" s="29" t="s">
        <v>712</v>
      </c>
      <c r="AI2" s="29" t="str">
        <f ca="1">IF(Q11="wizard",4*Q12,IF(Q11="warlock",5*Q12,IF(Q11="sorcerer",4*Q12,IF(Q11="rogue",5*Q12,IF(Q11="ranger",6*Q12,IF(Q11="paladin",6*Q12,IF(Q11="barbarian",7*Q12,IF(Q11="bard",5*Q12,IF(Q11="cleric",5*Q12,IF(Q11="druid",5*Q12,IF(Q11="fighter",6*Q12,IF(Q11="monk",5*Q12," "))))))))))))</f>
        <v xml:space="preserve"> </v>
      </c>
      <c r="CB2" s="35">
        <f t="shared" ref="CB2:CB7" ca="1" si="0">_xlfn.RANK.EQ(CC2,$CC$2:$CC$7)</f>
        <v>2</v>
      </c>
      <c r="CC2" s="36">
        <f ca="1">IF(BM7&gt;0,0,RAND())</f>
        <v>0.51797292046641852</v>
      </c>
      <c r="CD2" s="29" t="s">
        <v>29</v>
      </c>
    </row>
    <row r="3" spans="1:83" ht="19.5" thickBot="1" x14ac:dyDescent="0.35">
      <c r="A3" s="30"/>
      <c r="B3" s="30"/>
      <c r="C3" s="38"/>
      <c r="D3" s="38"/>
      <c r="E3" s="38"/>
      <c r="F3" s="38"/>
      <c r="G3" s="38"/>
      <c r="H3" s="38"/>
      <c r="I3" s="38"/>
      <c r="J3" s="38"/>
      <c r="K3" s="38"/>
      <c r="L3" s="38"/>
      <c r="M3" s="38"/>
      <c r="N3" s="38"/>
      <c r="O3" s="37" t="str">
        <f ca="1">VLOOKUP(RANDBETWEEN(1,20),Table253[],2)</f>
        <v>Adult</v>
      </c>
      <c r="P3" s="38" t="str">
        <f ca="1">IF(AND(Q2="tiefling",O3="young adult"),SUM(17,RANDBETWEEN(1,23))&amp;" years old",IF(AND(Q2="tiefling",O3="adult"),SUM(40,RANDBETWEEN(1,30))&amp;" years old",IF(AND(Q2="tiefling",O3="elderly"),SUM(70,RANDBETWEEN(1,30))&amp;" years old",IF(AND(Q2="half-orc",O3="young adult"),SUM(13,RANDBETWEEN(1,32))&amp;" years old",IF(AND(Q2="half-orc",O3="adult"),SUM(45,RANDBETWEEN(1,15))&amp;" years old",IF(AND(Q2="half-orc",O3="elderly"),SUM(60,RANDBETWEEN(1,15))&amp;" years old",IF(AND(Q2="half-elf",O3="young adult"),SUM(19,RANDBETWEEN(1,30))&amp;" years old",IF(AND(Q2="half-elf",O3="adult"),SUM(50,RANDBETWEEN(1,100))&amp;" years old",IF(AND(Q2="half-elf",O3="elderly"),SUM(150,RANDBETWEEN(1,30))&amp;" years old",IF(AND(Q2="gnome",O3="young adult"),SUM(19,RANDBETWEEN(1,20))&amp;" years old",IF(AND(Q2="gnome",O3="adult"),SUM(40,RANDBETWEEN(1,160))&amp;" years old",IF(AND(Q2="gnome",O3="elderly"),SUM(200,RANDBETWEEN(1,200))&amp;" years old",IF(AND(Q2="dragonborn",O3="young adult"),SUM(14,RANDBETWEEN(1,5))&amp;" years old",IF(AND(Q2="dragonborn",O3="adult"),SUM(20,RANDBETWEEN(1,30))&amp;" years old",IF(AND(Q2="dragonborn",O3="elderly"),SUM(50,RANDBETWEEN(1,30))&amp;" years old",IF(AND(Q2="halfling",O3="young adult"),SUM(19,RANDBETWEEN(1,20))&amp;" years old",IF(AND(Q2="halfling",O3="adult"),SUM(40,RANDBETWEEN(1,110))&amp;" years old",IF(AND(Q2="halfling",O3="elderly"),SUM(150,RANDBETWEEN(1,100))&amp;" years old",IF(AND(Q2="elf",O3="young adult"),SUM(99,RANDBETWEEN(1,350))&amp;" years old",IF(AND(Q2="elf",O3="adult"),SUM(450,RANDBETWEEN(1,200))&amp;" years old",IF(AND(Q2="elf",O3="elderly"),SUM(650,RANDBETWEEN(1,100))&amp;" years old",IF(AND(Q2="dwarf",O3="young adult"),SUM(17,RANDBETWEEN(1,32))&amp;" years old",IF(AND(Q2="dwarf",O3="adult"),SUM(50,RANDBETWEEN(1,150))&amp;" years old",IF(AND(Q2="dwarf",O3="elderly"),SUM(200,RANDBETWEEN(1,150))&amp;" years old",IF(AND(Q2="human",O3="young adult"),SUM(17,RANDBETWEEN(1,12))&amp;" years old",IF(AND(Q2="human",O3="adult"),SUM(30,RANDBETWEEN(1,35))&amp;" years old",IF(AND(Q2="human",O3="elderly"),SUM(65,RANDBETWEEN(1,25))&amp;" years old"," ")))))))))))))))))))))))))))</f>
        <v>49 years old</v>
      </c>
      <c r="Q3" s="113"/>
      <c r="R3" s="30"/>
      <c r="AE3" s="29" t="s">
        <v>676</v>
      </c>
      <c r="AF3" s="29" t="str">
        <f ca="1">IF($P$6&gt;=4,VLOOKUP(RANDBETWEEN(1,6),Table41[],2)," ")</f>
        <v xml:space="preserve"> </v>
      </c>
      <c r="AH3" s="29" t="s">
        <v>713</v>
      </c>
      <c r="AI3" s="29" t="str">
        <f ca="1">IF(P2="hill",(P6)," ")</f>
        <v xml:space="preserve"> </v>
      </c>
      <c r="CB3" s="35">
        <f t="shared" ca="1" si="0"/>
        <v>5</v>
      </c>
      <c r="CC3" s="36">
        <f ca="1">IF(BM9&gt;0,0,RAND())</f>
        <v>0</v>
      </c>
      <c r="CD3" s="29" t="s">
        <v>14</v>
      </c>
    </row>
    <row r="4" spans="1:83" ht="19.5" thickBot="1" x14ac:dyDescent="0.35">
      <c r="A4" s="33"/>
      <c r="B4" s="30"/>
      <c r="C4" s="39"/>
      <c r="D4" s="39"/>
      <c r="E4" s="39"/>
      <c r="F4" s="39"/>
      <c r="G4" s="39"/>
      <c r="H4" s="39"/>
      <c r="I4" s="39"/>
      <c r="J4" s="39"/>
      <c r="K4" s="39"/>
      <c r="L4" s="39"/>
      <c r="M4" s="39"/>
      <c r="N4" s="39"/>
      <c r="O4" s="40"/>
      <c r="Q4" s="41"/>
      <c r="R4" s="41"/>
      <c r="AE4" s="29" t="s">
        <v>677</v>
      </c>
      <c r="AF4" s="29" t="str">
        <f ca="1">IF($P$6&gt;=8,VLOOKUP(RANDBETWEEN(1,6),Table41[],2)," ")</f>
        <v xml:space="preserve"> </v>
      </c>
      <c r="AH4" s="29" t="s">
        <v>1592</v>
      </c>
      <c r="AI4" s="29" t="str">
        <f ca="1">IF(OR(P15="draconic bloodline",R15="draconic bloodline"),O12," ")</f>
        <v xml:space="preserve"> </v>
      </c>
      <c r="CB4" s="35">
        <f t="shared" ca="1" si="0"/>
        <v>5</v>
      </c>
      <c r="CC4" s="36">
        <f ca="1">IF(BM13&gt;0,0,RAND())</f>
        <v>0</v>
      </c>
      <c r="CD4" s="29" t="s">
        <v>18</v>
      </c>
    </row>
    <row r="5" spans="1:83" ht="19.5" thickBot="1" x14ac:dyDescent="0.35">
      <c r="B5" s="42" t="s">
        <v>35</v>
      </c>
      <c r="O5" s="43" t="s">
        <v>41</v>
      </c>
      <c r="P5" s="43" t="s">
        <v>1881</v>
      </c>
      <c r="Q5" s="44" t="str">
        <f ca="1">"Max. HP: "&amp;SUM(AI1,AI2,AI3,AK1,AI4)</f>
        <v>Max. HP: 25</v>
      </c>
      <c r="R5" s="45" t="s">
        <v>33</v>
      </c>
      <c r="AE5" s="29" t="s">
        <v>677</v>
      </c>
      <c r="AF5" s="29" t="str">
        <f ca="1">IF($P$6&gt;=8,VLOOKUP(RANDBETWEEN(1,6),Table41[],2)," ")</f>
        <v xml:space="preserve"> </v>
      </c>
      <c r="AV5" s="29" t="s">
        <v>744</v>
      </c>
      <c r="BM5" s="29" t="s">
        <v>1825</v>
      </c>
      <c r="BN5" s="29" t="s">
        <v>744</v>
      </c>
      <c r="BO5" s="29" t="s">
        <v>728</v>
      </c>
      <c r="BP5" s="29" t="s">
        <v>745</v>
      </c>
      <c r="BQ5" s="29" t="s">
        <v>1569</v>
      </c>
      <c r="BR5" s="29" t="s">
        <v>211</v>
      </c>
      <c r="BS5" s="29" t="s">
        <v>1343</v>
      </c>
      <c r="BT5" s="29" t="s">
        <v>1344</v>
      </c>
      <c r="BU5" s="29" t="s">
        <v>739</v>
      </c>
      <c r="CB5" s="35">
        <f t="shared" ca="1" si="0"/>
        <v>1</v>
      </c>
      <c r="CC5" s="36">
        <f ca="1">IF(BM16&gt;0,0,RAND())</f>
        <v>0.79534795981666606</v>
      </c>
      <c r="CD5" s="29" t="s">
        <v>21</v>
      </c>
    </row>
    <row r="6" spans="1:83" ht="20.25" thickTop="1" thickBot="1" x14ac:dyDescent="0.35">
      <c r="B6" s="32">
        <f ca="1">P39</f>
        <v>2</v>
      </c>
      <c r="O6" s="46" t="str">
        <f ca="1">IF(OR(Q2="dwarf",Q2="elf",Q2="human",Q2="dragonborn",Q2="half-elf",Q2="half-orc",Q2="tiefling"),"Medium",IF(OR(Q2="gnome",Q2="halfling"),"Small"," "))</f>
        <v>Medium</v>
      </c>
      <c r="P6" s="47">
        <f ca="1">IF(AF14=1,O12,IF(AF14=2,SUM(O12,Q12)))</f>
        <v>3</v>
      </c>
      <c r="Q6" s="48" t="s">
        <v>1882</v>
      </c>
      <c r="R6" s="47" t="str">
        <f ca="1">VLOOKUP(RANDBETWEEN(1,100),Table92[],2)</f>
        <v>Neutral</v>
      </c>
      <c r="U6" s="49"/>
      <c r="AE6" s="29" t="s">
        <v>678</v>
      </c>
      <c r="AF6" s="29" t="str">
        <f ca="1">IF($P$6&gt;=12,VLOOKUP(RANDBETWEEN(1,6),Table41[],2)," ")</f>
        <v xml:space="preserve"> </v>
      </c>
      <c r="AH6" s="29" t="s">
        <v>12</v>
      </c>
      <c r="AI6" s="29">
        <f ca="1">$P$39</f>
        <v>2</v>
      </c>
      <c r="AJ6" s="29" t="str">
        <f t="shared" ref="AJ6:AU6" ca="1" si="1">IF(COUNTIF(AJ$27:AJ$33,$AH$6),$P$8," ")</f>
        <v xml:space="preserve"> </v>
      </c>
      <c r="AK6" s="29" t="str">
        <f t="shared" ca="1" si="1"/>
        <v xml:space="preserve"> </v>
      </c>
      <c r="AL6" s="29" t="str">
        <f t="shared" ca="1" si="1"/>
        <v xml:space="preserve"> </v>
      </c>
      <c r="AM6" s="29" t="str">
        <f t="shared" ca="1" si="1"/>
        <v xml:space="preserve"> </v>
      </c>
      <c r="AN6" s="29" t="str">
        <f t="shared" ca="1" si="1"/>
        <v xml:space="preserve"> </v>
      </c>
      <c r="AO6" s="29" t="str">
        <f t="shared" ca="1" si="1"/>
        <v xml:space="preserve"> </v>
      </c>
      <c r="AP6" s="29" t="str">
        <f t="shared" ca="1" si="1"/>
        <v xml:space="preserve"> </v>
      </c>
      <c r="AQ6" s="29" t="str">
        <f t="shared" ca="1" si="1"/>
        <v xml:space="preserve"> </v>
      </c>
      <c r="AR6" s="29" t="str">
        <f t="shared" ca="1" si="1"/>
        <v xml:space="preserve"> </v>
      </c>
      <c r="AS6" s="29" t="str">
        <f t="shared" ca="1" si="1"/>
        <v xml:space="preserve"> </v>
      </c>
      <c r="AT6" s="29" t="str">
        <f t="shared" ca="1" si="1"/>
        <v xml:space="preserve"> </v>
      </c>
      <c r="AU6" s="29" t="str">
        <f t="shared" ca="1" si="1"/>
        <v xml:space="preserve"> </v>
      </c>
      <c r="AV6" s="29">
        <f ca="1">SUM(AJ6:AU6)</f>
        <v>0</v>
      </c>
      <c r="AW6" s="29" t="s">
        <v>12</v>
      </c>
      <c r="BA6" s="29" t="str">
        <f ca="1">IF(S11="Entertainer",P8," ")</f>
        <v xml:space="preserve"> </v>
      </c>
      <c r="BM6" s="29">
        <f t="shared" ref="BM6:BM23" ca="1" si="2">SUM(AX6:BL6)</f>
        <v>0</v>
      </c>
      <c r="BN6" s="29">
        <f ca="1">AV6</f>
        <v>0</v>
      </c>
      <c r="BO6" s="29" t="str">
        <f t="shared" ref="BO6:BO23" ca="1" si="3">IF(AND($O$11="bard",$O$12&gt;=3,BN26=1),$P$8,IF(AND($O$11="bard",$O$12&gt;=3,BN26=2),$P$8,IF(AND($O$11="bard",$O$12&gt;=10,BN26=3,$P$15="college of lore"),$P$8,IF(AND($O$11="bard",$O$12&gt;=10,BN26=4,$P$15="college of lore"),$P$8,IF(AND($Q$11="bard",$Q$12&gt;=3,BN26=1),$P$8,IF(AND($Q$11="bard",$Q$12&gt;=3,BN26=2),$P$8,IF(AND($Q$11="bard",$Q$12&gt;=10,BN26=3,$P$15="college of lore"),$P$8,IF(AND($Q$11="bard",$Q$12&gt;=10,BN26=4,$P$15="college of lore"),$P$8," "))))))))</f>
        <v xml:space="preserve"> </v>
      </c>
      <c r="BP6" s="29" t="str">
        <f t="shared" ref="BP6:BP23" ca="1" si="4">IF(AND($O$11="bard",$O$12&gt;=2,AV6&lt;=0),ROUNDDOWN($P$8*0.5,0),IF(AND($Q$11="bard",$Q$12&gt;=2,AV6&lt;=0),ROUNDDOWN($P$8*0.5,0)," "))</f>
        <v xml:space="preserve"> </v>
      </c>
      <c r="BQ6" s="29" t="str">
        <f t="shared" ref="BQ6:BQ23" ca="1" si="5">IF(AND($O$11="rogue",BN26=1),$P$8,IF(AND($O$11="rogue",BN26=2,$AF$25=1),$P$8,IF(AND($O$11="rogue",$O$12&gt;6,BN26=3),$P$8,IF(AND($O$11="rogue",$O$12&gt;6,BN26=4),$P$8," "))))</f>
        <v xml:space="preserve"> </v>
      </c>
      <c r="BR6" s="29">
        <f t="shared" ref="BR6:BR23" ca="1" si="6">IF(AND($Q$2="half-elf",BR26=1),$P$8,IF(AND($Q$2="half-elf",BR26=2),$P$8,0))</f>
        <v>0</v>
      </c>
      <c r="BU6" s="29">
        <f ca="1">SUM(BM6:BT6,AI6)</f>
        <v>2</v>
      </c>
      <c r="BV6" s="29" t="s">
        <v>12</v>
      </c>
      <c r="CB6" s="35">
        <f t="shared" ca="1" si="0"/>
        <v>4</v>
      </c>
      <c r="CC6" s="36">
        <f ca="1">IF(BM17&gt;0,0,RAND())</f>
        <v>0.37897267117090472</v>
      </c>
      <c r="CD6" s="29" t="s">
        <v>22</v>
      </c>
      <c r="CE6" s="31"/>
    </row>
    <row r="7" spans="1:83" ht="19.5" thickBot="1" x14ac:dyDescent="0.35">
      <c r="B7" s="42" t="s">
        <v>36</v>
      </c>
      <c r="O7" s="50" t="str">
        <f ca="1">IF(Q2="Tiefling","Height: "&amp;SUM(57,AE31)&amp;" inches",IF(Q2="half-orc","Height: "&amp;SUM(58,AE32)&amp;" inches",IF(Q2="Half-elf","Height: "&amp;SUM(57,AE31)&amp;" inches",IF(Q2="Gnome","Height: "&amp;SUM(35,AE29)&amp;" inches",IF(Q2="Dragonborn","Height: "&amp;SUM(66,AE31)&amp;" inches",IF(Q2="Halfling","Height: "&amp;SUM(31,AE29)&amp;" inches",IF(P2="dark","Height: "&amp;SUM(53,AE30)&amp;" inches",IF(P2="wood","Height: "&amp;SUM(54,AE32)&amp;" inches",IF(P2="high","Height: "&amp;SUM(54,AE32)&amp;" inches",IF(P2="mountain","Height: "&amp;SUM(48,AE29)&amp;" inches",IF(P2="hill","Height: "&amp;SUM(44,AE29)&amp;" inches",IF(Q2="human","Height: "&amp;SUM(56,AE32)&amp;" inches"," "))))))))))))</f>
        <v>Height: 72 inches</v>
      </c>
      <c r="P7" s="43" t="s">
        <v>34</v>
      </c>
      <c r="AE7" s="29" t="s">
        <v>678</v>
      </c>
      <c r="AF7" s="29" t="str">
        <f ca="1">IF($P$6&gt;=12,VLOOKUP(RANDBETWEEN(1,6),Table41[],2)," ")</f>
        <v xml:space="preserve"> </v>
      </c>
      <c r="AH7" s="29" t="s">
        <v>29</v>
      </c>
      <c r="AI7" s="29">
        <f ca="1">$P$42</f>
        <v>2</v>
      </c>
      <c r="AJ7" s="29" t="str">
        <f t="shared" ref="AJ7:AU7" ca="1" si="7">IF(COUNTIF(AJ$27:AJ$33,$AH$7),$P$8," ")</f>
        <v xml:space="preserve"> </v>
      </c>
      <c r="AK7" s="29" t="str">
        <f t="shared" ca="1" si="7"/>
        <v xml:space="preserve"> </v>
      </c>
      <c r="AL7" s="29" t="str">
        <f t="shared" ca="1" si="7"/>
        <v xml:space="preserve"> </v>
      </c>
      <c r="AM7" s="29" t="str">
        <f t="shared" ca="1" si="7"/>
        <v xml:space="preserve"> </v>
      </c>
      <c r="AN7" s="29" t="str">
        <f t="shared" ca="1" si="7"/>
        <v xml:space="preserve"> </v>
      </c>
      <c r="AO7" s="29" t="str">
        <f t="shared" ca="1" si="7"/>
        <v xml:space="preserve"> </v>
      </c>
      <c r="AP7" s="29" t="str">
        <f t="shared" ca="1" si="7"/>
        <v xml:space="preserve"> </v>
      </c>
      <c r="AQ7" s="29" t="str">
        <f t="shared" ca="1" si="7"/>
        <v xml:space="preserve"> </v>
      </c>
      <c r="AR7" s="29" t="str">
        <f t="shared" ca="1" si="7"/>
        <v xml:space="preserve"> </v>
      </c>
      <c r="AS7" s="29" t="str">
        <f t="shared" ca="1" si="7"/>
        <v xml:space="preserve"> </v>
      </c>
      <c r="AT7" s="29" t="str">
        <f t="shared" ca="1" si="7"/>
        <v xml:space="preserve"> </v>
      </c>
      <c r="AU7" s="29" t="str">
        <f t="shared" ca="1" si="7"/>
        <v xml:space="preserve"> </v>
      </c>
      <c r="AV7" s="29">
        <f t="shared" ref="AV7:AV23" ca="1" si="8">SUM(AJ7:AU7)</f>
        <v>0</v>
      </c>
      <c r="AW7" s="29" t="s">
        <v>29</v>
      </c>
      <c r="BB7" s="29" t="str">
        <f ca="1">IF(S11="Folk Hero",P8," ")</f>
        <v xml:space="preserve"> </v>
      </c>
      <c r="BM7" s="29">
        <f t="shared" ca="1" si="2"/>
        <v>0</v>
      </c>
      <c r="BN7" s="29">
        <f t="shared" ref="BN7:BN23" ca="1" si="9">AV7</f>
        <v>0</v>
      </c>
      <c r="BO7" s="29" t="str">
        <f t="shared" ca="1" si="3"/>
        <v xml:space="preserve"> </v>
      </c>
      <c r="BP7" s="29" t="str">
        <f t="shared" ca="1" si="4"/>
        <v xml:space="preserve"> </v>
      </c>
      <c r="BQ7" s="29" t="str">
        <f t="shared" ca="1" si="5"/>
        <v xml:space="preserve"> </v>
      </c>
      <c r="BR7" s="29">
        <f t="shared" ca="1" si="6"/>
        <v>0</v>
      </c>
      <c r="BT7" s="29">
        <f ca="1">IF(AND(BY30=1,OR($P$15="nature",$R$15="nature")),$P$8,0)</f>
        <v>0</v>
      </c>
      <c r="BU7" s="29">
        <f t="shared" ref="BU7:BU23" ca="1" si="10">SUM(BM7:BT7)</f>
        <v>0</v>
      </c>
      <c r="BV7" s="29" t="s">
        <v>29</v>
      </c>
      <c r="CB7" s="35">
        <f t="shared" ca="1" si="0"/>
        <v>3</v>
      </c>
      <c r="CC7" s="36">
        <f ca="1">IF(BM23&gt;0,0,RAND())</f>
        <v>0.500737746867843</v>
      </c>
      <c r="CD7" s="29" t="s">
        <v>28</v>
      </c>
    </row>
    <row r="8" spans="1:83" ht="20.25" thickTop="1" thickBot="1" x14ac:dyDescent="0.35">
      <c r="B8" s="51" t="str">
        <f ca="1">IF(AND(B89="unarmored defense",B90&lt;&gt;"shield",Q12&gt;=2,Q11="monk",OR(Q2="dwarf",Q2="halfling",Q2="gnome")),SUM(15,INDEX('Class Tables'!L98:L117,MATCH(O12,('Class Tables'!I98:I117),0)))&amp;" ft.",IF(AND(B89="unarmored defense",B90&lt;&gt;"Shield",Q12&gt;=2,Q11="monk",P2="wood"),SUM(25,INDEX('Class Tables'!L98:L117,MATCH(O12,('Class Tables'!I98:I117),0)))&amp;" ft.",IF(AND(B89="unarmored defense",B90&lt;&gt;"shield",Q12&gt;=2,Q11="monk",OR(Q2="human",Q2="elf",Q2="dragonborn",Q2="half-elf",Q2="half-orc",Q2="tiefling")),SUM(20,INDEX('Class Tables'!L98:L117,MATCH(O12,('Class Tables'!I98:I117),0)))&amp;" ft.",IF(AND(B89="unarmored defense",B90&lt;&gt;"shield",O12&gt;=2,O11="monk",OR(Q2="dwarf",Q2="halfling",Q2="gnome")),SUM(25,INDEX('Class Tables'!L98:L117,MATCH(O12,('Class Tables'!I98:I117),0)))&amp;" ft.",IF(AND(B89="unarmored defense",B90&lt;&gt;"Shield",O12&gt;=2,O11="monk",P2="wood"),SUM(35,INDEX('Class Tables'!L98:L117,MATCH(O12,('Class Tables'!I98:I117),0)))&amp;" ft.",IF(AND(B89="unarmored defense",B90&lt;&gt;"shield",O12&gt;=2,O11="monk",OR(Q2="human",Q2="elf",Q2="dragonborn",Q2="half-elf",Q2="half-orc",Q2="tiefling")),SUM(30,INDEX('Class Tables'!L98:L117,MATCH(O12,('Class Tables'!I98:I117),0)))&amp;" ft.",IF(AND(B89="unarmored defense",Q12&gt;=5,Q11="barbarian",OR(Q2="dwarf",Q2="halfling",Q2="gnome")),"35 ft.",IF(AND(B89="unarmored defense",Q12&gt;=5,Q11="barbarian",P2="wood"),"45 ft.",IF(AND(B89="unarmored defense",Q12&gt;=5,Q11="barbarian",OR(Q2="human",Q2="elf",Q2="dragonborn",Q2="half-elf",Q2="half-orc",Q2="tiefling")),"40 ft.",IF(AND(B89="unarmored defense",O12&gt;=5,O11="barbarian",OR(Q2="dwarf",Q2="halfling",Q2="gnome")),"35 ft.",IF(AND(B89="unarmored defense",O12&gt;=O11="barbarian",P2="wood"),"45 ft.",IF(AND(B89="unarmored defense",O12&gt;=5,O11="barbarian",OR(Q2="human",Q2="elf",Q2="dragonborn",Q2="half-elf",Q2="half-orc",Q2="tiefling")),"40 ft.",IF(OR(Q2="dwarf",Q2="halfling",Q2="gnome"),"25 ft.",IF(P2="wood","35 ft.",IF(OR(Q2="human",Q2="elf",Q2="dragonborn",Q2="half-elf",Q2="half-orc",Q2="tiefling"),"30 ft."," ")))))))))))))))</f>
        <v>30 ft.</v>
      </c>
      <c r="O8" s="47" t="str">
        <f ca="1">IF(P2="dark","Weight: "&amp;SUM(AE30*RANDBETWEEN(1,6),75)&amp;" lbs.",IF(P2="wood","Weight: "&amp;SUM(AE32*RANDBETWEEN(1,4),100)&amp;" lbs.",IF(P2="high","Weight: "&amp;SUM(AE32*RANDBETWEEN(1,4),90)&amp;" lbs.",IF(P2="mountain","Weight: "&amp;SUM(AE29*RANDBETWEEN(2,12),130)&amp;" lbs.",IF(P2="hill","Weight: "&amp;SUM(AE29*RANDBETWEEN(2,12),115)&amp;" lbs.",IF(Q2="tiefling","Weight: "&amp;SUM(AE31*RANDBETWEEN(2,8),110)&amp;" lbs.",IF(Q2="Half-orc","Weight: "&amp;SUM(AE32*RANDBETWEEN(2,12),140),IF(Q2="Half-elf","Weight: "&amp;SUM(AE31*RANDBETWEEN(2,8),110),IF(Q2="Gnome","Weight: "&amp;SUM(AE29,35),IF(Q2="Dragonborn","Weight: "&amp;SUM(AE31*RANDBETWEEN(2,12),175)&amp;" lbs.",IF(Q2="Halfling","Weight: "&amp;SUM(AE29,35)&amp;" lbs.",IF(Q2="Human","Weight: "&amp;SUM(AE32*RANDBETWEEN(2,8),110)&amp;" lbs."," "))))))))))))</f>
        <v>Weight: 187 lbs.</v>
      </c>
      <c r="P8" s="111">
        <f ca="1">VLOOKUP(P6,Table26[],2)</f>
        <v>2</v>
      </c>
      <c r="Q8" s="33"/>
      <c r="R8" s="33"/>
      <c r="AE8" s="29" t="s">
        <v>679</v>
      </c>
      <c r="AF8" s="29" t="str">
        <f ca="1">IF($P$6&gt;=16,VLOOKUP(RANDBETWEEN(1,6),Table41[],2)," ")</f>
        <v xml:space="preserve"> </v>
      </c>
      <c r="AH8" s="29" t="s">
        <v>13</v>
      </c>
      <c r="AI8" s="29">
        <f ca="1">$P$41</f>
        <v>1</v>
      </c>
      <c r="AJ8" s="29" t="str">
        <f t="shared" ref="AJ8:AU8" ca="1" si="11">IF(COUNTIF(AJ$27:AJ$33,$AH$8),$P$8," ")</f>
        <v xml:space="preserve"> </v>
      </c>
      <c r="AK8" s="29" t="str">
        <f t="shared" ca="1" si="11"/>
        <v xml:space="preserve"> </v>
      </c>
      <c r="AL8" s="29" t="str">
        <f t="shared" ca="1" si="11"/>
        <v xml:space="preserve"> </v>
      </c>
      <c r="AM8" s="29" t="str">
        <f t="shared" ca="1" si="11"/>
        <v xml:space="preserve"> </v>
      </c>
      <c r="AN8" s="29" t="str">
        <f t="shared" ca="1" si="11"/>
        <v xml:space="preserve"> </v>
      </c>
      <c r="AO8" s="29" t="str">
        <f t="shared" ca="1" si="11"/>
        <v xml:space="preserve"> </v>
      </c>
      <c r="AP8" s="29" t="str">
        <f t="shared" ca="1" si="11"/>
        <v xml:space="preserve"> </v>
      </c>
      <c r="AQ8" s="29" t="str">
        <f t="shared" ca="1" si="11"/>
        <v xml:space="preserve"> </v>
      </c>
      <c r="AR8" s="29" t="str">
        <f t="shared" ca="1" si="11"/>
        <v xml:space="preserve"> </v>
      </c>
      <c r="AS8" s="29" t="str">
        <f t="shared" ca="1" si="11"/>
        <v xml:space="preserve"> </v>
      </c>
      <c r="AT8" s="29" t="str">
        <f t="shared" ca="1" si="11"/>
        <v xml:space="preserve"> </v>
      </c>
      <c r="AU8" s="29" t="str">
        <f t="shared" ca="1" si="11"/>
        <v xml:space="preserve"> </v>
      </c>
      <c r="AV8" s="29">
        <f t="shared" ca="1" si="8"/>
        <v>0</v>
      </c>
      <c r="AW8" s="29" t="s">
        <v>13</v>
      </c>
      <c r="BI8" s="29" t="str">
        <f ca="1">IF(S11="Sage",P8," ")</f>
        <v xml:space="preserve"> </v>
      </c>
      <c r="BM8" s="29">
        <f t="shared" ca="1" si="2"/>
        <v>0</v>
      </c>
      <c r="BN8" s="29">
        <f t="shared" ca="1" si="9"/>
        <v>0</v>
      </c>
      <c r="BO8" s="29" t="str">
        <f t="shared" ca="1" si="3"/>
        <v xml:space="preserve"> </v>
      </c>
      <c r="BP8" s="29" t="str">
        <f t="shared" ca="1" si="4"/>
        <v xml:space="preserve"> </v>
      </c>
      <c r="BQ8" s="29" t="str">
        <f t="shared" ca="1" si="5"/>
        <v xml:space="preserve"> </v>
      </c>
      <c r="BR8" s="29">
        <f t="shared" ca="1" si="6"/>
        <v>0</v>
      </c>
      <c r="BS8" s="29">
        <f ca="1">IF(AND($BY$26=1,OR($P$15="knowledge",$R$15="knowledge")),$P$8*2,IF(AND($BY$26=2,OR($P$15="knowledge",$R$15="knowledge")),$P$8*2,0))</f>
        <v>0</v>
      </c>
      <c r="BU8" s="29">
        <f t="shared" ca="1" si="10"/>
        <v>0</v>
      </c>
      <c r="BV8" s="29" t="s">
        <v>13</v>
      </c>
      <c r="CB8" s="52"/>
      <c r="CC8" s="52"/>
    </row>
    <row r="9" spans="1:83" ht="19.5" thickBot="1" x14ac:dyDescent="0.35">
      <c r="AE9" s="29" t="s">
        <v>679</v>
      </c>
      <c r="AF9" s="29" t="str">
        <f ca="1">IF($P$6&gt;=16,VLOOKUP(RANDBETWEEN(1,6),Table41[],2)," ")</f>
        <v xml:space="preserve"> </v>
      </c>
      <c r="AH9" s="29" t="s">
        <v>14</v>
      </c>
      <c r="AI9" s="29">
        <f ca="1">$P$38</f>
        <v>1</v>
      </c>
      <c r="AJ9" s="29" t="str">
        <f t="shared" ref="AJ9:AU9" ca="1" si="12">IF(COUNTIF(AJ$27:AJ$33,$AH$9),$P$8," ")</f>
        <v xml:space="preserve"> </v>
      </c>
      <c r="AK9" s="29" t="str">
        <f t="shared" ca="1" si="12"/>
        <v xml:space="preserve"> </v>
      </c>
      <c r="AL9" s="29" t="str">
        <f t="shared" ca="1" si="12"/>
        <v xml:space="preserve"> </v>
      </c>
      <c r="AM9" s="29" t="str">
        <f t="shared" ca="1" si="12"/>
        <v xml:space="preserve"> </v>
      </c>
      <c r="AN9" s="29" t="str">
        <f t="shared" ca="1" si="12"/>
        <v xml:space="preserve"> </v>
      </c>
      <c r="AO9" s="29" t="str">
        <f t="shared" ca="1" si="12"/>
        <v xml:space="preserve"> </v>
      </c>
      <c r="AP9" s="29" t="str">
        <f t="shared" ca="1" si="12"/>
        <v xml:space="preserve"> </v>
      </c>
      <c r="AQ9" s="29" t="str">
        <f t="shared" ca="1" si="12"/>
        <v xml:space="preserve"> </v>
      </c>
      <c r="AR9" s="29" t="str">
        <f t="shared" ca="1" si="12"/>
        <v xml:space="preserve"> </v>
      </c>
      <c r="AS9" s="29" t="str">
        <f t="shared" ca="1" si="12"/>
        <v xml:space="preserve"> </v>
      </c>
      <c r="AT9" s="29" t="str">
        <f t="shared" ca="1" si="12"/>
        <v xml:space="preserve"> </v>
      </c>
      <c r="AU9" s="29" t="str">
        <f t="shared" ca="1" si="12"/>
        <v xml:space="preserve"> </v>
      </c>
      <c r="AV9" s="29">
        <f t="shared" ca="1" si="8"/>
        <v>0</v>
      </c>
      <c r="AW9" s="29" t="s">
        <v>14</v>
      </c>
      <c r="BG9" s="29" t="str">
        <f ca="1">IF(S11="Outlander",P8," ")</f>
        <v xml:space="preserve"> </v>
      </c>
      <c r="BH9" s="29" t="str">
        <f ca="1">IF(S11="Pirate",P8," ")</f>
        <v xml:space="preserve"> </v>
      </c>
      <c r="BJ9" s="29" t="str">
        <f ca="1">IF(S11="Sailor",P8," ")</f>
        <v xml:space="preserve"> </v>
      </c>
      <c r="BK9" s="29">
        <f ca="1">IF(S11="Soldier",P8," ")</f>
        <v>2</v>
      </c>
      <c r="BM9" s="29">
        <f t="shared" ca="1" si="2"/>
        <v>2</v>
      </c>
      <c r="BN9" s="29">
        <f t="shared" ca="1" si="9"/>
        <v>0</v>
      </c>
      <c r="BO9" s="29" t="str">
        <f t="shared" ca="1" si="3"/>
        <v xml:space="preserve"> </v>
      </c>
      <c r="BP9" s="29" t="str">
        <f t="shared" ca="1" si="4"/>
        <v xml:space="preserve"> </v>
      </c>
      <c r="BQ9" s="29" t="str">
        <f t="shared" ca="1" si="5"/>
        <v xml:space="preserve"> </v>
      </c>
      <c r="BR9" s="29">
        <f t="shared" ca="1" si="6"/>
        <v>0</v>
      </c>
      <c r="BU9" s="29">
        <f t="shared" ca="1" si="10"/>
        <v>2</v>
      </c>
      <c r="BV9" s="29" t="s">
        <v>14</v>
      </c>
      <c r="CB9" s="31" t="s">
        <v>740</v>
      </c>
      <c r="CC9" s="31" t="s">
        <v>742</v>
      </c>
      <c r="CD9" s="31"/>
    </row>
    <row r="10" spans="1:83" ht="26.25" thickBot="1" x14ac:dyDescent="0.4">
      <c r="O10" s="124" t="s">
        <v>681</v>
      </c>
      <c r="Q10" s="124" t="s">
        <v>682</v>
      </c>
      <c r="R10" s="49"/>
      <c r="S10" s="123" t="s">
        <v>32</v>
      </c>
      <c r="AE10" s="29" t="s">
        <v>680</v>
      </c>
      <c r="AF10" s="29" t="str">
        <f ca="1">IF($P$6&gt;=19,VLOOKUP(RANDBETWEEN(1,6),Table41[],2)," ")</f>
        <v xml:space="preserve"> </v>
      </c>
      <c r="AH10" s="29" t="s">
        <v>15</v>
      </c>
      <c r="AI10" s="29">
        <f ca="1">$P$43</f>
        <v>4</v>
      </c>
      <c r="AJ10" s="29" t="str">
        <f t="shared" ref="AJ10:AU10" ca="1" si="13">IF(COUNTIF(AJ$27:AJ$33,$AH$10),$P$8," ")</f>
        <v xml:space="preserve"> </v>
      </c>
      <c r="AK10" s="29" t="str">
        <f t="shared" ca="1" si="13"/>
        <v xml:space="preserve"> </v>
      </c>
      <c r="AL10" s="29" t="str">
        <f t="shared" ca="1" si="13"/>
        <v xml:space="preserve"> </v>
      </c>
      <c r="AM10" s="29" t="str">
        <f t="shared" ca="1" si="13"/>
        <v xml:space="preserve"> </v>
      </c>
      <c r="AN10" s="29" t="str">
        <f t="shared" ca="1" si="13"/>
        <v xml:space="preserve"> </v>
      </c>
      <c r="AO10" s="29" t="str">
        <f t="shared" ca="1" si="13"/>
        <v xml:space="preserve"> </v>
      </c>
      <c r="AP10" s="29" t="str">
        <f t="shared" ca="1" si="13"/>
        <v xml:space="preserve"> </v>
      </c>
      <c r="AQ10" s="29" t="str">
        <f t="shared" ca="1" si="13"/>
        <v xml:space="preserve"> </v>
      </c>
      <c r="AR10" s="29" t="str">
        <f t="shared" ca="1" si="13"/>
        <v xml:space="preserve"> </v>
      </c>
      <c r="AS10" s="29" t="str">
        <f t="shared" ca="1" si="13"/>
        <v xml:space="preserve"> </v>
      </c>
      <c r="AT10" s="29" t="str">
        <f t="shared" ca="1" si="13"/>
        <v xml:space="preserve"> </v>
      </c>
      <c r="AU10" s="29" t="str">
        <f t="shared" ca="1" si="13"/>
        <v xml:space="preserve"> </v>
      </c>
      <c r="AV10" s="29">
        <f t="shared" ca="1" si="8"/>
        <v>0</v>
      </c>
      <c r="AW10" s="29" t="s">
        <v>15</v>
      </c>
      <c r="AY10" s="29" t="str">
        <f ca="1">IF(S11="Charlatan",P8," ")</f>
        <v xml:space="preserve"> </v>
      </c>
      <c r="AZ10" s="29" t="str">
        <f ca="1">IF(S11="Criminal",P8," ")</f>
        <v xml:space="preserve"> </v>
      </c>
      <c r="BE10" s="29" t="str">
        <f ca="1">IF(S11="Knight",P8," ")</f>
        <v xml:space="preserve"> </v>
      </c>
      <c r="BF10" s="29" t="str">
        <f ca="1">IF(S11="Noble",P8," ")</f>
        <v xml:space="preserve"> </v>
      </c>
      <c r="BM10" s="29">
        <f t="shared" ca="1" si="2"/>
        <v>0</v>
      </c>
      <c r="BN10" s="29">
        <f t="shared" ca="1" si="9"/>
        <v>0</v>
      </c>
      <c r="BO10" s="29" t="str">
        <f t="shared" ca="1" si="3"/>
        <v xml:space="preserve"> </v>
      </c>
      <c r="BP10" s="29" t="str">
        <f t="shared" ca="1" si="4"/>
        <v xml:space="preserve"> </v>
      </c>
      <c r="BQ10" s="29" t="str">
        <f t="shared" ca="1" si="5"/>
        <v xml:space="preserve"> </v>
      </c>
      <c r="BR10" s="29">
        <f t="shared" ca="1" si="6"/>
        <v>0</v>
      </c>
      <c r="BU10" s="29">
        <f t="shared" ca="1" si="10"/>
        <v>0</v>
      </c>
      <c r="BV10" s="29" t="s">
        <v>15</v>
      </c>
      <c r="CB10" s="35">
        <f t="shared" ref="CB10:CB27" ca="1" si="14">_xlfn.RANK.EQ(CC10,$CC$10:$CC$27)</f>
        <v>15</v>
      </c>
      <c r="CC10" s="36">
        <f t="shared" ref="CC10:CC27" ca="1" si="15">IF(BM6&gt;0,0,RAND())</f>
        <v>8.1295203170653418E-2</v>
      </c>
      <c r="CD10" s="29" t="s">
        <v>12</v>
      </c>
    </row>
    <row r="11" spans="1:83" ht="19.5" thickTop="1" x14ac:dyDescent="0.3">
      <c r="O11" s="46" t="str">
        <f ca="1">VLOOKUP(RANDBETWEEN(1,16),Table43[],2)</f>
        <v>Paladin</v>
      </c>
      <c r="Q11" s="139" t="str">
        <f ca="1">IF(O11="non-classed",VLOOKUP(RANDBETWEEN(1,124),Table252[],2),IF(AND(O11="barbarian",AF14=2),VLOOKUP(RANDBETWEEN(1,11),Table43[],3),IF(AND(O11="bard",AF14=2),VLOOKUP(RANDBETWEEN(1,11),Table43[],4),IF(AND(O11="cleric",AF14=2),VLOOKUP(RANDBETWEEN(1,11),Table43[],5),IF(AND(O11="druid",AF14=2),VLOOKUP(RANDBETWEEN(1,11),Table43[],6),IF(AND(O11="fighter",AF14=2),VLOOKUP(RANDBETWEEN(1,11),Table43[],7),IF(AND(O11="Monk",AF14=2),VLOOKUP(RANDBETWEEN(1,11),Table43[],8),IF(AND(O11="Paladin",AF14=2),VLOOKUP(RANDBETWEEN(1,11),Table43[],9),IF(AND(O11="Ranger",AF14=2),VLOOKUP(RANDBETWEEN(1,11),Table43[],10),IF(AND(O11="Rogue",AF14=2),VLOOKUP(RANDBETWEEN(1,11),Table43[],11),IF(AND(O11="sorcerer",AF14=2),VLOOKUP(RANDBETWEEN(1,11),Table43[],12),IF(AND(O11="warlock",AF14=2),VLOOKUP(RANDBETWEEN(1,11),Table43[],13),IF(AND(O11="wizard",AF14=2),VLOOKUP(RANDBETWEEN(1,11),Table43[],14)," ")))))))))))))</f>
        <v xml:space="preserve"> </v>
      </c>
      <c r="R11" s="49"/>
      <c r="S11" s="33" t="str">
        <f ca="1">IF(O11&lt;&gt;"non-classed",VLOOKUP(RANDBETWEEN(1,15),Table254[],2)," ")</f>
        <v>Soldier</v>
      </c>
      <c r="AE11" s="29" t="s">
        <v>680</v>
      </c>
      <c r="AF11" s="29" t="str">
        <f ca="1">IF($P$6&gt;=19,VLOOKUP(RANDBETWEEN(1,6),Table41[],2)," ")</f>
        <v xml:space="preserve"> </v>
      </c>
      <c r="AH11" s="29" t="s">
        <v>16</v>
      </c>
      <c r="AI11" s="29">
        <f ca="1">$P$41</f>
        <v>1</v>
      </c>
      <c r="AJ11" s="29" t="str">
        <f t="shared" ref="AJ11:AU11" ca="1" si="16">IF(COUNTIF(AJ$27:AJ$33,$AH$11),$P$8," ")</f>
        <v xml:space="preserve"> </v>
      </c>
      <c r="AK11" s="29" t="str">
        <f t="shared" ca="1" si="16"/>
        <v xml:space="preserve"> </v>
      </c>
      <c r="AL11" s="29" t="str">
        <f t="shared" ca="1" si="16"/>
        <v xml:space="preserve"> </v>
      </c>
      <c r="AM11" s="29" t="str">
        <f t="shared" ca="1" si="16"/>
        <v xml:space="preserve"> </v>
      </c>
      <c r="AN11" s="29" t="str">
        <f t="shared" ca="1" si="16"/>
        <v xml:space="preserve"> </v>
      </c>
      <c r="AO11" s="29" t="str">
        <f t="shared" ca="1" si="16"/>
        <v xml:space="preserve"> </v>
      </c>
      <c r="AP11" s="29" t="str">
        <f t="shared" ca="1" si="16"/>
        <v xml:space="preserve"> </v>
      </c>
      <c r="AQ11" s="29" t="str">
        <f t="shared" ca="1" si="16"/>
        <v xml:space="preserve"> </v>
      </c>
      <c r="AR11" s="29" t="str">
        <f t="shared" ca="1" si="16"/>
        <v xml:space="preserve"> </v>
      </c>
      <c r="AS11" s="29" t="str">
        <f t="shared" ca="1" si="16"/>
        <v xml:space="preserve"> </v>
      </c>
      <c r="AT11" s="29" t="str">
        <f t="shared" ca="1" si="16"/>
        <v xml:space="preserve"> </v>
      </c>
      <c r="AU11" s="29" t="str">
        <f t="shared" ca="1" si="16"/>
        <v xml:space="preserve"> </v>
      </c>
      <c r="AV11" s="29">
        <f t="shared" ca="1" si="8"/>
        <v>0</v>
      </c>
      <c r="AW11" s="29" t="s">
        <v>16</v>
      </c>
      <c r="BI11" s="29" t="str">
        <f ca="1">IF(S11="Sage",P8," ")</f>
        <v xml:space="preserve"> </v>
      </c>
      <c r="BM11" s="29">
        <f t="shared" ca="1" si="2"/>
        <v>0</v>
      </c>
      <c r="BN11" s="29">
        <f t="shared" ca="1" si="9"/>
        <v>0</v>
      </c>
      <c r="BO11" s="29" t="str">
        <f t="shared" ca="1" si="3"/>
        <v xml:space="preserve"> </v>
      </c>
      <c r="BP11" s="29" t="str">
        <f t="shared" ca="1" si="4"/>
        <v xml:space="preserve"> </v>
      </c>
      <c r="BQ11" s="29" t="str">
        <f t="shared" ca="1" si="5"/>
        <v xml:space="preserve"> </v>
      </c>
      <c r="BR11" s="29">
        <f t="shared" ca="1" si="6"/>
        <v>0</v>
      </c>
      <c r="BS11" s="29">
        <f ca="1">IF(AND($BY$27=1,OR($P$15="knowledge",$R$15="knowledge")),$P$8*2,IF(AND($BY$27=2,OR($P$15="knowledge",$R$15="knowledge")),$P$8*2,0))</f>
        <v>0</v>
      </c>
      <c r="BU11" s="29">
        <f t="shared" ca="1" si="10"/>
        <v>0</v>
      </c>
      <c r="BV11" s="29" t="s">
        <v>16</v>
      </c>
      <c r="CB11" s="35">
        <f t="shared" ca="1" si="14"/>
        <v>6</v>
      </c>
      <c r="CC11" s="36">
        <f t="shared" ca="1" si="15"/>
        <v>0.4962153738685775</v>
      </c>
      <c r="CD11" s="29" t="s">
        <v>29</v>
      </c>
    </row>
    <row r="12" spans="1:83" ht="19.5" thickBot="1" x14ac:dyDescent="0.35">
      <c r="O12" s="24">
        <f ca="1">IF($AF$14=1,RANDBETWEEN(1,20),IF(Q12=1,RANDBETWEEN(1,19),IF(Q12=2,RANDBETWEEN(2,18),IF(Q12=3,RANDBETWEEN(3,17),IF(Q12=4,RANDBETWEEN(4,16),IF(Q12=5,RANDBETWEEN(5,15),IF(Q12=6,RANDBETWEEN(6,14),IF(Q12=7,RANDBETWEEN(7,13),IF(Q12=8,RANDBETWEEN(8,12),IF(Q12=9,RANDBETWEEN(9,11),IF(Q12=10,10," ")))))))))))</f>
        <v>3</v>
      </c>
      <c r="Q12" s="54" t="str">
        <f ca="1">IF(O11="non-classed"," ",IF(AF14=1," ",IF(AF14=2,RANDBETWEEN(1,10))))</f>
        <v xml:space="preserve"> </v>
      </c>
      <c r="AH12" s="29" t="s">
        <v>17</v>
      </c>
      <c r="AI12" s="29">
        <f ca="1">$P$42</f>
        <v>2</v>
      </c>
      <c r="AJ12" s="29" t="str">
        <f t="shared" ref="AJ12:AU12" ca="1" si="17">IF(COUNTIF(AJ$27:AJ$33,$AH$12),$P$8," ")</f>
        <v xml:space="preserve"> </v>
      </c>
      <c r="AK12" s="29" t="str">
        <f t="shared" ca="1" si="17"/>
        <v xml:space="preserve"> </v>
      </c>
      <c r="AL12" s="29" t="str">
        <f t="shared" ca="1" si="17"/>
        <v xml:space="preserve"> </v>
      </c>
      <c r="AM12" s="29" t="str">
        <f t="shared" ca="1" si="17"/>
        <v xml:space="preserve"> </v>
      </c>
      <c r="AN12" s="29" t="str">
        <f t="shared" ca="1" si="17"/>
        <v xml:space="preserve"> </v>
      </c>
      <c r="AO12" s="29" t="str">
        <f t="shared" ca="1" si="17"/>
        <v xml:space="preserve"> </v>
      </c>
      <c r="AP12" s="29" t="str">
        <f t="shared" ca="1" si="17"/>
        <v xml:space="preserve"> </v>
      </c>
      <c r="AQ12" s="29" t="str">
        <f t="shared" ca="1" si="17"/>
        <v xml:space="preserve"> </v>
      </c>
      <c r="AR12" s="29" t="str">
        <f t="shared" ca="1" si="17"/>
        <v xml:space="preserve"> </v>
      </c>
      <c r="AS12" s="29" t="str">
        <f t="shared" ca="1" si="17"/>
        <v xml:space="preserve"> </v>
      </c>
      <c r="AT12" s="29" t="str">
        <f t="shared" ca="1" si="17"/>
        <v xml:space="preserve"> </v>
      </c>
      <c r="AU12" s="29" t="str">
        <f t="shared" ca="1" si="17"/>
        <v xml:space="preserve"> </v>
      </c>
      <c r="AV12" s="29">
        <f t="shared" ca="1" si="8"/>
        <v>0</v>
      </c>
      <c r="AW12" s="29" t="s">
        <v>17</v>
      </c>
      <c r="AX12" s="29" t="str">
        <f ca="1">IF(S11="acolyte",P8," ")</f>
        <v xml:space="preserve"> </v>
      </c>
      <c r="BC12" s="29" t="str">
        <f ca="1">IF(S11="Guild Artisan",P8," ")</f>
        <v xml:space="preserve"> </v>
      </c>
      <c r="BM12" s="29">
        <f t="shared" ca="1" si="2"/>
        <v>0</v>
      </c>
      <c r="BN12" s="29">
        <f t="shared" ca="1" si="9"/>
        <v>0</v>
      </c>
      <c r="BO12" s="29" t="str">
        <f t="shared" ca="1" si="3"/>
        <v xml:space="preserve"> </v>
      </c>
      <c r="BP12" s="29" t="str">
        <f t="shared" ca="1" si="4"/>
        <v xml:space="preserve"> </v>
      </c>
      <c r="BQ12" s="29" t="str">
        <f t="shared" ca="1" si="5"/>
        <v xml:space="preserve"> </v>
      </c>
      <c r="BR12" s="29">
        <f t="shared" ca="1" si="6"/>
        <v>0</v>
      </c>
      <c r="BU12" s="29">
        <f t="shared" ca="1" si="10"/>
        <v>0</v>
      </c>
      <c r="BV12" s="29" t="s">
        <v>17</v>
      </c>
      <c r="CB12" s="35">
        <f t="shared" ca="1" si="14"/>
        <v>7</v>
      </c>
      <c r="CC12" s="36">
        <f t="shared" ca="1" si="15"/>
        <v>0.46141858229786015</v>
      </c>
      <c r="CD12" s="29" t="s">
        <v>13</v>
      </c>
    </row>
    <row r="13" spans="1:83" x14ac:dyDescent="0.3">
      <c r="AF13" s="29" t="s">
        <v>683</v>
      </c>
      <c r="AH13" s="29" t="s">
        <v>18</v>
      </c>
      <c r="AI13" s="29">
        <f ca="1">$P$43</f>
        <v>4</v>
      </c>
      <c r="AJ13" s="29" t="str">
        <f t="shared" ref="AJ13:AU13" ca="1" si="18">IF(COUNTIF(AJ$27:AJ$33,$AH$13),$P$8," ")</f>
        <v xml:space="preserve"> </v>
      </c>
      <c r="AK13" s="29" t="str">
        <f t="shared" ca="1" si="18"/>
        <v xml:space="preserve"> </v>
      </c>
      <c r="AL13" s="29" t="str">
        <f t="shared" ca="1" si="18"/>
        <v xml:space="preserve"> </v>
      </c>
      <c r="AM13" s="29" t="str">
        <f t="shared" ca="1" si="18"/>
        <v xml:space="preserve"> </v>
      </c>
      <c r="AN13" s="29" t="str">
        <f t="shared" ca="1" si="18"/>
        <v xml:space="preserve"> </v>
      </c>
      <c r="AO13" s="29" t="str">
        <f t="shared" ca="1" si="18"/>
        <v xml:space="preserve"> </v>
      </c>
      <c r="AP13" s="29" t="str">
        <f t="shared" ca="1" si="18"/>
        <v xml:space="preserve"> </v>
      </c>
      <c r="AQ13" s="29" t="str">
        <f t="shared" ca="1" si="18"/>
        <v xml:space="preserve"> </v>
      </c>
      <c r="AR13" s="29" t="str">
        <f t="shared" ca="1" si="18"/>
        <v xml:space="preserve"> </v>
      </c>
      <c r="AS13" s="29" t="str">
        <f t="shared" ca="1" si="18"/>
        <v xml:space="preserve"> </v>
      </c>
      <c r="AT13" s="29" t="str">
        <f t="shared" ca="1" si="18"/>
        <v xml:space="preserve"> </v>
      </c>
      <c r="AU13" s="29" t="str">
        <f t="shared" ca="1" si="18"/>
        <v xml:space="preserve"> </v>
      </c>
      <c r="AV13" s="29">
        <f t="shared" ca="1" si="8"/>
        <v>0</v>
      </c>
      <c r="AW13" s="29" t="s">
        <v>18</v>
      </c>
      <c r="BK13" s="29">
        <f ca="1">IF(S11="Soldier",P8," ")</f>
        <v>2</v>
      </c>
      <c r="BM13" s="29">
        <f t="shared" ca="1" si="2"/>
        <v>2</v>
      </c>
      <c r="BN13" s="29">
        <f t="shared" ca="1" si="9"/>
        <v>0</v>
      </c>
      <c r="BO13" s="29" t="str">
        <f t="shared" ca="1" si="3"/>
        <v xml:space="preserve"> </v>
      </c>
      <c r="BP13" s="29" t="str">
        <f t="shared" ca="1" si="4"/>
        <v xml:space="preserve"> </v>
      </c>
      <c r="BQ13" s="29" t="str">
        <f t="shared" ca="1" si="5"/>
        <v xml:space="preserve"> </v>
      </c>
      <c r="BR13" s="29">
        <f t="shared" ca="1" si="6"/>
        <v>0</v>
      </c>
      <c r="BU13" s="29">
        <f t="shared" ca="1" si="10"/>
        <v>2</v>
      </c>
      <c r="BV13" s="29" t="s">
        <v>18</v>
      </c>
      <c r="CB13" s="35">
        <f t="shared" ca="1" si="14"/>
        <v>17</v>
      </c>
      <c r="CC13" s="36">
        <f t="shared" ca="1" si="15"/>
        <v>0</v>
      </c>
      <c r="CD13" s="29" t="s">
        <v>14</v>
      </c>
    </row>
    <row r="14" spans="1:83" ht="26.25" thickBot="1" x14ac:dyDescent="0.4">
      <c r="B14" s="123" t="s">
        <v>45</v>
      </c>
      <c r="O14" s="123" t="s">
        <v>709</v>
      </c>
      <c r="P14" s="123" t="s">
        <v>743</v>
      </c>
      <c r="Q14" s="123" t="s">
        <v>698</v>
      </c>
      <c r="R14" s="123" t="s">
        <v>743</v>
      </c>
      <c r="S14" s="123" t="s">
        <v>1826</v>
      </c>
      <c r="AF14" s="29">
        <f ca="1">IF(O11="non-classed",1,VLOOKUP(RANDBETWEEN(1,10),Table42[],2))</f>
        <v>1</v>
      </c>
      <c r="AH14" s="29" t="s">
        <v>19</v>
      </c>
      <c r="AI14" s="29">
        <f ca="1">$P$41</f>
        <v>1</v>
      </c>
      <c r="AJ14" s="29" t="str">
        <f t="shared" ref="AJ14:AU14" ca="1" si="19">IF(COUNTIF(AJ$27:AJ$33,$AH$14),$P$8," ")</f>
        <v xml:space="preserve"> </v>
      </c>
      <c r="AK14" s="29" t="str">
        <f t="shared" ca="1" si="19"/>
        <v xml:space="preserve"> </v>
      </c>
      <c r="AL14" s="29" t="str">
        <f t="shared" ca="1" si="19"/>
        <v xml:space="preserve"> </v>
      </c>
      <c r="AM14" s="29" t="str">
        <f t="shared" ca="1" si="19"/>
        <v xml:space="preserve"> </v>
      </c>
      <c r="AN14" s="29" t="str">
        <f t="shared" ca="1" si="19"/>
        <v xml:space="preserve"> </v>
      </c>
      <c r="AO14" s="29" t="str">
        <f t="shared" ca="1" si="19"/>
        <v xml:space="preserve"> </v>
      </c>
      <c r="AP14" s="29" t="str">
        <f t="shared" ca="1" si="19"/>
        <v xml:space="preserve"> </v>
      </c>
      <c r="AQ14" s="29" t="str">
        <f t="shared" ca="1" si="19"/>
        <v xml:space="preserve"> </v>
      </c>
      <c r="AR14" s="29" t="str">
        <f t="shared" ca="1" si="19"/>
        <v xml:space="preserve"> </v>
      </c>
      <c r="AS14" s="29" t="str">
        <f t="shared" ca="1" si="19"/>
        <v xml:space="preserve"> </v>
      </c>
      <c r="AT14" s="29" t="str">
        <f t="shared" ca="1" si="19"/>
        <v xml:space="preserve"> </v>
      </c>
      <c r="AU14" s="29" t="str">
        <f t="shared" ca="1" si="19"/>
        <v xml:space="preserve"> </v>
      </c>
      <c r="AV14" s="29">
        <f t="shared" ca="1" si="8"/>
        <v>0</v>
      </c>
      <c r="AW14" s="29" t="s">
        <v>19</v>
      </c>
      <c r="BM14" s="29">
        <f t="shared" si="2"/>
        <v>0</v>
      </c>
      <c r="BN14" s="29">
        <f t="shared" ca="1" si="9"/>
        <v>0</v>
      </c>
      <c r="BO14" s="29" t="str">
        <f t="shared" ca="1" si="3"/>
        <v xml:space="preserve"> </v>
      </c>
      <c r="BP14" s="29" t="str">
        <f t="shared" ca="1" si="4"/>
        <v xml:space="preserve"> </v>
      </c>
      <c r="BQ14" s="29" t="str">
        <f t="shared" ca="1" si="5"/>
        <v xml:space="preserve"> </v>
      </c>
      <c r="BR14" s="29">
        <f t="shared" ca="1" si="6"/>
        <v>0</v>
      </c>
      <c r="BU14" s="29">
        <f t="shared" ca="1" si="10"/>
        <v>0</v>
      </c>
      <c r="BV14" s="29" t="s">
        <v>19</v>
      </c>
      <c r="CB14" s="35">
        <f t="shared" ca="1" si="14"/>
        <v>3</v>
      </c>
      <c r="CC14" s="36">
        <f t="shared" ca="1" si="15"/>
        <v>0.8234134165526692</v>
      </c>
      <c r="CD14" s="29" t="s">
        <v>15</v>
      </c>
      <c r="CE14" s="31"/>
    </row>
    <row r="15" spans="1:83" ht="19.5" thickTop="1" x14ac:dyDescent="0.3">
      <c r="B15" s="33" t="str">
        <f ca="1">IF(P2="dark","Darkvision 120 ft.",IF(OR(Q2="dwarf",Q2="elf",Q2="gnome",Q2="half-elf",Q2="half-orc",Q2="tiefling"),"Darkvision 60 ft.",IF(Q2="halfling","Lucky",IF(Q2="dragonborn","Breath Weapon"," "))))</f>
        <v>Breath Weapon</v>
      </c>
      <c r="O15" s="33" t="str">
        <f ca="1">IF(O11="wizard","Ritual Casting",IF(O11="warlock","Otherworldly Patron - "&amp;VLOOKUP(RANDBETWEEN(1,2),Table226[],2),IF(O11="sorcerer","Spellcasting Focus",IF(O11="rogue","Sneak Attack - "&amp;INDEX('Class Tables'!E56:E75,MATCH(O12,('Class Tables'!D56:D75),0)),IF(AND(O11="ranger",AF24=2),"Favored Enemy - "&amp;INDEX('Class Tables'!S177:S220,MATCH(1,('Class Tables'!Q177:Q220),0)),IF(AND(O11="ranger",AF24=1),"Favored Enemy - "&amp;INDEX('Class Tables'!R162:R174,MATCH(1,('Class Tables'!Q162:Q174),0)),IF(O11="paladin","Divine Sense - "&amp;SUM(1,P43)&amp;" Uses",IF(O11="monk","Unarmored Defense",IF(O11="fighter",INDEX('Class Tables'!F48:F53,MATCH(1,('Class Tables'!D48:D53),0)),IF(O11="barbarian","Rage "&amp;INDEX('Class Tables'!J141:J160,MATCH(O12,('Class Tables'!I141:I160),0))&amp; " times, "&amp;INDEX('Class Tables'!K141:K160,MATCH(O12,('Class Tables'!I141:I160),0)),IF(O11="bard","Bardic Inspiration "&amp;P43&amp;" uses at "&amp;INDEX('Class Tables'!M58:M77,MATCH(O12,('Class Tables'!L58:L77),0)),IF(OR(O11="cleric",O11="druid"),"Ritual Casting"," "))))))))))))</f>
        <v>Divine Sense - 5 Uses</v>
      </c>
      <c r="P15" s="33" t="str">
        <f ca="1">IF(AND(O11="wizard",O12&gt;=2),VLOOKUP(RANDBETWEEN(1,8),Table251[],2),IF(O11="warlock",O15,IF(O11="sorcerer",VLOOKUP(RANDBETWEEN(1,2),Table224[],2),IF(AND(O11="ranger",O12&gt;=3),VLOOKUP(RANDBETWEEN(1,2),Table97[],2),IF(AND(O11="paladin",O12&gt;=3),VLOOKUP(RANDBETWEEN(1,3),Table90[],2),IF(AND(O11="monk",O12&gt;=3),VLOOKUP(RANDBETWEEN(1,3),Table82[],2),IF(AND(O11="druid",O12&gt;=2),VLOOKUP(RANDBETWEEN(1,2),Table73[],2),IF(O11="cleric",VLOOKUP(RANDBETWEEN(1,7),Table65[],2),IF(AND($O$11="barbarian",$O$12&gt;=3),VLOOKUP(RANDBETWEEN(1,2),Table40[],2),IF(AND(O11="bard",O12&gt;=3),VLOOKUP(RANDBETWEEN(1,2),Table47[],2),IF(AND(O11="fighter",O12&gt;=3),VLOOKUP(RANDBETWEEN(1,3),Table178[],2),IF(AND(O11="rogue",O12&gt;=3),VLOOKUP(RANDBETWEEN(1,3),Table189[],2)," "))))))))))))</f>
        <v>Oath of the Ancients</v>
      </c>
      <c r="Q15" s="33" t="str">
        <f ca="1">IF(Q11="wizard","Ritual Casting",IF(Q11="warlock","Otherworldly Patron - "&amp;VLOOKUP(RANDBETWEEN(1,2),Table226[],2),IF(Q11="sorcerer","Spellcasting Focus",IF(Q11="rogue","Sneak Attack - "&amp;INDEX('Class Tables'!E56:E75,MATCH(Q12,('Class Tables'!D56:D75),0)),IF(AND(Q11="ranger",AF24=2),"Favored Enemy - "&amp;INDEX('Class Tables'!S177:S220,MATCH(1,('Class Tables'!Q177:Q220),0)),IF(AND(Q11="ranger",AF24=1),"Favored Enemy - "&amp;INDEX('Class Tables'!R162:R174,MATCH(1,('Class Tables'!Q162:Q174),0)),IF(Q11="paladin","Divine Sense - "&amp;SUM(1,P43)&amp;" Uses",IF(Q11="monk","Unarmored Defense",IF(Q11="fighter",INDEX('Class Tables'!F48:F53,MATCH(1,('Class Tables'!D48:D53),0)),IF(Q11="barbarian","Rage "&amp;INDEX('Class Tables'!J141:J160,MATCH(Q12,('Class Tables'!I141:I160),0))&amp; " times, "&amp;INDEX('Class Tables'!K141:K160,MATCH(Q12,('Class Tables'!I141:I160),0)),IF(Q11="bard","Bardic Inspiration - "&amp;P43&amp;" uses at "&amp;INDEX('Class Tables'!M58:M77,MATCH(Q12,('Class Tables'!L58:L77),0)),IF(OR(Q11="cleric",Q11="druid"),"Ritual Casting"," "))))))))))))</f>
        <v xml:space="preserve"> </v>
      </c>
      <c r="R15" s="33" t="str">
        <f ca="1">IF(Q11="warlock",O15,IF(Q11="sorcerer",VLOOKUP(RANDBETWEEN(1,2),Table224[],2),IF(AND(Q11="ranger",Q12&gt;=3),VLOOKUP(RANDBETWEEN(1,2),Table97[],2),IF(AND(Q11="paladin",Q12&gt;=3),VLOOKUP(RANDBETWEEN(1,3),Table90[],2),IF(AND(Q11="monk",Q12&gt;=3),VLOOKUP(RANDBETWEEN(1,3),Table82[],2),IF(AND(Q11="druid",Q12&gt;=2),VLOOKUP(RANDBETWEEN(1,2),Table73[],2),IF(Q11="cleric",VLOOKUP(RANDBETWEEN(1,7),Table65[],2),IF(AND($Q$11="barbarian",$Q$12&gt;=3),VLOOKUP(RANDBETWEEN(1,2),Table40[],2),IF(AND(Q11="bard",Q12&gt;=3),VLOOKUP(RANDBETWEEN(1,2),Table47[],2),IF(AND($Q$11="fighter",$Q$12&gt;=3),VLOOKUP(RANDBETWEEN(1,3),Table178[],2),IF(AND(Q11="rogue",Q12&gt;=3),VLOOKUP(RANDBETWEEN(1,3),Table189[],2)," ")))))))))))</f>
        <v xml:space="preserve"> </v>
      </c>
      <c r="S15" s="33" t="str">
        <f ca="1">IF(S11="urchin","City Secrets",IF(S11="soldier",VLOOKUP(RANDBETWEEN(1,8),Table263[],2),IF(S11="pirate","Bad Reputation",IF(S11="Sailor","Ship's Passage",IF(S11="sage",VLOOKUP(RANDBETWEEN(1,8),Table262[],2),IF(S11="outlander",VLOOKUP(RANDBETWEEN(1,10),Table261[],2),IF(S11="knight","Retainers",IF(S11="noble","Position of Privlege",IF(S11="hermit","Discovery",IF(S11="guild artisan",VLOOKUP(RANDBETWEEN(1,20),Table260[],2),IF(S11="folk hero","Rustic Hospitality",IF(S11="entertainer",VLOOKUP(RANDBETWEEN(1,10),Table259[],2),IF(S11="Criminal","Criminal Contact",IF(S11="Charlatan","False Identity",IF(S11="acolyte","Shelter of the Faithful"," ")))))))))))))))</f>
        <v>Quartermaster</v>
      </c>
      <c r="AF15" s="29" t="s">
        <v>1336</v>
      </c>
      <c r="AH15" s="29" t="s">
        <v>20</v>
      </c>
      <c r="AI15" s="29">
        <f ca="1">$P$42</f>
        <v>2</v>
      </c>
      <c r="AJ15" s="29" t="str">
        <f t="shared" ref="AJ15:AU15" ca="1" si="20">IF(COUNTIF(AJ$27:AJ$33,$AH$15),$P$8," ")</f>
        <v xml:space="preserve"> </v>
      </c>
      <c r="AK15" s="29" t="str">
        <f t="shared" ca="1" si="20"/>
        <v xml:space="preserve"> </v>
      </c>
      <c r="AL15" s="29" t="str">
        <f t="shared" ca="1" si="20"/>
        <v xml:space="preserve"> </v>
      </c>
      <c r="AM15" s="29" t="str">
        <f t="shared" ca="1" si="20"/>
        <v xml:space="preserve"> </v>
      </c>
      <c r="AN15" s="29" t="str">
        <f t="shared" ca="1" si="20"/>
        <v xml:space="preserve"> </v>
      </c>
      <c r="AO15" s="29" t="str">
        <f t="shared" ca="1" si="20"/>
        <v xml:space="preserve"> </v>
      </c>
      <c r="AP15" s="29" t="str">
        <f t="shared" ca="1" si="20"/>
        <v xml:space="preserve"> </v>
      </c>
      <c r="AQ15" s="29" t="str">
        <f t="shared" ca="1" si="20"/>
        <v xml:space="preserve"> </v>
      </c>
      <c r="AR15" s="29" t="str">
        <f t="shared" ca="1" si="20"/>
        <v xml:space="preserve"> </v>
      </c>
      <c r="AS15" s="29" t="str">
        <f t="shared" ca="1" si="20"/>
        <v xml:space="preserve"> </v>
      </c>
      <c r="AT15" s="29" t="str">
        <f t="shared" ca="1" si="20"/>
        <v xml:space="preserve"> </v>
      </c>
      <c r="AU15" s="29" t="str">
        <f t="shared" ca="1" si="20"/>
        <v xml:space="preserve"> </v>
      </c>
      <c r="AV15" s="29">
        <f t="shared" ca="1" si="8"/>
        <v>0</v>
      </c>
      <c r="AW15" s="29" t="s">
        <v>20</v>
      </c>
      <c r="BD15" s="29" t="str">
        <f ca="1">IF(S11="Hermit",P8," ")</f>
        <v xml:space="preserve"> </v>
      </c>
      <c r="BM15" s="29">
        <f t="shared" ca="1" si="2"/>
        <v>0</v>
      </c>
      <c r="BN15" s="29">
        <f t="shared" ca="1" si="9"/>
        <v>0</v>
      </c>
      <c r="BO15" s="29" t="str">
        <f t="shared" ca="1" si="3"/>
        <v xml:space="preserve"> </v>
      </c>
      <c r="BP15" s="29" t="str">
        <f t="shared" ca="1" si="4"/>
        <v xml:space="preserve"> </v>
      </c>
      <c r="BQ15" s="29" t="str">
        <f t="shared" ca="1" si="5"/>
        <v xml:space="preserve"> </v>
      </c>
      <c r="BR15" s="29">
        <f t="shared" ca="1" si="6"/>
        <v>0</v>
      </c>
      <c r="BU15" s="29">
        <f t="shared" ca="1" si="10"/>
        <v>0</v>
      </c>
      <c r="BV15" s="29" t="s">
        <v>20</v>
      </c>
      <c r="CB15" s="35">
        <f t="shared" ca="1" si="14"/>
        <v>12</v>
      </c>
      <c r="CC15" s="36">
        <f t="shared" ca="1" si="15"/>
        <v>0.23140827297624322</v>
      </c>
      <c r="CD15" s="29" t="s">
        <v>16</v>
      </c>
    </row>
    <row r="16" spans="1:83" x14ac:dyDescent="0.3">
      <c r="B16" s="33" t="str">
        <f ca="1">IF(Q2="dwarf","Dwarven Resilience",IF(OR(Q2="half-elf",Q2="elf"),"Fey Ancestry",IF(Q2="halfling","Brave",IF(Q2="dragonborn","Damage Resistance",IF(Q2="gnome","Gnome Cunning",IF(Q2="half-orc","Menacing",IF(Q2="tiefling","Hellish Resistance"," ")))))))</f>
        <v>Damage Resistance</v>
      </c>
      <c r="O16" s="33" t="str">
        <f ca="1">IF(O11="wizard","Spellcasting Focus",IF(AND(O11="warlock",O12&gt;=3),VLOOKUP(RANDBETWEEN(1,3),Table227[],2),IF(AND(O11="sorcerer",O12&gt;=2),"Sorcery Points - "&amp;O12,IF(AND(O11="rogue",O12&gt;=2),"Cunning Action",IF(AND(O11="ranger",AF24=2),"Favored Enemy - "&amp;INDEX('Class Tables'!S177:S220,MATCH(2,('Class Tables'!Q177:Q220),0)),IF(O11="paladin","Lay On Hands "&amp;O12*5&amp;" HP",IF(O11="monk","Martial Arts - "&amp;INDEX('Class Tables'!J98:J117,MATCH(O12,('Class Tables'!I98:I117),0)),IF(O11="fighter","Second Wind - 1d10+"&amp;O12&amp;" hp",IF(O11="barbarian","Unarmored Defense",IF(AND(O11="bard",O12&gt;=2),"Jack of All Trades",IF(OR(O11="cleric",O11="druid"),"Spellcasting Focus"," ")))))))))))</f>
        <v>Lay On Hands 15 HP</v>
      </c>
      <c r="P16" s="33" t="str">
        <f ca="1">IF(AND(P15="school of transmutation",O12&gt;=2),"Transmutation Savant",IF(AND(P15="school of necromancy",O12&gt;=2),"Necromancy Savant",IF(AND(P15="school of illusion",O12&gt;=2),"Illusion Savant",IF(AND(P15="school of evocation",O12&gt;=2),"Evocation Savant",IF(AND(P15="school of enchantment",O12&gt;=2),"Enchantment Savant",IF(AND(P15="school of divination",O12&gt;=2),"Divination Savant",IF(AND(P15="school of conjuration",O12&gt;=2),"Conjuration Savant",IF(P15="school of abjuration","Abjuration Savant",IF(AND(P15="otherworldly patron - great old one",O12&gt;=1),"Awakened Mind",IF(AND(P15="otherworldly patron - fiend",O12&gt;=3),"Dark One's Blessing - "&amp;SUM(O12,P43)&amp;" hp",IF(P15="otherworldly patron - Archfey","Fey Presence",IF(P15="wild magic","Wild Magic Surge",IF(P15="draconic bloodline",VLOOKUP(RANDBETWEEN(1,10),Table25[],2)&amp;" Dragon Ancestry",IF(P15="arcane trickster","Mage Hand Legerdemain",IF(P15="assassin","Assassinate",IF(P15="thief","Fast Hands",IF(P15="beastmaster","Companion - "&amp;VLOOKUP(RANDBETWEEN(1,39),Table218[],2),IF(P15="hunter",VLOOKUP(RANDBETWEEN(1,3),Table108[],2),IF(P15="oath of vengeance","Channel Divinity: Abjure Enemy",IF(P15="oath of the ancients","Channel Divinity: Nature's Wrath",IF(P15="Oath of Devotion","Channel Divinity: Sacred Weapon",IF(AND(P15="way of the four elements",O12&gt;=5),"Max. Ki Point for Spell - "&amp;INDEX('Class Tables'!N120:N137,MATCH(O12,('Class Tables'!M120:M137),0)),IF(AND(P15="way of the shadow",O12&gt;=6),"Shadow Step",IF(P15="way of the open hand","Open Hand Technique",IF(P15="eldritch Knight","Weapon Bond",IF(AND(P15="battle master",O12&gt;=7),"Know Your Enemy",IF(P15="champion","Improved Critical",IF(P15="moon","Combat Wild Shape",IF(P15="land","Natural Recovery - "&amp;ROUNDUP(O12*0.5,0)&amp;" slots",IF(AND(P15="war",O12&gt;=1),"War Priest",IF(AND(P15="trickery",O12&gt;=1),"Blessing of the Trickster",IF(AND(P15="tempest",O12&gt;=1),"Wrath of the Storm",IF(AND(P15="nature",O12&gt;=2),"Channel Divinity: Charm Animals and Plants",IF(AND(P15="light",O12&gt;=1),"Warding Flare",IF(P15="life","Disciple of Life",IF(AND(P15="knowledge",O12&gt;=2),"Channel Divinity: Knowledge of the Ages",IF(P15="path of the berserker","Frenzy",IF(P15="path of the totem warrior","Spirit Seeker",IF(P15="college of lore","Cutting Words",IF(P15="college of valor","Combat Inspiration"," "))))))))))))))))))))))))))))))))))))))))</f>
        <v>Channel Divinity: Nature's Wrath</v>
      </c>
      <c r="Q16" s="33" t="str">
        <f ca="1">IF(Q11="wizard","Spellcasting Focus",IF(AND(Q11="warlock",Q12&gt;=3),VLOOKUP(RANDBETWEEN(1,3),Table227[],2),IF(AND(Q11="sorcerer",Q12&gt;=2),"Sorcery Points - "&amp;Q12,IF(AND(Q11="rogue",Q12&gt;=2),"Cunning Action",IF(AND(Q11="ranger",AF24=2),"Favored Enemy - "&amp;INDEX('Class Tables'!S177:S220,MATCH(2,('Class Tables'!Q177:Q220),0)),IF(Q11="paladin","Lay On Hands "&amp;Q12*5&amp;" HP",IF(Q11="monk","Martial Arts - "&amp;INDEX('Class Tables'!J98:J117,MATCH(Q12,('Class Tables'!I98:I117),0)),IF(Q11="fighter","Second Wind - 1d10+"&amp;Q12&amp;" hp",IF(Q11="barbarian","Unarmored Defense AC "&amp;SUM(10,P39,P40),IF(AND(Q11="bard",Q12&gt;=2),"Jack of All Trades",IF(OR(Q11="cleric",Q11="druid"),"Spellcasting Focus"," ")))))))))))</f>
        <v xml:space="preserve"> </v>
      </c>
      <c r="R16" s="33" t="str">
        <f ca="1">IF(AND(R15="otherworldly patron - great old one",Q12&gt;=1),"Awakened Mind",IF(AND(R15="otherworldly patron - fiend",Q12&gt;=3),"Dark One's Blessing - "&amp;SUM(O12,P43)&amp;" hp",IF(R15="otherworldly patron - Archfey","Fey Presence",IF(R15="wild magic","Wild Magic Surge",IF(R15="draconic bloodline",VLOOKUP(RANDBETWEEN(1,10),Table25[],2)&amp;" Dragon Ancestry",IF(R15="arcane trickster","Mage Hand Legerdemain",IF(R15="assassin","Assassinate",IF(R15="thief","Fast Hands",IF(R15="beastmaster","Companion - "&amp;VLOOKUP(RANDBETWEEN(1,39),Table218[],2),IF(R15="hunter",VLOOKUP(RANDBETWEEN(1,3),Table108[],2),IF(R15="oath of vengeance","Channel Divinity: Abjure Enemy",IF(R15="oath of the ancients","Channel Divinity: Nature's Wrath",IF(R15="Oath of Devotion","Channel Divinity: Sacred Weapon",IF(AND(R15="way of the four elements",Q12&gt;=5),"Max. Ki Point for Spell - "&amp;INDEX('Class Tables'!N120:N137,MATCH(Q12,('Class Tables'!M120:M137),0)),IF(AND(R15="way of the shadow",Q12&gt;=6),"Shadow Step",IF(R15="way of the open hand","Open Hand Technique",IF(R15="eldritch knight","Weapon Bond",IF(AND(R15="battle master",Q12&gt;=7),"Know Your Enemy",IF(R15="champion","Improved Critical",IF(R15="moon","Combat Wild Shape",IF(R15="land","Natural Recovery",IF(AND(R15="war",Q12&gt;=1),"War Priest",IF(AND(R15="trickery",Q12&gt;=1),"Blessing of the Trickster",IF(AND(R15="nature",Q12&gt;=1),"Wrath of the Storm",IF(AND(R15="Nature",Q12&gt;=2),"Channel Divinity: Charm Animals and Plants",IF(AND(R15="light",Q12&gt;=1),"Warding Flare",IF(R15="life","Disciple of Life",IF(AND(R15="knowledge",Q12&gt;=2),"Channel Divinity: Knowledge of the Ages",IF(R15="path of the berserker","Frenzy",IF(R15="path of the totem warrior","Spirit Seeker",IF(R15="college of lore","Cutting Words",IF(R15="college of valor","Combat Inspiration"," "))))))))))))))))))))))))))))))))</f>
        <v xml:space="preserve"> </v>
      </c>
      <c r="S16" s="33" t="str">
        <f ca="1">IF(S11="soldier","Military Rank",IF(S11="sage","Researcher",IF(S11="outlander","Wanderer",IF(S11="guild artisan","Guild Membership",IF(S11="entertainer","By Popular Demand",IF(S11="criminal",VLOOKUP(RANDBETWEEN(1,8),Table256[],2)," "))))))</f>
        <v>Military Rank</v>
      </c>
      <c r="AE16" s="29" t="s">
        <v>1339</v>
      </c>
      <c r="AF16" s="29">
        <f ca="1">IF(AND(AF14=2,OR(Q11="monk",Q11="barbarian",Q11="warlock"),OR(O11="paladin",O11="ranger",P15="arcane trickster",P15="eldritch knight")),Q12,IF(AND($AF$14=2,OR(O11="bard",O11="druid",O11="cleric",O11="sorcerer",O11="wizard")),O12,IF(AND($AF$14=2,OR(O11="paladin",O11="ranger")),O12*0.5,IF(AND($AF$14=2,OR($P$15="arcane trickster",$P$15="eldritch knight")),O12*0.33,0))))</f>
        <v>0</v>
      </c>
      <c r="AH16" s="29" t="s">
        <v>21</v>
      </c>
      <c r="AI16" s="29">
        <f ca="1">$P$41</f>
        <v>1</v>
      </c>
      <c r="AJ16" s="29" t="str">
        <f t="shared" ref="AJ16:AU16" ca="1" si="21">IF(COUNTIF(AJ$27:AJ$33,$AH$16),$P$8," ")</f>
        <v xml:space="preserve"> </v>
      </c>
      <c r="AK16" s="29" t="str">
        <f t="shared" ca="1" si="21"/>
        <v xml:space="preserve"> </v>
      </c>
      <c r="AL16" s="29" t="str">
        <f t="shared" ca="1" si="21"/>
        <v xml:space="preserve"> </v>
      </c>
      <c r="AM16" s="29" t="str">
        <f t="shared" ca="1" si="21"/>
        <v xml:space="preserve"> </v>
      </c>
      <c r="AN16" s="29" t="str">
        <f t="shared" ca="1" si="21"/>
        <v xml:space="preserve"> </v>
      </c>
      <c r="AO16" s="29" t="str">
        <f t="shared" ca="1" si="21"/>
        <v xml:space="preserve"> </v>
      </c>
      <c r="AP16" s="29" t="str">
        <f t="shared" ca="1" si="21"/>
        <v xml:space="preserve"> </v>
      </c>
      <c r="AQ16" s="29" t="str">
        <f t="shared" ca="1" si="21"/>
        <v xml:space="preserve"> </v>
      </c>
      <c r="AR16" s="29" t="str">
        <f t="shared" ca="1" si="21"/>
        <v xml:space="preserve"> </v>
      </c>
      <c r="AS16" s="29" t="str">
        <f t="shared" ca="1" si="21"/>
        <v xml:space="preserve"> </v>
      </c>
      <c r="AT16" s="29" t="str">
        <f t="shared" ca="1" si="21"/>
        <v xml:space="preserve"> </v>
      </c>
      <c r="AU16" s="29" t="str">
        <f t="shared" ca="1" si="21"/>
        <v xml:space="preserve"> </v>
      </c>
      <c r="AV16" s="29">
        <f t="shared" ca="1" si="8"/>
        <v>0</v>
      </c>
      <c r="AW16" s="29" t="s">
        <v>21</v>
      </c>
      <c r="BM16" s="29">
        <f t="shared" si="2"/>
        <v>0</v>
      </c>
      <c r="BN16" s="29">
        <f t="shared" ca="1" si="9"/>
        <v>0</v>
      </c>
      <c r="BO16" s="29" t="str">
        <f t="shared" ca="1" si="3"/>
        <v xml:space="preserve"> </v>
      </c>
      <c r="BP16" s="29" t="str">
        <f t="shared" ca="1" si="4"/>
        <v xml:space="preserve"> </v>
      </c>
      <c r="BQ16" s="29" t="str">
        <f t="shared" ca="1" si="5"/>
        <v xml:space="preserve"> </v>
      </c>
      <c r="BR16" s="29">
        <f t="shared" ca="1" si="6"/>
        <v>0</v>
      </c>
      <c r="BS16" s="29">
        <f ca="1">IF(AND($BY$28=1,OR($P$15="knowledge",$R$15="knowledge")),$P$8*2,IF(AND($BY$28=2,OR($P$15="knowledge",$R$15="knowledge")),$P$8*2,0))</f>
        <v>0</v>
      </c>
      <c r="BT16" s="29">
        <f ca="1">IF(AND(BY31=1,OR($P$15="nature",$R$15="nature")),$P$8,0)</f>
        <v>0</v>
      </c>
      <c r="BU16" s="29">
        <f t="shared" ca="1" si="10"/>
        <v>0</v>
      </c>
      <c r="BV16" s="29" t="s">
        <v>21</v>
      </c>
      <c r="CB16" s="35">
        <f t="shared" ca="1" si="14"/>
        <v>10</v>
      </c>
      <c r="CC16" s="36">
        <f t="shared" ca="1" si="15"/>
        <v>0.3900876048132238</v>
      </c>
      <c r="CD16" s="29" t="s">
        <v>17</v>
      </c>
    </row>
    <row r="17" spans="2:83" ht="26.25" thickBot="1" x14ac:dyDescent="0.4">
      <c r="B17" s="33" t="str">
        <f ca="1">IF(Q2="dwarf","Stonecunning",IF(Q2="elf","Trance",IF(Q2="halfling","Halfling Nimbleness",IF(P2="forest","Speak with Small Beasts",IF(P2="rock","Artificer's Lore",IF(Q2="half-orc","Relentless Endurance",IF(Q2="tiefling","Infernal Legacy"," ")))))))</f>
        <v xml:space="preserve"> </v>
      </c>
      <c r="O17" s="33" t="str">
        <f ca="1">IF(O11="wizard","Arcane Recovery - "&amp;ROUNDDOWN(O12*0.5,0)&amp;" slots",IF(AND(O11="warlock",O12&gt;=20),"Eldritch Master",IF(AND(O11="sorcerer",O12&gt;=2),"Flexible Casting",IF(AND(O11="rogue",O12&gt;=5),"Uncanny Dodge",IF(O11="ranger","Natural Explorer: "&amp;INDEX('Class Tables'!F212:F219,MATCH(1,('Class Tables'!D212:D219),0)),IF(AND(O11="paladin",O12&gt;=2),VLOOKUP(RANDBETWEEN(1,4),Table89[],2),IF(AND(O11="monk",O12&gt;=2),"Ki Points - "&amp;INDEX('Class Tables'!K98:K117,MATCH(O12,('Class Tables'!I98:I117),0)),IF(AND(O11="fighter",O12&gt;=2),"Action Surge",IF(AND($O$11="barbarian",$O$12&gt;=2),"Reckless Attack",IF(AND(O11="bard",O12&gt;=2),"Song of Rest - "&amp;INDEX('Class Tables'!N58:N77,MATCH(O12,('Class Tables'!L58:L77),0))&amp;" hp",IF(AND(O11="druid",O12&gt;=2),"Wild Shape - "&amp;INDEX('Class Tables'!R140:R159,MATCH(O12,('Class Tables'!Q140:Q159),0)),IF(AND(O11="cleric",O12&gt;=2),"Channel Divinity - "&amp;INDEX('Class Tables'!N140:N159,MATCH(O12,('Class Tables'!M140:M159),0))&amp;" uses"," "))))))))))))</f>
        <v>Defense Style</v>
      </c>
      <c r="P17" s="33" t="str">
        <f ca="1">IF(AND(P15="school of transmutation",O12&gt;=2),"Minor Alchemy",IF(AND(P15="school of necromancy",O12&gt;=2),"Grim Harvest",IF(AND(P15="school of illusion",O12&gt;=2),"Improved Minor Illusion",IF(AND(P15="school of evocation",O12&gt;=2),"Sculpt Spells",IF(AND(P15="school of enchantment",O12&gt;=2),"Hypnotic Gaze",IF(AND(P15="school of divination",O12&gt;=2),"Portent",IF(AND(P15="school of conjuration",O12&gt;=2),"Minor Conjuration",IF(P15="school of abjuration","Arcane Ward - "&amp;SUM(O12,P41)&amp;" hp",IF(AND(P15="otherworldly patron - great old one",O12&gt;=6),"Entropic Ward",IF(AND(P15="otherworldly patron - fiend",O12&gt;=10),"Fiendish Resilience",IF(AND(P15="otherworldly patron - Archfey",O12&gt;=6),"Misty Escape",IF(P15="wild magic","Tides of Chaos",IF(P15="draconic bloodline","Draconic Resilience - AC "&amp;SUM(13+P39),IF(AND(P15="arcane trickster",O12&gt;=9),"Magical Ambush",IF(AND(P15="assassin",O12&gt;=9),"Infiltration Expertise",IF(P15="thief","Second-Story Work",IF(AND(P15="beastmaster",O12&gt;=7),"Exceptional Training",IF(AND(P15="hunter",O12&gt;=7),VLOOKUP(RANDBETWEEN(1,3),Table126[],2),IF(P15="oath of vengeance","Channel Divinity: Vow of Enmity",IF(P15="oath of the ancients","Channel Divinity: Turn the Faithless",IF(P15="oath of devotion","Channel Divinity: Turn the Unholy",IF(P15="way of the four elements","Elemental Attunement",IF(AND(P15="way of the shadow",O12&gt;=11),"Cloak of Shadows",IF(AND(P15="way of the open hand",O12&gt;=6),"Wholeness of Body "&amp;O12*3&amp;" hp",IF(AND(P15="eldritch knight",O12&gt;=7),"War Magic",IF(AND(P15="battle master",O12&gt;=15),"Relentless",IF(AND(P15="champion",O12&gt;=7),"Remarkable Athlete",IF(P15="moon","Circle Forms - CR: "&amp;ROUNDDOWN(O12*0.33,0),IF(AND(P15="land",O12&gt;=6),"Land's Stride",IF(AND(P15="war",O12&gt;=2),"Channel Divinity: Guided Strike",IF(AND(P15="trickery",O12&gt;=2),"Channel Divinity: Invoke Duplicity",IF(AND(P15="tempest",O12&gt;=2),"Channel Divinity: Destructive Wrath",IF(AND(P15="nature",O12&gt;=6),"Dampen Elements",IF(AND(P15="light",O12&gt;=2),"Channel Divinity: Radiance of the Dawn",IF(AND(P15="life",O12&gt;=2),"Channel Divinity: Preserve Life - "&amp;O12*5&amp;" hp",IF(AND(P15="knowledge",O12&gt;=6),"Channel Divinity: Read Thoughts",IF($P$15="path of the totem warrior",VLOOKUP(RANDBETWEEN(1,3),Table44[],2),IF(AND(P15="college of lore",O12&gt;=14),"Peerless Skill",IF(AND(P15="college of valor",O12&gt;=6),"Extra Attack"," ")))))))))))))))))))))))))))))))))))))))</f>
        <v>Channel Divinity: Turn the Faithless</v>
      </c>
      <c r="Q17" s="33" t="str">
        <f ca="1">IF(Q11="wizard","Arcane Recovery - "&amp;ROUNDDOWN(Q12*0.5,0)&amp;" slots",IF(AND(Q11="sorcerer",Q12&gt;=2),"Flexible Casting",IF(AND(Q11="rogue",Q12&gt;=5),"Uncanny Dodge",IF(Q11="ranger","Natural Explorer: "&amp;INDEX('Class Tables'!F212:F219,MATCH(1,('Class Tables'!D212:D219),0)),IF(AND(Q11="paladin",Q12&gt;=2),VLOOKUP(RANDBETWEEN(1,4),Table89[],2),IF(AND(Q11="monk",Q12&gt;=2),"Ki Points - "&amp;INDEX('Class Tables'!K98:K117,MATCH(Q12,('Class Tables'!I98:I117),0)),IF(AND(Q11="fighter",Q12&gt;=2),"Action Surge",IF(AND($Q$11="barbarian",$Q$12&gt;=2),"Reckless Attack",IF(AND(Q11="bard",Q12&gt;=2),"Song of Rest - "&amp;INDEX('Class Tables'!N58:N77,MATCH(Q12,('Class Tables'!L58:L77),0))&amp;" hp",IF(AND(Q11="cleric",Q12&gt;=2),"Channel Divinity - "&amp;INDEX('Class Tables'!N140:N159,MATCH(Q12,('Class Tables'!M140:M159),0))&amp;" uses",IF(AND(Q11="druid",Q12&gt;=2),"Wild Shape - "&amp;INDEX('Class Tables'!R140:R159,MATCH(Q12,('Class Tables'!Q140:Q159),0))," ")))))))))))</f>
        <v xml:space="preserve"> </v>
      </c>
      <c r="R17" s="33" t="str">
        <f ca="1">IF(AND(R15="otherworldly patron - great old one",Q12&gt;=6),"Entropic Ward",IF(AND(R15="otherworldly patron - fiend",Q12&gt;=10),"Fiendish Resilience",IF(AND(R15="otherworldly patron - Archfey",Q12&gt;=6),"Misty Escape",IF(R15="wild magic","Tides of Chaos",IF(R15="draconic bloodline","Draconic Resilience - AC "&amp;SUM(13+P39),IF(AND(R15="arcane trickster",Q12&gt;=9),"Magical Ambush",IF(AND(R15="assassin",Q12&gt;=9),"Infiltration Expertise",IF(R15="thief","Second-Story Work",IF(AND(R15="beastmaster",Q12&gt;=7),"Exceptional Training",IF(AND(R15="hunter",Q12&gt;=7),VLOOKUP(RANDBETWEEN(1,3),Table126[],2),IF(R15="oath of vengeance","Channel Divinity: Vow of Enmity",IF(R15="oath of the ancients","Channel Divinity: Turn the Faithless",IF(R15="oath of devotion","Channel Divinity: Turn the Unholy",IF(R15="way of the four elements","Elemental Attunement",IF(AND(R15="way of the open hand",Q12&gt;=6),"Wholeness of Body "&amp;Q12*3&amp;" hp",IF(AND(R15="eldritch knight",Q12&gt;=7),"War Magic",IF(AND(R15="champion",Q12&gt;=7),"Remarkable Athlete",IF(R15="moon","Circle Forms",IF(AND(R15="land",Q12&gt;=6),"Land's Stride",IF(AND(R15="war",Q12&gt;=2),"Channel Divinity: Guided Strike",IF(AND(R15="trickery",Q12&gt;=2),"Channel Divinity: Invoke Duplicity",IF(AND(R15="nature",Q12&gt;=2),"Channel Divinity: Destructive Wrath",IF(AND(R15="nature",Q12&gt;=6),"Dampen Elements",IF(AND(R15="light",Q12&gt;=2),"Channel Divinity: Radiance of the Dawn",IF(AND(R15="life",Q12&gt;=2),"Channel Divinity: Preserve Life - "&amp;Q12*5&amp;" hp",IF(AND(R15="knowledge",Q12&gt;=6),"Channel Divinity: Read Thoughts",IF($R$15="path of the totem warrior",VLOOKUP(RANDBETWEEN(1,3),Table44[],2),IF(AND(Q12&gt;=14,R15="college of lore"),"Peerless Skill",IF(AND(Q12&gt;=6,R15="College of Valor"),"Extra Attack"," ")))))))))))))))))))))))))))))</f>
        <v xml:space="preserve"> </v>
      </c>
      <c r="S17" s="123" t="s">
        <v>40</v>
      </c>
      <c r="AE17" s="29" t="s">
        <v>1337</v>
      </c>
      <c r="AF17" s="29">
        <f ca="1">IF(AND(AF14=2,OR(O11="monk",O11="barbarian",O11="warlock"),OR(Q11="paladin",Q11="ranger",R15="arcane trickster",R15="eldritch knight")),Q12,IF(AND($AF$14=2,OR(Q11="bard",Q11="druid",Q11="cleric",Q11="sorcerer",Q11="wizard")),Q12,IF(AND($AF$14=2,OR(Q11="paladin",Q11="ranger")),Q12*0.5,IF(AND($AF$14=2,OR($R$15="arcane trickster",$R$15="eldritch knight")),Q12*0.33,0))))</f>
        <v>0</v>
      </c>
      <c r="AH17" s="29" t="s">
        <v>22</v>
      </c>
      <c r="AI17" s="29">
        <f ca="1">$P$42</f>
        <v>2</v>
      </c>
      <c r="AJ17" s="29" t="str">
        <f t="shared" ref="AJ17:AU17" ca="1" si="22">IF(COUNTIF(AJ$27:AJ$33,$AH$17),$P$8," ")</f>
        <v xml:space="preserve"> </v>
      </c>
      <c r="AK17" s="29" t="str">
        <f t="shared" ca="1" si="22"/>
        <v xml:space="preserve"> </v>
      </c>
      <c r="AL17" s="29" t="str">
        <f t="shared" ca="1" si="22"/>
        <v xml:space="preserve"> </v>
      </c>
      <c r="AM17" s="29" t="str">
        <f t="shared" ca="1" si="22"/>
        <v xml:space="preserve"> </v>
      </c>
      <c r="AN17" s="29" t="str">
        <f t="shared" ca="1" si="22"/>
        <v xml:space="preserve"> </v>
      </c>
      <c r="AO17" s="29" t="str">
        <f t="shared" ca="1" si="22"/>
        <v xml:space="preserve"> </v>
      </c>
      <c r="AP17" s="29" t="str">
        <f t="shared" ca="1" si="22"/>
        <v xml:space="preserve"> </v>
      </c>
      <c r="AQ17" s="29" t="str">
        <f t="shared" ca="1" si="22"/>
        <v xml:space="preserve"> </v>
      </c>
      <c r="AR17" s="29" t="str">
        <f t="shared" ca="1" si="22"/>
        <v xml:space="preserve"> </v>
      </c>
      <c r="AS17" s="29" t="str">
        <f t="shared" ca="1" si="22"/>
        <v xml:space="preserve"> </v>
      </c>
      <c r="AT17" s="29" t="str">
        <f t="shared" ca="1" si="22"/>
        <v xml:space="preserve"> </v>
      </c>
      <c r="AU17" s="29" t="str">
        <f t="shared" ca="1" si="22"/>
        <v xml:space="preserve"> </v>
      </c>
      <c r="AV17" s="29">
        <f t="shared" ca="1" si="8"/>
        <v>0</v>
      </c>
      <c r="AW17" s="29" t="s">
        <v>22</v>
      </c>
      <c r="BH17" s="29" t="str">
        <f ca="1">IF(S11="Pirate",P8," ")</f>
        <v xml:space="preserve"> </v>
      </c>
      <c r="BJ17" s="29" t="str">
        <f ca="1">IF(S11="Sailor",P8," ")</f>
        <v xml:space="preserve"> </v>
      </c>
      <c r="BM17" s="29">
        <f t="shared" ca="1" si="2"/>
        <v>0</v>
      </c>
      <c r="BN17" s="29">
        <f t="shared" ca="1" si="9"/>
        <v>0</v>
      </c>
      <c r="BO17" s="29" t="str">
        <f t="shared" ca="1" si="3"/>
        <v xml:space="preserve"> </v>
      </c>
      <c r="BP17" s="29" t="str">
        <f t="shared" ca="1" si="4"/>
        <v xml:space="preserve"> </v>
      </c>
      <c r="BQ17" s="29" t="str">
        <f t="shared" ca="1" si="5"/>
        <v xml:space="preserve"> </v>
      </c>
      <c r="BR17" s="29">
        <f t="shared" ca="1" si="6"/>
        <v>0</v>
      </c>
      <c r="BU17" s="29">
        <f t="shared" ca="1" si="10"/>
        <v>0</v>
      </c>
      <c r="BV17" s="29" t="s">
        <v>22</v>
      </c>
      <c r="CB17" s="35">
        <f t="shared" ca="1" si="14"/>
        <v>17</v>
      </c>
      <c r="CC17" s="36">
        <f t="shared" ca="1" si="15"/>
        <v>0</v>
      </c>
      <c r="CD17" s="29" t="s">
        <v>18</v>
      </c>
    </row>
    <row r="18" spans="2:83" ht="19.5" thickTop="1" x14ac:dyDescent="0.3">
      <c r="B18" s="33" t="str">
        <f ca="1">IF(P2="wood","Mask of the Wild",IF(P2="dark","Sunlight Sensitivity",IF(P2="lightfoot","Naturally Stealthy",IF(P2="stout","Stout Resilience",IF(P2="rock","Tinker",IF(Q2="half-orc","Savage Attacks"," "))))))</f>
        <v xml:space="preserve"> </v>
      </c>
      <c r="O18" s="33" t="str">
        <f ca="1">IF(AND(O11="wizard",O12&gt;=18),"Spell Mastery - "&amp;INDEX(Q193:Q202,MATCH(1,(O193:O202),0)),IF(AND(AF26=2,O11="warlock",O12&gt;=2,COUNTIF(P193:P202,"*"&amp;"eldritch blast"&amp;"*")),"Invocation - Agonizing Blast",IF(AND(O11="warlock",O12&gt;=15),"Invocation - "&amp;INDEX('Class Tables'!F164:F187,MATCH(1,('Class Tables'!D164:D187),0)),IF(AND(O11="warlock",O12&gt;=9),"Invocation - "&amp;INDEX('Class Tables'!F141:F161,MATCH(1,('Class Tables'!D141:D161),0)),IF(AND(O11="warlock",O12&gt;=7),"Invocation - "&amp;INDEX('Class Tables'!F122:F138,MATCH(1,('Class Tables'!D122:D138),0)),IF(AND(O11="warlock",O12&gt;=5),"Invocation - "&amp;INDEX('Class Tables'!F106:F119,MATCH(1,('Class Tables'!D106:D119),0)),IF(AND(O11="warlock",O12&gt;=2),"Invocation - "&amp;INDEX('Class Tables'!F93:F103,MATCH(1,('Class Tables'!D93:D103),0)),IF(AND(O11="sorcerer",O12&gt;=3),"MM - "&amp;INDEX('Class Tables'!F78:F85,MATCH(1,('Class Tables'!D78:D85),0)),IF(AND(O11="rogue",O12&gt;=7),"Evasion",IF(AND(O11="ranger",O12&gt;=2),VLOOKUP(RANDBETWEEN(1,4),Table96[],2),IF(AND(O11="paladin",O12&gt;=2),"Spellcasting Focus",IF(AND(O11="monk",O12&gt;=2),"Ki DC - "&amp;SUM(8,P8,P42),IF(AND(O11="fighter",O12&gt;=5),"Extra Attack -"&amp;INDEX('Class Tables'!U140:U159,MATCH(O12,('Class Tables'!T140:T159),0)),IF(AND($O$11="barbarian",$O$12&gt;=2),"Danger Sense",IF(AND(O11="bard",O12&gt;=5),"Font of Inspiration",IF(AND(O11="druid",O12&gt;=18),"Timeless Body",IF(AND(O11="cleric",O12&gt;=2),"Channel Divinity: Turn Undead"," ")))))))))))))))))</f>
        <v>Spellcasting Focus</v>
      </c>
      <c r="P18" s="33" t="str">
        <f ca="1">IF(AND(P15="school of transmutation",O12&gt;=6),"Transmuter's Stone",IF(AND(P15="school of necromancy",O12&gt;=6),"Undead Thralls",IF(AND(P15="school of illusion",O12&gt;=6),"Malleable Illusions",IF(AND(P15="school of evocation",O12&gt;=6),"Potent Cantrip",IF(AND(P15="school of enchantment",O12&gt;=6),"Instinctive Charm",IF(AND(P15="school of divination",O12&gt;=6),"Expert Divination",IF(AND(P15="school of conjuration",O12&gt;=6),"Benign Transposition",IF(AND(P15="school of abjuration",O12&gt;=6),"Projected Ward",IF(AND(P15="otherworldly patron - great old one",O12&gt;=10),"Thought Shield",IF(AND(P15="otherworldly patron - fiend",O12&gt;=14),"Hurl Through Hell",IF(AND(P15="otherworldly patron - Archfey",O12&gt;=10),"Beguiling Defenses",IF(AND(P15="wild magic",O12&gt;=6),"Bend Luck",IF(AND(P15="draconic bloodline",O12&gt;=6),"Elemental Affinity",IF(AND(P15="arcane trickster",O12&gt;=13),"Versatile Trickster",IF(AND(P15="assassin",O12&gt;=13),"Imposter",IF(AND(P15="thief",O12&gt;=9),"Supreme Sneak",IF(AND(P15="beastmaster",O12&gt;=11),"Beastial Fury",IF(AND(P15="hunter",O12&gt;=11),VLOOKUP(RANDBETWEEN(1,2),Table179[],2),IF(AND(P15="oath of vengeance",O12&gt;=7),"Relentless Avenger",IF(AND(P15="oath of the ancients",O12&gt;=7),"Aura of Warding",IF(AND(P15="oath of devotion",O12&gt;=7),"Aura of Devotion",IF(P15="way of the four elements",INDEX('Class Tables'!K120:K126,MATCH(1,('Class Tables'!I120:I126),0)),IF(AND(P15="way of the shadow",O12&gt;=17),"Opportunist",IF(AND(P15="way of the open hand",O12&gt;=11),"Tranquility DC "&amp;SUM(8,P42,P8),IF(AND(P15="eldritch knight",O12&gt;=10),"Eldritch Strike",IF(P15="battle Master",INDEX('Class Tables'!J58:J77,MATCH(O12,('Class Tables'!I58:I77),0)),IF(AND(P15="champion",O12&gt;=10),INDEX('Class Tables'!F48:F53,MATCH(2,('Class Tables'!D48:D53),0)),IF(AND(P15="moon",O12&gt;=6),"Primal Strike",IF(AND(P15="land",O12&gt;=10),"Nature's Ward",IF(AND(P15="war",O12&gt;=6),"Channel Divinity: War God's Blessing",IF(AND(P15="trickery",O12&gt;=6),"Channel Divinity: Cloak of Shadows",IF(AND(P15="nature",O12&gt;=6),"Thunderbolt Strike",IF(AND(P15="nature",O12&gt;=8),"Divine Strike",IF(AND(P15="light",O12&gt;=6),"Improved Flare",IF(AND(P15="life",O12&gt;=6),"Blessed Healer",IF(AND(P15="knowledge",O12&gt;=8),"Potent Spellcasting",IF(AND(P15="path of the berserker",O12&gt;=6,O11="barbarian"),"Mindless Rage",IF(AND(P15="path of the totem warrior",O12&gt;=6,O11="barbarian"),VLOOKUP(RANDBETWEEN(1,3),Table44[],3),IF(AND(P15="college of valor",O12&gt;=14),"Battle Magic"," ")))))))))))))))))))))))))))))))))))))))</f>
        <v xml:space="preserve"> </v>
      </c>
      <c r="Q18" s="33" t="str">
        <f ca="1">IF(AND(Q11="warlock",Q12&gt;=9),"Invocation - "&amp;INDEX('Class Tables'!F141:F161,MATCH(1,('Class Tables'!D141:D161),0)),IF(AND(Q11="warlock",Q12&gt;=7),"Invocation - "&amp;INDEX('Class Tables'!F122:F138,MATCH(1,('Class Tables'!D122:D138),0)),IF(AND(Q11="warlock",Q12&gt;=5),"Invocation - "&amp;INDEX('Class Tables'!F106:F119,MATCH(1,('Class Tables'!D106:D119),0)),IF(AND(Q11="warlock",Q12&gt;=2),"Invocation - "&amp;INDEX('Class Tables'!F93:F103,MATCH(1,('Class Tables'!D93:D103),0)),IF(AND(Q11="sorcerer",Q12&gt;=3),"MM - "&amp;INDEX('Class Tables'!F78:F85,MATCH(1,('Class Tables'!D78:D85),0)),IF(AND(Q11="rogue",Q12&gt;=7),"Evasion",IF(AND(Q11="ranger",Q12&gt;=2),VLOOKUP(RANDBETWEEN(1,4),Table96[],2),IF(AND(Q11="paladin",Q12&gt;=2),"Spellcasting Focus",IF(AND(Q11="monk",Q12&gt;=2),"Ki DC - "&amp;SUM(8,P8,P42),IF(AND(Q11="fighter",Q12&gt;=5),"Extra Attack - "&amp;INDEX('Class Tables'!U140:U159,MATCH(Q12,('Class Tables'!T140:T159),0)),IF(AND($Q$11="barbarian",$Q$12&gt;=2),"Danger Sense",IF(AND(Q11="bard",Q12&gt;=5),"Font of Inspiration",IF(AND(Q11="cleric",Q12&gt;=2),"Channel Divinity: Turn Undead",IF(AND(Q11="druid",Q12&gt;=18),"Timeless Body"," "))))))))))))))</f>
        <v xml:space="preserve"> </v>
      </c>
      <c r="R18" s="33" t="str">
        <f ca="1">IF(AND(R15="otherworldly patron - great old one",Q12&gt;=10),"Thought Shield",IF(AND(R15="otherworldly patron - Archfey",Q12&gt;=10),"Beguiling Defenses",IF(AND(R15="wild magic",Q12&gt;=6),"Bend Luck",IF(AND(R15="draconic bloodline",Q12&gt;=6),"Elemental Affinity",IF(AND(R15="thief",Q12&gt;=9),"Supreme Sneak",IF(AND(R15="oath of vengeance",Q12&gt;=7),"Relentless Avenger",IF(AND(R15="oath of the ancients",Q12&gt;=7),"Aura of Warding",IF(AND(R15="oath of devotion",Q12&gt;=7),"Aura of Devotion",IF(R15="way of the four elements",INDEX('Class Tables'!K120:K126,MATCH(1,('Class Tables'!I120:I126),0)),IF(AND(R15="eldritch knight",Q12&gt;=10),"Eldritch Strike",IF(R15="battle Master",INDEX('Class Tables'!J58:J77,MATCH(Q12,('Class Tables'!I58:I77),0)),IF(AND(R15="champion",Q12&gt;=10),INDEX('Class Tables'!F48:F53,MATCH(2,('Class Tables'!D48:D53),0)),IF(AND(R15="moon",Q12&gt;=6),"Primal Strike",IF(AND(R15="land",Q12&gt;=10),"Nature's Ward",IF(AND(R15="war",Q12&gt;=6),"War God's Blessing",IF(AND(R15="trickery",Q12&gt;=6),"Channel Divinity: Cloak of Shadows",IF(AND(R15="nature",Q12&gt;=6),"Thunderbolt Strike",IF(AND(R15="nature",Q12&gt;=8),"Divine Strike",IF(AND(R15="light",Q12&gt;=6),"Improved Flare",IF(AND(R15="life",Q12&gt;=6),"Blessed Healer",IF(AND(R15="knowledge",Q12&gt;=8),"Potent Spellcasting",IF(AND(R15="path of the berserker",Q12&gt;=6),"Mindless Rage",IF(AND(R15="path of the totem warrior",Q12&gt;=6),VLOOKUP(RANDBETWEEN(1,3),Table44[],3)," ")))))))))))))))))))))))</f>
        <v xml:space="preserve"> </v>
      </c>
      <c r="S18" s="33" t="s">
        <v>51</v>
      </c>
      <c r="AE18" s="29" t="s">
        <v>1338</v>
      </c>
      <c r="AF18" s="29">
        <f ca="1">ROUNDDOWN(SUM(AF16:AF17),0)</f>
        <v>0</v>
      </c>
      <c r="AH18" s="29" t="s">
        <v>23</v>
      </c>
      <c r="AI18" s="29">
        <f ca="1">$P$43</f>
        <v>4</v>
      </c>
      <c r="AJ18" s="29" t="str">
        <f t="shared" ref="AJ18:AU18" ca="1" si="23">IF(COUNTIF(AJ$27:AJ$33,$AH$18),$P$8," ")</f>
        <v xml:space="preserve"> </v>
      </c>
      <c r="AK18" s="29" t="str">
        <f t="shared" ca="1" si="23"/>
        <v xml:space="preserve"> </v>
      </c>
      <c r="AL18" s="29" t="str">
        <f t="shared" ca="1" si="23"/>
        <v xml:space="preserve"> </v>
      </c>
      <c r="AM18" s="29" t="str">
        <f t="shared" ca="1" si="23"/>
        <v xml:space="preserve"> </v>
      </c>
      <c r="AN18" s="29" t="str">
        <f t="shared" ca="1" si="23"/>
        <v xml:space="preserve"> </v>
      </c>
      <c r="AO18" s="29" t="str">
        <f t="shared" ca="1" si="23"/>
        <v xml:space="preserve"> </v>
      </c>
      <c r="AP18" s="29" t="str">
        <f t="shared" ca="1" si="23"/>
        <v xml:space="preserve"> </v>
      </c>
      <c r="AQ18" s="29" t="str">
        <f t="shared" ca="1" si="23"/>
        <v xml:space="preserve"> </v>
      </c>
      <c r="AR18" s="29" t="str">
        <f t="shared" ca="1" si="23"/>
        <v xml:space="preserve"> </v>
      </c>
      <c r="AS18" s="29" t="str">
        <f t="shared" ca="1" si="23"/>
        <v xml:space="preserve"> </v>
      </c>
      <c r="AT18" s="29" t="str">
        <f t="shared" ca="1" si="23"/>
        <v xml:space="preserve"> </v>
      </c>
      <c r="AU18" s="29" t="str">
        <f t="shared" ca="1" si="23"/>
        <v xml:space="preserve"> </v>
      </c>
      <c r="AV18" s="29">
        <f t="shared" ca="1" si="8"/>
        <v>0</v>
      </c>
      <c r="AW18" s="29" t="s">
        <v>23</v>
      </c>
      <c r="BA18" s="29" t="str">
        <f ca="1">IF(S11="Entertainer",P8," ")</f>
        <v xml:space="preserve"> </v>
      </c>
      <c r="BM18" s="29">
        <f t="shared" ca="1" si="2"/>
        <v>0</v>
      </c>
      <c r="BN18" s="29">
        <f t="shared" ca="1" si="9"/>
        <v>0</v>
      </c>
      <c r="BO18" s="29" t="str">
        <f t="shared" ca="1" si="3"/>
        <v xml:space="preserve"> </v>
      </c>
      <c r="BP18" s="29" t="str">
        <f t="shared" ca="1" si="4"/>
        <v xml:space="preserve"> </v>
      </c>
      <c r="BQ18" s="29" t="str">
        <f t="shared" ca="1" si="5"/>
        <v xml:space="preserve"> </v>
      </c>
      <c r="BR18" s="29">
        <f t="shared" ca="1" si="6"/>
        <v>0</v>
      </c>
      <c r="BU18" s="29">
        <f t="shared" ca="1" si="10"/>
        <v>0</v>
      </c>
      <c r="BV18" s="29" t="s">
        <v>23</v>
      </c>
      <c r="CB18" s="35">
        <f t="shared" ca="1" si="14"/>
        <v>4</v>
      </c>
      <c r="CC18" s="36">
        <f t="shared" ca="1" si="15"/>
        <v>0.65515273139257058</v>
      </c>
      <c r="CD18" s="29" t="s">
        <v>19</v>
      </c>
    </row>
    <row r="19" spans="2:83" x14ac:dyDescent="0.3">
      <c r="B19" s="33" t="str">
        <f ca="1">IF(P2="dark","Drow Magic"," ")</f>
        <v xml:space="preserve"> </v>
      </c>
      <c r="O19" s="33" t="str">
        <f ca="1">IF(AND(O11="wizard",O12&gt;=18),"Spell Mastery - "&amp;INDEX(R193:R202,MATCH(1,(O193:O202),0)),IF(AND(O12&gt;=2,O16="pact of the chain",AF26=1),"Invocation - Voice of the Chain Master",IF(AND(O12&gt;=5,O16="pact of the blade",AF26=1),"Invocation - Thirsting Blade",IF(AND(O11="warlock",O12&gt;=2,O16="pact of the tome",AF26=1),"Invocation - Book of Ancient Secrets",IF(AND(O11="warlock",O12&gt;=2,COUNTIF(P193:P202,"*"&amp;"Eldritch blast"&amp;"*")),"Invocation - Repelling Blast",IF(AND(O11="warlock",O12&gt;=15),"Invocation - "&amp;INDEX('Class Tables'!F164:F187,MATCH(2,('Class Tables'!D164:D187),0)),IF(AND(O11="warlock",O12&gt;=9),"Invocation - "&amp;INDEX('Class Tables'!F141:F161,MATCH(2,('Class Tables'!D141:D161),0)),IF(AND(O11="warlock",O12&gt;=7),"Invocation - "&amp;INDEX('Class Tables'!F122:F138,MATCH(2,('Class Tables'!D122:D138),0)),IF(AND(O11="warlock",O12&gt;=5),"Invocation - "&amp;INDEX('Class Tables'!F106:F119,MATCH(2,('Class Tables'!D106:D119),0)),IF(AND(O11="warlock",O12&gt;=2),"Invocation - "&amp;INDEX('Class Tables'!F93:F103,MATCH(2,('Class Tables'!D93:D103),0)),IF(AND(O11="sorcerer",O12&gt;=10),"MM - "&amp;INDEX('Class Tables'!F78:F85,MATCH(2,('Class Tables'!D78:D85),0)),IF(AND(O11="rogue",O12&gt;=11),"Reliable Talent",IF(AND(O11="ranger",O12&gt;=3),"Primeval Awareness",IF(AND(O11="paladin",O12&gt;=2),"Divine Smite",IF(AND(O11="monk",O12&gt;=2),"Flurry of Blows",IF(AND(O11="fighter",O12&gt;=9),"Indomitable",IF(AND($O$11="barbarian",$O$12&gt;=5),"Extra Attack",IF(AND(O11="bard",O12&gt;=6),"Countercharm",IF(AND(O11="cleric",O12&gt;=5),"Destroy Undead - "&amp;INDEX('Class Tables'!O140:O159,MATCH(O12,('Class Tables'!M140:M159),0)),IF(AND(O11="druid",O12&gt;=18),"Beast Spells"," "))))))))))))))))))))</f>
        <v>Divine Smite</v>
      </c>
      <c r="P19" s="33" t="str">
        <f ca="1">IF(AND(P15="school of transmutation",O12&gt;=10),"Shapechanger",IF(AND(P15="school of necromancy",O12&gt;=10),"Inured to Undeath",IF(AND(P15="school of illusion",O12&gt;=10),"Illusory Self",IF(AND(P15="school of evocation",O12&gt;=10),"Empowered Evocation",IF(AND(P15="school of enchantment",O12&gt;=10),"Split Enchantment",IF(AND(P15="school of divination",O12&gt;=10),"The Third Eye",IF(AND(P15="school of conjuration",O12&gt;=10),"Focused Conjuration",IF(AND(P15="school of abjuration",O12&gt;=10),"Improved Abjuration",IF(AND(P15="otherworldly patron - great old one",O12&gt;=14),"Create Thrall",IF(AND(P15="otherworldly patron - Archfey",O12&gt;=14),"Dark Delirium",IF(AND(P15="wild magic",O12&gt;=14),"Controlled Chaos",IF(AND(P15="draconic bloodline",O12&gt;=14),"Dragon Wings",IF(AND(P15="arcane trickster",O12&gt;=17),"Spell Thief",IF(AND(P15="assassin",O12&gt;=17),"Death Strike DC"&amp;SUM(8,P8,P39),IF(AND(P15="thief",O12&gt;=13),"Use Magic Device",IF(AND(P15="beastmaster",O12&gt;=15),"Share Spells",IF(AND(P15="hunter",O12&gt;=15),VLOOKUP(RANDBETWEEN(1,3),Table199[],2),IF(AND(P15="oath of vengeance",O12&gt;=15),"Soul of Vengeance",IF(AND(P15="oath of the ancients",O12&gt;=15),"Undying Sentinel",(IF(AND(P15="oath of devotion",O12&gt;=15),"Purity of Spirit",IF(P15="way of the four elements",INDEX('Class Tables'!K120:K126,MATCH(2,('Class Tables'!I120:I126),0)),IF(AND(P15="way of the open hand",O12&gt;=17),"Quivering Palm",IF(AND(P15="eldritch Knight",O12&gt;=15),"Arcane Charge",IF(P15="battle master","Maneuver DC "&amp;SUM(P8,8,AF22),IF(AND(P15="champion",O12&gt;=15),"Superior Critcial",IF(AND(P15="moon",O12&gt;=10),"Elemental Wild Strike",IF(AND(P15="land",O12&gt;=14),"Nature's Sanctuary",IF(AND(P15="war",O12&gt;=8),"Divine Strike",IF(AND(P15="trickery",O12&gt;=8),"Divine Strike",IF(AND(P15="nature",O12&gt;=8),"Divine Strike",IF(AND(P15="nature",O12&gt;=17),"Master of Nature",IF(AND(P15="light",O12&gt;=8),"Potent Spellcasting",IF(AND(P15="life",O12&gt;=8),"Divine Strike",IF(AND(P15="knowledge",O12&gt;=17),"Visions of the Past",IF(AND(O12&gt;=10,P15="path of the berserker"),"Intimidating Presence DC "&amp;SUM(8,P8,P43),IF(AND(O12&gt;=10,P15="path of the totem warrior"),"Spirit Walker"," ")))))))))))))))))))))))))))))))))))))</f>
        <v xml:space="preserve"> </v>
      </c>
      <c r="Q19" s="33" t="str">
        <f ca="1">IF(AND(Q11="warlock",Q12&gt;=9),"Invocation - "&amp;INDEX('Class Tables'!F141:F161,MATCH(2,('Class Tables'!D141:D161),0)),IF(AND(Q11="warlock",Q12&gt;=7),"Invocation - "&amp;INDEX('Class Tables'!F122:F138,MATCH(2,('Class Tables'!D122:D138),0)),IF(AND(Q11="warlock",Q12&gt;=5),"Invocation - "&amp;INDEX('Class Tables'!F106:F119,MATCH(2,('Class Tables'!D106:D119),0)),IF(AND(Q11="warlock",Q12&gt;=2),"Invocation - "&amp;INDEX('Class Tables'!F93:F103,MATCH(2,('Class Tables'!D93:D103),0)),IF(AND(Q11="sorcerer",Q12&gt;=10),"MM - "&amp;INDEX('Class Tables'!F78:F85,MATCH(2,('Class Tables'!D78:D85),0)),IF(AND(Q11="ranger",Q12&gt;=3),"Primeval Awareness",IF(AND(Q11="paladin",Q12&gt;=2),"Divine Smite",IF(AND(Q11="monk",Q12&gt;=2),"Flurry of Blows",IF(AND(Q11="fighter",Q12&gt;=9),"Indomitable",IF(AND($Q$11="barbarian",$Q$12&gt;=5),"Extra Attack",IF(AND(Q11="bard",Q12&gt;=6),"Countercharm",IF(AND(Q11="cleric",Q12&gt;=5),"Destroy Undead - "&amp;INDEX('Class Tables'!O140:O159,MATCH(Q12,('Class Tables'!M140:M159),0)),IF(AND(Q11="druid",Q12&gt;=18),"Beast Spells"," ")))))))))))))</f>
        <v xml:space="preserve"> </v>
      </c>
      <c r="R19" s="33" t="str">
        <f ca="1">IF(R15="way of the four elements",INDEX('Class Tables'!K120:K126,MATCH(2,('Class Tables'!I120:I126),0)),IF(R15="battle master","Maneuver DC "&amp;SUM(P8,8,AF22),IF(AND(R15="moon",Q12&gt;=10),"Elemental Wild Shape",IF(AND(R15="war",Q12&gt;=8),"Divine Strike",IF(AND(R15="trickery",Q12&gt;=8),"Divine Strike",IF(AND(R15="nature",Q12&gt;=8),"Divine Strike",IF(AND(R15="light",Q12&gt;=8),"Potent Spellcasting",IF(AND(R15="life",Q12&gt;=8),"Divine Strike",IF(AND(R15="knowledge",Q12&gt;=17),"Visions of the Past",IF(AND(Q12&gt;=10,R15="path of the berserker"),"Intimidating Presence DC "&amp;SUM(8,P8,P43),IF(AND(Q12&gt;=10,R15="path of the totem warrior"),"Spirit Walker"," ")))))))))))</f>
        <v xml:space="preserve"> </v>
      </c>
      <c r="S19" s="33" t="str">
        <f ca="1">IF(Q2="dwarf","Dwarvish",IF(OR(Q2="half-elf",Q2="elf"),"Elvish",IF(Q2="halfling","Halfling",IF(Q2="human",VLOOKUP(RANDBETWEEN(1,8),Table20[],2),IF(Q2="gnome","Gnomish",IF(Q2="half-orc","Orc",IF(Q2="tiefling","Infernal"," ")))))))</f>
        <v xml:space="preserve"> </v>
      </c>
      <c r="AH19" s="29" t="s">
        <v>24</v>
      </c>
      <c r="AI19" s="29">
        <f ca="1">$P$43</f>
        <v>4</v>
      </c>
      <c r="AJ19" s="29" t="str">
        <f t="shared" ref="AJ19:AU19" ca="1" si="24">IF(COUNTIF(AJ$27:AJ$33,$AH$19),$P$8," ")</f>
        <v xml:space="preserve"> </v>
      </c>
      <c r="AK19" s="29" t="str">
        <f t="shared" ca="1" si="24"/>
        <v xml:space="preserve"> </v>
      </c>
      <c r="AL19" s="29" t="str">
        <f t="shared" ca="1" si="24"/>
        <v xml:space="preserve"> </v>
      </c>
      <c r="AM19" s="29" t="str">
        <f t="shared" ca="1" si="24"/>
        <v xml:space="preserve"> </v>
      </c>
      <c r="AN19" s="29" t="str">
        <f t="shared" ca="1" si="24"/>
        <v xml:space="preserve"> </v>
      </c>
      <c r="AO19" s="29" t="str">
        <f t="shared" ca="1" si="24"/>
        <v xml:space="preserve"> </v>
      </c>
      <c r="AP19" s="29" t="str">
        <f t="shared" ca="1" si="24"/>
        <v xml:space="preserve"> </v>
      </c>
      <c r="AQ19" s="29" t="str">
        <f t="shared" ca="1" si="24"/>
        <v xml:space="preserve"> </v>
      </c>
      <c r="AR19" s="29" t="str">
        <f t="shared" ca="1" si="24"/>
        <v xml:space="preserve"> </v>
      </c>
      <c r="AS19" s="29" t="str">
        <f t="shared" ca="1" si="24"/>
        <v xml:space="preserve"> </v>
      </c>
      <c r="AT19" s="29" t="str">
        <f t="shared" ca="1" si="24"/>
        <v xml:space="preserve"> </v>
      </c>
      <c r="AU19" s="29" t="str">
        <f t="shared" ca="1" si="24"/>
        <v xml:space="preserve"> </v>
      </c>
      <c r="AV19" s="29">
        <f t="shared" ca="1" si="8"/>
        <v>0</v>
      </c>
      <c r="AW19" s="29" t="s">
        <v>24</v>
      </c>
      <c r="BE19" s="29" t="str">
        <f ca="1">IF(S11="Knight",P8," ")</f>
        <v xml:space="preserve"> </v>
      </c>
      <c r="BF19" s="29" t="str">
        <f ca="1">IF(S11="Noble",P8," ")</f>
        <v xml:space="preserve"> </v>
      </c>
      <c r="BM19" s="29">
        <f t="shared" ca="1" si="2"/>
        <v>0</v>
      </c>
      <c r="BN19" s="29">
        <f t="shared" ca="1" si="9"/>
        <v>0</v>
      </c>
      <c r="BO19" s="29" t="str">
        <f t="shared" ca="1" si="3"/>
        <v xml:space="preserve"> </v>
      </c>
      <c r="BP19" s="29" t="str">
        <f t="shared" ca="1" si="4"/>
        <v xml:space="preserve"> </v>
      </c>
      <c r="BQ19" s="29" t="str">
        <f t="shared" ca="1" si="5"/>
        <v xml:space="preserve"> </v>
      </c>
      <c r="BR19" s="29">
        <f t="shared" ca="1" si="6"/>
        <v>0</v>
      </c>
      <c r="BU19" s="29">
        <f t="shared" ca="1" si="10"/>
        <v>0</v>
      </c>
      <c r="BV19" s="29" t="s">
        <v>24</v>
      </c>
      <c r="CB19" s="35">
        <f t="shared" ca="1" si="14"/>
        <v>13</v>
      </c>
      <c r="CC19" s="36">
        <f t="shared" ca="1" si="15"/>
        <v>0.21354733905401646</v>
      </c>
      <c r="CD19" s="29" t="s">
        <v>20</v>
      </c>
      <c r="CE19" s="31"/>
    </row>
    <row r="20" spans="2:83" x14ac:dyDescent="0.3">
      <c r="O20" s="33" t="str">
        <f ca="1">IF(AND(O11="warlock",O12&gt;=2,AF26=2,COUNTIF(P193:P202,"*"&amp;"Eldritch blast"&amp;"*")),"Invocation - Eldritch Spear",IF(AND(O11="warlock",O12&gt;=15),"Invocation - "&amp;INDEX('Class Tables'!F164:F187,MATCH(3,('Class Tables'!D164:D187),0)),IF(AND(O11="warlock",O12&gt;=9),"Invocation - "&amp;INDEX('Class Tables'!F141:F161,MATCH(3,('Class Tables'!D141:D161),0)),IF(AND(O11="warlock",O12&gt;=7),"Invocation - "&amp;INDEX('Class Tables'!F122:F138,MATCH(3,('Class Tables'!D122:D138),0)),IF(AND(O11="warlock",O12&gt;=5),"Invocation - "&amp;INDEX('Class Tables'!F106:F119,MATCH(3,('Class Tables'!D106:D119),0)),IF(AND(O11="sorcerer",O12&gt;=20),"Sorcerous Restoration",IF(AND(O11="sorcerer",O12&gt;=17),"MM - "&amp;INDEX('Class Tables'!F78:F85,MATCH(3,('Class Tables'!D78:D85),0)),IF(AND(O11="rogue",O12&gt;=14),"Blindsense",IF(AND(O11="ranger",O12&gt;=5),"Extra Attack",IF(AND(O11="paladin",O12&gt;=3),"Divine Health",IF(AND(O11="monk",O12&gt;=2),"Patient Defense",IF(AND(O11="barbarian",O12&gt;=5),"Fast Movement",IF(AND(O11="bard",O12&gt;=20),"Superior Inspiration",IF(AND(O11="druid",O12&gt;=20),"Archdruid",IF(AND(O11="cleric",O12&gt;=10),"Divine Intervention"," ")))))))))))))))</f>
        <v>Divine Health</v>
      </c>
      <c r="P20" s="33" t="str">
        <f ca="1">IF(AND(P15="school of transmutation",O12&gt;=14),"Master Transmuter",IF(AND(P15="school of necromancy",O12&gt;=14),"Command Undead",IF(AND(P15="school of illusion",O12&gt;=14),"Illusory Reality",IF(AND(P15="school of evocation",O12&gt;=14),"Overchannel",IF(AND(P15="school of enchantment",O12&gt;=14),"Alter Memories",IF(AND(P15="school of divination",O12&gt;=14),"Greater Portent",IF(AND(P15="school of conjuration",O12&gt;=14),"Durable Summons",IF(AND(P15="school of abjuration",O12&gt;=14),"Spell Resistance",IF(AND(P15="wild magic",O12&gt;=18),"Spell Bombardment",IF(AND(P15="Draconic Bloodline",O12&gt;=18),"Draconic Presence",IF(AND(P15="thief",O12&gt;=17),"Thief's Reflexes",IF(AND(P15="oath of vengeance",O12&gt;=20),"Avenging Angel",IF(AND(P15="oath of the ancients",O12&gt;=20),"Elder Champion",IF(AND(P15="Oath of Devotion",O12&gt;=20),"Holy Nimbus",IF(AND(P15="way of the four elements",O12&gt;=6),INDEX('Class Tables'!K128:K129,MATCH(1,('Class Tables'!I128:I129),0)),IF(AND(P15="eldritch knight",O12&gt;=18),"Improved War Magic",IF(P15="battle master",INDEX('Class Tables'!K40:K55,MATCH(1,('Class Tables'!I40:I55),0)),IF(AND(P15="champion",O12&gt;=18),"Survivor - "&amp;SUM(5+P48)&amp;" hp",IF(AND(P15="moon",O12&gt;=14),"Thousand Forms",IF(P15="land",VLOOKUP(RANDBETWEEN(1,8),Table74[],2),IF(AND(P15="war",O12&gt;=17),"Avatar of Battle",IF(AND(P15="trickery",O12&gt;=17),"Improved Duplicity",IF(AND(P15="nature",O12&gt;=17),"Stormborn",IF(AND(P15="light",O12&gt;=17),"Corona of Light",IF(AND(P15="life",O12&gt;=17),"Supreme Healing",IF(AND(P15="path of the totem warrior",O12&gt;=14),VLOOKUP(RANDBETWEEN(1,3),Table44[],4)," "))))))))))))))))))))))))))</f>
        <v xml:space="preserve"> </v>
      </c>
      <c r="Q20" s="33" t="str">
        <f ca="1">IF(AND(Q11="warlock",Q12&gt;=9),"Invocation - "&amp;INDEX('Class Tables'!F141:F161,MATCH(3,('Class Tables'!D141:D161),0)),IF(AND(Q11="warlock",Q12&gt;=7),"Invocation - "&amp;INDEX('Class Tables'!F122:F138,MATCH(3,('Class Tables'!D122:D138),0)),IF(AND(Q11="warlock",Q12&gt;=5),"Invocation - "&amp;INDEX('Class Tables'!F106:F119,MATCH(3,('Class Tables'!D106:D119),0)),IF(AND(Q11="ranger",Q12&gt;=5),"Extra Attack",IF(AND(Q11="paladin",Q12&gt;=3),"Divine Health",IF(AND(Q11="monk",Q12&gt;=2),"Patient Defense",IF(AND(Q11="barbarian",Q12&gt;=5),"Fast Movement",IF(AND(Q11="cleric",Q12&gt;=10),"Divine Intervention"," "))))))))</f>
        <v xml:space="preserve"> </v>
      </c>
      <c r="R20" s="33" t="str">
        <f ca="1">IF(AND(R15="way of the four elements",Q12&gt;=6),INDEX('Class Tables'!K128:K129,MATCH(1,('Class Tables'!I128:I129),0)),IF(R15="battle master",INDEX('Class Tables'!K40:K55,MATCH(1,('Class Tables'!I40:I55),0)),IF(R15="land",VLOOKUP(RANDBETWEEN(1,8),Table74[],2)," ")))</f>
        <v xml:space="preserve"> </v>
      </c>
      <c r="S20" s="33" t="str">
        <f ca="1">IF(P2="high",INDEX('Class Tables'!S177:S220,MATCH(1,('Class Tables'!Q177:Q220),0))," ")</f>
        <v xml:space="preserve"> </v>
      </c>
      <c r="AE20" s="29" t="s">
        <v>1990</v>
      </c>
      <c r="AF20" s="29">
        <f ca="1">RANDBETWEEN(1,3)</f>
        <v>1</v>
      </c>
      <c r="AH20" s="29" t="s">
        <v>25</v>
      </c>
      <c r="AI20" s="29">
        <f ca="1">$P$41</f>
        <v>1</v>
      </c>
      <c r="AJ20" s="29" t="str">
        <f t="shared" ref="AJ20:AU20" ca="1" si="25">IF(COUNTIF(AJ$27:AJ$33,$AH$20),$P$8," ")</f>
        <v xml:space="preserve"> </v>
      </c>
      <c r="AK20" s="29" t="str">
        <f t="shared" ca="1" si="25"/>
        <v xml:space="preserve"> </v>
      </c>
      <c r="AL20" s="29" t="str">
        <f t="shared" ca="1" si="25"/>
        <v xml:space="preserve"> </v>
      </c>
      <c r="AM20" s="29" t="str">
        <f t="shared" ca="1" si="25"/>
        <v xml:space="preserve"> </v>
      </c>
      <c r="AN20" s="29" t="str">
        <f t="shared" ca="1" si="25"/>
        <v xml:space="preserve"> </v>
      </c>
      <c r="AO20" s="29" t="str">
        <f t="shared" ca="1" si="25"/>
        <v xml:space="preserve"> </v>
      </c>
      <c r="AP20" s="29" t="str">
        <f t="shared" ca="1" si="25"/>
        <v xml:space="preserve"> </v>
      </c>
      <c r="AQ20" s="29" t="str">
        <f t="shared" ca="1" si="25"/>
        <v xml:space="preserve"> </v>
      </c>
      <c r="AR20" s="29" t="str">
        <f t="shared" ca="1" si="25"/>
        <v xml:space="preserve"> </v>
      </c>
      <c r="AS20" s="29" t="str">
        <f t="shared" ca="1" si="25"/>
        <v xml:space="preserve"> </v>
      </c>
      <c r="AT20" s="29" t="str">
        <f t="shared" ca="1" si="25"/>
        <v xml:space="preserve"> </v>
      </c>
      <c r="AU20" s="29" t="str">
        <f t="shared" ca="1" si="25"/>
        <v xml:space="preserve"> </v>
      </c>
      <c r="AV20" s="29">
        <f t="shared" ca="1" si="8"/>
        <v>0</v>
      </c>
      <c r="AW20" s="29" t="s">
        <v>25</v>
      </c>
      <c r="AX20" s="29" t="str">
        <f ca="1">IF(S11="acolyte",P8," ")</f>
        <v xml:space="preserve"> </v>
      </c>
      <c r="BC20" s="29" t="str">
        <f ca="1">IF(S11="Guild Artisan",P8," ")</f>
        <v xml:space="preserve"> </v>
      </c>
      <c r="BD20" s="29" t="str">
        <f ca="1">IF(S11="Hermit",P8," ")</f>
        <v xml:space="preserve"> </v>
      </c>
      <c r="BM20" s="29">
        <f t="shared" ca="1" si="2"/>
        <v>0</v>
      </c>
      <c r="BN20" s="29">
        <f t="shared" ca="1" si="9"/>
        <v>0</v>
      </c>
      <c r="BO20" s="29" t="str">
        <f t="shared" ca="1" si="3"/>
        <v xml:space="preserve"> </v>
      </c>
      <c r="BP20" s="29" t="str">
        <f t="shared" ca="1" si="4"/>
        <v xml:space="preserve"> </v>
      </c>
      <c r="BQ20" s="29" t="str">
        <f t="shared" ca="1" si="5"/>
        <v xml:space="preserve"> </v>
      </c>
      <c r="BR20" s="29">
        <f t="shared" ca="1" si="6"/>
        <v>0</v>
      </c>
      <c r="BS20" s="29">
        <f ca="1">IF(AND($BY$29=1,OR($P$15="knowledge",$R$15="knowledge")),$P$8*2,IF(AND($BY$29=2,OR($P$15="knowledge",$R$15="knowledge")),$P$8*2,0))</f>
        <v>0</v>
      </c>
      <c r="BU20" s="29">
        <f t="shared" ca="1" si="10"/>
        <v>0</v>
      </c>
      <c r="BV20" s="29" t="s">
        <v>25</v>
      </c>
      <c r="CB20" s="35">
        <f t="shared" ca="1" si="14"/>
        <v>2</v>
      </c>
      <c r="CC20" s="36">
        <f t="shared" ca="1" si="15"/>
        <v>0.82536575754725361</v>
      </c>
      <c r="CD20" s="29" t="s">
        <v>21</v>
      </c>
    </row>
    <row r="21" spans="2:83" x14ac:dyDescent="0.3">
      <c r="O21" s="33" t="str">
        <f ca="1">IF(AND(O11="warlock",O12&gt;=15),"Invocation - "&amp;INDEX('Class Tables'!F164:F187,MATCH(4,('Class Tables'!D164:D187),0)),IF(AND(O11="warlock",O12&gt;=9),"Invocation - "&amp;INDEX('Class Tables'!F141:F161,MATCH(4,('Class Tables'!D141:D161),0)),IF(AND(O11="warlock",O12&gt;=7),"Invocation - "&amp;INDEX('Class Tables'!F122:F138,MATCH(4,('Class Tables'!D122:D138),0)),IF(AND(O11="rogue",O12&gt;=15),"Slippery Mind",IF(AND(O11="ranger",O12&gt;=8),"Land's Stride",IF(AND(O11="paladin",O12&gt;=5),"Extra Attack",IF(AND(O11="monk",O12&gt;=2),"Step of the Wind",IF(AND($O$11="barbarian",$O$12&gt;=7),"Feral Instinct"," "))))))))</f>
        <v xml:space="preserve"> </v>
      </c>
      <c r="P21" s="33" t="str">
        <f ca="1">IF(AND(P15="way of the four elements",O12&gt;=11),INDEX('Class Tables'!K131:K134,MATCH(1,('Class Tables'!I131:I134),0)),IF(P15="battle master",INDEX('Class Tables'!K40:K55,MATCH(2,('Class Tables'!I40:I55),0))," "))</f>
        <v xml:space="preserve"> </v>
      </c>
      <c r="Q21" s="33" t="str">
        <f ca="1">IF(AND(Q11="warlock",Q12&gt;=9),"Invocation - "&amp;INDEX('Class Tables'!F141:F161,MATCH(4,('Class Tables'!D141:D161),0)),IF(AND(Q11="warlock",Q12&gt;=7),"Invocation - "&amp;INDEX('Class Tables'!F122:F138,MATCH(4,('Class Tables'!D122:D138),0)),IF(AND(Q11="ranger",Q12&gt;=8),"Land's Stride",IF(AND(Q11="paladin",Q12&gt;=5),"Extra Attack",IF(AND(Q11="monk",Q12&gt;=2),"Step of the Wind",IF(AND($Q$11="barbarian",$Q$12&gt;=7),"Feral Instinct"," "))))))</f>
        <v xml:space="preserve"> </v>
      </c>
      <c r="R21" s="33" t="str">
        <f ca="1">IF(R15="battle master",INDEX('Class Tables'!K40:K55,MATCH(2,('Class Tables'!I40:I55),0))," ")</f>
        <v xml:space="preserve"> </v>
      </c>
      <c r="S21" s="33" t="str">
        <f ca="1">IF(OR(P15="knowledge",R15="knowledge"),INDEX('Class Tables'!S177:S220,MATCH(2,('Class Tables'!Q177:Q220),0))," ")</f>
        <v xml:space="preserve"> </v>
      </c>
      <c r="AE21" s="29" t="s">
        <v>1989</v>
      </c>
      <c r="AF21" s="29">
        <f ca="1">RANDBETWEEN(1,2)</f>
        <v>2</v>
      </c>
      <c r="AH21" s="29" t="s">
        <v>26</v>
      </c>
      <c r="AI21" s="29">
        <f ca="1">$P$39</f>
        <v>2</v>
      </c>
      <c r="AJ21" s="29" t="str">
        <f t="shared" ref="AJ21:AU21" ca="1" si="26">IF(COUNTIF(AJ$27:AJ$33,$AH$21),$P$8," ")</f>
        <v xml:space="preserve"> </v>
      </c>
      <c r="AK21" s="29" t="str">
        <f t="shared" ca="1" si="26"/>
        <v xml:space="preserve"> </v>
      </c>
      <c r="AL21" s="29" t="str">
        <f t="shared" ca="1" si="26"/>
        <v xml:space="preserve"> </v>
      </c>
      <c r="AM21" s="29" t="str">
        <f t="shared" ca="1" si="26"/>
        <v xml:space="preserve"> </v>
      </c>
      <c r="AN21" s="29" t="str">
        <f t="shared" ca="1" si="26"/>
        <v xml:space="preserve"> </v>
      </c>
      <c r="AO21" s="29" t="str">
        <f t="shared" ca="1" si="26"/>
        <v xml:space="preserve"> </v>
      </c>
      <c r="AP21" s="29" t="str">
        <f t="shared" ca="1" si="26"/>
        <v xml:space="preserve"> </v>
      </c>
      <c r="AQ21" s="29" t="str">
        <f t="shared" ca="1" si="26"/>
        <v xml:space="preserve"> </v>
      </c>
      <c r="AR21" s="29" t="str">
        <f t="shared" ca="1" si="26"/>
        <v xml:space="preserve"> </v>
      </c>
      <c r="AS21" s="29" t="str">
        <f t="shared" ca="1" si="26"/>
        <v xml:space="preserve"> </v>
      </c>
      <c r="AT21" s="29" t="str">
        <f t="shared" ca="1" si="26"/>
        <v xml:space="preserve"> </v>
      </c>
      <c r="AU21" s="29" t="str">
        <f t="shared" ca="1" si="26"/>
        <v xml:space="preserve"> </v>
      </c>
      <c r="AV21" s="29">
        <f t="shared" ca="1" si="8"/>
        <v>0</v>
      </c>
      <c r="AW21" s="29" t="s">
        <v>26</v>
      </c>
      <c r="AY21" s="29" t="str">
        <f ca="1">IF(S11="Charlatan",P8," ")</f>
        <v xml:space="preserve"> </v>
      </c>
      <c r="BL21" s="29" t="str">
        <f ca="1">IF(S11="urchin",P8," ")</f>
        <v xml:space="preserve"> </v>
      </c>
      <c r="BM21" s="29">
        <f t="shared" ca="1" si="2"/>
        <v>0</v>
      </c>
      <c r="BN21" s="29">
        <f t="shared" ca="1" si="9"/>
        <v>0</v>
      </c>
      <c r="BO21" s="29" t="str">
        <f t="shared" ca="1" si="3"/>
        <v xml:space="preserve"> </v>
      </c>
      <c r="BP21" s="29" t="str">
        <f t="shared" ca="1" si="4"/>
        <v xml:space="preserve"> </v>
      </c>
      <c r="BQ21" s="29" t="str">
        <f t="shared" ca="1" si="5"/>
        <v xml:space="preserve"> </v>
      </c>
      <c r="BR21" s="29">
        <f t="shared" ca="1" si="6"/>
        <v>0</v>
      </c>
      <c r="BU21" s="29">
        <f t="shared" ca="1" si="10"/>
        <v>0</v>
      </c>
      <c r="BV21" s="29" t="s">
        <v>26</v>
      </c>
      <c r="CB21" s="35">
        <f t="shared" ca="1" si="14"/>
        <v>5</v>
      </c>
      <c r="CC21" s="36">
        <f t="shared" ca="1" si="15"/>
        <v>0.60180115459994066</v>
      </c>
      <c r="CD21" s="29" t="s">
        <v>22</v>
      </c>
    </row>
    <row r="22" spans="2:83" x14ac:dyDescent="0.3">
      <c r="O22" s="33" t="str">
        <f ca="1">(IF(AND(O16="pact of the blade",O12&gt;=12,AF26=1),"Invocation - Lifedrinker",IF(AND(O11="warlock",O12&gt;=15),"Invocation - "&amp;INDEX('Class Tables'!F164:F187,MATCH(5,('Class Tables'!D164:D187),0)),IF(AND(O11="warlock",O12&gt;=9),"Invocation - "&amp;INDEX('Class Tables'!F141:F161,MATCH(5,('Class Tables'!D141:D161),0)),IF(AND(O11="rogue",O12&gt;=18),"Elusive Foe",IF(AND(O11="ranger",O12&gt;=10),"Hide in Plain Sight",IF(AND(O11="paladin",O12&gt;=6),"Aura of Protection +"&amp;MAX(P43,1),IF(AND(O11="monk",O12&gt;=2),"Unarmored Movement - "&amp;INDEX('Class Tables'!L98:L117,MATCH(O12,('Class Tables'!I98:I117),0))&amp;" ft.",IF(AND($O$11="barbarian",$O$12&gt;=9),"Brutal Critical"," ")))))))))</f>
        <v xml:space="preserve"> </v>
      </c>
      <c r="P22" s="33" t="str">
        <f ca="1">IF(AND(P15="way of the four elements",O12&gt;=17),INDEX('Class Tables'!K136:K138,MATCH(1,('Class Tables'!I136:I138),0)),IF(P15="battle master",INDEX('Class Tables'!K40:K55,MATCH(3,('Class Tables'!I40:I55),0))," "))</f>
        <v xml:space="preserve"> </v>
      </c>
      <c r="Q22" s="33" t="str">
        <f ca="1">IF(AND(Q11="warlock",Q12&gt;=9),"Invocation - "&amp;INDEX('Class Tables'!F141:F161,MATCH(5,('Class Tables'!D141:D161),0)),IF(AND(Q11="ranger",Q12&gt;=10),"Hide in Plain Sight",IF(AND(Q11="paladin",Q12&gt;=6),"Aura of Protection +"&amp;MAX(P43,1),IF(AND(Q11="monk",Q12&gt;=2),"Unarmored Movement - "&amp;INDEX('Class Tables'!L98:L117,MATCH(Q12,('Class Tables'!I98:I117),0))&amp;" ft.",IF(AND($Q$11="barbarian",$Q$12&gt;=9),"Brutal Critical"," ")))))</f>
        <v xml:space="preserve"> </v>
      </c>
      <c r="R22" s="33" t="str">
        <f ca="1">IF(R15="battle master",INDEX('Class Tables'!K40:K55,MATCH(3,('Class Tables'!I40:I55),0))," ")</f>
        <v xml:space="preserve"> </v>
      </c>
      <c r="S22" s="33" t="str">
        <f ca="1">IF(OR(P15="knowledge",R15="knowledge"),INDEX('Class Tables'!S177:S220,MATCH(3,('Class Tables'!Q177:Q220),0))," ")</f>
        <v xml:space="preserve"> </v>
      </c>
      <c r="AE22" s="29" t="s">
        <v>1387</v>
      </c>
      <c r="AF22" s="29">
        <f ca="1">SUM(P38:P39)-SMALL(P38:P39,1)</f>
        <v>2</v>
      </c>
      <c r="AH22" s="29" t="s">
        <v>27</v>
      </c>
      <c r="AI22" s="29">
        <f ca="1">$P$39</f>
        <v>2</v>
      </c>
      <c r="AJ22" s="29" t="str">
        <f t="shared" ref="AJ22:AU22" ca="1" si="27">IF(COUNTIF(AJ$27:AJ$33,$AH$22),$P$8," ")</f>
        <v xml:space="preserve"> </v>
      </c>
      <c r="AK22" s="29" t="str">
        <f t="shared" ca="1" si="27"/>
        <v xml:space="preserve"> </v>
      </c>
      <c r="AL22" s="29" t="str">
        <f t="shared" ca="1" si="27"/>
        <v xml:space="preserve"> </v>
      </c>
      <c r="AM22" s="29" t="str">
        <f t="shared" ca="1" si="27"/>
        <v xml:space="preserve"> </v>
      </c>
      <c r="AN22" s="29" t="str">
        <f t="shared" ca="1" si="27"/>
        <v xml:space="preserve"> </v>
      </c>
      <c r="AO22" s="29" t="str">
        <f t="shared" ca="1" si="27"/>
        <v xml:space="preserve"> </v>
      </c>
      <c r="AP22" s="29" t="str">
        <f t="shared" ca="1" si="27"/>
        <v xml:space="preserve"> </v>
      </c>
      <c r="AQ22" s="29" t="str">
        <f t="shared" ca="1" si="27"/>
        <v xml:space="preserve"> </v>
      </c>
      <c r="AR22" s="29" t="str">
        <f t="shared" ca="1" si="27"/>
        <v xml:space="preserve"> </v>
      </c>
      <c r="AS22" s="29" t="str">
        <f t="shared" ca="1" si="27"/>
        <v xml:space="preserve"> </v>
      </c>
      <c r="AT22" s="29" t="str">
        <f t="shared" ca="1" si="27"/>
        <v xml:space="preserve"> </v>
      </c>
      <c r="AU22" s="29" t="str">
        <f t="shared" ca="1" si="27"/>
        <v xml:space="preserve"> </v>
      </c>
      <c r="AV22" s="29">
        <f t="shared" ca="1" si="8"/>
        <v>0</v>
      </c>
      <c r="AW22" s="29" t="s">
        <v>27</v>
      </c>
      <c r="AZ22" s="29" t="str">
        <f ca="1">IF(S11="Criminal",P8," ")</f>
        <v xml:space="preserve"> </v>
      </c>
      <c r="BL22" s="29" t="str">
        <f ca="1">IF(S11="urchin",P8," ")</f>
        <v xml:space="preserve"> </v>
      </c>
      <c r="BM22" s="29">
        <f t="shared" ca="1" si="2"/>
        <v>0</v>
      </c>
      <c r="BN22" s="29">
        <f t="shared" ca="1" si="9"/>
        <v>0</v>
      </c>
      <c r="BO22" s="29" t="str">
        <f t="shared" ca="1" si="3"/>
        <v xml:space="preserve"> </v>
      </c>
      <c r="BP22" s="29" t="str">
        <f t="shared" ca="1" si="4"/>
        <v xml:space="preserve"> </v>
      </c>
      <c r="BQ22" s="29" t="str">
        <f t="shared" ca="1" si="5"/>
        <v xml:space="preserve"> </v>
      </c>
      <c r="BR22" s="29">
        <f t="shared" ca="1" si="6"/>
        <v>0</v>
      </c>
      <c r="BU22" s="29">
        <f t="shared" ca="1" si="10"/>
        <v>0</v>
      </c>
      <c r="BV22" s="29" t="s">
        <v>27</v>
      </c>
      <c r="CB22" s="35">
        <f t="shared" ca="1" si="14"/>
        <v>16</v>
      </c>
      <c r="CC22" s="36">
        <f t="shared" ca="1" si="15"/>
        <v>3.021507899052378E-2</v>
      </c>
      <c r="CD22" s="29" t="s">
        <v>23</v>
      </c>
    </row>
    <row r="23" spans="2:83" x14ac:dyDescent="0.3">
      <c r="O23" s="33" t="str">
        <f ca="1">IF(AND(O11="warlock",O12&gt;=15),"Invocation - "&amp;INDEX('Class Tables'!F164:F187,MATCH(6,('Class Tables'!D164:D187),0)),IF(AND(O11="warlock",O12&gt;=12),"Invocation - "&amp;INDEX('Class Tables'!F141:F161,MATCH(6,('Class Tables'!D141:D161),0)),IF(AND(O11="rogue",O12&gt;=20),"Stroke of Luck",IF(AND(O11="ranger",O12&gt;=14),"Vanish",IF(AND(O11="paladin",O12&gt;=10),"Aura of Courage",IF(AND(O11="monk",O12&gt;=3),"Deflect Missiles - 1d10+"&amp;SUM(P39,O12)&amp;" dmg.",IF(AND($O$11="barbarian",$O$12&gt;=11),"Relentless Rage"," ")))))))</f>
        <v xml:space="preserve"> </v>
      </c>
      <c r="P23" s="33" t="str">
        <f ca="1">IF(AND(P15="battle master",O12&gt;=7),INDEX('Class Tables'!K40:K55,MATCH(4,('Class Tables'!I40:I55),0))," ")</f>
        <v xml:space="preserve"> </v>
      </c>
      <c r="Q23" s="33" t="str">
        <f ca="1">IF(AND(Q11="paladin",Q12&gt;=10),"Aura of Courage",IF(AND(Q11="monk",Q12&gt;=3),"Deflect Missiles 1d10+"&amp;SUM(Q12,P39)&amp;" dmg."," "))</f>
        <v xml:space="preserve"> </v>
      </c>
      <c r="R23" s="33" t="str">
        <f ca="1">IF(AND(R15="battle master",Q12&gt;=7),INDEX('Class Tables'!K40:K55,MATCH(4,('Class Tables'!I40:I55),0))," ")</f>
        <v xml:space="preserve"> </v>
      </c>
      <c r="S23" s="33" t="str">
        <f ca="1">IF(O11="druid","Druidic",IF(O11="rogue","Thieves' Cant"," "))</f>
        <v xml:space="preserve"> </v>
      </c>
      <c r="AE23" s="29" t="s">
        <v>1402</v>
      </c>
      <c r="AF23" s="29">
        <f ca="1">RANDBETWEEN(1,2)</f>
        <v>1</v>
      </c>
      <c r="AH23" s="29" t="s">
        <v>28</v>
      </c>
      <c r="AI23" s="29">
        <f ca="1">$P$42</f>
        <v>2</v>
      </c>
      <c r="AJ23" s="29" t="str">
        <f t="shared" ref="AJ23:AU23" ca="1" si="28">IF(COUNTIF(AJ$27:AJ$33,$AH$23),$P$8," ")</f>
        <v xml:space="preserve"> </v>
      </c>
      <c r="AK23" s="29" t="str">
        <f t="shared" ca="1" si="28"/>
        <v xml:space="preserve"> </v>
      </c>
      <c r="AL23" s="29" t="str">
        <f t="shared" ca="1" si="28"/>
        <v xml:space="preserve"> </v>
      </c>
      <c r="AM23" s="29" t="str">
        <f t="shared" ca="1" si="28"/>
        <v xml:space="preserve"> </v>
      </c>
      <c r="AN23" s="29" t="str">
        <f t="shared" ca="1" si="28"/>
        <v xml:space="preserve"> </v>
      </c>
      <c r="AO23" s="29" t="str">
        <f t="shared" ca="1" si="28"/>
        <v xml:space="preserve"> </v>
      </c>
      <c r="AP23" s="29" t="str">
        <f t="shared" ca="1" si="28"/>
        <v xml:space="preserve"> </v>
      </c>
      <c r="AQ23" s="29" t="str">
        <f t="shared" ca="1" si="28"/>
        <v xml:space="preserve"> </v>
      </c>
      <c r="AR23" s="29" t="str">
        <f t="shared" ca="1" si="28"/>
        <v xml:space="preserve"> </v>
      </c>
      <c r="AS23" s="29" t="str">
        <f t="shared" ca="1" si="28"/>
        <v xml:space="preserve"> </v>
      </c>
      <c r="AT23" s="29" t="str">
        <f t="shared" ca="1" si="28"/>
        <v xml:space="preserve"> </v>
      </c>
      <c r="AU23" s="29" t="str">
        <f t="shared" ca="1" si="28"/>
        <v xml:space="preserve"> </v>
      </c>
      <c r="AV23" s="29">
        <f t="shared" ca="1" si="8"/>
        <v>0</v>
      </c>
      <c r="AW23" s="29" t="s">
        <v>28</v>
      </c>
      <c r="BB23" s="29" t="str">
        <f ca="1">IF(S11="Folk Hero",P8," ")</f>
        <v xml:space="preserve"> </v>
      </c>
      <c r="BG23" s="29" t="str">
        <f ca="1">IF(S11="Outlander",P8," ")</f>
        <v xml:space="preserve"> </v>
      </c>
      <c r="BM23" s="29">
        <f t="shared" ca="1" si="2"/>
        <v>0</v>
      </c>
      <c r="BN23" s="29">
        <f t="shared" ca="1" si="9"/>
        <v>0</v>
      </c>
      <c r="BO23" s="29" t="str">
        <f t="shared" ca="1" si="3"/>
        <v xml:space="preserve"> </v>
      </c>
      <c r="BP23" s="29" t="str">
        <f t="shared" ca="1" si="4"/>
        <v xml:space="preserve"> </v>
      </c>
      <c r="BQ23" s="29" t="str">
        <f t="shared" ca="1" si="5"/>
        <v xml:space="preserve"> </v>
      </c>
      <c r="BR23" s="29">
        <f t="shared" ca="1" si="6"/>
        <v>0</v>
      </c>
      <c r="BT23" s="29">
        <f ca="1">IF(AND(BY32=1,OR($P$15="nature",$R$15="nature")),$P$8,0)</f>
        <v>0</v>
      </c>
      <c r="BU23" s="29">
        <f t="shared" ca="1" si="10"/>
        <v>0</v>
      </c>
      <c r="BV23" s="29" t="s">
        <v>28</v>
      </c>
      <c r="CB23" s="35">
        <f t="shared" ca="1" si="14"/>
        <v>1</v>
      </c>
      <c r="CC23" s="36">
        <f t="shared" ca="1" si="15"/>
        <v>0.96489738759705868</v>
      </c>
      <c r="CD23" s="29" t="s">
        <v>24</v>
      </c>
    </row>
    <row r="24" spans="2:83" x14ac:dyDescent="0.3">
      <c r="O24" s="33" t="str">
        <f ca="1">IF(AND(O11="warlock",O12&gt;=15,AF26=2,O16="pact of the chain"),"Chains of Carceri",IF(AND(O11="warlock",O12&gt;=15),"Invocation - "&amp;INDEX('Class Tables'!F164:F187,MATCH(7,('Class Tables'!D164:D187),0)),IF(AND(O11="ranger",O12&gt;=18),"Feral Senses",IF(AND(O11="paladin",O12&gt;=11),"Improved Divine Smite",IF(AND(O11="monk",O12&gt;=4),"Slow Fall - "&amp;O12*5&amp;" dmg.",IF(AND($O$11="barbarian",$O$12&gt;=15),"Persistent Rage"," "))))))</f>
        <v xml:space="preserve"> </v>
      </c>
      <c r="P24" s="33" t="str">
        <f ca="1">IF(AND(P15="battle master",O12&gt;=7),INDEX('Class Tables'!K40:K55,MATCH(5,('Class Tables'!I40:I55),0))," ")</f>
        <v xml:space="preserve"> </v>
      </c>
      <c r="Q24" s="33" t="str">
        <f ca="1">IF(AND(Q11="paladin",Q12&gt;=11),"Improved Divine Smite",IF(AND(Q11="monk",Q12&gt;=4),"Slow Fall -"&amp;Q12*5&amp;" dmg."," "))</f>
        <v xml:space="preserve"> </v>
      </c>
      <c r="R24" s="33" t="str">
        <f ca="1">IF(AND(R15="battle master",Q12&gt;=7),INDEX('Class Tables'!K40:K55,MATCH(5,('Class Tables'!I40:I55),0))," ")</f>
        <v xml:space="preserve"> </v>
      </c>
      <c r="S24" s="33" t="str">
        <f ca="1">IF(P15="draconic bloodline","Draconic"," ")</f>
        <v xml:space="preserve"> </v>
      </c>
      <c r="AE24" s="29" t="s">
        <v>1509</v>
      </c>
      <c r="AF24" s="29">
        <f ca="1">RANDBETWEEN(1,2)</f>
        <v>2</v>
      </c>
      <c r="CB24" s="35">
        <f t="shared" ca="1" si="14"/>
        <v>14</v>
      </c>
      <c r="CC24" s="36">
        <f t="shared" ca="1" si="15"/>
        <v>0.11123412452741921</v>
      </c>
      <c r="CD24" s="29" t="s">
        <v>25</v>
      </c>
    </row>
    <row r="25" spans="2:83" x14ac:dyDescent="0.3">
      <c r="O25" s="33" t="str">
        <f ca="1">IF(AND(O11="warlock",O12&gt;=18),"Invocation - "&amp;INDEX('Class Tables'!F164:F187,MATCH(8,('Class Tables'!D164:D187),0)),IF(AND(O11="ranger",O12&gt;=20),"Foe Slayer",IF(AND(O11="paladin",O12&gt;=14),"Cleansing Touch - "&amp;MAX(1,(P43))&amp;" uses",IF(AND(O11="monk",O12&gt;=5),"Extra Attack",IF(AND($O$11="barbarian",$O$12&gt;=18),"Indomitable Might"," ")))))</f>
        <v xml:space="preserve"> </v>
      </c>
      <c r="P25" s="33" t="str">
        <f ca="1">IF(AND(P15="battle master",O12&gt;=10),INDEX('Class Tables'!K40:K55,MATCH(6,('Class Tables'!I40:I55),0))," ")</f>
        <v xml:space="preserve"> </v>
      </c>
      <c r="Q25" s="33" t="str">
        <f ca="1">IF(AND(Q11="paladin",Q12&gt;=14),"Cleansing Touch - "&amp;MAX(1,(P43))&amp;" uses",IF(AND(Q11="monk",Q12&gt;=5),"Extra Attack"," "))</f>
        <v xml:space="preserve"> </v>
      </c>
      <c r="R25" s="33" t="str">
        <f ca="1">IF(AND(R15="battle master",Q12&gt;=10),INDEX('Class Tables'!K40:K55,MATCH(6,('Class Tables'!I40:I55),0))," ")</f>
        <v xml:space="preserve"> </v>
      </c>
      <c r="S25" s="33" t="str">
        <f ca="1">IF(OR(S11="acolyte",S11="Guild artisan",S11="hermit",S11="noble",S11="knight",S11="outlander",S11="sage"),INDEX('Class Tables'!S177:S220,MATCH(4,('Class Tables'!Q177:Q220),0))," ")</f>
        <v xml:space="preserve"> </v>
      </c>
      <c r="AE25" s="29" t="s">
        <v>1568</v>
      </c>
      <c r="AF25" s="29">
        <f ca="1">RANDBETWEEN(1,2)</f>
        <v>2</v>
      </c>
      <c r="CB25" s="35">
        <f t="shared" ca="1" si="14"/>
        <v>8</v>
      </c>
      <c r="CC25" s="36">
        <f t="shared" ca="1" si="15"/>
        <v>0.39696876339757914</v>
      </c>
      <c r="CD25" s="29" t="s">
        <v>26</v>
      </c>
      <c r="CE25" s="31"/>
    </row>
    <row r="26" spans="2:83" x14ac:dyDescent="0.3">
      <c r="O26" s="33" t="str">
        <f ca="1">IF(AND(O11="ranger",O12&gt;=6),"Natural Explorer: "&amp;INDEX('Class Tables'!F212:F219,MATCH(2,('Class Tables'!D212:D219),0)),IF(AND(O11="monk",O12&gt;=5),"Stunning Strike",IF(AND($O$11="barbarian",$O$12&gt;=20),"Primal Champion"," ")))</f>
        <v xml:space="preserve"> </v>
      </c>
      <c r="P26" s="33" t="str">
        <f ca="1">IF(AND(P15="battle master",O12&gt;=10),INDEX('Class Tables'!K40:K55,MATCH(7,('Class Tables'!I40:I55),0))," ")</f>
        <v xml:space="preserve"> </v>
      </c>
      <c r="Q26" s="33" t="str">
        <f ca="1">IF(AND(Q11="ranger",Q12&gt;=10),"Natural Explorer: "&amp;INDEX('Class Tables'!F212:F219,MATCH(2,('Class Tables'!D212:D219),0)),IF(AND(Q11="monk",Q12&gt;=5),"Stunning Strike"," "))</f>
        <v xml:space="preserve"> </v>
      </c>
      <c r="R26" s="33" t="str">
        <f ca="1">IF(AND(R15="battle master",Q12&gt;=10),INDEX('Class Tables'!K40:K55,MATCH(7,('Class Tables'!I40:I55),0))," ")</f>
        <v xml:space="preserve"> </v>
      </c>
      <c r="S26" s="33" t="str">
        <f ca="1">IF(OR(S11="acolyte",S11="sage"),INDEX('Class Tables'!S177:S220,MATCH(5,('Class Tables'!Q177:Q220),0))," ")</f>
        <v xml:space="preserve"> </v>
      </c>
      <c r="AE26" s="29" t="s">
        <v>693</v>
      </c>
      <c r="AF26" s="29">
        <f ca="1">RANDBETWEEN(1,2)</f>
        <v>1</v>
      </c>
      <c r="AJ26" s="29" t="s">
        <v>685</v>
      </c>
      <c r="AK26" s="29" t="s">
        <v>686</v>
      </c>
      <c r="AL26" s="29" t="s">
        <v>687</v>
      </c>
      <c r="AM26" s="29" t="s">
        <v>688</v>
      </c>
      <c r="AN26" s="29" t="s">
        <v>689</v>
      </c>
      <c r="AO26" s="29" t="s">
        <v>694</v>
      </c>
      <c r="AP26" s="29" t="s">
        <v>695</v>
      </c>
      <c r="AQ26" s="29" t="s">
        <v>690</v>
      </c>
      <c r="AR26" s="29" t="s">
        <v>691</v>
      </c>
      <c r="AS26" s="29" t="s">
        <v>692</v>
      </c>
      <c r="AT26" s="29" t="s">
        <v>693</v>
      </c>
      <c r="AU26" s="29" t="s">
        <v>696</v>
      </c>
      <c r="AX26" s="29" t="s">
        <v>1810</v>
      </c>
      <c r="AY26" s="29" t="s">
        <v>1811</v>
      </c>
      <c r="AZ26" s="29" t="s">
        <v>1812</v>
      </c>
      <c r="BA26" s="29" t="s">
        <v>1813</v>
      </c>
      <c r="BB26" s="29" t="s">
        <v>1814</v>
      </c>
      <c r="BC26" s="29" t="s">
        <v>1815</v>
      </c>
      <c r="BD26" s="29" t="s">
        <v>1816</v>
      </c>
      <c r="BE26" s="29" t="s">
        <v>1823</v>
      </c>
      <c r="BF26" s="29" t="s">
        <v>1821</v>
      </c>
      <c r="BG26" s="29" t="s">
        <v>1817</v>
      </c>
      <c r="BH26" s="29" t="s">
        <v>1822</v>
      </c>
      <c r="BI26" s="29" t="s">
        <v>1818</v>
      </c>
      <c r="BJ26" s="29" t="s">
        <v>1720</v>
      </c>
      <c r="BK26" s="29" t="s">
        <v>1819</v>
      </c>
      <c r="BL26" s="29" t="s">
        <v>1820</v>
      </c>
      <c r="BN26" s="29">
        <f t="shared" ref="BN26:BN43" ca="1" si="29">_xlfn.RANK.EQ(BO26,$BO$26:$BO$43)</f>
        <v>3</v>
      </c>
      <c r="BO26" s="29">
        <f ca="1">IF(BP26="Acrobatics",RAND(),0)</f>
        <v>0</v>
      </c>
      <c r="BP26" s="29" t="str">
        <f ca="1">IF(OR(BM6&gt;=1,AV6&gt;=1),AH6," ")</f>
        <v xml:space="preserve"> </v>
      </c>
      <c r="BR26" s="29">
        <f t="shared" ref="BR26:BR43" ca="1" si="30">_xlfn.RANK.EQ(BS26,$BS$26:$BS$43)</f>
        <v>1</v>
      </c>
      <c r="BS26" s="29">
        <f t="shared" ref="BS26:BS43" ca="1" si="31">IF(BO26=0,RAND(),0)</f>
        <v>0.99907394880228273</v>
      </c>
      <c r="BU26" s="29">
        <f ca="1">_xlfn.RANK.EQ(BV26,$BV$26:$BV$29)</f>
        <v>1</v>
      </c>
      <c r="BV26" s="29">
        <f ca="1">IF(BW26="Arcana",RAND(),0)</f>
        <v>0</v>
      </c>
      <c r="BW26" s="29" t="str">
        <f ca="1">IF(OR($AV$8&gt;=1,$BR$8&gt;=1,BM8&gt;=1),"Arcana"," ")</f>
        <v xml:space="preserve"> </v>
      </c>
      <c r="BY26" s="29">
        <f ca="1">_xlfn.RANK.EQ(BZ26,$BZ$26:$BZ$29)</f>
        <v>3</v>
      </c>
      <c r="BZ26" s="29">
        <f t="shared" ref="BZ26:BZ32" ca="1" si="32">IF(BV26=0,RAND(),0)</f>
        <v>0.1623880758861761</v>
      </c>
      <c r="CB26" s="35">
        <f t="shared" ca="1" si="14"/>
        <v>9</v>
      </c>
      <c r="CC26" s="36">
        <f t="shared" ca="1" si="15"/>
        <v>0.39317925343483351</v>
      </c>
      <c r="CD26" s="29" t="s">
        <v>27</v>
      </c>
    </row>
    <row r="27" spans="2:83" x14ac:dyDescent="0.3">
      <c r="O27" s="33" t="str">
        <f ca="1">IF(AND(O11="ranger",O12&gt;=10),"Natural Explorer: "&amp;INDEX('Class Tables'!F212:F219,MATCH(3,('Class Tables'!D212:D219),0)),IF(AND(O11="monk",O12&gt;=6),"Ki-Empowered Strikes"," "))</f>
        <v xml:space="preserve"> </v>
      </c>
      <c r="P27" s="33" t="str">
        <f ca="1">IF(AND(P15="battle master",O12&gt;=15),INDEX('Class Tables'!K40:K55,MATCH(8,('Class Tables'!I40:I55),0))," ")</f>
        <v xml:space="preserve"> </v>
      </c>
      <c r="Q27" s="33" t="str">
        <f ca="1">IF(AND(Q11="ranger",Q12&gt;=10),"Natural Explorer: "&amp;INDEX('Class Tables'!F212:F219,MATCH(3,('Class Tables'!D212:D219),0)),IF(AND(Q11="monk",Q12&gt;=6),"Ki-Empowered Strikes"," "))</f>
        <v xml:space="preserve"> </v>
      </c>
      <c r="AI27" s="29">
        <v>1</v>
      </c>
      <c r="AJ27" s="29" t="str">
        <f ca="1">IF(O11="barbarian",INDEX(#REF!,MATCH($AI$27,(#REF!),0))," ")</f>
        <v xml:space="preserve"> </v>
      </c>
      <c r="AK27" s="29" t="str">
        <f ca="1">IF(OR(O11="bard",Q11="bard"),INDEX(#REF!,MATCH($AI$27,(#REF!),0))," ")</f>
        <v xml:space="preserve"> </v>
      </c>
      <c r="AL27" s="29" t="str">
        <f ca="1">IF(O11="cleric",INDEX(#REF!,MATCH(AI27,(#REF!),0))," ")</f>
        <v xml:space="preserve"> </v>
      </c>
      <c r="AM27" s="29" t="str">
        <f ca="1">IF(O11="Druid",INDEX(#REF!,MATCH(AI27,(#REF!),0))," ")</f>
        <v xml:space="preserve"> </v>
      </c>
      <c r="AN27" s="29" t="str">
        <f ca="1">IF(O11="fighter",INDEX(#REF!,MATCH(AI27,(#REF!),0))," ")</f>
        <v xml:space="preserve"> </v>
      </c>
      <c r="AO27" s="29" t="str">
        <f ca="1">IF(O11="monk",INDEX(#REF!,MATCH(AI27,(#REF!),0))," ")</f>
        <v xml:space="preserve"> </v>
      </c>
      <c r="AP27" s="29" t="e">
        <f ca="1">IF(O11="Paladin",INDEX(#REF!,MATCH(AI27,(#REF!),0))," ")</f>
        <v>#REF!</v>
      </c>
      <c r="AQ27" s="29" t="str">
        <f ca="1">IF(OR(O11="ranger",Q11="ranger"),INDEX(#REF!,MATCH(AI27,(#REF!),0))," ")</f>
        <v xml:space="preserve"> </v>
      </c>
      <c r="AR27" s="29" t="str">
        <f ca="1">IF(OR(O11="rogue",Q11="rogue"),INDEX(#REF!,MATCH(AI27,(#REF!),0))," ")</f>
        <v xml:space="preserve"> </v>
      </c>
      <c r="AS27" s="29" t="str">
        <f ca="1">IF(O11="sorcerer",INDEX(#REF!,MATCH(AI27,(#REF!),0))," ")</f>
        <v xml:space="preserve"> </v>
      </c>
      <c r="AT27" s="29" t="str">
        <f ca="1">IF(O11="Warlock",INDEX(#REF!,MATCH(AI27,(#REF!),0))," ")</f>
        <v xml:space="preserve"> </v>
      </c>
      <c r="AU27" s="29" t="str">
        <f ca="1">IF(O11="wizard",INDEX(#REF!,MATCH(AI27,(#REF!),0))," ")</f>
        <v xml:space="preserve"> </v>
      </c>
      <c r="AX27" s="29" t="s">
        <v>17</v>
      </c>
      <c r="AY27" s="29" t="s">
        <v>15</v>
      </c>
      <c r="AZ27" s="29" t="s">
        <v>15</v>
      </c>
      <c r="BA27" s="29" t="s">
        <v>12</v>
      </c>
      <c r="BB27" s="29" t="s">
        <v>29</v>
      </c>
      <c r="BC27" s="29" t="s">
        <v>17</v>
      </c>
      <c r="BD27" s="29" t="s">
        <v>20</v>
      </c>
      <c r="BE27" s="29" t="s">
        <v>1824</v>
      </c>
      <c r="BF27" s="29" t="s">
        <v>16</v>
      </c>
      <c r="BG27" s="29" t="s">
        <v>14</v>
      </c>
      <c r="BH27" s="29" t="s">
        <v>14</v>
      </c>
      <c r="BI27" s="29" t="s">
        <v>13</v>
      </c>
      <c r="BJ27" s="29" t="s">
        <v>14</v>
      </c>
      <c r="BK27" s="29" t="s">
        <v>14</v>
      </c>
      <c r="BL27" s="29" t="s">
        <v>26</v>
      </c>
      <c r="BN27" s="29">
        <f t="shared" ca="1" si="29"/>
        <v>3</v>
      </c>
      <c r="BO27" s="29">
        <f ca="1">IF(BP27="Animal Handling",RAND(),0)</f>
        <v>0</v>
      </c>
      <c r="BP27" s="29" t="str">
        <f t="shared" ref="BP27:BP43" ca="1" si="33">IF(OR(BM7&gt;=1,AV7&gt;=1),AH7," ")</f>
        <v xml:space="preserve"> </v>
      </c>
      <c r="BR27" s="29">
        <f t="shared" ca="1" si="30"/>
        <v>8</v>
      </c>
      <c r="BS27" s="29">
        <f t="shared" ca="1" si="31"/>
        <v>0.60051512993676837</v>
      </c>
      <c r="BU27" s="29">
        <f ca="1">_xlfn.RANK.EQ(BV27,$BV$26:$BV$29)</f>
        <v>1</v>
      </c>
      <c r="BV27" s="29">
        <f ca="1">IF(BW27="History",RAND(),0)</f>
        <v>0</v>
      </c>
      <c r="BW27" s="29" t="str">
        <f ca="1">IF(OR($AV$11&gt;=1,$BR$11&gt;=1,BM11&gt;=1),"History"," ")</f>
        <v xml:space="preserve"> </v>
      </c>
      <c r="BY27" s="29">
        <f ca="1">_xlfn.RANK.EQ(BZ27,$BZ$26:$BZ$29)</f>
        <v>1</v>
      </c>
      <c r="BZ27" s="29">
        <f t="shared" ca="1" si="32"/>
        <v>0.95284226220859225</v>
      </c>
      <c r="CB27" s="35">
        <f t="shared" ca="1" si="14"/>
        <v>11</v>
      </c>
      <c r="CC27" s="36">
        <f t="shared" ca="1" si="15"/>
        <v>0.25695529368368319</v>
      </c>
      <c r="CD27" s="29" t="s">
        <v>28</v>
      </c>
    </row>
    <row r="28" spans="2:83" x14ac:dyDescent="0.3">
      <c r="O28" s="33" t="str">
        <f ca="1">IF(AND(O11="monk",O12&gt;=7),"Evasion"," ")</f>
        <v xml:space="preserve"> </v>
      </c>
      <c r="P28" s="33" t="str">
        <f ca="1">IF(AND(P15="battle master",O12&gt;=15),INDEX('Class Tables'!K40:K55,MATCH(9,('Class Tables'!I40:I55),0))," ")</f>
        <v xml:space="preserve"> </v>
      </c>
      <c r="Q28" s="33" t="str">
        <f ca="1">IF(AND(Q11="monk",Q12&gt;=7),"Evasion"," ")</f>
        <v xml:space="preserve"> </v>
      </c>
      <c r="AE28" s="29" t="s">
        <v>1804</v>
      </c>
      <c r="AI28" s="29">
        <v>2</v>
      </c>
      <c r="AJ28" s="29" t="str">
        <f ca="1">IF(O11="barbarian",INDEX(#REF!,MATCH($AI$28,(#REF!),0))," ")</f>
        <v xml:space="preserve"> </v>
      </c>
      <c r="AK28" s="29" t="str">
        <f ca="1">IF(O11="bard",INDEX(#REF!,MATCH(AI28,(#REF!),0))," ")</f>
        <v xml:space="preserve"> </v>
      </c>
      <c r="AL28" s="29" t="str">
        <f ca="1">IF(O11="cleric",INDEX(#REF!,MATCH(AI28,(#REF!),0))," ")</f>
        <v xml:space="preserve"> </v>
      </c>
      <c r="AM28" s="29" t="str">
        <f ca="1">IF(O11="druid",INDEX(#REF!,MATCH(AI28,(#REF!),0))," ")</f>
        <v xml:space="preserve"> </v>
      </c>
      <c r="AN28" s="29" t="str">
        <f ca="1">IF(O11="fighter",INDEX(#REF!,MATCH(AI28,(#REF!),0))," ")</f>
        <v xml:space="preserve"> </v>
      </c>
      <c r="AO28" s="29" t="str">
        <f ca="1">IF(O11="monk",INDEX(#REF!,MATCH(AI28,(#REF!),0))," ")</f>
        <v xml:space="preserve"> </v>
      </c>
      <c r="AP28" s="29" t="e">
        <f ca="1">IF(O11="paladin",INDEX(#REF!,MATCH(AI28,(#REF!),0))," ")</f>
        <v>#REF!</v>
      </c>
      <c r="AQ28" s="29" t="str">
        <f ca="1">IF(O11="ranger",INDEX(#REF!,MATCH(AI28,(#REF!),0))," ")</f>
        <v xml:space="preserve"> </v>
      </c>
      <c r="AR28" s="29" t="str">
        <f ca="1">IF(O11="rogue",INDEX(#REF!,MATCH(AI28,(#REF!),0))," ")</f>
        <v xml:space="preserve"> </v>
      </c>
      <c r="AS28" s="29" t="str">
        <f ca="1">IF(O11="sorcerer",INDEX(#REF!,MATCH(AI28,(#REF!),0))," ")</f>
        <v xml:space="preserve"> </v>
      </c>
      <c r="AT28" s="29" t="str">
        <f ca="1">IF(O11="warlock",INDEX(#REF!,MATCH(AI28,(#REF!),0))," ")</f>
        <v xml:space="preserve"> </v>
      </c>
      <c r="AU28" s="29" t="str">
        <f ca="1">IF(O11="wizard",INDEX(#REF!,MATCH(AI28,(#REF!),0))," ")</f>
        <v xml:space="preserve"> </v>
      </c>
      <c r="AX28" s="29" t="s">
        <v>25</v>
      </c>
      <c r="AY28" s="29" t="s">
        <v>26</v>
      </c>
      <c r="AZ28" s="29" t="s">
        <v>27</v>
      </c>
      <c r="BA28" s="29" t="s">
        <v>23</v>
      </c>
      <c r="BB28" s="29" t="s">
        <v>28</v>
      </c>
      <c r="BC28" s="29" t="s">
        <v>24</v>
      </c>
      <c r="BD28" s="29" t="s">
        <v>25</v>
      </c>
      <c r="BE28" s="29" t="s">
        <v>24</v>
      </c>
      <c r="BF28" s="29" t="s">
        <v>24</v>
      </c>
      <c r="BG28" s="29" t="s">
        <v>28</v>
      </c>
      <c r="BH28" s="29" t="s">
        <v>22</v>
      </c>
      <c r="BI28" s="29" t="s">
        <v>16</v>
      </c>
      <c r="BJ28" s="29" t="s">
        <v>22</v>
      </c>
      <c r="BK28" s="29" t="s">
        <v>18</v>
      </c>
      <c r="BL28" s="29" t="s">
        <v>27</v>
      </c>
      <c r="BN28" s="29">
        <f t="shared" ca="1" si="29"/>
        <v>3</v>
      </c>
      <c r="BO28" s="29">
        <f ca="1">IF(BP28="Arcana",RAND(),0)</f>
        <v>0</v>
      </c>
      <c r="BP28" s="29" t="str">
        <f t="shared" ca="1" si="33"/>
        <v xml:space="preserve"> </v>
      </c>
      <c r="BR28" s="29">
        <f t="shared" ca="1" si="30"/>
        <v>9</v>
      </c>
      <c r="BS28" s="29">
        <f t="shared" ca="1" si="31"/>
        <v>0.58327069572607415</v>
      </c>
      <c r="BU28" s="29">
        <f ca="1">_xlfn.RANK.EQ(BV28,$BV$26:$BV$29)</f>
        <v>1</v>
      </c>
      <c r="BV28" s="29">
        <f ca="1">IF(BW28="Nature",RAND(),0)</f>
        <v>0</v>
      </c>
      <c r="BW28" s="29" t="str">
        <f ca="1">IF(OR($AV$16&gt;=1,$BR$16&gt;=1,BM16&gt;=1),"Nature"," ")</f>
        <v xml:space="preserve"> </v>
      </c>
      <c r="BY28" s="29">
        <f ca="1">_xlfn.RANK.EQ(BZ28,$BZ$26:$BZ$29)</f>
        <v>4</v>
      </c>
      <c r="BZ28" s="29">
        <f t="shared" ca="1" si="32"/>
        <v>0.10263129010786753</v>
      </c>
    </row>
    <row r="29" spans="2:83" x14ac:dyDescent="0.3">
      <c r="O29" s="33" t="str">
        <f ca="1">IF(AND(O11="monk",O12&gt;=7),"Stillness of Mind"," ")</f>
        <v xml:space="preserve"> </v>
      </c>
      <c r="Q29" s="33" t="str">
        <f ca="1">IF(AND(Q11="monk",Q12&gt;=7),"Stillness of Mind"," ")</f>
        <v xml:space="preserve"> </v>
      </c>
      <c r="AE29" s="29">
        <f ca="1">RANDBETWEEN(2,8)</f>
        <v>7</v>
      </c>
      <c r="BN29" s="29">
        <f t="shared" ca="1" si="29"/>
        <v>2</v>
      </c>
      <c r="BO29" s="29">
        <f ca="1">IF(BP29="Athletics",RAND(),0)</f>
        <v>0.38436253650125907</v>
      </c>
      <c r="BP29" s="29" t="str">
        <f t="shared" ca="1" si="33"/>
        <v>Athletics</v>
      </c>
      <c r="BR29" s="29">
        <f t="shared" ca="1" si="30"/>
        <v>17</v>
      </c>
      <c r="BS29" s="29">
        <f t="shared" ca="1" si="31"/>
        <v>0</v>
      </c>
      <c r="BU29" s="29">
        <f ca="1">_xlfn.RANK.EQ(BV29,$BV$26:$BV$29)</f>
        <v>1</v>
      </c>
      <c r="BV29" s="29">
        <f ca="1">IF(BW29="Religion",RAND(),0)</f>
        <v>0</v>
      </c>
      <c r="BW29" s="29" t="str">
        <f ca="1">IF(AND($AV$20&gt;=1,$BR$20&gt;=1,BM20&gt;=1),"Religion"," ")</f>
        <v xml:space="preserve"> </v>
      </c>
      <c r="BY29" s="29">
        <f ca="1">_xlfn.RANK.EQ(BZ29,$BZ$26:$BZ$29)</f>
        <v>2</v>
      </c>
      <c r="BZ29" s="29">
        <f t="shared" ca="1" si="32"/>
        <v>0.16449331271096812</v>
      </c>
      <c r="CB29" s="31" t="s">
        <v>729</v>
      </c>
      <c r="CC29" s="36"/>
    </row>
    <row r="30" spans="2:83" x14ac:dyDescent="0.3">
      <c r="O30" s="33" t="str">
        <f ca="1">IF(AND(O11="monk",O12&gt;=10),"Purity of Body"," ")</f>
        <v xml:space="preserve"> </v>
      </c>
      <c r="Q30" s="33" t="str">
        <f ca="1">IF(AND(Q11="monk",Q12&gt;=10),"Purity of Body"," ")</f>
        <v xml:space="preserve"> </v>
      </c>
      <c r="AE30" s="29">
        <f ca="1">RANDBETWEEN(2,12)</f>
        <v>9</v>
      </c>
      <c r="AI30" s="29">
        <v>3</v>
      </c>
      <c r="AK30" s="29" t="str">
        <f ca="1">IF(O11="bard",INDEX(#REF!,MATCH(AI30,(#REF!),0))," ")</f>
        <v xml:space="preserve"> </v>
      </c>
      <c r="AP30" s="29" t="str">
        <f ca="1">IF($AG$30="druid",VLOOKUP(RANDBETWEEN(1,8),Table51350464806863920336393671[],2)," ")</f>
        <v xml:space="preserve"> </v>
      </c>
      <c r="AQ30" s="29" t="str">
        <f ca="1">IF(O11="ranger",INDEX(#REF!,MATCH(AI30,(#REF!),0))," ")</f>
        <v xml:space="preserve"> </v>
      </c>
      <c r="AR30" s="29" t="str">
        <f ca="1">IF(O11="rogue",INDEX(#REF!,MATCH(AI30,(#REF!),0))," ")</f>
        <v xml:space="preserve"> </v>
      </c>
      <c r="AT30" s="29" t="str">
        <f ca="1">IF(OR(COUNTIF(O18:O25,"*"&amp;"beguiling influence"&amp;"*"),COUNTIF(O13:O13,"*"&amp;"beguiling influence"&amp;"*")),"Deception"," ")</f>
        <v xml:space="preserve"> </v>
      </c>
      <c r="BN30" s="29">
        <f t="shared" ca="1" si="29"/>
        <v>3</v>
      </c>
      <c r="BO30" s="29">
        <f ca="1">IF(BP30="Deception",RAND(),0)</f>
        <v>0</v>
      </c>
      <c r="BP30" s="29" t="str">
        <f t="shared" ca="1" si="33"/>
        <v xml:space="preserve"> </v>
      </c>
      <c r="BR30" s="29">
        <f t="shared" ca="1" si="30"/>
        <v>11</v>
      </c>
      <c r="BS30" s="29">
        <f t="shared" ca="1" si="31"/>
        <v>0.4054856812982518</v>
      </c>
      <c r="BU30" s="29">
        <f ca="1">_xlfn.RANK.EQ(BV30,$BV$30:$BV$32)</f>
        <v>1</v>
      </c>
      <c r="BV30" s="29">
        <f ca="1">IF(BW30="Animal Handling",RAND(),0)</f>
        <v>0</v>
      </c>
      <c r="BW30" s="29" t="str">
        <f ca="1">IF(OR($AV$7&gt;=1,$BR$7&gt;=1,BM7&gt;=1),"Animal Handling"," ")</f>
        <v xml:space="preserve"> </v>
      </c>
      <c r="BY30" s="29">
        <f ca="1">_xlfn.RANK.EQ(BZ30,$BZ$30:$BZ$32)</f>
        <v>1</v>
      </c>
      <c r="BZ30" s="29">
        <f t="shared" ca="1" si="32"/>
        <v>0.82377959106458976</v>
      </c>
      <c r="CB30" s="35">
        <f ca="1">_xlfn.RANK.EQ(CC30,$CC$30:$CC$34)</f>
        <v>2</v>
      </c>
      <c r="CC30" s="36">
        <f ca="1">IF(BM11&gt;0,0,RAND())</f>
        <v>0.87723521406436367</v>
      </c>
      <c r="CD30" s="29" t="s">
        <v>16</v>
      </c>
    </row>
    <row r="31" spans="2:83" x14ac:dyDescent="0.3">
      <c r="O31" s="33" t="str">
        <f ca="1">IF(AND(O11="monk",O12&gt;=13),"Tongue of the Sun and Moon"," ")</f>
        <v xml:space="preserve"> </v>
      </c>
      <c r="AE31" s="29">
        <f ca="1">RANDBETWEEN(2,16)</f>
        <v>6</v>
      </c>
      <c r="AI31" s="29">
        <v>4</v>
      </c>
      <c r="AK31" s="29" t="str">
        <f ca="1">IF(P15="college of lore",INDEX(#REF!,MATCH(AI31,(#REF!),0))," ")</f>
        <v xml:space="preserve"> </v>
      </c>
      <c r="AR31" s="29" t="str">
        <f ca="1">IF(O11="rogue",INDEX(#REF!,MATCH(AI31,(#REF!),0))," ")</f>
        <v xml:space="preserve"> </v>
      </c>
      <c r="AT31" s="29" t="str">
        <f ca="1">IF(OR(COUNTIF(O18:O25,"*"&amp;"beguiling influence"&amp;"*"),COUNTIF(O13:O13,"*"&amp;"beguiling influence"&amp;"*")),"Persuasion"," ")</f>
        <v xml:space="preserve"> </v>
      </c>
      <c r="BN31" s="29">
        <f t="shared" ca="1" si="29"/>
        <v>3</v>
      </c>
      <c r="BO31" s="29">
        <f ca="1">IF(BP31="History",RAND(),0)</f>
        <v>0</v>
      </c>
      <c r="BP31" s="29" t="str">
        <f t="shared" ca="1" si="33"/>
        <v xml:space="preserve"> </v>
      </c>
      <c r="BR31" s="29">
        <f t="shared" ca="1" si="30"/>
        <v>14</v>
      </c>
      <c r="BS31" s="29">
        <f t="shared" ca="1" si="31"/>
        <v>0.20945017427120138</v>
      </c>
      <c r="BU31" s="29">
        <f ca="1">_xlfn.RANK.EQ(BV31,$BV$30:$BV$32)</f>
        <v>1</v>
      </c>
      <c r="BV31" s="29">
        <f ca="1">IF(BW31="Nature",RAND(),0)</f>
        <v>0</v>
      </c>
      <c r="BW31" s="29" t="str">
        <f ca="1">IF(OR($AV$16&gt;=1,$BR$16&gt;=1,BM16&gt;=1),"Nature"," ")</f>
        <v xml:space="preserve"> </v>
      </c>
      <c r="BY31" s="29">
        <f ca="1">_xlfn.RANK.EQ(BZ31,$BZ$30:$BZ$32)</f>
        <v>3</v>
      </c>
      <c r="BZ31" s="29">
        <f t="shared" ca="1" si="32"/>
        <v>0.11624166976341488</v>
      </c>
      <c r="CB31" s="35">
        <f ca="1">_xlfn.RANK.EQ(CC31,$CC$30:$CC$34)</f>
        <v>1</v>
      </c>
      <c r="CC31" s="36">
        <f ca="1">IF(BM12&gt;0,0,RAND())</f>
        <v>0.93753002153357823</v>
      </c>
      <c r="CD31" s="29" t="s">
        <v>17</v>
      </c>
      <c r="CE31" s="31"/>
    </row>
    <row r="32" spans="2:83" x14ac:dyDescent="0.3">
      <c r="O32" s="33" t="str">
        <f ca="1">IF(AND(O11="monk",O12&gt;=14),"Diamond Soul"," ")</f>
        <v xml:space="preserve"> </v>
      </c>
      <c r="AE32" s="29">
        <f ca="1">RANDBETWEEN(2,20)</f>
        <v>3</v>
      </c>
      <c r="AI32" s="29">
        <v>5</v>
      </c>
      <c r="AK32" s="29" t="str">
        <f ca="1">IF(P15="college of lore",INDEX(#REF!,MATCH(AI32,(#REF!),0))," ")</f>
        <v xml:space="preserve"> </v>
      </c>
      <c r="BN32" s="29">
        <f t="shared" ca="1" si="29"/>
        <v>3</v>
      </c>
      <c r="BO32" s="29">
        <f ca="1">IF(BP32="Insight",RAND(),0)</f>
        <v>0</v>
      </c>
      <c r="BP32" s="29" t="str">
        <f t="shared" ca="1" si="33"/>
        <v xml:space="preserve"> </v>
      </c>
      <c r="BR32" s="29">
        <f t="shared" ca="1" si="30"/>
        <v>6</v>
      </c>
      <c r="BS32" s="29">
        <f t="shared" ca="1" si="31"/>
        <v>0.74606153540079712</v>
      </c>
      <c r="BU32" s="29">
        <f ca="1">_xlfn.RANK.EQ(BV32,$BV$30:$BV$32)</f>
        <v>1</v>
      </c>
      <c r="BV32" s="29">
        <f ca="1">IF(BW32="Survival",RAND(),0)</f>
        <v>0</v>
      </c>
      <c r="BW32" s="29" t="str">
        <f ca="1">IF(OR($AV$23&gt;=1,$BR$23&gt;=1,BM23&gt;=1),"Survival"," ")</f>
        <v xml:space="preserve"> </v>
      </c>
      <c r="BY32" s="29">
        <f ca="1">_xlfn.RANK.EQ(BZ32,$BZ$30:$BZ$32)</f>
        <v>2</v>
      </c>
      <c r="BZ32" s="29">
        <f t="shared" ca="1" si="32"/>
        <v>0.69924383522447631</v>
      </c>
      <c r="CB32" s="35">
        <f ca="1">_xlfn.RANK.EQ(CC32,$CC$30:$CC$34)</f>
        <v>4</v>
      </c>
      <c r="CC32" s="36">
        <f ca="1">IF(BM15&gt;0,0,RAND())</f>
        <v>0.18853120080524988</v>
      </c>
      <c r="CD32" s="29" t="s">
        <v>20</v>
      </c>
    </row>
    <row r="33" spans="1:83" x14ac:dyDescent="0.3">
      <c r="O33" s="33" t="str">
        <f ca="1">IF(AND(O11="monk",O12&gt;=15),"Timeless Body"," ")</f>
        <v xml:space="preserve"> </v>
      </c>
      <c r="AI33" s="29">
        <v>6</v>
      </c>
      <c r="AK33" s="29" t="str">
        <f ca="1">IF(P15="college of lore",INDEX(#REF!,MATCH(AI33,(#REF!),0))," ")</f>
        <v xml:space="preserve"> </v>
      </c>
      <c r="BN33" s="29">
        <f t="shared" ca="1" si="29"/>
        <v>1</v>
      </c>
      <c r="BO33" s="29">
        <f ca="1">IF(BP33="Intimidation",RAND(),0)</f>
        <v>0.59259133744017822</v>
      </c>
      <c r="BP33" s="29" t="str">
        <f t="shared" ca="1" si="33"/>
        <v>Intimidation</v>
      </c>
      <c r="BR33" s="29">
        <f t="shared" ca="1" si="30"/>
        <v>17</v>
      </c>
      <c r="BS33" s="29">
        <f t="shared" ca="1" si="31"/>
        <v>0</v>
      </c>
      <c r="CB33" s="35">
        <f ca="1">_xlfn.RANK.EQ(CC33,$CC$30:$CC$34)</f>
        <v>3</v>
      </c>
      <c r="CC33" s="36">
        <f ca="1">IF(BM19&gt;0,0,RAND())</f>
        <v>0.79550265163597211</v>
      </c>
      <c r="CD33" s="29" t="s">
        <v>24</v>
      </c>
    </row>
    <row r="34" spans="1:83" x14ac:dyDescent="0.3">
      <c r="O34" s="33" t="str">
        <f ca="1">IF(AND(O11="Monk",O12&gt;=18),"Empty Body"," ")</f>
        <v xml:space="preserve"> </v>
      </c>
      <c r="BN34" s="29">
        <f t="shared" ca="1" si="29"/>
        <v>3</v>
      </c>
      <c r="BO34" s="29">
        <f ca="1">IF(BP34="Investigation",RAND(),0)</f>
        <v>0</v>
      </c>
      <c r="BP34" s="29" t="str">
        <f t="shared" ca="1" si="33"/>
        <v xml:space="preserve"> </v>
      </c>
      <c r="BR34" s="29">
        <f t="shared" ca="1" si="30"/>
        <v>4</v>
      </c>
      <c r="BS34" s="29">
        <f t="shared" ca="1" si="31"/>
        <v>0.88590913145125239</v>
      </c>
      <c r="CB34" s="35">
        <f ca="1">_xlfn.RANK.EQ(CC34,$CC$30:$CC$34)</f>
        <v>5</v>
      </c>
      <c r="CC34" s="36">
        <f ca="1">IF(BM20&gt;0,0,RAND())</f>
        <v>0.14305705414460668</v>
      </c>
      <c r="CD34" s="29" t="s">
        <v>25</v>
      </c>
    </row>
    <row r="35" spans="1:83" x14ac:dyDescent="0.3">
      <c r="O35" s="33" t="str">
        <f ca="1">IF(AND(O11="monk",O12&gt;=20),"Perfect Body"," ")</f>
        <v xml:space="preserve"> </v>
      </c>
      <c r="AE35" s="29" t="s">
        <v>2255</v>
      </c>
      <c r="AF35" s="29">
        <f ca="1">RANDBETWEEN(1,3)</f>
        <v>2</v>
      </c>
      <c r="BN35" s="29">
        <f t="shared" ca="1" si="29"/>
        <v>3</v>
      </c>
      <c r="BO35" s="29">
        <f ca="1">IF(BP35="Medicine",RAND(),0)</f>
        <v>0</v>
      </c>
      <c r="BP35" s="29" t="str">
        <f t="shared" ca="1" si="33"/>
        <v xml:space="preserve"> </v>
      </c>
      <c r="BR35" s="29">
        <f t="shared" ca="1" si="30"/>
        <v>10</v>
      </c>
      <c r="BS35" s="29">
        <f t="shared" ca="1" si="31"/>
        <v>0.54123615429352834</v>
      </c>
    </row>
    <row r="36" spans="1:83" ht="19.5" thickBot="1" x14ac:dyDescent="0.35">
      <c r="A36" s="33"/>
      <c r="B36" s="38"/>
      <c r="C36" s="38"/>
      <c r="D36" s="38"/>
      <c r="E36" s="38"/>
      <c r="F36" s="38"/>
      <c r="G36" s="38"/>
      <c r="H36" s="38"/>
      <c r="I36" s="38"/>
      <c r="J36" s="38"/>
      <c r="K36" s="38"/>
      <c r="L36" s="38"/>
      <c r="M36" s="38"/>
      <c r="N36" s="38"/>
      <c r="O36" s="38"/>
      <c r="P36" s="38"/>
      <c r="AE36" s="29" t="s">
        <v>2256</v>
      </c>
      <c r="AF36" s="29">
        <f ca="1">RANDBETWEEN(1,2)</f>
        <v>2</v>
      </c>
      <c r="BN36" s="29">
        <f t="shared" ca="1" si="29"/>
        <v>3</v>
      </c>
      <c r="BO36" s="29">
        <f ca="1">IF(BP36="Nature",RAND(),0)</f>
        <v>0</v>
      </c>
      <c r="BP36" s="29" t="str">
        <f t="shared" ca="1" si="33"/>
        <v xml:space="preserve"> </v>
      </c>
      <c r="BR36" s="29">
        <f t="shared" ca="1" si="30"/>
        <v>12</v>
      </c>
      <c r="BS36" s="29">
        <f t="shared" ca="1" si="31"/>
        <v>0.39132928951721646</v>
      </c>
      <c r="CB36" s="31" t="s">
        <v>730</v>
      </c>
      <c r="CE36" s="31"/>
    </row>
    <row r="37" spans="1:83" ht="30.75" thickBot="1" x14ac:dyDescent="0.45">
      <c r="A37" s="137"/>
      <c r="B37" s="122" t="s">
        <v>10</v>
      </c>
      <c r="C37" s="53" t="s">
        <v>710</v>
      </c>
      <c r="D37" s="53" t="s">
        <v>676</v>
      </c>
      <c r="E37" s="53" t="s">
        <v>677</v>
      </c>
      <c r="F37" s="53" t="s">
        <v>678</v>
      </c>
      <c r="G37" s="53" t="s">
        <v>679</v>
      </c>
      <c r="H37" s="53" t="s">
        <v>680</v>
      </c>
      <c r="I37" s="53" t="s">
        <v>675</v>
      </c>
      <c r="J37" s="53"/>
      <c r="K37" s="53"/>
      <c r="L37" s="53"/>
      <c r="M37" s="53"/>
      <c r="N37" s="53"/>
      <c r="O37" s="53" t="s">
        <v>8</v>
      </c>
      <c r="P37" s="116" t="s">
        <v>9</v>
      </c>
      <c r="BN37" s="29">
        <f t="shared" ca="1" si="29"/>
        <v>3</v>
      </c>
      <c r="BO37" s="29">
        <f ca="1">IF(BP37="Perception",RAND(),0)</f>
        <v>0</v>
      </c>
      <c r="BP37" s="29" t="str">
        <f t="shared" ca="1" si="33"/>
        <v xml:space="preserve"> </v>
      </c>
      <c r="BR37" s="29">
        <f t="shared" ca="1" si="30"/>
        <v>5</v>
      </c>
      <c r="BS37" s="29">
        <f t="shared" ca="1" si="31"/>
        <v>0.79158112265180636</v>
      </c>
      <c r="CB37" s="35">
        <f t="shared" ref="CB37:CB44" ca="1" si="34">_xlfn.RANK.EQ(CC37,$CC$37:$CC$44)</f>
        <v>8</v>
      </c>
      <c r="CC37" s="36">
        <f ca="1">IF(BM8&gt;0,0,RAND())</f>
        <v>7.5825624611874032E-2</v>
      </c>
      <c r="CD37" s="29" t="s">
        <v>13</v>
      </c>
    </row>
    <row r="38" spans="1:83" ht="19.5" thickTop="1" x14ac:dyDescent="0.3">
      <c r="A38" s="137"/>
      <c r="B38" s="33" t="s">
        <v>1</v>
      </c>
      <c r="C38" s="33" t="str">
        <f ca="1">IF(O26="Primal Champion",4," ")</f>
        <v xml:space="preserve"> </v>
      </c>
      <c r="D38" s="33" t="str">
        <f ca="1">IF(AND($AF$2="strength",$AF$3="strength"),2,IF(OR($AF$2="strength",$AF$3="strength"),1," "))</f>
        <v xml:space="preserve"> </v>
      </c>
      <c r="E38" s="33" t="str">
        <f ca="1">IF(AND($AF$4="strength",$AF$5="strength"),2,IF(OR($AF$4="strength",$AF$5="strength"),1," "))</f>
        <v xml:space="preserve"> </v>
      </c>
      <c r="F38" s="33" t="str">
        <f ca="1">IF(AND($AF$6="strength",$AF$7="strength"),2,IF(OR($AF$6="strength",$AF$7="strength"),1," "))</f>
        <v xml:space="preserve"> </v>
      </c>
      <c r="G38" s="33" t="str">
        <f ca="1">IF(AND($AF$8="strength",$AF$9="strength"),2,IF(OR($AF$8="strength",$AF$9="strength"),1," "))</f>
        <v xml:space="preserve"> </v>
      </c>
      <c r="H38" s="33" t="str">
        <f ca="1">IF(AND($AF$10="strength",$AF$11="strength"),2,IF(OR($AF$10="strength",$AF$11="strength"),1," "))</f>
        <v xml:space="preserve"> </v>
      </c>
      <c r="I38" s="33">
        <f ca="1">IF(OR(Q2="dragonborn",P2="mountain",Q2="Half-orc"),SUM(J38:M38)-SMALL(J38:M38,1)+2,IF(Q2="human",(SUM(J38:M38)-SMALL(J38:M38,1)+1),(SUM(J38:M38)-SMALL(J38:M38,1))))</f>
        <v>10</v>
      </c>
      <c r="J38" s="33">
        <f t="shared" ref="J38:M43" ca="1" si="35">RANDBETWEEN(1,6)</f>
        <v>3</v>
      </c>
      <c r="K38" s="33">
        <f t="shared" ca="1" si="35"/>
        <v>1</v>
      </c>
      <c r="L38" s="33">
        <f t="shared" ca="1" si="35"/>
        <v>1</v>
      </c>
      <c r="M38" s="33">
        <f t="shared" ca="1" si="35"/>
        <v>4</v>
      </c>
      <c r="N38" s="33"/>
      <c r="O38" s="33">
        <f ca="1">IF(OR(O11="barbarian",O11="fighter",O11="paladin"),MAX(13,(SUM(C38:I38))),IF(OR(Q11="barbarian",Q11="fighter",Q11="paladin"),MAX(13,(SUM(C38:I38))),SUM(C38:I38)))</f>
        <v>13</v>
      </c>
      <c r="P38" s="117">
        <f ca="1">VLOOKUP(O38,Table1[],2)</f>
        <v>1</v>
      </c>
      <c r="BN38" s="29">
        <f t="shared" ca="1" si="29"/>
        <v>3</v>
      </c>
      <c r="BO38" s="29">
        <f ca="1">IF(BP38="Performance",RAND(),0)</f>
        <v>0</v>
      </c>
      <c r="BP38" s="29" t="str">
        <f t="shared" ca="1" si="33"/>
        <v xml:space="preserve"> </v>
      </c>
      <c r="BR38" s="29">
        <f t="shared" ca="1" si="30"/>
        <v>13</v>
      </c>
      <c r="BS38" s="29">
        <f t="shared" ca="1" si="31"/>
        <v>0.21401560328961078</v>
      </c>
      <c r="CB38" s="35">
        <f t="shared" ca="1" si="34"/>
        <v>3</v>
      </c>
      <c r="CC38" s="36">
        <f ca="1">IF(BM7&gt;0,0,RAND())</f>
        <v>0.37489565193352159</v>
      </c>
      <c r="CD38" s="29" t="s">
        <v>29</v>
      </c>
    </row>
    <row r="39" spans="1:83" x14ac:dyDescent="0.3">
      <c r="A39" s="137"/>
      <c r="B39" s="33" t="s">
        <v>2</v>
      </c>
      <c r="C39" s="33"/>
      <c r="D39" s="33" t="str">
        <f ca="1">IF(AND($AF$2="dexterity",$AF$3="dexterity"),2,IF(OR($AF$2="dexterity",$AF$3="dexterity"),1," "))</f>
        <v xml:space="preserve"> </v>
      </c>
      <c r="E39" s="33" t="str">
        <f ca="1">IF(AND($AF$4="dexterity",$AF$5="dexterity"),2,IF(OR($AF$4="dexterity",$AF$5="dexterity"),1," "))</f>
        <v xml:space="preserve"> </v>
      </c>
      <c r="F39" s="33" t="str">
        <f ca="1">IF(AND($AF$6="dexterity",$AF$7="dexterity"),2,IF(OR($AF$6="dexterity",$AF$7="dexterity"),1," "))</f>
        <v xml:space="preserve"> </v>
      </c>
      <c r="G39" s="33" t="str">
        <f ca="1">IF(AND($AF$8="dexterity",$AF$9="dexterity"),2,IF(OR($AF$8="dexterity",$AF$9="dexterity"),1," "))</f>
        <v xml:space="preserve"> </v>
      </c>
      <c r="H39" s="33" t="str">
        <f ca="1">IF(AND($AF$10="dexterity",$AF$11="dexterity"),2,IF(OR($AF$10="dexterity",$AF$11="dexterity"),1," "))</f>
        <v xml:space="preserve"> </v>
      </c>
      <c r="I39" s="33">
        <f ca="1">IF(OR(Q2="elf",Q2="halfling"),SUM(J39:M39)-SMALL(J39:M39,1)+2,IF(OR(Q2="human",P2="forest",Q2="half-elf"),SUM(J39:M39)-SMALL(J39:M39,1)+1,SUM(J39:M39)-SMALL(J39:M39,1)))</f>
        <v>14</v>
      </c>
      <c r="J39" s="33">
        <f t="shared" ca="1" si="35"/>
        <v>4</v>
      </c>
      <c r="K39" s="33">
        <f t="shared" ca="1" si="35"/>
        <v>5</v>
      </c>
      <c r="L39" s="33">
        <f t="shared" ca="1" si="35"/>
        <v>5</v>
      </c>
      <c r="M39" s="33">
        <f t="shared" ca="1" si="35"/>
        <v>2</v>
      </c>
      <c r="N39" s="33"/>
      <c r="O39" s="33">
        <f ca="1">IF(OR(O11="fighter",O11="ranger",O11="rogue"),MAX(13,(SUM(C39:I39))),IF(OR(Q11="fighter",Q11="ranger",Q11="rogue"),MAX(13,(SUM(C39:I39))),SUM(C39:I39)))</f>
        <v>14</v>
      </c>
      <c r="P39" s="117">
        <f ca="1">VLOOKUP(O39,Table1[],2)</f>
        <v>2</v>
      </c>
      <c r="BN39" s="29">
        <f t="shared" ca="1" si="29"/>
        <v>3</v>
      </c>
      <c r="BO39" s="29">
        <f ca="1">IF(BP39="Persuasion",RAND(),0)</f>
        <v>0</v>
      </c>
      <c r="BP39" s="29" t="str">
        <f t="shared" ca="1" si="33"/>
        <v xml:space="preserve"> </v>
      </c>
      <c r="BR39" s="29">
        <f t="shared" ca="1" si="30"/>
        <v>3</v>
      </c>
      <c r="BS39" s="29">
        <f t="shared" ca="1" si="31"/>
        <v>0.95215308778726626</v>
      </c>
      <c r="CB39" s="35">
        <f t="shared" ca="1" si="34"/>
        <v>6</v>
      </c>
      <c r="CC39" s="36">
        <f ca="1">IF(BM12&gt;0,0,RAND())</f>
        <v>0.1032058033935106</v>
      </c>
      <c r="CD39" s="29" t="s">
        <v>17</v>
      </c>
    </row>
    <row r="40" spans="1:83" x14ac:dyDescent="0.3">
      <c r="A40" s="137"/>
      <c r="B40" s="33" t="s">
        <v>3</v>
      </c>
      <c r="C40" s="33" t="str">
        <f ca="1">IF(O26="primal Champion",4," ")</f>
        <v xml:space="preserve"> </v>
      </c>
      <c r="D40" s="33" t="str">
        <f ca="1">IF(AND($AF$2="constitution",$AF$3="constitution"),2,IF(OR($AF$2="constitution",$AF$3="constitution"),1," "))</f>
        <v xml:space="preserve"> </v>
      </c>
      <c r="E40" s="33" t="str">
        <f ca="1">IF(AND($AF$4="constitution",$AF$5="constitution"),2,IF(OR($AF$4="constitution",$AF$5="constitution"),1," "))</f>
        <v xml:space="preserve"> </v>
      </c>
      <c r="F40" s="33" t="str">
        <f ca="1">IF(AND($AF$6="constitution",$AF$7="constitution"),2,IF(OR($AF$6="constitution",$AF$7="constitution"),1," "))</f>
        <v xml:space="preserve"> </v>
      </c>
      <c r="G40" s="33" t="str">
        <f ca="1">IF(AND($AF$8="constitution",$AF$9="constitution"),2,IF(OR($AF$8="constitution",$AF$9="constitution"),1," "))</f>
        <v xml:space="preserve"> </v>
      </c>
      <c r="H40" s="33" t="str">
        <f ca="1">IF(AND($AF$10="constitution",$AF$11="constitution"),2,IF(OR($AF$10="constitution",$AF$11="constitution"),1," "))</f>
        <v xml:space="preserve"> </v>
      </c>
      <c r="I40" s="33">
        <f ca="1">IF(Q2="dwarf",SUM(J40:M40)-SMALL(J40:M40,1)+2,IF(OR(P2="stout",Q2="human",P2="rock",Q2="half-elf",Q2="half-orc"),SUM(J40:M40)-SMALL(J40:M40,1)+1,SUM(J40:M40)-SMALL(J40:M40,1)))</f>
        <v>13</v>
      </c>
      <c r="J40" s="33">
        <f t="shared" ca="1" si="35"/>
        <v>4</v>
      </c>
      <c r="K40" s="33">
        <f t="shared" ca="1" si="35"/>
        <v>4</v>
      </c>
      <c r="L40" s="33">
        <f t="shared" ca="1" si="35"/>
        <v>2</v>
      </c>
      <c r="M40" s="33">
        <f t="shared" ca="1" si="35"/>
        <v>5</v>
      </c>
      <c r="N40" s="33"/>
      <c r="O40" s="33">
        <f ca="1">SUM(C40:I40)</f>
        <v>13</v>
      </c>
      <c r="P40" s="117">
        <f ca="1">IF(P2="hill",VLOOKUP(O40,Table1[],2)+1,VLOOKUP(O40,Table1[],2))</f>
        <v>1</v>
      </c>
      <c r="AJ40" s="29" t="s">
        <v>1650</v>
      </c>
      <c r="AK40" s="29" t="s">
        <v>530</v>
      </c>
      <c r="BN40" s="29">
        <f t="shared" ca="1" si="29"/>
        <v>3</v>
      </c>
      <c r="BO40" s="29">
        <f ca="1">IF(BP40="Religion",RAND(),0)</f>
        <v>0</v>
      </c>
      <c r="BP40" s="29" t="str">
        <f t="shared" ca="1" si="33"/>
        <v xml:space="preserve"> </v>
      </c>
      <c r="BR40" s="29">
        <f t="shared" ca="1" si="30"/>
        <v>15</v>
      </c>
      <c r="BS40" s="29">
        <f t="shared" ca="1" si="31"/>
        <v>0.1980137290009153</v>
      </c>
      <c r="CB40" s="35">
        <f t="shared" ca="1" si="34"/>
        <v>1</v>
      </c>
      <c r="CC40" s="36">
        <f ca="1">IF(BM15&gt;0,0,RAND())</f>
        <v>0.90616804134275297</v>
      </c>
      <c r="CD40" s="29" t="s">
        <v>20</v>
      </c>
    </row>
    <row r="41" spans="1:83" x14ac:dyDescent="0.3">
      <c r="A41" s="137"/>
      <c r="B41" s="33" t="s">
        <v>4</v>
      </c>
      <c r="C41" s="33"/>
      <c r="D41" s="33" t="str">
        <f ca="1">IF(AND($AF$2="intelligence",$AF$3="intelligence"),2,IF(OR($AF$2="Intelligence",$AF$3="intelligence"),1," "))</f>
        <v xml:space="preserve"> </v>
      </c>
      <c r="E41" s="33" t="str">
        <f ca="1">IF(AND($AF$4="intelligence",$AF$5="intelligence"),2,IF(OR($AF$4="Intelligence",$AF$5="intelligence"),1," "))</f>
        <v xml:space="preserve"> </v>
      </c>
      <c r="F41" s="33" t="str">
        <f ca="1">IF(AND($AF$6="intelligence",$AF$7="intelligence"),2,IF(OR($AF$6="Intelligence",$AF$7="intelligence"),1," "))</f>
        <v xml:space="preserve"> </v>
      </c>
      <c r="G41" s="33" t="str">
        <f ca="1">IF(AND($AF$8="intelligence",$AF$9="intelligence"),2,IF(OR($AF$8="Intelligence",$AF$9="intelligence"),1," "))</f>
        <v xml:space="preserve"> </v>
      </c>
      <c r="H41" s="33" t="str">
        <f ca="1">IF(AND($AF$10="intelligence",$AF$11="intelligence"),2,IF(OR($AF$10="Intelligence",$AF$11="intelligence"),1," "))</f>
        <v xml:space="preserve"> </v>
      </c>
      <c r="I41" s="33">
        <f ca="1">IF(OR(P2="high",Q2="human",Q2="tiefling"),SUM(J41:M41)-SMALL(J41:M41,1)+1,IF(Q2="gnome",SUM(J41:M41)-SMALL(J41:M41,1)+2,SUM(J41:M41)-SMALL(J41:M41,1)))</f>
        <v>13</v>
      </c>
      <c r="J41" s="33">
        <f t="shared" ca="1" si="35"/>
        <v>6</v>
      </c>
      <c r="K41" s="33">
        <f t="shared" ca="1" si="35"/>
        <v>5</v>
      </c>
      <c r="L41" s="33">
        <f t="shared" ca="1" si="35"/>
        <v>2</v>
      </c>
      <c r="M41" s="33">
        <f t="shared" ca="1" si="35"/>
        <v>1</v>
      </c>
      <c r="N41" s="33"/>
      <c r="O41" s="33">
        <f ca="1">IF(O11="wizard",MAX(13,(SUM(C41:I41))),IF(Q11="wizard",MAX(13,(SUM(C41:I41))),SUM(C41:I41)))</f>
        <v>13</v>
      </c>
      <c r="P41" s="117">
        <f ca="1">VLOOKUP(O41,Table1[],2)</f>
        <v>1</v>
      </c>
      <c r="AJ41" s="29" t="s">
        <v>1649</v>
      </c>
      <c r="AK41" s="29" t="str">
        <f ca="1">IF(Q11="wizard",((Q12-1)*2)+6," ")</f>
        <v xml:space="preserve"> </v>
      </c>
      <c r="BN41" s="29">
        <f t="shared" ca="1" si="29"/>
        <v>3</v>
      </c>
      <c r="BO41" s="29">
        <f ca="1">IF(BP41="Sleight of Hand",RAND(),0)</f>
        <v>0</v>
      </c>
      <c r="BP41" s="29" t="str">
        <f t="shared" ca="1" si="33"/>
        <v xml:space="preserve"> </v>
      </c>
      <c r="BR41" s="29">
        <f t="shared" ca="1" si="30"/>
        <v>16</v>
      </c>
      <c r="BS41" s="29">
        <f t="shared" ca="1" si="31"/>
        <v>0.18224562345793083</v>
      </c>
      <c r="CB41" s="35">
        <f t="shared" ca="1" si="34"/>
        <v>4</v>
      </c>
      <c r="CC41" s="36">
        <f ca="1">IF(BM16&gt;0,0,RAND())</f>
        <v>0.3139799402916742</v>
      </c>
      <c r="CD41" s="29" t="s">
        <v>21</v>
      </c>
      <c r="CE41" s="31"/>
    </row>
    <row r="42" spans="1:83" x14ac:dyDescent="0.3">
      <c r="A42" s="137"/>
      <c r="B42" s="33" t="s">
        <v>5</v>
      </c>
      <c r="C42" s="33"/>
      <c r="D42" s="33" t="str">
        <f ca="1">IF(AND($AF$2="wisdom",$AF$3="wisdom"),2,IF(OR($AF$2="wisdom",$AF$3="wisdom"),1," "))</f>
        <v xml:space="preserve"> </v>
      </c>
      <c r="E42" s="33" t="str">
        <f ca="1">IF(AND($AF$4="wisdom",$AF$5="wisdom"),2,IF(OR($AF$4="wisdom",$AF$5="wisdom"),1," "))</f>
        <v xml:space="preserve"> </v>
      </c>
      <c r="F42" s="33" t="str">
        <f ca="1">IF(AND($AF$6="wisdom",$AF$7="wisdom"),2,IF(OR($AF$6="wisdom",$AF$7="wisdom"),1," "))</f>
        <v xml:space="preserve"> </v>
      </c>
      <c r="G42" s="33" t="str">
        <f ca="1">IF(AND($AF$8="wisdom",$AF$9="wisdom"),2,IF(OR($AF$8="wisdom",$AF$9="wisdom"),1," "))</f>
        <v xml:space="preserve"> </v>
      </c>
      <c r="H42" s="33" t="str">
        <f ca="1">IF(AND($AF$10="wisdom",$AF$11="wisdom"),2,IF(OR($AF$10="wisdom",$AF$11="wisdom"),1," "))</f>
        <v xml:space="preserve"> </v>
      </c>
      <c r="I42" s="33">
        <f ca="1">IF(OR(P2="hill",P2="wood",Q2="human"),SUM(J42:M42)-SMALL(J42:M42,1)+1,SUM(J42:M42)-SMALL(J42:M42,1))</f>
        <v>15</v>
      </c>
      <c r="J42" s="33">
        <f t="shared" ca="1" si="35"/>
        <v>5</v>
      </c>
      <c r="K42" s="33">
        <f t="shared" ca="1" si="35"/>
        <v>4</v>
      </c>
      <c r="L42" s="33">
        <f t="shared" ca="1" si="35"/>
        <v>6</v>
      </c>
      <c r="M42" s="33">
        <f t="shared" ca="1" si="35"/>
        <v>4</v>
      </c>
      <c r="N42" s="33"/>
      <c r="O42" s="33">
        <f ca="1">IF(OR(O11="cleric",O11="druid",O11="monk",O11="ranger"),MAX(13,(SUM(C42:I42))),IF(OR(Q11="cleric",Q11="druid",Q11="monk",Q11="ranger"),MAX(13,(SUM(C42:I42))),SUM(C42:I42)))</f>
        <v>15</v>
      </c>
      <c r="P42" s="117">
        <f ca="1">VLOOKUP(O42,Table1[],2)</f>
        <v>2</v>
      </c>
      <c r="BN42" s="29">
        <f t="shared" ca="1" si="29"/>
        <v>3</v>
      </c>
      <c r="BO42" s="29">
        <f ca="1">IF(BP42="Stealth",RAND(),0)</f>
        <v>0</v>
      </c>
      <c r="BP42" s="29" t="str">
        <f t="shared" ca="1" si="33"/>
        <v xml:space="preserve"> </v>
      </c>
      <c r="BR42" s="29">
        <f t="shared" ca="1" si="30"/>
        <v>2</v>
      </c>
      <c r="BS42" s="29">
        <f t="shared" ca="1" si="31"/>
        <v>0.96933361075361935</v>
      </c>
      <c r="CB42" s="35">
        <f t="shared" ca="1" si="34"/>
        <v>7</v>
      </c>
      <c r="CC42" s="36">
        <f ca="1">IF(BM17&gt;0,0,RAND())</f>
        <v>8.2252956469354821E-2</v>
      </c>
      <c r="CD42" s="29" t="s">
        <v>22</v>
      </c>
    </row>
    <row r="43" spans="1:83" ht="19.5" thickBot="1" x14ac:dyDescent="0.35">
      <c r="A43" s="137"/>
      <c r="B43" s="38" t="s">
        <v>6</v>
      </c>
      <c r="C43" s="38"/>
      <c r="D43" s="38" t="str">
        <f ca="1">IF(AND($AF$2="charisma",$AF$3="charisma"),2,IF(OR($AF$2="charisma",$AF$3="charisma"),1," "))</f>
        <v xml:space="preserve"> </v>
      </c>
      <c r="E43" s="38" t="str">
        <f ca="1">IF(AND($AF$4="charisma",$AF$5="charisma"),2,IF(OR($AF$4="charisma",$AF$5="charisma"),1," "))</f>
        <v xml:space="preserve"> </v>
      </c>
      <c r="F43" s="38" t="str">
        <f ca="1">IF(AND($AF$6="charisma",$AF$7="charisma"),2,IF(OR($AF$6="charisma",$AF$7="charisma"),1," "))</f>
        <v xml:space="preserve"> </v>
      </c>
      <c r="G43" s="38" t="str">
        <f ca="1">IF(AND($AF$8="charisma",$AF$9="charisma"),2,IF(OR($AF$8="charisma",$AF$9="charisma"),1," "))</f>
        <v xml:space="preserve"> </v>
      </c>
      <c r="H43" s="38" t="str">
        <f ca="1">IF(AND($AF$10="charisma",$AF$11="charisma"),2,IF(OR($AF$10="charisma",$AF$11="charisma"),1," "))</f>
        <v xml:space="preserve"> </v>
      </c>
      <c r="I43" s="38">
        <f ca="1">IF(OR(P2="dark",P2="lightfoot",Q2="human",Q2="dragonborn"),SUM(J43:M43)-SMALL(J43:M43,1)+1,IF(OR(Q2="half-elf",Q2="tiefling"),SUM(J43:M43)-SMALL(J43:M43,1)+2,SUM(J43:M43)-SMALL(J43:M43,1)))</f>
        <v>18</v>
      </c>
      <c r="J43" s="38">
        <f t="shared" ca="1" si="35"/>
        <v>4</v>
      </c>
      <c r="K43" s="38">
        <f t="shared" ca="1" si="35"/>
        <v>6</v>
      </c>
      <c r="L43" s="38">
        <f t="shared" ca="1" si="35"/>
        <v>5</v>
      </c>
      <c r="M43" s="38">
        <f t="shared" ca="1" si="35"/>
        <v>6</v>
      </c>
      <c r="N43" s="38"/>
      <c r="O43" s="38">
        <f ca="1">IF(OR(O11="bard",O11="paladin",O11="sorcerer",O11="warlock"),MAX(13,(SUM(C43:I43))),IF(OR(Q11="bard",Q11="paladin",Q11="sorcerer",Q11="warlock"),MAX(13,(SUM(C43:I43))),SUM(C43:I43)))</f>
        <v>18</v>
      </c>
      <c r="P43" s="118">
        <f ca="1">VLOOKUP(O43,Table1[],2)</f>
        <v>4</v>
      </c>
      <c r="AJ43" s="31" t="s">
        <v>1166</v>
      </c>
      <c r="AO43" s="57"/>
      <c r="AP43" s="57"/>
      <c r="AQ43" s="57"/>
      <c r="BN43" s="29">
        <f t="shared" ca="1" si="29"/>
        <v>3</v>
      </c>
      <c r="BO43" s="29">
        <f ca="1">IF(BP43="Survival",RAND(),0)</f>
        <v>0</v>
      </c>
      <c r="BP43" s="29" t="str">
        <f t="shared" ca="1" si="33"/>
        <v xml:space="preserve"> </v>
      </c>
      <c r="BR43" s="29">
        <f t="shared" ca="1" si="30"/>
        <v>7</v>
      </c>
      <c r="BS43" s="29">
        <f t="shared" ca="1" si="31"/>
        <v>0.62216127218249884</v>
      </c>
      <c r="CB43" s="35">
        <f t="shared" ca="1" si="34"/>
        <v>5</v>
      </c>
      <c r="CC43" s="36">
        <f ca="1">IF(BM20&gt;0,0,RAND())</f>
        <v>0.19309431191750193</v>
      </c>
      <c r="CD43" s="29" t="s">
        <v>25</v>
      </c>
    </row>
    <row r="44" spans="1:83" ht="19.5" thickBot="1" x14ac:dyDescent="0.35">
      <c r="A44" s="33"/>
      <c r="B44" s="38"/>
      <c r="C44" s="38"/>
      <c r="D44" s="38"/>
      <c r="E44" s="38"/>
      <c r="F44" s="38"/>
      <c r="G44" s="38"/>
      <c r="H44" s="38"/>
      <c r="I44" s="38"/>
      <c r="J44" s="38"/>
      <c r="K44" s="38"/>
      <c r="L44" s="38"/>
      <c r="M44" s="38"/>
      <c r="N44" s="38"/>
      <c r="O44" s="38"/>
      <c r="P44" s="38"/>
      <c r="AJ44" s="58" t="str">
        <f ca="1">IF(Table200335449791848905314378656[[#This Row],[Column2]]=0," ",_xlfn.RANK.EQ(AK44,$AK$44:$AK$53))</f>
        <v xml:space="preserve"> </v>
      </c>
      <c r="AK44" s="29">
        <f ca="1">IF(Table200335449791848905314378656[[#This Row],[Column3]]=" ", 0,RAND())</f>
        <v>0</v>
      </c>
      <c r="AL44" s="29" t="str">
        <f t="shared" ref="AL44:AL53" ca="1" si="36">Q315</f>
        <v xml:space="preserve"> </v>
      </c>
      <c r="AO44" s="29" t="s">
        <v>1962</v>
      </c>
      <c r="CB44" s="35">
        <f t="shared" ca="1" si="34"/>
        <v>2</v>
      </c>
      <c r="CC44" s="36">
        <f ca="1">IF(BM23&gt;0,0,RAND())</f>
        <v>0.37556976546092513</v>
      </c>
      <c r="CD44" s="29" t="s">
        <v>28</v>
      </c>
    </row>
    <row r="45" spans="1:83" ht="30.75" thickBot="1" x14ac:dyDescent="0.45">
      <c r="A45" s="115"/>
      <c r="B45" s="122" t="s">
        <v>37</v>
      </c>
      <c r="C45" s="53"/>
      <c r="D45" s="53"/>
      <c r="E45" s="53"/>
      <c r="F45" s="53"/>
      <c r="G45" s="53"/>
      <c r="H45" s="53"/>
      <c r="I45" s="53"/>
      <c r="J45" s="53"/>
      <c r="K45" s="53"/>
      <c r="L45" s="53"/>
      <c r="M45" s="53"/>
      <c r="N45" s="53"/>
      <c r="O45" s="53" t="s">
        <v>30</v>
      </c>
      <c r="P45" s="116" t="s">
        <v>38</v>
      </c>
      <c r="AJ45" s="58" t="str">
        <f ca="1">IF(Table200335449791848905314378656[[#This Row],[Column2]]=0," ",_xlfn.RANK.EQ(AK45,$AK$44:$AK$53))</f>
        <v xml:space="preserve"> </v>
      </c>
      <c r="AK45" s="29">
        <f ca="1">IF(Table200335449791848905314378656[[#This Row],[Column3]]=" ", 0,RAND())</f>
        <v>0</v>
      </c>
      <c r="AL45" s="29" t="str">
        <f t="shared" ca="1" si="36"/>
        <v xml:space="preserve"> </v>
      </c>
      <c r="AO45" s="29" t="str">
        <f ca="1">IF(Table293375489831888945361417695[[#This Row],[Column2]]=0," ",_xlfn.RANK.EQ(Table293375489831888945361417695[[#This Row],[Column2]],$AP$45:$AP$59))</f>
        <v xml:space="preserve"> </v>
      </c>
      <c r="AP45" s="29">
        <f ca="1">IF(OR(Table293375489831888945361417695[[#This Row],[Column3]]=" ",Table293375489831888945361417695[[#This Row],[Column3]]="simple weapons"), 0,RAND())</f>
        <v>0</v>
      </c>
      <c r="AQ45" s="29" t="str">
        <f ca="1">P76</f>
        <v>Simple Weapons</v>
      </c>
    </row>
    <row r="46" spans="1:83" ht="19.5" thickTop="1" x14ac:dyDescent="0.3">
      <c r="A46" s="137"/>
      <c r="B46" s="33" t="s">
        <v>1</v>
      </c>
      <c r="C46" s="33"/>
      <c r="D46" s="33"/>
      <c r="E46" s="33"/>
      <c r="F46" s="33"/>
      <c r="G46" s="33"/>
      <c r="H46" s="33"/>
      <c r="I46" s="33"/>
      <c r="J46" s="33"/>
      <c r="K46" s="33"/>
      <c r="L46" s="33"/>
      <c r="M46" s="33"/>
      <c r="N46" s="33"/>
      <c r="O46" s="33" t="str">
        <f ca="1">IF(OR($O$11="barbarian",O11="fighter",O11="monk",O11="ranger"),"x"," ")</f>
        <v xml:space="preserve"> </v>
      </c>
      <c r="P46" s="72">
        <f t="shared" ref="P46:P51" ca="1" si="37">IF(O46="x",SUM(P38,$P$8),P38)</f>
        <v>1</v>
      </c>
      <c r="T46" s="49"/>
      <c r="U46" s="49"/>
      <c r="AJ46" s="58" t="str">
        <f ca="1">IF(Table200335449791848905314378656[[#This Row],[Column2]]=0," ",_xlfn.RANK.EQ(AK46,$AK$44:$AK$53))</f>
        <v xml:space="preserve"> </v>
      </c>
      <c r="AK46" s="29">
        <f ca="1">IF(Table200335449791848905314378656[[#This Row],[Column3]]=" ", 0,RAND())</f>
        <v>0</v>
      </c>
      <c r="AL46" s="29" t="str">
        <f t="shared" ca="1" si="36"/>
        <v xml:space="preserve"> </v>
      </c>
      <c r="AO46" s="29" t="str">
        <f ca="1">IF(Table293375489831888945361417695[[#This Row],[Column2]]=0," ",_xlfn.RANK.EQ(Table293375489831888945361417695[[#This Row],[Column2]],$AP$45:$AP$59))</f>
        <v xml:space="preserve"> </v>
      </c>
      <c r="AP46" s="29">
        <f ca="1">IF(OR(Table293375489831888945361417695[[#This Row],[Column3]]=" ",Table293375489831888945361417695[[#This Row],[Column3]]="martial weapons"), 0,RAND())</f>
        <v>0</v>
      </c>
      <c r="AQ46" s="29" t="str">
        <f ca="1">P77</f>
        <v>Martial Weapons</v>
      </c>
      <c r="CB46" s="31" t="s">
        <v>731</v>
      </c>
      <c r="CE46" s="31"/>
    </row>
    <row r="47" spans="1:83" x14ac:dyDescent="0.3">
      <c r="A47" s="137"/>
      <c r="B47" s="33" t="s">
        <v>2</v>
      </c>
      <c r="C47" s="33"/>
      <c r="D47" s="33"/>
      <c r="E47" s="33"/>
      <c r="F47" s="33"/>
      <c r="G47" s="33"/>
      <c r="H47" s="33"/>
      <c r="I47" s="33"/>
      <c r="J47" s="33"/>
      <c r="K47" s="33"/>
      <c r="L47" s="33"/>
      <c r="M47" s="33"/>
      <c r="N47" s="33"/>
      <c r="O47" s="33" t="str">
        <f ca="1">IF(OR($O$11="bard",O11="monk",O11="ranger",O11="rogue"),"x"," ")</f>
        <v xml:space="preserve"> </v>
      </c>
      <c r="P47" s="72">
        <f t="shared" ca="1" si="37"/>
        <v>2</v>
      </c>
      <c r="T47" s="49"/>
      <c r="U47" s="49"/>
      <c r="AJ47" s="58" t="str">
        <f ca="1">IF(Table200335449791848905314378656[[#This Row],[Column2]]=0," ",_xlfn.RANK.EQ(AK47,$AK$44:$AK$53))</f>
        <v xml:space="preserve"> </v>
      </c>
      <c r="AK47" s="29">
        <f ca="1">IF(Table200335449791848905314378656[[#This Row],[Column3]]=" ", 0,RAND())</f>
        <v>0</v>
      </c>
      <c r="AL47" s="29" t="str">
        <f t="shared" ca="1" si="36"/>
        <v xml:space="preserve"> </v>
      </c>
      <c r="AO47" s="29" t="str">
        <f ca="1">IF(Table293375489831888945361417695[[#This Row],[Column2]]=0," ",_xlfn.RANK.EQ(Table293375489831888945361417695[[#This Row],[Column2]],$AP$45:$AP$59))</f>
        <v xml:space="preserve"> </v>
      </c>
      <c r="AP47" s="29">
        <f ca="1">IF(Table293375489831888945361417695[[#This Row],[Column3]]=" ", 0,RAND())</f>
        <v>0</v>
      </c>
      <c r="AQ47" s="29" t="str">
        <f ca="1">P78</f>
        <v xml:space="preserve"> </v>
      </c>
      <c r="CB47" s="35">
        <f t="shared" ref="CB47:CB54" ca="1" si="38">_xlfn.RANK.EQ(CC47,$CC$47:$CC$54)</f>
        <v>5</v>
      </c>
      <c r="CC47" s="36">
        <f ca="1">IF(BM6&gt;0,0,RAND())</f>
        <v>0.17849762073332498</v>
      </c>
      <c r="CD47" s="29" t="s">
        <v>12</v>
      </c>
    </row>
    <row r="48" spans="1:83" x14ac:dyDescent="0.3">
      <c r="A48" s="137"/>
      <c r="B48" s="33" t="s">
        <v>3</v>
      </c>
      <c r="C48" s="33"/>
      <c r="D48" s="33"/>
      <c r="E48" s="33"/>
      <c r="F48" s="33"/>
      <c r="G48" s="33"/>
      <c r="H48" s="33"/>
      <c r="I48" s="33"/>
      <c r="J48" s="33"/>
      <c r="K48" s="33"/>
      <c r="L48" s="33"/>
      <c r="M48" s="33"/>
      <c r="N48" s="33"/>
      <c r="O48" s="33" t="str">
        <f ca="1">IF(OR(O11="barbarian",O11="fighter",O11="sorcerer"),"x"," ")</f>
        <v xml:space="preserve"> </v>
      </c>
      <c r="P48" s="72">
        <f t="shared" ca="1" si="37"/>
        <v>1</v>
      </c>
      <c r="T48" s="49"/>
      <c r="U48" s="49"/>
      <c r="AJ48" s="58" t="str">
        <f ca="1">IF(Table200335449791848905314378656[[#This Row],[Column2]]=0," ",_xlfn.RANK.EQ(AK48,$AK$44:$AK$53))</f>
        <v xml:space="preserve"> </v>
      </c>
      <c r="AK48" s="29">
        <f ca="1">IF(Table200335449791848905314378656[[#This Row],[Column3]]=" ", 0,RAND())</f>
        <v>0</v>
      </c>
      <c r="AL48" s="29" t="str">
        <f t="shared" ca="1" si="36"/>
        <v xml:space="preserve"> </v>
      </c>
      <c r="AO48" s="29" t="str">
        <f ca="1">IF(Table293375489831888945361417695[[#This Row],[Column2]]=0," ",_xlfn.RANK.EQ(Table293375489831888945361417695[[#This Row],[Column2]],$AP$45:$AP$59))</f>
        <v xml:space="preserve"> </v>
      </c>
      <c r="AP48" s="29">
        <f ca="1">IF(Table293375489831888945361417695[[#This Row],[Column3]]=" ", 0,RAND())</f>
        <v>0</v>
      </c>
      <c r="AQ48" s="29" t="str">
        <f ca="1">P79</f>
        <v xml:space="preserve"> </v>
      </c>
      <c r="CB48" s="35">
        <f t="shared" ca="1" si="38"/>
        <v>4</v>
      </c>
      <c r="CC48" s="36">
        <f ca="1">IF(BM7&gt;0,0,RAND())</f>
        <v>0.27730441084954449</v>
      </c>
      <c r="CD48" s="29" t="s">
        <v>29</v>
      </c>
    </row>
    <row r="49" spans="1:83" x14ac:dyDescent="0.3">
      <c r="A49" s="137"/>
      <c r="B49" s="33" t="s">
        <v>4</v>
      </c>
      <c r="C49" s="33"/>
      <c r="D49" s="33"/>
      <c r="E49" s="33"/>
      <c r="F49" s="33"/>
      <c r="G49" s="33"/>
      <c r="H49" s="33"/>
      <c r="I49" s="33"/>
      <c r="J49" s="33"/>
      <c r="K49" s="33"/>
      <c r="L49" s="33"/>
      <c r="M49" s="33"/>
      <c r="N49" s="33"/>
      <c r="O49" s="33" t="str">
        <f ca="1">IF(OR(O11="rogue",O11="druid",O11="wizard"),"x"," ")</f>
        <v xml:space="preserve"> </v>
      </c>
      <c r="P49" s="72">
        <f t="shared" ca="1" si="37"/>
        <v>1</v>
      </c>
      <c r="T49" s="49"/>
      <c r="U49" s="49"/>
      <c r="AJ49" s="58" t="str">
        <f ca="1">IF(Table200335449791848905314378656[[#This Row],[Column2]]=0," ",_xlfn.RANK.EQ(AK49,$AK$44:$AK$53))</f>
        <v xml:space="preserve"> </v>
      </c>
      <c r="AK49" s="29">
        <f ca="1">IF(Table200335449791848905314378656[[#This Row],[Column3]]=" ", 0,RAND())</f>
        <v>0</v>
      </c>
      <c r="AL49" s="29" t="str">
        <f t="shared" ca="1" si="36"/>
        <v xml:space="preserve"> </v>
      </c>
      <c r="AO49" s="29" t="str">
        <f ca="1">IF(Table293375489831888945361417695[[#This Row],[Column2]]=0," ",_xlfn.RANK.EQ(Table293375489831888945361417695[[#This Row],[Column2]],$AP$45:$AP$59))</f>
        <v xml:space="preserve"> </v>
      </c>
      <c r="AP49" s="29">
        <f ca="1">IF(Table293375489831888945361417695[[#This Row],[Column3]]=" ", 0,RAND())</f>
        <v>0</v>
      </c>
      <c r="AQ49" s="29" t="str">
        <f ca="1">P80</f>
        <v xml:space="preserve"> </v>
      </c>
      <c r="CB49" s="35">
        <f t="shared" ca="1" si="38"/>
        <v>7</v>
      </c>
      <c r="CC49" s="36">
        <f ca="1">IF(BM9&gt;0,0,RAND())</f>
        <v>0</v>
      </c>
      <c r="CD49" s="29" t="s">
        <v>14</v>
      </c>
    </row>
    <row r="50" spans="1:83" x14ac:dyDescent="0.3">
      <c r="A50" s="137"/>
      <c r="B50" s="33" t="s">
        <v>39</v>
      </c>
      <c r="C50" s="33"/>
      <c r="D50" s="33"/>
      <c r="E50" s="33"/>
      <c r="F50" s="33"/>
      <c r="G50" s="33"/>
      <c r="H50" s="33"/>
      <c r="I50" s="33"/>
      <c r="J50" s="33"/>
      <c r="K50" s="33"/>
      <c r="L50" s="33"/>
      <c r="M50" s="33"/>
      <c r="N50" s="33"/>
      <c r="O50" s="33" t="str">
        <f ca="1">IF(OR(O11="cleric",O11="druid",O11="paladin",O11="warlock",O11="wizard"),"x",IF(AND(O11="rogue",O12&gt;=15),"x"," "))</f>
        <v>x</v>
      </c>
      <c r="P50" s="72">
        <f t="shared" ca="1" si="37"/>
        <v>4</v>
      </c>
      <c r="T50" s="49"/>
      <c r="U50" s="49"/>
      <c r="AJ50" s="58" t="str">
        <f ca="1">IF(Table200335449791848905314378656[[#This Row],[Column2]]=0," ",_xlfn.RANK.EQ(AK50,$AK$44:$AK$53))</f>
        <v xml:space="preserve"> </v>
      </c>
      <c r="AK50" s="29">
        <f ca="1">IF(Table200335449791848905314378656[[#This Row],[Column3]]=" ", 0,RAND())</f>
        <v>0</v>
      </c>
      <c r="AL50" s="29" t="str">
        <f t="shared" ca="1" si="36"/>
        <v xml:space="preserve"> </v>
      </c>
      <c r="AO50" s="29" t="str">
        <f ca="1">IF(Table293375489831888945361417695[[#This Row],[Column2]]=0," ",_xlfn.RANK.EQ(Table293375489831888945361417695[[#This Row],[Column2]],$AP$45:$AP$59))</f>
        <v xml:space="preserve"> </v>
      </c>
      <c r="AP50" s="29">
        <f ca="1">IF(Table293375489831888945361417695[[#This Row],[Column3]]=" ", 0,RAND())</f>
        <v>0</v>
      </c>
      <c r="AQ50" s="29" t="str">
        <f ca="1">Q76</f>
        <v xml:space="preserve"> </v>
      </c>
      <c r="CB50" s="35">
        <f t="shared" ca="1" si="38"/>
        <v>2</v>
      </c>
      <c r="CC50" s="36">
        <f ca="1">IF(BM11&gt;0,0,RAND())</f>
        <v>0.38918827382476617</v>
      </c>
      <c r="CD50" s="29" t="s">
        <v>16</v>
      </c>
    </row>
    <row r="51" spans="1:83" ht="19.5" thickBot="1" x14ac:dyDescent="0.35">
      <c r="A51" s="137"/>
      <c r="B51" s="38" t="s">
        <v>6</v>
      </c>
      <c r="C51" s="38"/>
      <c r="D51" s="38"/>
      <c r="E51" s="38"/>
      <c r="F51" s="38"/>
      <c r="G51" s="38"/>
      <c r="H51" s="38"/>
      <c r="I51" s="38"/>
      <c r="J51" s="38"/>
      <c r="K51" s="38"/>
      <c r="L51" s="38"/>
      <c r="M51" s="38"/>
      <c r="N51" s="38"/>
      <c r="O51" s="38" t="str">
        <f ca="1">IF(OR($O$11="bard",O11="cleric",O11="paladin",O11="sorcerer",O11="warlock"),"x"," ")</f>
        <v>x</v>
      </c>
      <c r="P51" s="73">
        <f t="shared" ca="1" si="37"/>
        <v>6</v>
      </c>
      <c r="AJ51" s="58" t="str">
        <f ca="1">IF(Table200335449791848905314378656[[#This Row],[Column2]]=0," ",_xlfn.RANK.EQ(AK51,$AK$44:$AK$53))</f>
        <v xml:space="preserve"> </v>
      </c>
      <c r="AK51" s="29">
        <f ca="1">IF(Table200335449791848905314378656[[#This Row],[Column3]]=" ", 0,RAND())</f>
        <v>0</v>
      </c>
      <c r="AL51" s="29" t="str">
        <f t="shared" ca="1" si="36"/>
        <v xml:space="preserve"> </v>
      </c>
      <c r="AO51" s="29" t="str">
        <f ca="1">IF(Table293375489831888945361417695[[#This Row],[Column2]]=0," ",_xlfn.RANK.EQ(Table293375489831888945361417695[[#This Row],[Column2]],$AP$45:$AP$59))</f>
        <v xml:space="preserve"> </v>
      </c>
      <c r="AP51" s="29">
        <f ca="1">IF(Table293375489831888945361417695[[#This Row],[Column3]]=" ", 0,RAND())</f>
        <v>0</v>
      </c>
      <c r="AQ51" s="29" t="str">
        <f ca="1">Q77</f>
        <v xml:space="preserve"> </v>
      </c>
      <c r="CB51" s="35">
        <f t="shared" ca="1" si="38"/>
        <v>1</v>
      </c>
      <c r="CC51" s="36">
        <f ca="1">IF(BM12&gt;0,0,RAND())</f>
        <v>0.90212847876937785</v>
      </c>
      <c r="CD51" s="29" t="s">
        <v>17</v>
      </c>
      <c r="CE51" s="31"/>
    </row>
    <row r="52" spans="1:83" ht="19.5" thickBot="1" x14ac:dyDescent="0.35">
      <c r="A52" s="138"/>
      <c r="B52" s="99"/>
      <c r="C52" s="99"/>
      <c r="D52" s="99"/>
      <c r="E52" s="99"/>
      <c r="F52" s="99"/>
      <c r="G52" s="99"/>
      <c r="H52" s="99"/>
      <c r="I52" s="99"/>
      <c r="J52" s="99"/>
      <c r="K52" s="99"/>
      <c r="L52" s="99"/>
      <c r="M52" s="99"/>
      <c r="N52" s="99"/>
      <c r="O52" s="99"/>
      <c r="P52" s="99"/>
      <c r="AJ52" s="58" t="str">
        <f ca="1">IF(Table200335449791848905314378656[[#This Row],[Column2]]=0," ",_xlfn.RANK.EQ(AK52,$AK$44:$AK$53))</f>
        <v xml:space="preserve"> </v>
      </c>
      <c r="AK52" s="29">
        <f ca="1">IF(Table200335449791848905314378656[[#This Row],[Column3]]=" ", 0,RAND())</f>
        <v>0</v>
      </c>
      <c r="AL52" s="29" t="str">
        <f t="shared" ca="1" si="36"/>
        <v xml:space="preserve"> </v>
      </c>
      <c r="AO52" s="29" t="str">
        <f ca="1">IF(Table293375489831888945361417695[[#This Row],[Column2]]=0," ",_xlfn.RANK.EQ(Table293375489831888945361417695[[#This Row],[Column2]],$AP$45:$AP$59))</f>
        <v xml:space="preserve"> </v>
      </c>
      <c r="AP52" s="29">
        <f ca="1">IF(Table293375489831888945361417695[[#This Row],[Column3]]=" ", 0,RAND())</f>
        <v>0</v>
      </c>
      <c r="AQ52" s="29" t="str">
        <f ca="1">Q78</f>
        <v xml:space="preserve"> </v>
      </c>
      <c r="CB52" s="35">
        <f t="shared" ca="1" si="38"/>
        <v>7</v>
      </c>
      <c r="CC52" s="36">
        <f ca="1">IF(BM13&gt;0,0,RAND())</f>
        <v>0</v>
      </c>
      <c r="CD52" s="29" t="s">
        <v>18</v>
      </c>
    </row>
    <row r="53" spans="1:83" ht="30.75" thickBot="1" x14ac:dyDescent="0.45">
      <c r="A53" s="137"/>
      <c r="B53" s="122" t="s">
        <v>11</v>
      </c>
      <c r="C53" s="33"/>
      <c r="D53" s="33"/>
      <c r="E53" s="33"/>
      <c r="F53" s="33"/>
      <c r="G53" s="33"/>
      <c r="H53" s="33"/>
      <c r="I53" s="33"/>
      <c r="J53" s="33"/>
      <c r="K53" s="33"/>
      <c r="L53" s="33"/>
      <c r="M53" s="33"/>
      <c r="N53" s="33"/>
      <c r="O53" s="53" t="s">
        <v>30</v>
      </c>
      <c r="P53" s="119" t="s">
        <v>529</v>
      </c>
      <c r="AJ53" s="58" t="str">
        <f ca="1">IF(Table200335449791848905314378656[[#This Row],[Column2]]=0," ",_xlfn.RANK.EQ(AK53,$AK$44:$AK$53))</f>
        <v xml:space="preserve"> </v>
      </c>
      <c r="AK53" s="29">
        <f ca="1">IF(Table200335449791848905314378656[[#This Row],[Column3]]=" ", 0,RAND())</f>
        <v>0</v>
      </c>
      <c r="AL53" s="29" t="str">
        <f t="shared" ca="1" si="36"/>
        <v xml:space="preserve"> </v>
      </c>
      <c r="AO53" s="29" t="str">
        <f ca="1">IF(Table293375489831888945361417695[[#This Row],[Column2]]=0," ",_xlfn.RANK.EQ(Table293375489831888945361417695[[#This Row],[Column2]],$AP$45:$AP$59))</f>
        <v xml:space="preserve"> </v>
      </c>
      <c r="AP53" s="29">
        <f ca="1">IF(Table293375489831888945361417695[[#This Row],[Column3]]=" ", 0,RAND())</f>
        <v>0</v>
      </c>
      <c r="AQ53" s="29" t="str">
        <f ca="1">Q79</f>
        <v xml:space="preserve"> </v>
      </c>
      <c r="CB53" s="35">
        <f t="shared" ca="1" si="38"/>
        <v>3</v>
      </c>
      <c r="CC53" s="36">
        <f ca="1">IF(BM17&gt;0,0,RAND())</f>
        <v>0.38463192971770999</v>
      </c>
      <c r="CD53" s="29" t="s">
        <v>22</v>
      </c>
    </row>
    <row r="54" spans="1:83" ht="19.5" thickTop="1" x14ac:dyDescent="0.3">
      <c r="A54" s="137"/>
      <c r="B54" s="33" t="s">
        <v>12</v>
      </c>
      <c r="C54" s="59"/>
      <c r="D54" s="33"/>
      <c r="E54" s="33"/>
      <c r="F54" s="33"/>
      <c r="G54" s="33"/>
      <c r="H54" s="33"/>
      <c r="I54" s="33"/>
      <c r="J54" s="33"/>
      <c r="K54" s="33"/>
      <c r="L54" s="33"/>
      <c r="M54" s="33"/>
      <c r="N54" s="33"/>
      <c r="O54" s="33" t="str">
        <f t="shared" ref="O54:O71" ca="1" si="39">IF(BU6&gt;0,"x"," ")</f>
        <v>x</v>
      </c>
      <c r="P54" s="120">
        <f ca="1">SUM(BU6,P39)</f>
        <v>4</v>
      </c>
      <c r="AO54" s="29" t="str">
        <f ca="1">IF(Table293375489831888945361417695[[#This Row],[Column2]]=0," ",_xlfn.RANK.EQ(Table293375489831888945361417695[[#This Row],[Column2]],$AP$45:$AP$59))</f>
        <v xml:space="preserve"> </v>
      </c>
      <c r="AP54" s="29">
        <f ca="1">IF(Table293375489831888945361417695[[#This Row],[Column3]]=" ", 0,RAND())</f>
        <v>0</v>
      </c>
      <c r="AQ54" s="29" t="str">
        <f ca="1">Q80</f>
        <v xml:space="preserve"> </v>
      </c>
      <c r="CB54" s="35">
        <f t="shared" ca="1" si="38"/>
        <v>6</v>
      </c>
      <c r="CC54" s="36">
        <f ca="1">IF(BM23&gt;0,0,RAND())</f>
        <v>0.15086658872250225</v>
      </c>
      <c r="CD54" s="29" t="s">
        <v>28</v>
      </c>
    </row>
    <row r="55" spans="1:83" x14ac:dyDescent="0.3">
      <c r="A55" s="137"/>
      <c r="B55" s="33" t="s">
        <v>29</v>
      </c>
      <c r="C55" s="59"/>
      <c r="D55" s="33"/>
      <c r="E55" s="33"/>
      <c r="F55" s="33"/>
      <c r="G55" s="33"/>
      <c r="H55" s="33"/>
      <c r="I55" s="33"/>
      <c r="J55" s="33"/>
      <c r="K55" s="33"/>
      <c r="L55" s="33"/>
      <c r="M55" s="33"/>
      <c r="N55" s="33"/>
      <c r="O55" s="33" t="str">
        <f t="shared" ca="1" si="39"/>
        <v xml:space="preserve"> </v>
      </c>
      <c r="P55" s="120">
        <f ca="1">SUM(BU7,P42)</f>
        <v>2</v>
      </c>
      <c r="AJ55" s="31" t="s">
        <v>1167</v>
      </c>
      <c r="AO55" s="29" t="str">
        <f ca="1">IF(Table293375489831888945361417695[[#This Row],[Column2]]=0," ",_xlfn.RANK.EQ(Table293375489831888945361417695[[#This Row],[Column2]],$AP$45:$AP$59))</f>
        <v xml:space="preserve"> </v>
      </c>
      <c r="AP55" s="29">
        <f ca="1">IF(Table293375489831888945361417695[[#This Row],[Column3]]=" ", 0,RAND())</f>
        <v>0</v>
      </c>
      <c r="AQ55" s="29" t="str">
        <f ca="1">R76</f>
        <v xml:space="preserve"> </v>
      </c>
    </row>
    <row r="56" spans="1:83" x14ac:dyDescent="0.3">
      <c r="A56" s="137"/>
      <c r="B56" s="33" t="s">
        <v>13</v>
      </c>
      <c r="C56" s="33"/>
      <c r="D56" s="33"/>
      <c r="E56" s="33"/>
      <c r="F56" s="33"/>
      <c r="G56" s="33"/>
      <c r="H56" s="33"/>
      <c r="I56" s="33"/>
      <c r="J56" s="33"/>
      <c r="K56" s="33"/>
      <c r="L56" s="33"/>
      <c r="M56" s="33"/>
      <c r="N56" s="33"/>
      <c r="O56" s="33" t="str">
        <f t="shared" ca="1" si="39"/>
        <v xml:space="preserve"> </v>
      </c>
      <c r="P56" s="120">
        <f ca="1">SUM(BU8,P41)</f>
        <v>1</v>
      </c>
      <c r="AJ56" s="58" t="str">
        <f ca="1">IF(Table201336450792849906315379657[[#This Row],[Column2]]=0," ",_xlfn.RANK.EQ(AK56,$AK$56:$AK$65))</f>
        <v xml:space="preserve"> </v>
      </c>
      <c r="AK56" s="29">
        <f ca="1">IF(AL56=" ", 0,RAND())</f>
        <v>0</v>
      </c>
      <c r="AL56" s="29" t="str">
        <f t="shared" ref="AL56:AL65" ca="1" si="40">R315</f>
        <v xml:space="preserve"> </v>
      </c>
      <c r="AO56" s="29" t="str">
        <f ca="1">IF(Table293375489831888945361417695[[#This Row],[Column2]]=0," ",_xlfn.RANK.EQ(Table293375489831888945361417695[[#This Row],[Column2]],$AP$45:$AP$59))</f>
        <v xml:space="preserve"> </v>
      </c>
      <c r="AP56" s="29">
        <f ca="1">IF(Table293375489831888945361417695[[#This Row],[Column3]]=" ", 0,RAND())</f>
        <v>0</v>
      </c>
      <c r="AQ56" s="29" t="str">
        <f ca="1">R77</f>
        <v xml:space="preserve"> </v>
      </c>
      <c r="CB56" s="31" t="s">
        <v>732</v>
      </c>
      <c r="CE56" s="31"/>
    </row>
    <row r="57" spans="1:83" x14ac:dyDescent="0.3">
      <c r="A57" s="137"/>
      <c r="B57" s="33" t="s">
        <v>14</v>
      </c>
      <c r="C57" s="33"/>
      <c r="D57" s="33"/>
      <c r="E57" s="33"/>
      <c r="F57" s="33"/>
      <c r="G57" s="33"/>
      <c r="H57" s="33"/>
      <c r="I57" s="33"/>
      <c r="J57" s="33"/>
      <c r="K57" s="33"/>
      <c r="L57" s="33"/>
      <c r="M57" s="33"/>
      <c r="N57" s="33"/>
      <c r="O57" s="33" t="str">
        <f t="shared" ca="1" si="39"/>
        <v>x</v>
      </c>
      <c r="P57" s="120">
        <f ca="1">SUM(BU9,P38)</f>
        <v>3</v>
      </c>
      <c r="AJ57" s="58" t="str">
        <f ca="1">IF(Table201336450792849906315379657[[#This Row],[Column2]]=0," ",_xlfn.RANK.EQ(AK57,$AK$56:$AK$65))</f>
        <v xml:space="preserve"> </v>
      </c>
      <c r="AK57" s="29">
        <f t="shared" ref="AK57:AK65" ca="1" si="41">IF(AL57=" ", 0,RAND())</f>
        <v>0</v>
      </c>
      <c r="AL57" s="29" t="str">
        <f t="shared" ca="1" si="40"/>
        <v xml:space="preserve"> </v>
      </c>
      <c r="AO57" s="29" t="str">
        <f ca="1">IF(Table293375489831888945361417695[[#This Row],[Column2]]=0," ",_xlfn.RANK.EQ(Table293375489831888945361417695[[#This Row],[Column2]],$AP$45:$AP$59))</f>
        <v xml:space="preserve"> </v>
      </c>
      <c r="AP57" s="29">
        <f ca="1">IF(Table293375489831888945361417695[[#This Row],[Column3]]=" ", 0,RAND())</f>
        <v>0</v>
      </c>
      <c r="AQ57" s="29" t="str">
        <f ca="1">R78</f>
        <v xml:space="preserve"> </v>
      </c>
      <c r="CB57" s="35">
        <f t="shared" ref="CB57:CB62" ca="1" si="42">_xlfn.RANK.EQ(CC57,$CC$57:$CC$62)</f>
        <v>2</v>
      </c>
      <c r="CC57" s="36">
        <f ca="1">IF(BM6&gt;0,0,RAND())</f>
        <v>0.84272908891178677</v>
      </c>
      <c r="CD57" s="29" t="s">
        <v>12</v>
      </c>
    </row>
    <row r="58" spans="1:83" x14ac:dyDescent="0.3">
      <c r="A58" s="137"/>
      <c r="B58" s="33" t="s">
        <v>15</v>
      </c>
      <c r="C58" s="33"/>
      <c r="D58" s="33"/>
      <c r="E58" s="33"/>
      <c r="F58" s="33"/>
      <c r="G58" s="33"/>
      <c r="H58" s="33"/>
      <c r="I58" s="33"/>
      <c r="J58" s="33"/>
      <c r="K58" s="33"/>
      <c r="L58" s="33"/>
      <c r="M58" s="33"/>
      <c r="N58" s="33"/>
      <c r="O58" s="33" t="str">
        <f t="shared" ca="1" si="39"/>
        <v xml:space="preserve"> </v>
      </c>
      <c r="P58" s="120">
        <f ca="1">SUM(BU10,P43)</f>
        <v>4</v>
      </c>
      <c r="AJ58" s="58" t="str">
        <f ca="1">IF(Table201336450792849906315379657[[#This Row],[Column2]]=0," ",_xlfn.RANK.EQ(AK58,$AK$56:$AK$65))</f>
        <v xml:space="preserve"> </v>
      </c>
      <c r="AK58" s="29">
        <f t="shared" ca="1" si="41"/>
        <v>0</v>
      </c>
      <c r="AL58" s="29" t="str">
        <f t="shared" ca="1" si="40"/>
        <v xml:space="preserve"> </v>
      </c>
      <c r="AO58" s="29" t="str">
        <f ca="1">IF(Table293375489831888945361417695[[#This Row],[Column2]]=0," ",_xlfn.RANK.EQ(Table293375489831888945361417695[[#This Row],[Column2]],$AP$45:$AP$59))</f>
        <v xml:space="preserve"> </v>
      </c>
      <c r="AP58" s="29">
        <f ca="1">IF(Table293375489831888945361417695[[#This Row],[Column3]]=" ", 0,RAND())</f>
        <v>0</v>
      </c>
      <c r="AQ58" s="29" t="str">
        <f ca="1">R79</f>
        <v xml:space="preserve"> </v>
      </c>
      <c r="CB58" s="35">
        <f t="shared" ca="1" si="42"/>
        <v>6</v>
      </c>
      <c r="CC58" s="36">
        <f ca="1">IF(BM9&gt;0,0,RAND())</f>
        <v>0</v>
      </c>
      <c r="CD58" s="29" t="s">
        <v>14</v>
      </c>
    </row>
    <row r="59" spans="1:83" x14ac:dyDescent="0.3">
      <c r="A59" s="137"/>
      <c r="B59" s="33" t="s">
        <v>16</v>
      </c>
      <c r="C59" s="33"/>
      <c r="D59" s="33"/>
      <c r="E59" s="33"/>
      <c r="F59" s="33"/>
      <c r="G59" s="33"/>
      <c r="H59" s="33"/>
      <c r="I59" s="33"/>
      <c r="J59" s="33"/>
      <c r="K59" s="33"/>
      <c r="L59" s="33"/>
      <c r="M59" s="33"/>
      <c r="N59" s="33"/>
      <c r="O59" s="33" t="str">
        <f t="shared" ca="1" si="39"/>
        <v xml:space="preserve"> </v>
      </c>
      <c r="P59" s="120">
        <f ca="1">SUM(P41,BU11)</f>
        <v>1</v>
      </c>
      <c r="AJ59" s="58" t="str">
        <f ca="1">IF(Table201336450792849906315379657[[#This Row],[Column2]]=0," ",_xlfn.RANK.EQ(AK59,$AK$56:$AK$65))</f>
        <v xml:space="preserve"> </v>
      </c>
      <c r="AK59" s="29">
        <f t="shared" ca="1" si="41"/>
        <v>0</v>
      </c>
      <c r="AL59" s="29" t="str">
        <f t="shared" ca="1" si="40"/>
        <v xml:space="preserve"> </v>
      </c>
      <c r="AO59" s="29" t="str">
        <f ca="1">IF(Table293375489831888945361417695[[#This Row],[Column2]]=0," ",_xlfn.RANK.EQ(Table293375489831888945361417695[[#This Row],[Column2]],$AP$45:$AP$59))</f>
        <v xml:space="preserve"> </v>
      </c>
      <c r="AP59" s="29">
        <f ca="1">IF(Table293375489831888945361417695[[#This Row],[Column3]]=" ", 0,RAND())</f>
        <v>0</v>
      </c>
      <c r="AQ59" s="29" t="str">
        <f ca="1">R80</f>
        <v xml:space="preserve"> </v>
      </c>
      <c r="CB59" s="35">
        <f t="shared" ca="1" si="42"/>
        <v>3</v>
      </c>
      <c r="CC59" s="36">
        <f ca="1">IF(BM11&gt;0,0,RAND())</f>
        <v>0.7634676423049056</v>
      </c>
      <c r="CD59" s="29" t="s">
        <v>16</v>
      </c>
    </row>
    <row r="60" spans="1:83" x14ac:dyDescent="0.3">
      <c r="A60" s="137"/>
      <c r="B60" s="33" t="s">
        <v>17</v>
      </c>
      <c r="C60" s="33"/>
      <c r="D60" s="33"/>
      <c r="E60" s="33"/>
      <c r="F60" s="33"/>
      <c r="G60" s="33"/>
      <c r="H60" s="33"/>
      <c r="I60" s="33"/>
      <c r="J60" s="33"/>
      <c r="K60" s="33"/>
      <c r="L60" s="33"/>
      <c r="M60" s="33"/>
      <c r="N60" s="33"/>
      <c r="O60" s="33" t="str">
        <f t="shared" ca="1" si="39"/>
        <v xml:space="preserve"> </v>
      </c>
      <c r="P60" s="120">
        <f ca="1">SUM(BU12,P42)</f>
        <v>2</v>
      </c>
      <c r="AJ60" s="58" t="str">
        <f ca="1">IF(Table201336450792849906315379657[[#This Row],[Column2]]=0," ",_xlfn.RANK.EQ(AK60,$AK$56:$AK$65))</f>
        <v xml:space="preserve"> </v>
      </c>
      <c r="AK60" s="29">
        <f t="shared" ca="1" si="41"/>
        <v>0</v>
      </c>
      <c r="AL60" s="29" t="str">
        <f t="shared" ca="1" si="40"/>
        <v xml:space="preserve"> </v>
      </c>
      <c r="CB60" s="35">
        <f t="shared" ca="1" si="42"/>
        <v>5</v>
      </c>
      <c r="CC60" s="36">
        <f ca="1">IF(BM12&gt;0,0,RAND())</f>
        <v>0.14706138100859845</v>
      </c>
      <c r="CD60" s="29" t="s">
        <v>17</v>
      </c>
    </row>
    <row r="61" spans="1:83" x14ac:dyDescent="0.3">
      <c r="A61" s="137"/>
      <c r="B61" s="33" t="s">
        <v>18</v>
      </c>
      <c r="C61" s="33"/>
      <c r="D61" s="33"/>
      <c r="E61" s="33"/>
      <c r="F61" s="33"/>
      <c r="G61" s="33"/>
      <c r="H61" s="33"/>
      <c r="I61" s="33"/>
      <c r="J61" s="33"/>
      <c r="K61" s="33"/>
      <c r="L61" s="33"/>
      <c r="M61" s="33"/>
      <c r="N61" s="33"/>
      <c r="O61" s="33" t="str">
        <f t="shared" ca="1" si="39"/>
        <v>x</v>
      </c>
      <c r="P61" s="120">
        <f ca="1">SUM(BU13,P43)</f>
        <v>6</v>
      </c>
      <c r="AJ61" s="58" t="str">
        <f ca="1">IF(Table201336450792849906315379657[[#This Row],[Column2]]=0," ",_xlfn.RANK.EQ(AK61,$AK$56:$AK$65))</f>
        <v xml:space="preserve"> </v>
      </c>
      <c r="AK61" s="29">
        <f t="shared" ca="1" si="41"/>
        <v>0</v>
      </c>
      <c r="AL61" s="29" t="str">
        <f t="shared" ca="1" si="40"/>
        <v xml:space="preserve"> </v>
      </c>
      <c r="CB61" s="35">
        <f t="shared" ca="1" si="42"/>
        <v>4</v>
      </c>
      <c r="CC61" s="36">
        <f ca="1">IF(BM20&gt;0,0,RAND())</f>
        <v>0.36692678406648982</v>
      </c>
      <c r="CD61" s="29" t="s">
        <v>25</v>
      </c>
    </row>
    <row r="62" spans="1:83" x14ac:dyDescent="0.3">
      <c r="A62" s="137"/>
      <c r="B62" s="33" t="s">
        <v>19</v>
      </c>
      <c r="C62" s="33"/>
      <c r="D62" s="33"/>
      <c r="E62" s="33"/>
      <c r="F62" s="33"/>
      <c r="G62" s="33"/>
      <c r="H62" s="33"/>
      <c r="I62" s="33"/>
      <c r="J62" s="33"/>
      <c r="K62" s="33"/>
      <c r="L62" s="33"/>
      <c r="M62" s="33"/>
      <c r="N62" s="33"/>
      <c r="O62" s="33" t="str">
        <f t="shared" ca="1" si="39"/>
        <v xml:space="preserve"> </v>
      </c>
      <c r="P62" s="120">
        <f ca="1">SUM(BU14,P41)</f>
        <v>1</v>
      </c>
      <c r="AJ62" s="58" t="str">
        <f ca="1">IF(Table201336450792849906315379657[[#This Row],[Column2]]=0," ",_xlfn.RANK.EQ(AK62,$AK$56:$AK$65))</f>
        <v xml:space="preserve"> </v>
      </c>
      <c r="AK62" s="29">
        <f t="shared" ca="1" si="41"/>
        <v>0</v>
      </c>
      <c r="AL62" s="29" t="str">
        <f t="shared" ca="1" si="40"/>
        <v xml:space="preserve"> </v>
      </c>
      <c r="CB62" s="35">
        <f t="shared" ca="1" si="42"/>
        <v>1</v>
      </c>
      <c r="CC62" s="36">
        <f ca="1">IF(BM22&gt;0,0,RAND())</f>
        <v>0.91345126386041386</v>
      </c>
      <c r="CD62" s="29" t="s">
        <v>27</v>
      </c>
      <c r="CE62" s="31"/>
    </row>
    <row r="63" spans="1:83" x14ac:dyDescent="0.3">
      <c r="A63" s="137"/>
      <c r="B63" s="33" t="s">
        <v>20</v>
      </c>
      <c r="C63" s="33"/>
      <c r="D63" s="33"/>
      <c r="E63" s="33"/>
      <c r="F63" s="33"/>
      <c r="G63" s="33"/>
      <c r="H63" s="33"/>
      <c r="I63" s="33"/>
      <c r="J63" s="33"/>
      <c r="K63" s="33"/>
      <c r="L63" s="33"/>
      <c r="M63" s="33"/>
      <c r="N63" s="33"/>
      <c r="O63" s="33" t="str">
        <f t="shared" ca="1" si="39"/>
        <v xml:space="preserve"> </v>
      </c>
      <c r="P63" s="120">
        <f ca="1">SUM(BU15,P42)</f>
        <v>2</v>
      </c>
      <c r="AJ63" s="58" t="str">
        <f ca="1">IF(Table201336450792849906315379657[[#This Row],[Column2]]=0," ",_xlfn.RANK.EQ(AK63,$AK$56:$AK$65))</f>
        <v xml:space="preserve"> </v>
      </c>
      <c r="AK63" s="29">
        <f t="shared" ca="1" si="41"/>
        <v>0</v>
      </c>
      <c r="AL63" s="29" t="str">
        <f t="shared" ca="1" si="40"/>
        <v xml:space="preserve"> </v>
      </c>
    </row>
    <row r="64" spans="1:83" x14ac:dyDescent="0.3">
      <c r="A64" s="137"/>
      <c r="B64" s="33" t="s">
        <v>21</v>
      </c>
      <c r="C64" s="33"/>
      <c r="D64" s="33"/>
      <c r="E64" s="33"/>
      <c r="F64" s="33"/>
      <c r="G64" s="33"/>
      <c r="H64" s="33"/>
      <c r="I64" s="33"/>
      <c r="J64" s="33"/>
      <c r="K64" s="33"/>
      <c r="L64" s="33"/>
      <c r="M64" s="33"/>
      <c r="N64" s="33"/>
      <c r="O64" s="33" t="str">
        <f t="shared" ca="1" si="39"/>
        <v xml:space="preserve"> </v>
      </c>
      <c r="P64" s="120">
        <f ca="1">SUM(BU16,P41)</f>
        <v>1</v>
      </c>
      <c r="AJ64" s="58" t="str">
        <f ca="1">IF(Table201336450792849906315379657[[#This Row],[Column2]]=0," ",_xlfn.RANK.EQ(AK64,$AK$56:$AK$65))</f>
        <v xml:space="preserve"> </v>
      </c>
      <c r="AK64" s="29">
        <f t="shared" ca="1" si="41"/>
        <v>0</v>
      </c>
      <c r="AL64" s="29" t="str">
        <f t="shared" ca="1" si="40"/>
        <v xml:space="preserve"> </v>
      </c>
      <c r="CB64" s="31" t="s">
        <v>733</v>
      </c>
    </row>
    <row r="65" spans="1:82" x14ac:dyDescent="0.3">
      <c r="A65" s="137"/>
      <c r="B65" s="33" t="s">
        <v>22</v>
      </c>
      <c r="C65" s="33"/>
      <c r="D65" s="33"/>
      <c r="E65" s="33"/>
      <c r="F65" s="33"/>
      <c r="G65" s="33"/>
      <c r="H65" s="33"/>
      <c r="I65" s="33"/>
      <c r="J65" s="33"/>
      <c r="K65" s="33"/>
      <c r="L65" s="33"/>
      <c r="M65" s="33"/>
      <c r="N65" s="33"/>
      <c r="O65" s="33" t="str">
        <f t="shared" ca="1" si="39"/>
        <v xml:space="preserve"> </v>
      </c>
      <c r="P65" s="120">
        <f ca="1">SUM(BU17,P42)</f>
        <v>2</v>
      </c>
      <c r="AJ65" s="58" t="str">
        <f ca="1">IF(Table201336450792849906315379657[[#This Row],[Column2]]=0," ",_xlfn.RANK.EQ(AK65,$AK$56:$AK$65))</f>
        <v xml:space="preserve"> </v>
      </c>
      <c r="AK65" s="29">
        <f t="shared" ca="1" si="41"/>
        <v>0</v>
      </c>
      <c r="AL65" s="29" t="str">
        <f t="shared" ca="1" si="40"/>
        <v xml:space="preserve"> </v>
      </c>
      <c r="CB65" s="35">
        <f t="shared" ref="CB65:CB70" ca="1" si="43">_xlfn.RANK.EQ(CC65,$CC$65:$CC$70)</f>
        <v>5</v>
      </c>
      <c r="CC65" s="36">
        <f ca="1">IF(BM9&gt;0,0,RAND())</f>
        <v>0</v>
      </c>
      <c r="CD65" s="29" t="s">
        <v>14</v>
      </c>
    </row>
    <row r="66" spans="1:82" x14ac:dyDescent="0.3">
      <c r="A66" s="137"/>
      <c r="B66" s="33" t="s">
        <v>23</v>
      </c>
      <c r="C66" s="33"/>
      <c r="D66" s="33"/>
      <c r="E66" s="33"/>
      <c r="F66" s="33"/>
      <c r="G66" s="33"/>
      <c r="H66" s="33"/>
      <c r="I66" s="33"/>
      <c r="J66" s="33"/>
      <c r="K66" s="33"/>
      <c r="L66" s="33"/>
      <c r="M66" s="33"/>
      <c r="N66" s="33"/>
      <c r="O66" s="33" t="str">
        <f t="shared" ca="1" si="39"/>
        <v xml:space="preserve"> </v>
      </c>
      <c r="P66" s="120">
        <f ca="1">SUM(BU18,P43)</f>
        <v>4</v>
      </c>
      <c r="CB66" s="35">
        <f t="shared" ca="1" si="43"/>
        <v>1</v>
      </c>
      <c r="CC66" s="36">
        <f ca="1">IF(BM12&gt;0,0,RAND())</f>
        <v>0.71618239148278684</v>
      </c>
      <c r="CD66" s="29" t="s">
        <v>17</v>
      </c>
    </row>
    <row r="67" spans="1:82" x14ac:dyDescent="0.3">
      <c r="A67" s="137"/>
      <c r="B67" s="33" t="s">
        <v>24</v>
      </c>
      <c r="C67" s="33"/>
      <c r="D67" s="33"/>
      <c r="E67" s="33"/>
      <c r="F67" s="33"/>
      <c r="G67" s="33"/>
      <c r="H67" s="33"/>
      <c r="I67" s="33"/>
      <c r="J67" s="33"/>
      <c r="K67" s="33"/>
      <c r="L67" s="33"/>
      <c r="M67" s="33"/>
      <c r="N67" s="33"/>
      <c r="O67" s="33" t="str">
        <f t="shared" ca="1" si="39"/>
        <v xml:space="preserve"> </v>
      </c>
      <c r="P67" s="120">
        <f ca="1">SUM(BU19,P43)</f>
        <v>4</v>
      </c>
      <c r="AJ67" s="31" t="s">
        <v>1168</v>
      </c>
      <c r="CB67" s="35">
        <f t="shared" ca="1" si="43"/>
        <v>5</v>
      </c>
      <c r="CC67" s="36">
        <f ca="1">IF(BM13&gt;0,0,RAND())</f>
        <v>0</v>
      </c>
      <c r="CD67" s="29" t="s">
        <v>18</v>
      </c>
    </row>
    <row r="68" spans="1:82" x14ac:dyDescent="0.3">
      <c r="A68" s="137"/>
      <c r="B68" s="33" t="s">
        <v>25</v>
      </c>
      <c r="C68" s="33"/>
      <c r="D68" s="33"/>
      <c r="E68" s="33"/>
      <c r="F68" s="33"/>
      <c r="G68" s="33"/>
      <c r="H68" s="33"/>
      <c r="I68" s="33"/>
      <c r="J68" s="33"/>
      <c r="K68" s="33"/>
      <c r="L68" s="33"/>
      <c r="M68" s="33"/>
      <c r="N68" s="33"/>
      <c r="O68" s="33" t="str">
        <f t="shared" ca="1" si="39"/>
        <v xml:space="preserve"> </v>
      </c>
      <c r="P68" s="120">
        <f ca="1">SUM(BU20,P41)</f>
        <v>1</v>
      </c>
      <c r="AJ68" s="58" t="str">
        <f ca="1">IF(Table202337451793850907320380658[[#This Row],[Column2]]=0," ",_xlfn.RANK.EQ(AK68,$AK$68:$AK$77))</f>
        <v xml:space="preserve"> </v>
      </c>
      <c r="AK68" s="60">
        <f t="shared" ref="AK68:AK77" ca="1" si="44">IF(AL68=" ", 0,RAND())</f>
        <v>0</v>
      </c>
      <c r="AL68" s="29" t="str">
        <f t="shared" ref="AL68:AL77" ca="1" si="45">S315</f>
        <v xml:space="preserve"> </v>
      </c>
      <c r="CB68" s="35">
        <f t="shared" ca="1" si="43"/>
        <v>4</v>
      </c>
      <c r="CC68" s="36">
        <f ca="1">IF(BM15&gt;0,0,RAND())</f>
        <v>4.1062854935342452E-2</v>
      </c>
      <c r="CD68" s="29" t="s">
        <v>20</v>
      </c>
    </row>
    <row r="69" spans="1:82" x14ac:dyDescent="0.3">
      <c r="A69" s="137"/>
      <c r="B69" s="33" t="s">
        <v>26</v>
      </c>
      <c r="C69" s="33"/>
      <c r="D69" s="33"/>
      <c r="E69" s="33"/>
      <c r="F69" s="33"/>
      <c r="G69" s="33"/>
      <c r="H69" s="33"/>
      <c r="I69" s="33"/>
      <c r="J69" s="33"/>
      <c r="K69" s="33"/>
      <c r="L69" s="33"/>
      <c r="M69" s="33"/>
      <c r="N69" s="33"/>
      <c r="O69" s="33" t="str">
        <f t="shared" ca="1" si="39"/>
        <v xml:space="preserve"> </v>
      </c>
      <c r="P69" s="120">
        <f ca="1">SUM(BU21,P39)</f>
        <v>2</v>
      </c>
      <c r="AJ69" s="58" t="str">
        <f ca="1">IF(Table202337451793850907320380658[[#This Row],[Column2]]=0," ",_xlfn.RANK.EQ(AK69,$AK$68:$AK$77))</f>
        <v xml:space="preserve"> </v>
      </c>
      <c r="AK69" s="60">
        <f t="shared" ca="1" si="44"/>
        <v>0</v>
      </c>
      <c r="AL69" s="29" t="str">
        <f t="shared" ca="1" si="45"/>
        <v xml:space="preserve"> </v>
      </c>
      <c r="CB69" s="35">
        <f t="shared" ca="1" si="43"/>
        <v>2</v>
      </c>
      <c r="CC69" s="36">
        <f ca="1">IF(BM19&gt;0,0,RAND())</f>
        <v>0.52576870461769931</v>
      </c>
      <c r="CD69" s="29" t="s">
        <v>24</v>
      </c>
    </row>
    <row r="70" spans="1:82" x14ac:dyDescent="0.3">
      <c r="A70" s="137"/>
      <c r="B70" s="33" t="s">
        <v>27</v>
      </c>
      <c r="C70" s="33"/>
      <c r="D70" s="33"/>
      <c r="E70" s="33"/>
      <c r="F70" s="33"/>
      <c r="G70" s="33"/>
      <c r="H70" s="33"/>
      <c r="I70" s="33"/>
      <c r="J70" s="33"/>
      <c r="K70" s="33"/>
      <c r="L70" s="33"/>
      <c r="M70" s="33"/>
      <c r="N70" s="33"/>
      <c r="O70" s="33" t="str">
        <f t="shared" ca="1" si="39"/>
        <v xml:space="preserve"> </v>
      </c>
      <c r="P70" s="120">
        <f ca="1">SUM(BU22,P39)</f>
        <v>2</v>
      </c>
      <c r="AJ70" s="58" t="str">
        <f ca="1">IF(Table202337451793850907320380658[[#This Row],[Column2]]=0," ",_xlfn.RANK.EQ(AK70,$AK$68:$AK$77))</f>
        <v xml:space="preserve"> </v>
      </c>
      <c r="AK70" s="60">
        <f t="shared" ca="1" si="44"/>
        <v>0</v>
      </c>
      <c r="AL70" s="29" t="str">
        <f t="shared" ca="1" si="45"/>
        <v xml:space="preserve"> </v>
      </c>
      <c r="CB70" s="35">
        <f t="shared" ca="1" si="43"/>
        <v>3</v>
      </c>
      <c r="CC70" s="36">
        <f ca="1">IF(BM20&gt;0,0,RAND())</f>
        <v>9.6868582496057787E-2</v>
      </c>
      <c r="CD70" s="29" t="s">
        <v>25</v>
      </c>
    </row>
    <row r="71" spans="1:82" x14ac:dyDescent="0.3">
      <c r="A71" s="137"/>
      <c r="B71" s="33" t="s">
        <v>28</v>
      </c>
      <c r="C71" s="33"/>
      <c r="D71" s="33"/>
      <c r="E71" s="33"/>
      <c r="F71" s="33"/>
      <c r="G71" s="33"/>
      <c r="H71" s="33"/>
      <c r="I71" s="33"/>
      <c r="J71" s="33"/>
      <c r="K71" s="33"/>
      <c r="L71" s="33"/>
      <c r="M71" s="33"/>
      <c r="N71" s="33"/>
      <c r="O71" s="33" t="str">
        <f t="shared" ca="1" si="39"/>
        <v xml:space="preserve"> </v>
      </c>
      <c r="P71" s="120">
        <f ca="1">SUM(BU23,P42)</f>
        <v>2</v>
      </c>
      <c r="AJ71" s="58" t="str">
        <f ca="1">IF(Table202337451793850907320380658[[#This Row],[Column2]]=0," ",_xlfn.RANK.EQ(AK71,$AK$68:$AK$77))</f>
        <v xml:space="preserve"> </v>
      </c>
      <c r="AK71" s="60">
        <f t="shared" ca="1" si="44"/>
        <v>0</v>
      </c>
      <c r="AL71" s="29" t="str">
        <f t="shared" ca="1" si="45"/>
        <v xml:space="preserve"> </v>
      </c>
    </row>
    <row r="72" spans="1:82" ht="19.5" thickBot="1" x14ac:dyDescent="0.35">
      <c r="A72" s="137"/>
      <c r="B72" s="38" t="str">
        <f ca="1">IF(O11="non-classed","Profession"," ")</f>
        <v xml:space="preserve"> </v>
      </c>
      <c r="C72" s="38"/>
      <c r="D72" s="38"/>
      <c r="E72" s="38"/>
      <c r="F72" s="38"/>
      <c r="G72" s="38"/>
      <c r="H72" s="38"/>
      <c r="I72" s="38"/>
      <c r="J72" s="38"/>
      <c r="K72" s="38"/>
      <c r="L72" s="38"/>
      <c r="M72" s="38"/>
      <c r="N72" s="38"/>
      <c r="O72" s="38" t="str">
        <f ca="1">IF(O11="non-classed","x"," ")</f>
        <v xml:space="preserve"> </v>
      </c>
      <c r="P72" s="121" t="str">
        <f ca="1">IF(O11="non-classed",P8*2," ")</f>
        <v xml:space="preserve"> </v>
      </c>
      <c r="AJ72" s="58" t="str">
        <f ca="1">IF(Table202337451793850907320380658[[#This Row],[Column2]]=0," ",_xlfn.RANK.EQ(AK72,$AK$68:$AK$77))</f>
        <v xml:space="preserve"> </v>
      </c>
      <c r="AK72" s="60">
        <f t="shared" ca="1" si="44"/>
        <v>0</v>
      </c>
      <c r="AL72" s="29" t="str">
        <f t="shared" ca="1" si="45"/>
        <v xml:space="preserve"> </v>
      </c>
      <c r="CB72" s="31" t="s">
        <v>734</v>
      </c>
    </row>
    <row r="73" spans="1:82" ht="19.5" thickBot="1" x14ac:dyDescent="0.35">
      <c r="AJ73" s="58" t="str">
        <f ca="1">IF(Table202337451793850907320380658[[#This Row],[Column2]]=0," ",_xlfn.RANK.EQ(AK73,$AK$68:$AK$77))</f>
        <v xml:space="preserve"> </v>
      </c>
      <c r="AK73" s="60">
        <f t="shared" ca="1" si="44"/>
        <v>0</v>
      </c>
      <c r="AL73" s="29" t="str">
        <f t="shared" ca="1" si="45"/>
        <v xml:space="preserve"> </v>
      </c>
      <c r="CB73" s="35">
        <f t="shared" ref="CB73:CB81" ca="1" si="46">_xlfn.RANK.EQ(CC73,$CC$73:$CC$81)</f>
        <v>2</v>
      </c>
      <c r="CC73" s="36">
        <f ca="1">IF(BM7&gt;0,0,RAND())</f>
        <v>0.80101442156040126</v>
      </c>
      <c r="CD73" s="29" t="s">
        <v>29</v>
      </c>
    </row>
    <row r="74" spans="1:82" ht="30.75" thickBot="1" x14ac:dyDescent="0.45">
      <c r="B74" s="106" t="s">
        <v>2716</v>
      </c>
      <c r="AJ74" s="58" t="str">
        <f ca="1">IF(Table202337451793850907320380658[[#This Row],[Column2]]=0," ",_xlfn.RANK.EQ(AK74,$AK$68:$AK$77))</f>
        <v xml:space="preserve"> </v>
      </c>
      <c r="AK74" s="60">
        <f t="shared" ca="1" si="44"/>
        <v>0</v>
      </c>
      <c r="AL74" s="29" t="str">
        <f t="shared" ca="1" si="45"/>
        <v xml:space="preserve"> </v>
      </c>
      <c r="CB74" s="35">
        <f t="shared" ca="1" si="46"/>
        <v>8</v>
      </c>
      <c r="CC74" s="36">
        <f ca="1">IF(BM9&gt;0,0,RAND())</f>
        <v>0</v>
      </c>
      <c r="CD74" s="29" t="s">
        <v>14</v>
      </c>
    </row>
    <row r="75" spans="1:82" ht="19.5" thickBot="1" x14ac:dyDescent="0.35">
      <c r="B75" s="55" t="s">
        <v>52</v>
      </c>
      <c r="O75" s="53" t="s">
        <v>121</v>
      </c>
      <c r="P75" s="26" t="s">
        <v>46</v>
      </c>
      <c r="Q75" s="61"/>
      <c r="R75" s="28"/>
      <c r="AJ75" s="58" t="str">
        <f ca="1">IF(Table202337451793850907320380658[[#This Row],[Column2]]=0," ",_xlfn.RANK.EQ(AK75,$AK$68:$AK$77))</f>
        <v xml:space="preserve"> </v>
      </c>
      <c r="AK75" s="60">
        <f t="shared" ca="1" si="44"/>
        <v>0</v>
      </c>
      <c r="AL75" s="29" t="str">
        <f t="shared" ca="1" si="45"/>
        <v xml:space="preserve"> </v>
      </c>
      <c r="CB75" s="35">
        <f t="shared" ca="1" si="46"/>
        <v>3</v>
      </c>
      <c r="CC75" s="36">
        <f ca="1">IF(BM12&gt;0,0,RAND())</f>
        <v>0.36821893512472004</v>
      </c>
      <c r="CD75" s="29" t="s">
        <v>17</v>
      </c>
    </row>
    <row r="76" spans="1:82" ht="19.5" thickTop="1" x14ac:dyDescent="0.3">
      <c r="B76" s="56" t="str">
        <f ca="1">IF(OR(O11="warlock",Q11="warlock",P2="mountain",O11="barbarian",O11="bard",Q11="barbarian",O11="cleric",Q11="bard",Q11="cleric",O11="druid",Q11="druid",O11="fighter",Q11="fighter",O11="paladin",Q11="paladin",O11="ranger",Q11="ranger",O11="rogue",Q11="rogue"),"Light Armor"," ")</f>
        <v>Light Armor</v>
      </c>
      <c r="O76" s="33" t="str">
        <f ca="1">IF(Q2="dwarf",VLOOKUP(RANDBETWEEN(1,3),Table3[],2),IF(P2="rock","Artisan's Tools"," "))</f>
        <v xml:space="preserve"> </v>
      </c>
      <c r="P76" s="62" t="str">
        <f ca="1">IF(OR(O11="warlock",Q11="warlock",O11="barbarian",O11="bard",Q11="barbarian",Q11="bard",O11="cleric",O11="fighter",Q11="fighter",O11="monk",Q11="monk",O11="paladin",Q11="paladin",O11="ranger",Q11="ranger",O11="rogue"),"Simple Weapons",IF(Q2="dwarf","Handaxe"," "))</f>
        <v>Simple Weapons</v>
      </c>
      <c r="Q76" s="60" t="str">
        <f ca="1">IF(AND(P76&lt;&gt;"simple weapons",OR($O$11="druid",O11="non-classed")),"Club",IF(P80="shortsword"," ",IF(AND(P77&lt;&gt;"martial weapons",OR(O11="monk",O11="bard",Q11="monk",O11="rogue")),"Shortsword"," ")))</f>
        <v xml:space="preserve"> </v>
      </c>
      <c r="R76" s="63" t="str">
        <f ca="1">IF(AND(P76&lt;&gt;"simple weapons",OR($O$11="druid",O11="sorcerer",O11="wizard",O11="non-classed")),"Quarterstaff"," ")</f>
        <v xml:space="preserve"> </v>
      </c>
      <c r="AJ76" s="58" t="str">
        <f ca="1">IF(Table202337451793850907320380658[[#This Row],[Column2]]=0," ",_xlfn.RANK.EQ(AK76,$AK$68:$AK$77))</f>
        <v xml:space="preserve"> </v>
      </c>
      <c r="AK76" s="60">
        <f t="shared" ca="1" si="44"/>
        <v>0</v>
      </c>
      <c r="AL76" s="29" t="str">
        <f t="shared" ca="1" si="45"/>
        <v xml:space="preserve"> </v>
      </c>
      <c r="CB76" s="35">
        <f t="shared" ca="1" si="46"/>
        <v>8</v>
      </c>
      <c r="CC76" s="36">
        <f ca="1">IF(BM13&gt;0,0,RAND())</f>
        <v>0</v>
      </c>
      <c r="CD76" s="29" t="s">
        <v>18</v>
      </c>
    </row>
    <row r="77" spans="1:82" x14ac:dyDescent="0.3">
      <c r="B77" s="56" t="str">
        <f ca="1">IF(OR(P2="mountain",O11="barbarian",Q11="barbarian",P15="college of valor",R15="college of valor",O11="cleric",Q11="cleric",O11="druid",Q11="druid",O11="fighter",Q11="fighter",O11="paladin",Q11="paladin",O11="ranger",Q11="ranger"),"Medium Armor"," ")</f>
        <v>Medium Armor</v>
      </c>
      <c r="O77" s="33" t="str">
        <f ca="1">IF(AND(O11="monk",AF23=2),INDEX('Class Tables'!F25:F34,MATCH(1,('Class Tables'!D25:D34),0)),IF(AND(O11="monk",AF23=1),INDEX('Class Tables'!J80:J95,MATCH(1,('Class Tables'!I80:I95),0)),IF(P15="battle master",VLOOKUP(RANDBETWEEN(1,16),Table79[],2),IF(OR($O$11="bard"),INDEX('Class Tables'!$F$25:$F$34,MATCH(1,('Class Tables'!$D$25:$D$34),0))," "))))</f>
        <v xml:space="preserve"> </v>
      </c>
      <c r="P77" s="64" t="str">
        <f ca="1">IF(OR($O$11="barbarian",Q11="barbarian",P15="college of valor",R15="college of valor",R15="tempest",P15="tempest",P15="war",R15="war",O11="fighter",Q11="fighter",O11="paladin",Q11="paladin",O11="ranger",Q11="ranger"),"Martial Weapons",IF($Q$2="dwarf","Battleaxe",IF(OR($P$2="high",$P$2="wood"),"Longsword",IF($P$2="dark","Rapier"," "))))</f>
        <v>Martial Weapons</v>
      </c>
      <c r="Q77" s="65" t="str">
        <f ca="1">IF(AND(OR($O$11="druid",O11="sorcerer",O11="wizard",O11="non-classed"),P76&lt;&gt;"Simple weapons"),"Dagger",IF(AND(O11="bard",P77&lt;&gt;"Martial Weapons"),"Hand Crossbow",IF(AND(O11="rogue",P77&lt;&gt;"martial weapons"),"Hand Crossbow"," ")))</f>
        <v xml:space="preserve"> </v>
      </c>
      <c r="R77" s="66" t="str">
        <f ca="1">IF(AND(P77&lt;&gt;"martial weapons",$O$11="druid"),"Scimitar"," ")</f>
        <v xml:space="preserve"> </v>
      </c>
      <c r="AJ77" s="58" t="str">
        <f ca="1">IF(Table202337451793850907320380658[[#This Row],[Column2]]=0," ",_xlfn.RANK.EQ(AK77,$AK$68:$AK$77))</f>
        <v xml:space="preserve"> </v>
      </c>
      <c r="AK77" s="60">
        <f t="shared" ca="1" si="44"/>
        <v>0</v>
      </c>
      <c r="AL77" s="29" t="str">
        <f t="shared" ca="1" si="45"/>
        <v xml:space="preserve"> </v>
      </c>
      <c r="CB77" s="35">
        <f t="shared" ca="1" si="46"/>
        <v>6</v>
      </c>
      <c r="CC77" s="36">
        <f ca="1">IF(BM14&gt;0,0,RAND())</f>
        <v>3.2661907924900535E-2</v>
      </c>
      <c r="CD77" s="29" t="s">
        <v>19</v>
      </c>
    </row>
    <row r="78" spans="1:82" x14ac:dyDescent="0.3">
      <c r="B78" s="56" t="str">
        <f ca="1">IF(OR(O11="barbarian",Q11="barbarian",R15="college of valor",P15="college of valor",O11="cleric",Q11="cleric",O11="druid",Q11="Druid",O11="fighter",Q11="fighter",O11="paladin",Q11="paladin",O11="ranger",Q11="ranger"),"Shields"," ")</f>
        <v>Shields</v>
      </c>
      <c r="O78" s="33" t="str">
        <f ca="1">IF(OR($O$11="bard"),INDEX('Class Tables'!$F$25:$F$34,MATCH(2,('Class Tables'!$D$25:$D$34),0))," ")</f>
        <v xml:space="preserve"> </v>
      </c>
      <c r="P78" s="62" t="str">
        <f ca="1">IF(AND(P76&lt;&gt;"Simple Weapons",Q2="dwarf"),"Light Hammer",IF(AND(P2="high",P76&lt;&gt;"Simple Weapons"),"Shortbow",IF(AND(P76&lt;&gt;"Simple Weapons",P2="wood"),"Shortbow",IF(AND(P2="dark",P77&lt;&gt;"Martial Weapons"),"Hand Crossbow"," "))))</f>
        <v xml:space="preserve"> </v>
      </c>
      <c r="Q78" s="60" t="str">
        <f ca="1">IF(AND(OR($O$11="druid",O11="sorcerer",O11="wizard"),P76&lt;&gt;"Simple weapons"),"Dart",IF(AND(P77&lt;&gt;"martial weapons",OR(O11="bard",O11="rogue")),"Longsword"," "))</f>
        <v xml:space="preserve"> </v>
      </c>
      <c r="R78" s="63" t="str">
        <f ca="1">IF(AND(P76&lt;&gt;"simple weapons",$O$11="druid"),"Sickle"," ")</f>
        <v xml:space="preserve"> </v>
      </c>
      <c r="CB78" s="35">
        <f t="shared" ca="1" si="46"/>
        <v>4</v>
      </c>
      <c r="CC78" s="36">
        <f ca="1">IF(BM16&gt;0,0,RAND())</f>
        <v>0.30926131521668732</v>
      </c>
      <c r="CD78" s="29" t="s">
        <v>21</v>
      </c>
    </row>
    <row r="79" spans="1:82" x14ac:dyDescent="0.3">
      <c r="B79" s="33" t="str">
        <f ca="1">IF(OR(P15="life",R15="life",P15="nature",R15="nature",P15="tempest",R15="tempest",P15="war",R15="war",O11="fighter",Q11="fighter",O11="paladin"),"Heavy Armor"," ")</f>
        <v>Heavy Armor</v>
      </c>
      <c r="O79" s="33" t="str">
        <f ca="1">IF(OR($O$11="bard",$Q$11="bard"),INDEX('Class Tables'!$F$25:$F$34,MATCH(3,('Class Tables'!$D$25:$D$34),0))," ")</f>
        <v xml:space="preserve"> </v>
      </c>
      <c r="P79" s="64" t="str">
        <f ca="1">IF(P77="martial weapons"," ",IF(Q2="dwarf","Warhammer",IF(OR(P2="high",P2="wood"),"Longbow"," ")))</f>
        <v xml:space="preserve"> </v>
      </c>
      <c r="Q79" s="65" t="str">
        <f ca="1">IF(AND($O$11="druid",P76&lt;&gt;"simple weapons"),"Javelin",IF(AND(O11="sorcerer",P76&lt;&gt;"simple weapons"),"Light Crossbow",IF(AND(O11="wizard",P76&lt;&gt;"simple weapons"),"Light Crossbow",IF(AND(OR(O11="bard",O11="rogue"),P77&lt;&gt;"martial weapons"),"Rapier"," "))))</f>
        <v xml:space="preserve"> </v>
      </c>
      <c r="R79" s="66" t="str">
        <f ca="1">IF(AND(P76&lt;&gt;"simple weapons",OR($O$11="druid",O11="sorcerer",O11="wizard")),"Sling"," ")</f>
        <v xml:space="preserve"> </v>
      </c>
      <c r="AJ79" s="31" t="s">
        <v>676</v>
      </c>
      <c r="CB79" s="35">
        <f t="shared" ca="1" si="46"/>
        <v>1</v>
      </c>
      <c r="CC79" s="36">
        <f ca="1">IF(BM17&gt;0,0,RAND())</f>
        <v>0.98203262817853998</v>
      </c>
      <c r="CD79" s="29" t="s">
        <v>22</v>
      </c>
    </row>
    <row r="80" spans="1:82" ht="19.5" thickBot="1" x14ac:dyDescent="0.35">
      <c r="O80" s="33" t="str">
        <f ca="1">IF(OR(O11="druid",S11="hermit"),"Herbalism Kit"," ")</f>
        <v xml:space="preserve"> </v>
      </c>
      <c r="P80" s="51" t="str">
        <f ca="1">IF(AND(P77&lt;&gt;"martial weapons",OR(P2="high",P2="wood",P2="dark")),"Shortsword"," ")</f>
        <v xml:space="preserve"> </v>
      </c>
      <c r="Q80" s="67" t="str">
        <f ca="1">IF(AND(P76&lt;&gt;"simple weapons",$O$11="druid"),"Mace"," ")</f>
        <v xml:space="preserve"> </v>
      </c>
      <c r="R80" s="68" t="str">
        <f ca="1">IF(AND(P76&lt;&gt;"simple weapons",$O$11="druid"),"Spear"," ")</f>
        <v xml:space="preserve"> </v>
      </c>
      <c r="AJ80" s="58" t="str">
        <f ca="1">IF(Table203338452794851908321381659[[#This Row],[Column2]]=0," ",_xlfn.RANK.EQ(AK80,$AK$80:$AK$89))</f>
        <v xml:space="preserve"> </v>
      </c>
      <c r="AK80" s="60">
        <f t="shared" ref="AK80:AK89" ca="1" si="47">IF(AL80=" ", 0,RAND())</f>
        <v>0</v>
      </c>
      <c r="AL80" s="29" t="str">
        <f t="shared" ref="AL80:AL89" ca="1" si="48">T315</f>
        <v xml:space="preserve"> </v>
      </c>
      <c r="CB80" s="35">
        <f t="shared" ca="1" si="46"/>
        <v>5</v>
      </c>
      <c r="CC80" s="36">
        <f ca="1">IF(BM22&gt;0,0,RAND())</f>
        <v>0.2635676722267678</v>
      </c>
      <c r="CD80" s="29" t="s">
        <v>27</v>
      </c>
    </row>
    <row r="81" spans="1:82" x14ac:dyDescent="0.3">
      <c r="O81" s="33" t="str">
        <f ca="1">IF(AND(AF25=2,OR(O11="rogue",Q11="rogue")),"Thieves' Tools - Expert",IF(OR(O11="rogue",Q11="rogue"),"Thieves' Tools"," "))</f>
        <v xml:space="preserve"> </v>
      </c>
      <c r="AJ81" s="58" t="str">
        <f ca="1">IF(Table203338452794851908321381659[[#This Row],[Column2]]=0," ",_xlfn.RANK.EQ(AK81,$AK$80:$AK$89))</f>
        <v xml:space="preserve"> </v>
      </c>
      <c r="AK81" s="60">
        <f t="shared" ca="1" si="47"/>
        <v>0</v>
      </c>
      <c r="AL81" s="29" t="str">
        <f t="shared" ca="1" si="48"/>
        <v xml:space="preserve"> </v>
      </c>
      <c r="CB81" s="35">
        <f t="shared" ca="1" si="46"/>
        <v>7</v>
      </c>
      <c r="CC81" s="36">
        <f ca="1">IF(BM23&gt;0,0,RAND())</f>
        <v>2.0463013755533721E-2</v>
      </c>
      <c r="CD81" s="29" t="s">
        <v>28</v>
      </c>
    </row>
    <row r="82" spans="1:82" x14ac:dyDescent="0.3">
      <c r="O82" s="33" t="str">
        <f ca="1">IF(P15="assassin","Disguise Kit"," ")</f>
        <v xml:space="preserve"> </v>
      </c>
      <c r="AJ82" s="58" t="str">
        <f ca="1">IF(Table203338452794851908321381659[[#This Row],[Column2]]=0," ",_xlfn.RANK.EQ(AK82,$AK$80:$AK$89))</f>
        <v xml:space="preserve"> </v>
      </c>
      <c r="AK82" s="60">
        <f t="shared" ca="1" si="47"/>
        <v>0</v>
      </c>
      <c r="AL82" s="29" t="str">
        <f t="shared" ca="1" si="48"/>
        <v xml:space="preserve"> </v>
      </c>
    </row>
    <row r="83" spans="1:82" x14ac:dyDescent="0.3">
      <c r="O83" s="33" t="str">
        <f ca="1">IF(P15="assassin","Poisoner's Kit"," ")</f>
        <v xml:space="preserve"> </v>
      </c>
      <c r="AJ83" s="58" t="str">
        <f ca="1">IF(Table203338452794851908321381659[[#This Row],[Column2]]=0," ",_xlfn.RANK.EQ(AK83,$AK$80:$AK$89))</f>
        <v xml:space="preserve"> </v>
      </c>
      <c r="AK83" s="60">
        <f t="shared" ca="1" si="47"/>
        <v>0</v>
      </c>
      <c r="AL83" s="29" t="str">
        <f t="shared" ca="1" si="48"/>
        <v xml:space="preserve"> </v>
      </c>
      <c r="CB83" s="31" t="s">
        <v>735</v>
      </c>
    </row>
    <row r="84" spans="1:82" x14ac:dyDescent="0.3">
      <c r="O84" s="33" t="str">
        <f ca="1">IF(S11="soldier",VLOOKUP(RANDBETWEEN(1,4),Table258[],2),IF(OR(S11="sailor",S11="pirate"),"Navigator's Tools",IF(OR(S11="folk hero",S11="Guild Artisan"),VLOOKUP(RANDBETWEEN(1,16),Table79[],2),IF(AND(OR(S11="criminal",S11="urchin"),OR(O81&lt;&gt;"Thieves' Tools",O81&lt;&gt;"Thieves' Tools - Expert")),"Thieves' Tools",IF(AND(OR(S11="charlatan",S11="entertainer"),O82&lt;&gt;"Disguise Kit"),"Disguise Kit"," ")))))</f>
        <v>Dragonchess Set</v>
      </c>
      <c r="AJ84" s="58" t="str">
        <f ca="1">IF(Table203338452794851908321381659[[#This Row],[Column2]]=0," ",_xlfn.RANK.EQ(AK84,$AK$80:$AK$89))</f>
        <v xml:space="preserve"> </v>
      </c>
      <c r="AK84" s="60">
        <f t="shared" ca="1" si="47"/>
        <v>0</v>
      </c>
      <c r="AL84" s="29" t="str">
        <f t="shared" ca="1" si="48"/>
        <v xml:space="preserve"> </v>
      </c>
      <c r="CB84" s="35">
        <f t="shared" ref="CB84:CB94" ca="1" si="49">_xlfn.RANK.EQ(CC84,$CC$84:$CC$94)</f>
        <v>1</v>
      </c>
      <c r="CC84" s="36">
        <f ca="1">IF(BM6&gt;0,0,RAND())</f>
        <v>0.9461829216216221</v>
      </c>
      <c r="CD84" s="29" t="s">
        <v>12</v>
      </c>
    </row>
    <row r="85" spans="1:82" x14ac:dyDescent="0.3">
      <c r="O85" s="33" t="str">
        <f ca="1">IF(AND(S11="urchin",O82&lt;&gt;"Disguise Kit"),"Disguise Kit",IF(OR(S11="Sailor",S11="pirate"),"Vehicles (Water)",IF(OR(S11="folk hero",S11="Soldier"),"Vehicles (Land)",IF(OR(S11="entertainer",S11="outlander"),INDEX('Class Tables'!$F$25:$F$34,MATCH(4,('Class Tables'!$D$25:$D$34),0)),IF(OR(S11="criminal",S11="noble",S11="knight"),VLOOKUP(RANDBETWEEN(1,4),Table258[],2),IF(S11="charlatan","Forgery Kit"," "))))))</f>
        <v>Vehicles (Land)</v>
      </c>
      <c r="AJ85" s="58" t="str">
        <f ca="1">IF(Table203338452794851908321381659[[#This Row],[Column2]]=0," ",_xlfn.RANK.EQ(AK85,$AK$80:$AK$89))</f>
        <v xml:space="preserve"> </v>
      </c>
      <c r="AK85" s="60">
        <f t="shared" ca="1" si="47"/>
        <v>0</v>
      </c>
      <c r="AL85" s="29" t="str">
        <f t="shared" ca="1" si="48"/>
        <v xml:space="preserve"> </v>
      </c>
      <c r="CB85" s="35">
        <f t="shared" ca="1" si="49"/>
        <v>10</v>
      </c>
      <c r="CC85" s="36">
        <f ca="1">IF(BM9&gt;0,0,RAND())</f>
        <v>0</v>
      </c>
      <c r="CD85" s="29" t="s">
        <v>14</v>
      </c>
    </row>
    <row r="86" spans="1:82" ht="19.5" thickBot="1" x14ac:dyDescent="0.35">
      <c r="AJ86" s="58" t="str">
        <f ca="1">IF(Table203338452794851908321381659[[#This Row],[Column2]]=0," ",_xlfn.RANK.EQ(AK86,$AK$80:$AK$89))</f>
        <v xml:space="preserve"> </v>
      </c>
      <c r="AK86" s="60">
        <f t="shared" ca="1" si="47"/>
        <v>0</v>
      </c>
      <c r="AL86" s="29" t="str">
        <f t="shared" ca="1" si="48"/>
        <v xml:space="preserve"> </v>
      </c>
      <c r="CB86" s="35">
        <f t="shared" ca="1" si="49"/>
        <v>3</v>
      </c>
      <c r="CC86" s="36">
        <f ca="1">IF(BM10&gt;0,0,RAND())</f>
        <v>0.67421025967255011</v>
      </c>
      <c r="CD86" s="29" t="s">
        <v>15</v>
      </c>
    </row>
    <row r="87" spans="1:82" ht="30.75" thickBot="1" x14ac:dyDescent="0.45">
      <c r="A87" s="72"/>
      <c r="B87" s="128" t="s">
        <v>1953</v>
      </c>
      <c r="AJ87" s="58" t="str">
        <f ca="1">IF(Table203338452794851908321381659[[#This Row],[Column2]]=0," ",_xlfn.RANK.EQ(AK87,$AK$80:$AK$89))</f>
        <v xml:space="preserve"> </v>
      </c>
      <c r="AK87" s="60">
        <f t="shared" ca="1" si="47"/>
        <v>0</v>
      </c>
      <c r="AL87" s="29" t="str">
        <f t="shared" ca="1" si="48"/>
        <v xml:space="preserve"> </v>
      </c>
      <c r="CB87" s="35">
        <f t="shared" ca="1" si="49"/>
        <v>6</v>
      </c>
      <c r="CC87" s="36">
        <f ca="1">IF(BM12&gt;0,0,RAND())</f>
        <v>0.1874308043125068</v>
      </c>
      <c r="CD87" s="29" t="s">
        <v>17</v>
      </c>
    </row>
    <row r="88" spans="1:82" x14ac:dyDescent="0.3">
      <c r="A88" s="115"/>
      <c r="B88" s="130" t="s">
        <v>1952</v>
      </c>
      <c r="C88" s="130"/>
      <c r="D88" s="130"/>
      <c r="E88" s="130"/>
      <c r="F88" s="130"/>
      <c r="G88" s="130"/>
      <c r="H88" s="130"/>
      <c r="I88" s="130"/>
      <c r="J88" s="130"/>
      <c r="K88" s="130"/>
      <c r="L88" s="130"/>
      <c r="M88" s="130"/>
      <c r="N88" s="130"/>
      <c r="O88" s="130" t="s">
        <v>1954</v>
      </c>
      <c r="P88" s="130" t="s">
        <v>1955</v>
      </c>
      <c r="Q88" s="130" t="s">
        <v>1956</v>
      </c>
      <c r="R88" s="130" t="s">
        <v>1088</v>
      </c>
      <c r="S88" s="130" t="s">
        <v>2480</v>
      </c>
      <c r="T88" s="130" t="s">
        <v>1957</v>
      </c>
      <c r="AJ88" s="58" t="str">
        <f ca="1">IF(Table203338452794851908321381659[[#This Row],[Column2]]=0," ",_xlfn.RANK.EQ(AK88,$AK$80:$AK$89))</f>
        <v xml:space="preserve"> </v>
      </c>
      <c r="AK88" s="60">
        <f t="shared" ca="1" si="47"/>
        <v>0</v>
      </c>
      <c r="AL88" s="29" t="str">
        <f t="shared" ca="1" si="48"/>
        <v xml:space="preserve"> </v>
      </c>
      <c r="CB88" s="35">
        <f t="shared" ca="1" si="49"/>
        <v>10</v>
      </c>
      <c r="CC88" s="36">
        <f ca="1">IF(BM13&gt;0,0,RAND())</f>
        <v>0</v>
      </c>
      <c r="CD88" s="29" t="s">
        <v>18</v>
      </c>
    </row>
    <row r="89" spans="1:82" x14ac:dyDescent="0.3">
      <c r="A89" s="137"/>
      <c r="B89" s="33" t="str">
        <f ca="1">IF(OR(O15="unarmored defense",O16="unarmored defense",Q15="unarmored defense",Q16="unarmored defense"),"Unarmored Defense",IF(B79="heavy armor",VLOOKUP(RANDBETWEEN(1,4),Table286[],2),IF(B77="medium armor",VLOOKUP(RANDBETWEEN(1,5),Table285[],2),IF(B76="light armor",VLOOKUP(RANDBETWEEN(1,3),Table284[],2),VLOOKUP(RANDBETWEEN(1,3),Table291[],2)))))</f>
        <v>Plate Mail</v>
      </c>
      <c r="C89" s="33"/>
      <c r="D89" s="33"/>
      <c r="E89" s="33"/>
      <c r="F89" s="33"/>
      <c r="G89" s="33"/>
      <c r="H89" s="33"/>
      <c r="I89" s="33"/>
      <c r="J89" s="33"/>
      <c r="K89" s="33"/>
      <c r="L89" s="33"/>
      <c r="M89" s="33"/>
      <c r="N89" s="33"/>
      <c r="O89" s="33">
        <f ca="1">IF(B89="unarmored Defense",10,INDEX(Items!C2:C22,MATCH(B89,(Items!B2:B22),0)))</f>
        <v>18</v>
      </c>
      <c r="P89" s="33">
        <f ca="1">IF(OR(B89="ring mail",B89="chain mail",B89="splint",B89="plate"),0,IF(B89="fine clothes",P39,IF(B89="common clothes",P39,IF(B89="traveler's clothes",P39,IF(B89="unarmored defense",P39,IF(B89="padded",P39,IF(B89="leather",P39,IF(B89="Studded Leather",P39,IF(B89="Hide",MIN(2,(P39)),IF(B89="chain shirt",MIN(2,(P39)),IF(B89="scale mail",MIN(2,(P39)),IF(B89="breastplate",MIN(2,(P39)),IF(B89="half plate",MIN(2,(Q2)),0)))))))))))))</f>
        <v>0</v>
      </c>
      <c r="Q89" s="33">
        <f ca="1">IF(AND(B89="unarmored defense",OR(O11="barbarian",Q11="barbarian")),P40,IF(AND(B89="unarmored defense",OR(O11="monk",Q11="monk")),P42,IF(AND(OR(O17="defense style",Q17="defense style",P18="defense style",O15="defense style",S18="defense style",Q15="defense style"),B89&lt;&gt;"unarmored defense"),2,0)))</f>
        <v>2</v>
      </c>
      <c r="R89" s="33">
        <f ca="1">IF(AND(B90="shield",COUNTIF(B109:P109,"*"&amp;"Shield +3"&amp;"*")),5,IF(AND(B90="shield",COUNTIF(B109:P109,"*"&amp;"Shield +2"&amp;"*")),4,IF(AND(B90="shield",COUNTIF(B109:P109,"*"&amp;"Shield +1"&amp;"*")),3,IF(B90="shield",2,0))))</f>
        <v>2</v>
      </c>
      <c r="S89" s="29" t="str">
        <f ca="1">IF(COUNTIF(B109:P109,"*"&amp;"Armor +3"&amp;"*"),3,IF(COUNTIF(B109:P109,"*"&amp;"Armor +2"&amp;"*"),2,IF(COUNTIF(B109:P109,"*"&amp;"Armor +1"&amp;"*"),1," ")))</f>
        <v xml:space="preserve"> </v>
      </c>
      <c r="T89" s="33">
        <f ca="1">SUM(C89:S89)</f>
        <v>22</v>
      </c>
      <c r="AJ89" s="58" t="str">
        <f ca="1">IF(Table203338452794851908321381659[[#This Row],[Column2]]=0," ",_xlfn.RANK.EQ(AK89,$AK$80:$AK$89))</f>
        <v xml:space="preserve"> </v>
      </c>
      <c r="AK89" s="60">
        <f t="shared" ca="1" si="47"/>
        <v>0</v>
      </c>
      <c r="AL89" s="29" t="str">
        <f t="shared" ca="1" si="48"/>
        <v xml:space="preserve"> </v>
      </c>
      <c r="CB89" s="35">
        <f t="shared" ca="1" si="49"/>
        <v>9</v>
      </c>
      <c r="CC89" s="36">
        <f ca="1">IF(BM14&gt;0,0,RAND())</f>
        <v>3.2525909497009176E-2</v>
      </c>
      <c r="CD89" s="29" t="s">
        <v>19</v>
      </c>
    </row>
    <row r="90" spans="1:82" x14ac:dyDescent="0.3">
      <c r="A90" s="137"/>
      <c r="B90" s="33" t="str">
        <f ca="1">IF(B78="shields","Shield"," ")</f>
        <v>Shield</v>
      </c>
      <c r="C90" s="33"/>
      <c r="D90" s="33"/>
      <c r="E90" s="33"/>
      <c r="F90" s="33"/>
      <c r="G90" s="33"/>
      <c r="H90" s="33"/>
      <c r="I90" s="33"/>
      <c r="J90" s="33"/>
      <c r="K90" s="33"/>
      <c r="L90" s="33"/>
      <c r="M90" s="33"/>
      <c r="N90" s="33"/>
      <c r="O90" s="33"/>
      <c r="P90" s="33"/>
      <c r="Q90" s="33"/>
      <c r="R90" s="33"/>
      <c r="S90" s="33"/>
      <c r="CB90" s="35">
        <f t="shared" ca="1" si="49"/>
        <v>7</v>
      </c>
      <c r="CC90" s="36">
        <f ca="1">IF(BM17&gt;0,0,RAND())</f>
        <v>0.12246813145783753</v>
      </c>
      <c r="CD90" s="29" t="s">
        <v>22</v>
      </c>
    </row>
    <row r="91" spans="1:82" x14ac:dyDescent="0.3">
      <c r="A91" s="137"/>
      <c r="B91" s="69" t="s">
        <v>1962</v>
      </c>
      <c r="C91" s="69"/>
      <c r="D91" s="69"/>
      <c r="E91" s="69"/>
      <c r="F91" s="69"/>
      <c r="G91" s="69"/>
      <c r="H91" s="69"/>
      <c r="I91" s="69"/>
      <c r="J91" s="69"/>
      <c r="K91" s="69"/>
      <c r="L91" s="69"/>
      <c r="M91" s="69"/>
      <c r="N91" s="69"/>
      <c r="O91" s="69" t="s">
        <v>1963</v>
      </c>
      <c r="P91" s="69" t="s">
        <v>1982</v>
      </c>
      <c r="Q91" s="70" t="s">
        <v>1983</v>
      </c>
      <c r="R91" s="71" t="s">
        <v>2715</v>
      </c>
      <c r="S91" s="30"/>
      <c r="AJ91" s="31" t="s">
        <v>1169</v>
      </c>
      <c r="CB91" s="35">
        <f t="shared" ca="1" si="49"/>
        <v>5</v>
      </c>
      <c r="CC91" s="36">
        <f ca="1">IF(BM18&gt;0,0,RAND())</f>
        <v>0.51193883045823663</v>
      </c>
      <c r="CD91" s="29" t="s">
        <v>23</v>
      </c>
    </row>
    <row r="92" spans="1:82" x14ac:dyDescent="0.3">
      <c r="A92" s="137"/>
      <c r="B92" s="33" t="str">
        <f ca="1">IF(P77="martial weapons",VLOOKUP(RANDBETWEEN(1,18),Table289[],2),IF(P76="simple weapons",VLOOKUP(RANDBETWEEN(1,10),Table287[],2),INDEX(AQ45:AQ59,MATCH(1,(AO45:AO59),0))))</f>
        <v>Greatsword</v>
      </c>
      <c r="C92" s="33"/>
      <c r="D92" s="33"/>
      <c r="E92" s="33"/>
      <c r="F92" s="33"/>
      <c r="G92" s="33"/>
      <c r="H92" s="33"/>
      <c r="I92" s="33"/>
      <c r="J92" s="33"/>
      <c r="K92" s="33"/>
      <c r="L92" s="33"/>
      <c r="M92" s="33"/>
      <c r="N92" s="33"/>
      <c r="O92" s="33" t="str">
        <f ca="1">INDEX(Items!$G$2:$G$44,MATCH(B92,(Items!$F$2:$F$44),0))</f>
        <v>2d6s</v>
      </c>
      <c r="P92" s="33" t="str">
        <f ca="1">INDEX(Items!$I$2:$I$44,MATCH(B92,(Items!$F$2:$F$44),0))</f>
        <v>n/a</v>
      </c>
      <c r="Q92" s="72" t="str">
        <f ca="1">INDEX(Items!$H$2:$H$44,MATCH(B92,(Items!$F$2:$F$44),0))</f>
        <v>2H,Heavy,Reach</v>
      </c>
      <c r="R92" s="30"/>
      <c r="S92" s="30"/>
      <c r="AJ92" s="58" t="str">
        <f ca="1">IF(Table204339453795852909322382660[[#This Row],[Column2]]=0," ",_xlfn.RANK.EQ(AK92,$AK$92:$AK$101))</f>
        <v xml:space="preserve"> </v>
      </c>
      <c r="AK92" s="60">
        <f t="shared" ref="AK92:AK101" ca="1" si="50">IF(AL92=" ", 0,RAND())</f>
        <v>0</v>
      </c>
      <c r="AL92" s="29" t="str">
        <f t="shared" ref="AL92:AL101" ca="1" si="51">P334</f>
        <v xml:space="preserve"> </v>
      </c>
      <c r="CB92" s="35">
        <f t="shared" ca="1" si="49"/>
        <v>4</v>
      </c>
      <c r="CC92" s="36">
        <f ca="1">IF(BM19&gt;0,0,RAND())</f>
        <v>0.550952983716681</v>
      </c>
      <c r="CD92" s="29" t="s">
        <v>24</v>
      </c>
    </row>
    <row r="93" spans="1:82" x14ac:dyDescent="0.3">
      <c r="A93" s="137"/>
      <c r="B93" s="33" t="str">
        <f ca="1">IF(P77="martial weapons",VLOOKUP(RANDBETWEEN(1,18),Table289[],2),IF(P76="simple weapons",VLOOKUP(RANDBETWEEN(1,10),Table287[],2),INDEX(AQ45:AQ59,MATCH(2,(AO45:AO59),0))))</f>
        <v>Morningstar</v>
      </c>
      <c r="C93" s="33"/>
      <c r="D93" s="33"/>
      <c r="E93" s="33"/>
      <c r="F93" s="33"/>
      <c r="G93" s="33"/>
      <c r="H93" s="33"/>
      <c r="I93" s="33"/>
      <c r="J93" s="33"/>
      <c r="K93" s="33"/>
      <c r="L93" s="33"/>
      <c r="M93" s="33"/>
      <c r="N93" s="33"/>
      <c r="O93" s="33" t="str">
        <f ca="1">INDEX(Items!$G$2:$G$44,MATCH(B93,(Items!$F$2:$F$44),0))</f>
        <v>1d8p</v>
      </c>
      <c r="P93" s="33" t="str">
        <f ca="1">INDEX(Items!$I$2:$I$44,MATCH(B93,(Items!$F$2:$F$44),0))</f>
        <v>n/a</v>
      </c>
      <c r="Q93" s="72" t="str">
        <f ca="1">INDEX(Items!$H$2:$H$44,MATCH(B93,(Items!$F$2:$F$44),0))</f>
        <v>n/a</v>
      </c>
      <c r="R93" s="30"/>
      <c r="S93" s="30"/>
      <c r="AJ93" s="58" t="str">
        <f ca="1">IF(Table204339453795852909322382660[[#This Row],[Column2]]=0," ",_xlfn.RANK.EQ(AK93,$AK$92:$AK$101))</f>
        <v xml:space="preserve"> </v>
      </c>
      <c r="AK93" s="60">
        <f t="shared" ca="1" si="50"/>
        <v>0</v>
      </c>
      <c r="AL93" s="29" t="str">
        <f t="shared" ca="1" si="51"/>
        <v xml:space="preserve"> </v>
      </c>
      <c r="CB93" s="35">
        <f t="shared" ca="1" si="49"/>
        <v>2</v>
      </c>
      <c r="CC93" s="36">
        <f ca="1">IF(BM21&gt;0,0,RAND())</f>
        <v>0.71277014877298916</v>
      </c>
      <c r="CD93" s="29" t="s">
        <v>26</v>
      </c>
    </row>
    <row r="94" spans="1:82" x14ac:dyDescent="0.3">
      <c r="A94" s="137"/>
      <c r="B94" s="33" t="str">
        <f ca="1">IF(P77="martial weapons",VLOOKUP(RANDBETWEEN(1,5),Table290[],2),IF(P76="simple weapons",VLOOKUP(RANDBETWEEN(1,4),Table288[],2,),INDEX(AQ45:AQ59,MATCH(3,(AO45:AO59),0))))</f>
        <v>Net</v>
      </c>
      <c r="C94" s="33"/>
      <c r="D94" s="33"/>
      <c r="E94" s="33"/>
      <c r="F94" s="33"/>
      <c r="G94" s="33"/>
      <c r="H94" s="33"/>
      <c r="I94" s="33"/>
      <c r="J94" s="33"/>
      <c r="K94" s="33"/>
      <c r="L94" s="33"/>
      <c r="M94" s="33"/>
      <c r="N94" s="33"/>
      <c r="O94" s="33" t="str">
        <f ca="1">IF(B94=" "," ",INDEX(Items!$G$2:$G$44,MATCH(B94,(Items!$F$2:$F$44),0)))</f>
        <v>n/a</v>
      </c>
      <c r="P94" s="33" t="str">
        <f ca="1">IF(B94=" "," ",INDEX(Items!$I$2:$I$44,MATCH(B94,(Items!$F$2:$F$44),0)))</f>
        <v>n/a</v>
      </c>
      <c r="Q94" s="72" t="str">
        <f ca="1">IF(B94=" "," ",INDEX(Items!$H$2:$H$44,MATCH(B94,(Items!$F$2:$F$44),0)))</f>
        <v>Special,Thrown (5/15)</v>
      </c>
      <c r="R94" s="30"/>
      <c r="S94" s="30"/>
      <c r="AJ94" s="58" t="str">
        <f ca="1">IF(Table204339453795852909322382660[[#This Row],[Column2]]=0," ",_xlfn.RANK.EQ(AK94,$AK$92:$AK$101))</f>
        <v xml:space="preserve"> </v>
      </c>
      <c r="AK94" s="60">
        <f t="shared" ca="1" si="50"/>
        <v>0</v>
      </c>
      <c r="AL94" s="29" t="str">
        <f t="shared" ca="1" si="51"/>
        <v xml:space="preserve"> </v>
      </c>
      <c r="CB94" s="35">
        <f t="shared" ca="1" si="49"/>
        <v>8</v>
      </c>
      <c r="CC94" s="36">
        <f ca="1">IF(BM22&gt;0,0,RAND())</f>
        <v>0.11727844149713385</v>
      </c>
      <c r="CD94" s="29" t="s">
        <v>27</v>
      </c>
    </row>
    <row r="95" spans="1:82" ht="19.5" thickBot="1" x14ac:dyDescent="0.35">
      <c r="A95" s="137"/>
      <c r="B95" s="38" t="str">
        <f ca="1">IF(O11="monk","Martial Arts"," ")</f>
        <v xml:space="preserve"> </v>
      </c>
      <c r="C95" s="33"/>
      <c r="D95" s="33"/>
      <c r="E95" s="33"/>
      <c r="F95" s="33"/>
      <c r="G95" s="33"/>
      <c r="H95" s="33"/>
      <c r="I95" s="33"/>
      <c r="J95" s="33"/>
      <c r="K95" s="33"/>
      <c r="L95" s="33"/>
      <c r="M95" s="33"/>
      <c r="N95" s="33"/>
      <c r="O95" s="38" t="str">
        <f ca="1">IF(B95="martial arts",INDEX('Class Tables'!J98:J117,MATCH(O12,('Class Tables'!I98:I117),0))," ")</f>
        <v xml:space="preserve"> </v>
      </c>
      <c r="P95" s="38" t="str">
        <f ca="1">IF(B95=" "," ",IF(B95="martial arts", " ",INDEX(Items!$I$2:$I$44,MATCH(B95,(Items!$F$2:$F$44),0))))</f>
        <v xml:space="preserve"> </v>
      </c>
      <c r="Q95" s="73" t="str">
        <f ca="1">IF(B95=" "," ",IF(B95="martial arts"," ",INDEX(Items!$H$2:$H$44,MATCH(B95,(Items!$F$2:$F$44),0))))</f>
        <v xml:space="preserve"> </v>
      </c>
      <c r="R95" s="41"/>
      <c r="S95" s="41"/>
      <c r="AJ95" s="58" t="str">
        <f ca="1">IF(Table204339453795852909322382660[[#This Row],[Column2]]=0," ",_xlfn.RANK.EQ(AK95,$AK$92:$AK$101))</f>
        <v xml:space="preserve"> </v>
      </c>
      <c r="AK95" s="60">
        <f t="shared" ca="1" si="50"/>
        <v>0</v>
      </c>
      <c r="AL95" s="29" t="str">
        <f t="shared" ca="1" si="51"/>
        <v xml:space="preserve"> </v>
      </c>
    </row>
    <row r="96" spans="1:82" x14ac:dyDescent="0.3">
      <c r="A96" s="137"/>
      <c r="O96" s="69" t="s">
        <v>1964</v>
      </c>
      <c r="P96" s="69" t="s">
        <v>34</v>
      </c>
      <c r="Q96" s="69" t="s">
        <v>1986</v>
      </c>
      <c r="R96" s="69" t="s">
        <v>2753</v>
      </c>
      <c r="S96" s="70" t="s">
        <v>2480</v>
      </c>
      <c r="AJ96" s="58" t="str">
        <f ca="1">IF(Table204339453795852909322382660[[#This Row],[Column2]]=0," ",_xlfn.RANK.EQ(AK96,$AK$92:$AK$101))</f>
        <v xml:space="preserve"> </v>
      </c>
      <c r="AK96" s="60">
        <f t="shared" ca="1" si="50"/>
        <v>0</v>
      </c>
      <c r="AL96" s="29" t="str">
        <f t="shared" ca="1" si="51"/>
        <v xml:space="preserve"> </v>
      </c>
      <c r="CB96" s="31" t="s">
        <v>736</v>
      </c>
    </row>
    <row r="97" spans="1:82" x14ac:dyDescent="0.3">
      <c r="A97" s="137"/>
      <c r="B97" s="29" t="str">
        <f ca="1">B92</f>
        <v>Greatsword</v>
      </c>
      <c r="O97" s="33">
        <f ca="1">IF(VLOOKUP(B92,Items!$F$2:$J$44,5,FALSE)="fin",SUM($P$38:$P$39)-SMALL($P$38:$P$39,1),IF(VLOOKUP(B92,(Items!$F$2:$J$44),5,FALSE)="str",$P$38,IF(VLOOKUP(B92,(Items!$F$2:$J$44),5,FALSE)="dex",$P$39,0)))</f>
        <v>1</v>
      </c>
      <c r="P97" s="33">
        <f ca="1">P8</f>
        <v>2</v>
      </c>
      <c r="Q97" s="33">
        <f ca="1">IF(AND(OR(B92&lt;&gt;"light crossbow",B92&lt;&gt;"dart",B92="shortbow",B92&lt;&gt;"Sling",B92&lt;&gt;"blowgun",B92&lt;&gt;"hand crossbow",B92&lt;&gt;"heavy crossbow",B92&lt;&gt;"longbow",B92&lt;&gt;"net",B92&lt;&gt;"greatclub",B92&lt;&gt;"glaive",B92&lt;&gt;"Greataxe",B92&lt;&gt;"Greatsword",B92&lt;&gt;"halbard",B92&lt;&gt;"maul",B92&lt;&gt;"pike"),OR($O$18="dueling style",$Q$18="dueling style",$P$18="dueling style",$S$18="dueling style",$O$15="dueling style",$Q$15="dueling style")),2,0)</f>
        <v>0</v>
      </c>
      <c r="R97" s="33">
        <f ca="1">IF(AND(OR(B92="light crossbow",B92="dart",B92="shortbow",B92="Sling",B92="blowgun",B92="hand crossbow",B92="heavy crossbow",B92="longbow",B92="net"),OR($P$18="archery style",$S$18="archery style",$O$15="archery style",$Q$15="archery style")),2,0)</f>
        <v>0</v>
      </c>
      <c r="S97" s="72" t="str">
        <f ca="1">IF(COUNTIF(B109:P109,"*"&amp;"Weapon +3"&amp;"*"),3,IF(COUNTIF(B109:P109,"*"&amp;"Weapon +2"&amp;"*"),2,IF(COUNTIF(B109:P109,"*"&amp;"Weapon +1"&amp;"*"),1," ")))</f>
        <v xml:space="preserve"> </v>
      </c>
      <c r="AJ97" s="58" t="str">
        <f ca="1">IF(Table204339453795852909322382660[[#This Row],[Column2]]=0," ",_xlfn.RANK.EQ(AK97,$AK$92:$AK$101))</f>
        <v xml:space="preserve"> </v>
      </c>
      <c r="AK97" s="60">
        <f t="shared" ca="1" si="50"/>
        <v>0</v>
      </c>
      <c r="AL97" s="29" t="str">
        <f t="shared" ca="1" si="51"/>
        <v xml:space="preserve"> </v>
      </c>
      <c r="CB97" s="35">
        <f t="shared" ref="CB97:CB102" ca="1" si="52">_xlfn.RANK.EQ(CC97,$CC$97:$CC$102)</f>
        <v>3</v>
      </c>
      <c r="CC97" s="36">
        <f ca="1">IF(BM8&gt;0,0,RAND())</f>
        <v>0.44858760504205974</v>
      </c>
      <c r="CD97" s="29" t="s">
        <v>13</v>
      </c>
    </row>
    <row r="98" spans="1:82" x14ac:dyDescent="0.3">
      <c r="A98" s="137"/>
      <c r="B98" s="29" t="str">
        <f ca="1">B93</f>
        <v>Morningstar</v>
      </c>
      <c r="O98" s="33">
        <f ca="1">IF(VLOOKUP(B93,Items!$F$2:$J$44,5,FALSE)="fin",SUM($P$38:$P$39)-SMALL($P$38:$P$39,1),IF(VLOOKUP(B93,(Items!$F$2:$J$44),5,FALSE)="str",$P$38,IF(VLOOKUP(B93,(Items!$F$2:$J$44),5,FALSE)="dex",$P$39,0)))</f>
        <v>1</v>
      </c>
      <c r="P98" s="33">
        <f ca="1">P8</f>
        <v>2</v>
      </c>
      <c r="Q98" s="33">
        <f ca="1">IF(AND(OR(B93&lt;&gt;"light crossbow",B93&lt;&gt;"dart",B93="shortbow",B93&lt;&gt;"Sling",B93&lt;&gt;"blowgun",B93&lt;&gt;"hand crossbow",B93&lt;&gt;"heavy crossbow",B93&lt;&gt;"longbow",B93&lt;&gt;"net",B93&lt;&gt;"greatclub",B93&lt;&gt;"glaive",B93&lt;&gt;"Greataxe",B93&lt;&gt;"Greatsword",B93&lt;&gt;"halbard",B93&lt;&gt;"maul",B93&lt;&gt;"pike"),OR($O$18="dueling style",$Q$18="dueling style",$P$18="dueling style",$S$18="dueling style",$O$15="dueling style",$Q$15="dueling style")),2,0)</f>
        <v>0</v>
      </c>
      <c r="R98" s="33">
        <f ca="1">IF(AND(OR(B93="light crossbow",B93="dart",B93="shortbow",B93="Sling",B93="blowgun",B93="hand crossbow",B93="heavy crossbow",B93="longbow",B93="net"),OR($P$18="archery style",$S$18="archery style",$O$15="archery style",$Q$15="archery style")),2,0)</f>
        <v>0</v>
      </c>
      <c r="S98" s="72" t="str">
        <f ca="1">IF(AND(S97&lt;&gt;2,COUNTIF(B109:P109,"*"&amp;"Weapon +2"&amp;"*")),2,IF(AND(S97&lt;&gt;1,COUNTIF(B109:P109,"*"&amp;"Weapon +1"&amp;"*")),1," "))</f>
        <v xml:space="preserve"> </v>
      </c>
      <c r="AJ98" s="58" t="str">
        <f ca="1">IF(Table204339453795852909322382660[[#This Row],[Column2]]=0," ",_xlfn.RANK.EQ(AK98,$AK$92:$AK$101))</f>
        <v xml:space="preserve"> </v>
      </c>
      <c r="AK98" s="60">
        <f t="shared" ca="1" si="50"/>
        <v>0</v>
      </c>
      <c r="AL98" s="29" t="str">
        <f t="shared" ca="1" si="51"/>
        <v xml:space="preserve"> </v>
      </c>
      <c r="CB98" s="35">
        <f t="shared" ca="1" si="52"/>
        <v>5</v>
      </c>
      <c r="CC98" s="36">
        <f ca="1">IF(BM10&gt;0,0,RAND())</f>
        <v>4.736822256993134E-2</v>
      </c>
      <c r="CD98" s="29" t="s">
        <v>15</v>
      </c>
    </row>
    <row r="99" spans="1:82" x14ac:dyDescent="0.3">
      <c r="A99" s="137"/>
      <c r="B99" s="29" t="str">
        <f ca="1">B94</f>
        <v>Net</v>
      </c>
      <c r="O99" s="33">
        <f ca="1">IF(VLOOKUP(B94,Items!$F$2:$J$44,5,FALSE)="fin",SUM($P$38:$P$39)-SMALL($P$38:$P$39,1),IF(VLOOKUP(B94,(Items!$F$2:$J$44),5,FALSE)="str",$P$38,IF(VLOOKUP(B94,(Items!$F$2:$J$44),5,FALSE)="dex",$P$39,0)))</f>
        <v>2</v>
      </c>
      <c r="P99" s="33">
        <f ca="1">IF(B94=" "," ",P8)</f>
        <v>2</v>
      </c>
      <c r="Q99" s="33">
        <f ca="1">IF(AND(OR(B94&lt;&gt;"light crossbow",B94&lt;&gt;"dart",B94="shortbow",B94&lt;&gt;"Sling",B94&lt;&gt;"blowgun",B94&lt;&gt;"hand crossbow",B94&lt;&gt;"heavy crossbow",B94&lt;&gt;"longbow",B94&lt;&gt;"net",B94&lt;&gt;"greatclub",B94&lt;&gt;"glaive",B94&lt;&gt;"Greataxe",B94&lt;&gt;"Greatsword",B94&lt;&gt;"halbard",B94&lt;&gt;"maul",B94&lt;&gt;"pike"),OR($O$18="dueling style",$Q$18="dueling style",$P$18="dueling style",$S$18="dueling style",$O$15="dueling style",$Q$15="dueling style")),2,0)</f>
        <v>0</v>
      </c>
      <c r="R99" s="33">
        <f ca="1">IF(AND(OR(B94="light crossbow",B94="dart",B94="shortbow",B94="Sling",B94="blowgun",B94="hand crossbow",B94="heavy crossbow",B94="longbow",B94="net"),OR($P$18="archery style",$S$18="archery style",$O$15="archery style",$Q$15="archery style")),2,0)</f>
        <v>0</v>
      </c>
      <c r="S99" s="72" t="str">
        <f ca="1">IF(AND(S97&lt;&gt;1,S98&lt;&gt;1,COUNTIF(B109:P109,"*"&amp;"Weapon +1"&amp;"*")),1," ")</f>
        <v xml:space="preserve"> </v>
      </c>
      <c r="AJ99" s="58" t="str">
        <f ca="1">IF(Table204339453795852909322382660[[#This Row],[Column2]]=0," ",_xlfn.RANK.EQ(AK99,$AK$92:$AK$101))</f>
        <v xml:space="preserve"> </v>
      </c>
      <c r="AK99" s="60">
        <f t="shared" ca="1" si="50"/>
        <v>0</v>
      </c>
      <c r="AL99" s="29" t="str">
        <f t="shared" ca="1" si="51"/>
        <v xml:space="preserve"> </v>
      </c>
      <c r="CB99" s="35">
        <f t="shared" ca="1" si="52"/>
        <v>2</v>
      </c>
      <c r="CC99" s="36">
        <f ca="1">IF(BM12&gt;0,0,RAND())</f>
        <v>0.62323345345690206</v>
      </c>
      <c r="CD99" s="29" t="s">
        <v>17</v>
      </c>
    </row>
    <row r="100" spans="1:82" x14ac:dyDescent="0.3">
      <c r="A100" s="138"/>
      <c r="B100" s="29" t="str">
        <f ca="1">B95</f>
        <v xml:space="preserve"> </v>
      </c>
      <c r="O100" s="33" t="str">
        <f ca="1">IF(B95="martial arts",SUM($P$38:$P$39)-SMALL($P$38:$P$39,1)," ")</f>
        <v xml:space="preserve"> </v>
      </c>
      <c r="P100" s="33" t="str">
        <f ca="1">IF(B95=" "," ",P8)</f>
        <v xml:space="preserve"> </v>
      </c>
      <c r="Q100" s="33">
        <f ca="1">IF(AND(OR(B95&lt;&gt;"light crossbow",B95&lt;&gt;"dart",B95="shortbow",B95&lt;&gt;"Sling",B95&lt;&gt;"blowgun",B95&lt;&gt;"hand crossbow",B95&lt;&gt;"heavy crossbow",B95&lt;&gt;"longbow",B95&lt;&gt;"net",B95&lt;&gt;"greatclub",B95&lt;&gt;"glaive",B95&lt;&gt;"Greataxe",B95&lt;&gt;"Greatsword",B95&lt;&gt;"halbard",B95&lt;&gt;"maul",B95&lt;&gt;"pike"),OR($O$18="dueling style",$Q$18="dueling style",$P$18="dueling style",$S$18="dueling style",$O$15="dueling style",$Q$15="dueling style")),2,0)</f>
        <v>0</v>
      </c>
      <c r="R100" s="33">
        <f ca="1">IF(AND(OR(B95="light crossbow",B95="dart",B95="shortbow",B95="Sling",B95="blowgun",B95="hand crossbow",B95="heavy crossbow",B95="longbow",B95="net"),OR($P$18="archery style",$S$18="archery style",$O$15="archery style",$Q$15="archery style")),2,0)</f>
        <v>0</v>
      </c>
      <c r="S100" s="72" t="str">
        <f ca="1">IF(AND(S98&lt;&gt;1,S99&lt;&gt;1,COUNTIF(B110:P110,"*"&amp;"Weapon +1"&amp;"*")),1," ")</f>
        <v xml:space="preserve"> </v>
      </c>
      <c r="AJ100" s="58" t="str">
        <f ca="1">IF(Table204339453795852909322382660[[#This Row],[Column2]]=0," ",_xlfn.RANK.EQ(AK100,$AK$92:$AK$101))</f>
        <v xml:space="preserve"> </v>
      </c>
      <c r="AK100" s="60">
        <f t="shared" ca="1" si="50"/>
        <v>0</v>
      </c>
      <c r="AL100" s="29" t="str">
        <f t="shared" ca="1" si="51"/>
        <v xml:space="preserve"> </v>
      </c>
      <c r="CB100" s="35">
        <f t="shared" ca="1" si="52"/>
        <v>6</v>
      </c>
      <c r="CC100" s="36">
        <f ca="1">IF(BM13&gt;0,0,RAND())</f>
        <v>0</v>
      </c>
      <c r="CD100" s="29" t="s">
        <v>18</v>
      </c>
    </row>
    <row r="101" spans="1:82" x14ac:dyDescent="0.3">
      <c r="A101" s="138"/>
      <c r="AJ101" s="58" t="str">
        <f ca="1">IF(Table204339453795852909322382660[[#This Row],[Column2]]=0," ",_xlfn.RANK.EQ(AK101,$AK$92:$AK$101))</f>
        <v xml:space="preserve"> </v>
      </c>
      <c r="AK101" s="60">
        <f t="shared" ca="1" si="50"/>
        <v>0</v>
      </c>
      <c r="AL101" s="29" t="str">
        <f t="shared" ca="1" si="51"/>
        <v xml:space="preserve"> </v>
      </c>
      <c r="CB101" s="35">
        <f t="shared" ca="1" si="52"/>
        <v>1</v>
      </c>
      <c r="CC101" s="36">
        <f ca="1">IF(BM19&gt;0,0,RAND())</f>
        <v>0.95453113855886962</v>
      </c>
      <c r="CD101" s="29" t="s">
        <v>24</v>
      </c>
    </row>
    <row r="102" spans="1:82" x14ac:dyDescent="0.3">
      <c r="A102" s="137"/>
      <c r="B102" s="69" t="str">
        <f ca="1">IF(B40="non-classed","Shoulder Bag",IF(B103="diplomat's pack","Small Chest","Backpack"))</f>
        <v>Backpack</v>
      </c>
      <c r="C102" s="33"/>
      <c r="D102" s="33"/>
      <c r="E102" s="33"/>
      <c r="F102" s="33"/>
      <c r="G102" s="33"/>
      <c r="H102" s="33"/>
      <c r="I102" s="33"/>
      <c r="J102" s="33"/>
      <c r="K102" s="33"/>
      <c r="L102" s="33"/>
      <c r="M102" s="33"/>
      <c r="N102" s="33"/>
      <c r="O102" s="33"/>
      <c r="P102" s="33"/>
      <c r="Q102" s="69" t="s">
        <v>1988</v>
      </c>
      <c r="R102" s="69" t="str">
        <f ca="1">IF(OR(P15="eldritch knight",R15="eldritch knight",P15="arcane trickster",R15="arcane trickster",O11="ranger",Q11="ranger",O11="bard",Q11="bard",O11="cleric",Q11="cleric",O11="druid",Q11="druid",O11="paladin",Q11="paladin",O11="sorcerer",Q11="sorcerer",O11="warlock",Q11="warlock",O11="wizard",Q11="wizard"),"Component Pouch"," ")</f>
        <v>Component Pouch</v>
      </c>
      <c r="CB102" s="35">
        <f t="shared" ca="1" si="52"/>
        <v>4</v>
      </c>
      <c r="CC102" s="36">
        <f ca="1">IF(BM20&gt;0,0,RAND())</f>
        <v>0.27869914633058235</v>
      </c>
      <c r="CD102" s="29" t="s">
        <v>25</v>
      </c>
    </row>
    <row r="103" spans="1:82" x14ac:dyDescent="0.3">
      <c r="A103" s="137"/>
      <c r="B103" s="33" t="str">
        <f ca="1">IF(AND(AF21=2,O11="wizard"),"Explorer's Pack",IF(AND(AF21=1,OR(O11="sorcerer",O11="wizard",O11="warlock")),"Scholar's Pack",IF(AND(AF20=1,O11="rogue"),"Dungeoneer's Pack",IF(AND(AF20=2,O11="rogue"),"Explorer's Pack",IF(AND(AF20=3,O11="rogue"),"Burglar's Pack",IF(AND(AF21=1,OR(O11="monk",O11="Fighter",O11="ranger",O11="Sorcerer")),"Explorer's Pack",IF(AND(AF21=2,OR(O11="fighter",O11="monk",O11="ranger",O11="sorcerer",O11="warlock")),"Dungeoneer's Pack",IF(O11="druid","Explorer's Pack",IF(AND(AF21=2,OR(O11="cleric",O11="paladin")),"Explorer's Pack",IF(AND(AF21=1,OR(O11="cleric",O11="paladin")),"Priest's Pack",IF(AND(AF21=1,O11="bard"),"Diplomat's Pack",IF(AND(AF21=2,O11="bard"),"Entertainer's Pack",IF(O11="barbarian","Explorer's Pack"," ")))))))))))))</f>
        <v>Explorer's Pack</v>
      </c>
      <c r="C103" s="33"/>
      <c r="D103" s="33"/>
      <c r="E103" s="33"/>
      <c r="F103" s="33"/>
      <c r="G103" s="33"/>
      <c r="H103" s="33"/>
      <c r="I103" s="33"/>
      <c r="J103" s="33"/>
      <c r="K103" s="33"/>
      <c r="L103" s="33"/>
      <c r="M103" s="33"/>
      <c r="N103" s="33"/>
      <c r="O103" s="33" t="str">
        <f ca="1">IF(B103="Scholar's Pack","SP - Little Bag of Sand",IF(B103="Priest's Pack","PP - 2 Blocks of Incense",IF(B103="Entertainer's Pack","EP - Waterskin",IF(B103="Dungeoneer's Pack","DP - Tinderbox",IF(B103="Diplomat's Pack","DP - Lamp",IF(B103="Burglar's Pack","BP - Hammer",IF(B103="explorer's pack","EP - 10 Days Rations"," ")))))))</f>
        <v>EP - 10 Days Rations</v>
      </c>
      <c r="P103" s="33" t="str">
        <f ca="1">IF(B103="Diplomat's Pack","DP - Soap",IF(B103="Burglar's Pack","BP - Tinderbox"," "))</f>
        <v xml:space="preserve"> </v>
      </c>
      <c r="Q103" s="33" t="str">
        <f ca="1">INDEX(Items!C47:C66,MATCH(P6,(Items!A47:A66),0))&amp;" CP"</f>
        <v>0 CP</v>
      </c>
      <c r="R103" s="33" t="str">
        <f ca="1">IF(OR(,O11="bard",Q11="bard",O11="cleric",Q11="cleric",O11="druid",Q11="druid",O11="paladin",Q11="paladin",O11="sorcerer",Q11="sorcerer",O11="warlock",Q11="warlock",O11="wizard",Q11="wizard"),"Arcane Focus"," ")</f>
        <v>Arcane Focus</v>
      </c>
      <c r="AJ103" s="31" t="s">
        <v>1170</v>
      </c>
    </row>
    <row r="104" spans="1:82" x14ac:dyDescent="0.3">
      <c r="A104" s="137"/>
      <c r="B104" s="33" t="str">
        <f ca="1">IF(B103="Scholar's Pack","SP - Book of Lore",IF(B103="Priest's Pack","PP - Blanket",IF(B103="Entertainer's Pack","EP - Bedroll",IF(B103="Dungeoneer's Pack","DP - Crowbar",IF(B103="Diplomat's Pack","DP - 2 Map/Scroll Cases",IF(B103="Burglar's Pack","BP - 10' of String",IF(B103="explorer's pack"," EP - Bedroll"," ")))))))</f>
        <v xml:space="preserve"> EP - Bedroll</v>
      </c>
      <c r="C104" s="33"/>
      <c r="D104" s="33"/>
      <c r="E104" s="33"/>
      <c r="F104" s="33"/>
      <c r="G104" s="33"/>
      <c r="H104" s="33"/>
      <c r="I104" s="33"/>
      <c r="J104" s="33"/>
      <c r="K104" s="33"/>
      <c r="L104" s="33"/>
      <c r="M104" s="33"/>
      <c r="N104" s="33"/>
      <c r="O104" s="33" t="str">
        <f ca="1">IF(B103="Scholar's Pack","SP - Small Knife",IF(B103="Priest's Pack","PP - Censer",IF(B103="Entertainer's Pack","EP - Disguise Kit",IF(B103="Dungeoneer's Pack","DP - 10 Days Rations",IF(B103="Diplomat's Pack","DP - 2 Flasks of Oil",IF(B103="Burglar's Pack","BP - 10 Pitons",IF(B103="explorer's pack","EP - Waterskin"," ")))))))</f>
        <v>EP - Waterskin</v>
      </c>
      <c r="P104" s="33" t="str">
        <f ca="1">IF(B103="Burglar's Pack","BP - Waterskin"," ")</f>
        <v xml:space="preserve"> </v>
      </c>
      <c r="Q104" s="33" t="str">
        <f ca="1">INDEX(Items!D47:D66,MATCH(P6,(Items!A47:A66),0))&amp;" SP"</f>
        <v>11 SP</v>
      </c>
      <c r="R104" s="69" t="str">
        <f ca="1">IF(COUNTIF(B92:B94,"*"&amp;"sling"&amp;"*"),"Sling Bullet Pouch"," ")</f>
        <v xml:space="preserve"> </v>
      </c>
      <c r="AJ104" s="58" t="str">
        <f ca="1">IF(AK104=0," ",_xlfn.RANK.EQ(AK104,$AK$104:$AK$113))</f>
        <v xml:space="preserve"> </v>
      </c>
      <c r="AK104" s="60">
        <f t="shared" ref="AK104:AK113" ca="1" si="53">IF(AL104=" ", 0,RAND())</f>
        <v>0</v>
      </c>
      <c r="AL104" s="29" t="str">
        <f t="shared" ref="AL104:AL113" ca="1" si="54">Q334</f>
        <v xml:space="preserve"> </v>
      </c>
      <c r="CB104" s="31" t="s">
        <v>737</v>
      </c>
    </row>
    <row r="105" spans="1:82" x14ac:dyDescent="0.3">
      <c r="A105" s="137"/>
      <c r="B105" s="33" t="str">
        <f ca="1">IF(B103="Scholar's Pack","SP - Bottle of Ink",IF(B103="Priest's Pack","PP - 10 Candles",IF(B103="Entertainer's Pack","EP - 2 Costumes",IF(B103="Dungeoneer's Pack","DP -Hammer ",IF(B103="Diplomat's Pack","DP - Set of Fine Clothes",IF(B103="Burglar's Pack","BP - Bell",IF(B103="explorer's pack","EP - Mess Kit"," ")))))))</f>
        <v>EP - Mess Kit</v>
      </c>
      <c r="C105" s="33"/>
      <c r="D105" s="33"/>
      <c r="E105" s="33"/>
      <c r="F105" s="33"/>
      <c r="G105" s="33"/>
      <c r="H105" s="33"/>
      <c r="I105" s="33"/>
      <c r="J105" s="33"/>
      <c r="K105" s="33"/>
      <c r="L105" s="33"/>
      <c r="M105" s="33"/>
      <c r="N105" s="33"/>
      <c r="O105" s="33" t="str">
        <f ca="1">IF(B103="Priest's Pack","PP - Vestments",IF(B103="Dungeoneer's Pack","DP - Waterskin",IF(B103="Diplomat's Pack","DP - 5 Sheets of Paper",IF(B103="Burglar's Pack","BP - Hooded Lantern",IF(B103="explorer's pack","EP - 50' Hempen Rope"," ")))))</f>
        <v>EP - 50' Hempen Rope</v>
      </c>
      <c r="P105" s="33" t="str">
        <f ca="1">IF(B103="Burglar's Pack","BP - 50' Hempen Rope"," ")</f>
        <v xml:space="preserve"> </v>
      </c>
      <c r="Q105" s="33" t="str">
        <f ca="1">INDEX(Items!E47:E66,MATCH(P6,(Items!A47:A66),0))&amp;" EP"</f>
        <v>0 EP</v>
      </c>
      <c r="R105" s="33" t="str">
        <f ca="1">IF(COUNTIF(B92:B94,"*"&amp;"sling"&amp;"*"),RANDBETWEEN(6,13)&amp;" Sling Bullets"," ")</f>
        <v xml:space="preserve"> </v>
      </c>
      <c r="AJ105" s="58" t="str">
        <f t="shared" ref="AJ105:AJ113" ca="1" si="55">IF(AK105=0," ",_xlfn.RANK.EQ(AK105,$AK$104:$AK$113))</f>
        <v xml:space="preserve"> </v>
      </c>
      <c r="AK105" s="60">
        <f t="shared" ca="1" si="53"/>
        <v>0</v>
      </c>
      <c r="AL105" s="29" t="str">
        <f t="shared" ca="1" si="54"/>
        <v xml:space="preserve"> </v>
      </c>
      <c r="CB105" s="35">
        <f t="shared" ref="CB105:CB111" ca="1" si="56">_xlfn.RANK.EQ(CC105,$CC$105:$CC$111)</f>
        <v>4</v>
      </c>
      <c r="CC105" s="36">
        <f ca="1">IF(BM8&gt;0,0,RAND())</f>
        <v>0.56415975136354124</v>
      </c>
      <c r="CD105" s="29" t="s">
        <v>13</v>
      </c>
    </row>
    <row r="106" spans="1:82" x14ac:dyDescent="0.3">
      <c r="A106" s="137"/>
      <c r="B106" s="33" t="str">
        <f ca="1">IF(B103="Scholar's Pack","SP - Ink Pen",IF(B103="Priest's Pack","PP - Tinderbox",IF(B103="Entertainer's Pack","EP - 5 Candles",IF(B103="Dungeoneer's Pack","DP - 10 Pitons",IF(B103="Diplomat's Pack","DP - Bottle of Ink",IF(B103="Burglar's Pack","BP - 5 Candles",IF(B103="explorer's pack","EP - Tinderbox"," ")))))))</f>
        <v>EP - Tinderbox</v>
      </c>
      <c r="C106" s="33"/>
      <c r="D106" s="33"/>
      <c r="E106" s="33"/>
      <c r="F106" s="33"/>
      <c r="G106" s="33"/>
      <c r="H106" s="33"/>
      <c r="I106" s="33"/>
      <c r="J106" s="33"/>
      <c r="K106" s="33"/>
      <c r="L106" s="33"/>
      <c r="M106" s="33"/>
      <c r="N106" s="33"/>
      <c r="O106" s="33" t="str">
        <f ca="1">IF(B103="Priest's Pack","PP - 2 Days Rations",IF(B103="Dungeoneer's Pack","DP - 50' Hempen Rope",IF(B103="Diplomat's Pack","DP - Vial of Perfume",IF(B103="Burglar's Pack","BP - 2 Flasks of Oil"," "))))</f>
        <v xml:space="preserve"> </v>
      </c>
      <c r="P106" s="33" t="str">
        <f ca="1">VLOOKUP(RANDBETWEEN(1,58),Table296[],2)</f>
        <v>Fishing Tackle</v>
      </c>
      <c r="Q106" s="33" t="str">
        <f ca="1">INDEX(Items!F47:F66,MATCH(P6,(Items!A47:A66),0))&amp;" GP"</f>
        <v>0 GP</v>
      </c>
      <c r="R106" s="69" t="str">
        <f ca="1">IF(COUNTIF(B92:B94,"*"&amp;"light crossbow"&amp;"*"),"Quiver",IF(COUNTIF(B92:B94,"*"&amp;"hand crossbow"&amp;"*"),"Quiver",IF(COUNTIF(B92:B94,"*"&amp;"heavy crossbow"&amp;"*"),"Quiver",IF(COUNTIF(B92:B94,"*"&amp;"longbow"&amp;"*"),"Quiver",IF(COUNTIF(B92:B94,"*"&amp;"shortbow"&amp;"*"),"Quiver"," ")))))</f>
        <v xml:space="preserve"> </v>
      </c>
      <c r="AJ106" s="58" t="str">
        <f t="shared" ca="1" si="55"/>
        <v xml:space="preserve"> </v>
      </c>
      <c r="AK106" s="60">
        <f t="shared" ca="1" si="53"/>
        <v>0</v>
      </c>
      <c r="AL106" s="29" t="str">
        <f t="shared" ca="1" si="54"/>
        <v xml:space="preserve"> </v>
      </c>
      <c r="CB106" s="35">
        <f t="shared" ca="1" si="56"/>
        <v>1</v>
      </c>
      <c r="CC106" s="36">
        <f ca="1">IF(BM10&gt;0,0,RAND())</f>
        <v>0.96270470443223632</v>
      </c>
      <c r="CD106" s="29" t="s">
        <v>15</v>
      </c>
    </row>
    <row r="107" spans="1:82" x14ac:dyDescent="0.3">
      <c r="A107" s="137"/>
      <c r="B107" s="33" t="str">
        <f ca="1">IF(B103="Scholar's Pack","SP - 10 Sheets of Parchment",IF(B103="Priest's Pack","PP - Alms Box",IF(B103="Entertainer's Pack","EP - 5 Days Rations",IF(B103="Dungeoneer's Pack","DP - 10 Torches",IF(B103="Diplomat's Pack","DP - Ink Pen",IF(B103="Burglar's Pack","BP - Crowbar",IF(B103="explorer's pack","EP - 10 Torches"," ")))))))</f>
        <v>EP - 10 Torches</v>
      </c>
      <c r="C107" s="33"/>
      <c r="D107" s="33"/>
      <c r="E107" s="33"/>
      <c r="F107" s="33"/>
      <c r="G107" s="33"/>
      <c r="H107" s="33"/>
      <c r="I107" s="33"/>
      <c r="J107" s="33"/>
      <c r="K107" s="33"/>
      <c r="L107" s="33"/>
      <c r="M107" s="33"/>
      <c r="N107" s="33"/>
      <c r="O107" s="33" t="str">
        <f ca="1">IF(B103="Priest's Pack","PP - Waterskin",IF(B103="Diplomat's Pack","DP - Sealing Wax",IF(B103="Burglar's Pack","BP - 5 Days Rations"," ")))</f>
        <v xml:space="preserve"> </v>
      </c>
      <c r="P107" s="33" t="str">
        <f ca="1">VLOOKUP(RANDBETWEEN(1,58),Table296[],2)</f>
        <v>Bottle of Ink</v>
      </c>
      <c r="Q107" s="33" t="str">
        <f ca="1">INDEX(Items!G47:G66,MATCH(P6,(Items!A47:A66),0))&amp;" PP"</f>
        <v>0 PP</v>
      </c>
      <c r="R107" s="33" t="str">
        <f ca="1">IF(COUNTIF(B92:B94,"*"&amp;"longbow"&amp;"*"),RANDBETWEEN(10,24)&amp;" Arrows",IF(COUNTIF(B92:B94,"*"&amp;"shortbow"&amp;"*"),RANDBETWEEN(10,24)&amp;" Arrows",IF(COUNTIF(B92:B94,"*"&amp;"light crossbow"&amp;"*"),RANDBETWEEN(10,24)&amp;" Bolts",IF(COUNTIF(B92:B94,"*"&amp;"hand crossbow"&amp;"*"),RANDBETWEEN(10,24)&amp;" Bolts",IF(COUNTIF(B92:B94,"*"&amp;"heavy crossbow"&amp;"*"),RANDBETWEEN(10,24)&amp;" Bolts"," ")))))</f>
        <v xml:space="preserve"> </v>
      </c>
      <c r="AJ107" s="58" t="str">
        <f t="shared" ca="1" si="55"/>
        <v xml:space="preserve"> </v>
      </c>
      <c r="AK107" s="60">
        <f t="shared" ca="1" si="53"/>
        <v>0</v>
      </c>
      <c r="AL107" s="29" t="str">
        <f t="shared" ca="1" si="54"/>
        <v xml:space="preserve"> </v>
      </c>
      <c r="CB107" s="35">
        <f t="shared" ca="1" si="56"/>
        <v>3</v>
      </c>
      <c r="CC107" s="36">
        <f ca="1">IF(BM11&gt;0,0,RAND())</f>
        <v>0.66455036830991465</v>
      </c>
      <c r="CD107" s="29" t="s">
        <v>16</v>
      </c>
    </row>
    <row r="108" spans="1:82" x14ac:dyDescent="0.3">
      <c r="A108" s="137"/>
      <c r="B108" s="33" t="str">
        <f ca="1">IF(AF35&gt;=1,VLOOKUP(RANDBETWEEN(1,200),Table298[],2)," ")</f>
        <v>a piece of paper with a drawing of a cat done by a child</v>
      </c>
      <c r="C108" s="33"/>
      <c r="D108" s="33"/>
      <c r="E108" s="33"/>
      <c r="F108" s="33"/>
      <c r="G108" s="33"/>
      <c r="H108" s="33"/>
      <c r="I108" s="33"/>
      <c r="J108" s="33"/>
      <c r="K108" s="33"/>
      <c r="L108" s="33"/>
      <c r="M108" s="33"/>
      <c r="N108" s="33"/>
      <c r="O108" s="33" t="str">
        <f ca="1">IF(AF35&gt;=2,VLOOKUP(RANDBETWEEN(1,200),Table298[],2)," ")</f>
        <v>a half a flask of water</v>
      </c>
      <c r="P108" s="33" t="str">
        <f ca="1">IF(AF35&gt;=3,VLOOKUP(RANDBETWEEN(1,200),Table298[],2)," ")</f>
        <v xml:space="preserve"> </v>
      </c>
      <c r="AJ108" s="58" t="str">
        <f t="shared" ca="1" si="55"/>
        <v xml:space="preserve"> </v>
      </c>
      <c r="AK108" s="60">
        <f t="shared" ca="1" si="53"/>
        <v>0</v>
      </c>
      <c r="AL108" s="29" t="str">
        <f t="shared" ca="1" si="54"/>
        <v xml:space="preserve"> </v>
      </c>
      <c r="CB108" s="35">
        <f t="shared" ca="1" si="56"/>
        <v>7</v>
      </c>
      <c r="CC108" s="36">
        <f ca="1">IF(BM13&gt;0,0,RAND())</f>
        <v>0</v>
      </c>
      <c r="CD108" s="29" t="s">
        <v>18</v>
      </c>
    </row>
    <row r="109" spans="1:82" ht="19.5" thickBot="1" x14ac:dyDescent="0.35">
      <c r="B109" s="38" t="str">
        <f ca="1">IF(AND(P6&gt;=5,O11&lt;&gt;"non-classed"),VLOOKUP(RANDBETWEEN(1,100),Table5764[],2)," ")</f>
        <v xml:space="preserve"> </v>
      </c>
      <c r="O109" s="29" t="str">
        <f ca="1">IF(AND(P6&gt;=11,O11&lt;&gt;"non-classed"),VLOOKUP(RANDBETWEEN(1,100),Table576465[],2)," ")</f>
        <v xml:space="preserve"> </v>
      </c>
      <c r="P109" s="29" t="str">
        <f ca="1">IF(AND(P6&gt;=17,O11&lt;&gt;"non-classed"),VLOOKUP(RANDBETWEEN(1,100),Table576466[],2)," ")</f>
        <v xml:space="preserve"> </v>
      </c>
      <c r="AJ109" s="58" t="str">
        <f t="shared" ca="1" si="55"/>
        <v xml:space="preserve"> </v>
      </c>
      <c r="AK109" s="60">
        <f t="shared" ca="1" si="53"/>
        <v>0</v>
      </c>
      <c r="AL109" s="29" t="str">
        <f t="shared" ca="1" si="54"/>
        <v xml:space="preserve"> </v>
      </c>
      <c r="CB109" s="35">
        <f t="shared" ca="1" si="56"/>
        <v>5</v>
      </c>
      <c r="CC109" s="36">
        <f ca="1">IF(BM14&gt;0,0,RAND())</f>
        <v>0.37323960735135631</v>
      </c>
      <c r="CD109" s="29" t="s">
        <v>19</v>
      </c>
    </row>
    <row r="110" spans="1:82" ht="19.5" thickBot="1" x14ac:dyDescent="0.35">
      <c r="A110" s="33"/>
      <c r="AJ110" s="58" t="str">
        <f t="shared" ca="1" si="55"/>
        <v xml:space="preserve"> </v>
      </c>
      <c r="AK110" s="60">
        <f t="shared" ca="1" si="53"/>
        <v>0</v>
      </c>
      <c r="AL110" s="29" t="str">
        <f t="shared" ca="1" si="54"/>
        <v xml:space="preserve"> </v>
      </c>
      <c r="CB110" s="35">
        <f t="shared" ca="1" si="56"/>
        <v>6</v>
      </c>
      <c r="CC110" s="36">
        <f ca="1">IF(BM16&gt;0,0,RAND())</f>
        <v>0.26302132151880098</v>
      </c>
      <c r="CD110" s="29" t="s">
        <v>21</v>
      </c>
    </row>
    <row r="111" spans="1:82" ht="30.75" thickBot="1" x14ac:dyDescent="0.45">
      <c r="B111" s="105" t="s">
        <v>1327</v>
      </c>
      <c r="AJ111" s="58" t="str">
        <f t="shared" ca="1" si="55"/>
        <v xml:space="preserve"> </v>
      </c>
      <c r="AK111" s="60">
        <f t="shared" ca="1" si="53"/>
        <v>0</v>
      </c>
      <c r="AL111" s="29" t="str">
        <f t="shared" ca="1" si="54"/>
        <v xml:space="preserve"> </v>
      </c>
      <c r="CB111" s="35">
        <f t="shared" ca="1" si="56"/>
        <v>2</v>
      </c>
      <c r="CC111" s="36">
        <f ca="1">IF(BM20&gt;0,0,RAND())</f>
        <v>0.70676147370782072</v>
      </c>
      <c r="CD111" s="29" t="s">
        <v>25</v>
      </c>
    </row>
    <row r="112" spans="1:82" x14ac:dyDescent="0.3">
      <c r="B112" s="74"/>
      <c r="C112" s="75"/>
      <c r="D112" s="75"/>
      <c r="E112" s="75"/>
      <c r="F112" s="75"/>
      <c r="G112" s="75"/>
      <c r="H112" s="75"/>
      <c r="I112" s="75"/>
      <c r="J112" s="75"/>
      <c r="K112" s="75"/>
      <c r="L112" s="75"/>
      <c r="M112" s="75"/>
      <c r="N112" s="75"/>
      <c r="O112" s="75"/>
      <c r="P112" s="76" t="s">
        <v>1124</v>
      </c>
      <c r="Q112" s="76" t="s">
        <v>1166</v>
      </c>
      <c r="R112" s="77" t="s">
        <v>1167</v>
      </c>
      <c r="AJ112" s="58" t="str">
        <f t="shared" ca="1" si="55"/>
        <v xml:space="preserve"> </v>
      </c>
      <c r="AK112" s="60">
        <f t="shared" ca="1" si="53"/>
        <v>0</v>
      </c>
      <c r="AL112" s="29" t="str">
        <f t="shared" ca="1" si="54"/>
        <v xml:space="preserve"> </v>
      </c>
    </row>
    <row r="113" spans="2:82" x14ac:dyDescent="0.3">
      <c r="B113" s="78" t="s">
        <v>1122</v>
      </c>
      <c r="C113" s="33"/>
      <c r="D113" s="33"/>
      <c r="E113" s="33"/>
      <c r="F113" s="33"/>
      <c r="G113" s="33"/>
      <c r="H113" s="33"/>
      <c r="I113" s="33"/>
      <c r="J113" s="33"/>
      <c r="K113" s="33"/>
      <c r="L113" s="33"/>
      <c r="M113" s="33"/>
      <c r="N113" s="33"/>
      <c r="O113" s="34">
        <v>1</v>
      </c>
      <c r="P113" s="33" t="str">
        <f ca="1">IF(P2="forest","Minor Illusion",IF(Q2="tiefling","Thaumaturgy",IF(P2="dark","Dancing Lights",IF(P2="high",INDEX('Spell Tables'!P242:P257,MATCH(1,('Spell Tables'!N242:N257),0))," "))))</f>
        <v xml:space="preserve"> </v>
      </c>
      <c r="Q113" s="33" t="str">
        <f ca="1">IF(AND($P$2="Dark",$P$6&gt;=3),"Faerie Fire (1/day)",IF(AND(Q2="tiefling",P6&gt;=3),"Hellish Rebuke (as 2nd Level - 1/day)"," "))</f>
        <v xml:space="preserve"> </v>
      </c>
      <c r="R113" s="72" t="str">
        <f ca="1">IF(AND($P$2="Dark",$P$6&gt;=5),"Darkness (1/day)",IF(AND(Q2="tiefling",P6&gt;=5),"Darkness (1/day)"," "))</f>
        <v xml:space="preserve"> </v>
      </c>
      <c r="AJ113" s="58" t="str">
        <f t="shared" ca="1" si="55"/>
        <v xml:space="preserve"> </v>
      </c>
      <c r="AK113" s="60">
        <f t="shared" ca="1" si="53"/>
        <v>0</v>
      </c>
      <c r="AL113" s="29" t="str">
        <f t="shared" ca="1" si="54"/>
        <v xml:space="preserve"> </v>
      </c>
      <c r="CB113" s="31" t="s">
        <v>738</v>
      </c>
    </row>
    <row r="114" spans="2:82" x14ac:dyDescent="0.3">
      <c r="B114" s="79" t="str">
        <f ca="1">IF(OR(P2="dark",Q2="tiefling"),8+$P$8+$N$43,IF(P2="Forest",8+$P$8+$N$41," "))</f>
        <v xml:space="preserve"> </v>
      </c>
      <c r="C114" s="33"/>
      <c r="D114" s="33"/>
      <c r="E114" s="33"/>
      <c r="F114" s="33"/>
      <c r="G114" s="33"/>
      <c r="H114" s="33"/>
      <c r="I114" s="33"/>
      <c r="J114" s="33"/>
      <c r="K114" s="33"/>
      <c r="L114" s="33"/>
      <c r="M114" s="33"/>
      <c r="N114" s="33"/>
      <c r="O114" s="34">
        <v>2</v>
      </c>
      <c r="P114" s="33"/>
      <c r="Q114" s="33"/>
      <c r="R114" s="72"/>
      <c r="CB114" s="35">
        <f t="shared" ref="CB114:CB119" ca="1" si="57">_xlfn.RANK.EQ(CC114,$CC$114:$CC$119)</f>
        <v>4</v>
      </c>
      <c r="CC114" s="36">
        <f ca="1">IF(BM8&gt;0,0,RAND())</f>
        <v>0.61430991191216355</v>
      </c>
      <c r="CD114" s="29" t="s">
        <v>13</v>
      </c>
    </row>
    <row r="115" spans="2:82" x14ac:dyDescent="0.3">
      <c r="B115" s="78" t="s">
        <v>1123</v>
      </c>
      <c r="C115" s="33"/>
      <c r="D115" s="33"/>
      <c r="E115" s="33"/>
      <c r="F115" s="33"/>
      <c r="G115" s="33"/>
      <c r="H115" s="33"/>
      <c r="I115" s="33"/>
      <c r="J115" s="33"/>
      <c r="K115" s="33"/>
      <c r="L115" s="33"/>
      <c r="M115" s="33"/>
      <c r="N115" s="33"/>
      <c r="O115" s="34">
        <v>3</v>
      </c>
      <c r="P115" s="33"/>
      <c r="Q115" s="33"/>
      <c r="R115" s="72"/>
      <c r="AJ115" s="31" t="s">
        <v>1171</v>
      </c>
      <c r="CB115" s="35">
        <f t="shared" ca="1" si="57"/>
        <v>3</v>
      </c>
      <c r="CC115" s="36">
        <f ca="1">IF(BM11&gt;0,0,RAND())</f>
        <v>0.71648692852034623</v>
      </c>
      <c r="CD115" s="29" t="s">
        <v>16</v>
      </c>
    </row>
    <row r="116" spans="2:82" ht="19.5" thickBot="1" x14ac:dyDescent="0.35">
      <c r="B116" s="80" t="str">
        <f ca="1">IF(OR(P2="dark",Q2="tiefling"),P8+$N$43,IF(P2="forest",P8+$N$41," "))</f>
        <v xml:space="preserve"> </v>
      </c>
      <c r="C116" s="38"/>
      <c r="D116" s="38"/>
      <c r="E116" s="38"/>
      <c r="F116" s="38"/>
      <c r="G116" s="38"/>
      <c r="H116" s="38"/>
      <c r="I116" s="38"/>
      <c r="J116" s="38"/>
      <c r="K116" s="38"/>
      <c r="L116" s="38"/>
      <c r="M116" s="38"/>
      <c r="N116" s="38"/>
      <c r="O116" s="38"/>
      <c r="P116" s="38"/>
      <c r="Q116" s="38"/>
      <c r="R116" s="73"/>
      <c r="AJ116" s="58" t="str">
        <f ca="1">IF(AK116=0," ",_xlfn.RANK.EQ(AK116,$AK$116:$AK$125))</f>
        <v xml:space="preserve"> </v>
      </c>
      <c r="AK116" s="60">
        <f t="shared" ref="AK116:AK125" ca="1" si="58">IF(AL116=" ", 0,RAND())</f>
        <v>0</v>
      </c>
      <c r="AL116" s="29" t="str">
        <f t="shared" ref="AL116:AL125" ca="1" si="59">R334</f>
        <v xml:space="preserve"> </v>
      </c>
      <c r="CB116" s="35">
        <f t="shared" ca="1" si="57"/>
        <v>5</v>
      </c>
      <c r="CC116" s="36">
        <f ca="1">IF(BM12&gt;0,0,RAND())</f>
        <v>0.37048508695607407</v>
      </c>
      <c r="CD116" s="29" t="s">
        <v>17</v>
      </c>
    </row>
    <row r="117" spans="2:82" ht="19.5" thickBot="1" x14ac:dyDescent="0.35">
      <c r="AJ117" s="58" t="str">
        <f t="shared" ref="AJ117:AJ125" ca="1" si="60">IF(AK117=0," ",_xlfn.RANK.EQ(AK117,$AK$116:$AK$125))</f>
        <v xml:space="preserve"> </v>
      </c>
      <c r="AK117" s="60">
        <f t="shared" ca="1" si="58"/>
        <v>0</v>
      </c>
      <c r="AL117" s="29" t="str">
        <f t="shared" ca="1" si="59"/>
        <v xml:space="preserve"> </v>
      </c>
      <c r="CB117" s="35">
        <f t="shared" ca="1" si="57"/>
        <v>2</v>
      </c>
      <c r="CC117" s="36">
        <f ca="1">IF(BM14&gt;0,0,RAND())</f>
        <v>0.74383333422761222</v>
      </c>
      <c r="CD117" s="29" t="s">
        <v>19</v>
      </c>
    </row>
    <row r="118" spans="2:82" ht="30.75" thickBot="1" x14ac:dyDescent="0.45">
      <c r="B118" s="105" t="s">
        <v>1334</v>
      </c>
      <c r="AJ118" s="58" t="str">
        <f t="shared" ca="1" si="60"/>
        <v xml:space="preserve"> </v>
      </c>
      <c r="AK118" s="60">
        <f t="shared" ca="1" si="58"/>
        <v>0</v>
      </c>
      <c r="AL118" s="29" t="str">
        <f t="shared" ca="1" si="59"/>
        <v xml:space="preserve"> </v>
      </c>
      <c r="CB118" s="35">
        <f t="shared" ca="1" si="57"/>
        <v>6</v>
      </c>
      <c r="CC118" s="36">
        <f ca="1">IF(BM15&gt;0,0,RAND())</f>
        <v>8.8027235005662674E-2</v>
      </c>
      <c r="CD118" s="29" t="s">
        <v>20</v>
      </c>
    </row>
    <row r="119" spans="2:82" x14ac:dyDescent="0.3">
      <c r="B119" s="79"/>
      <c r="C119" s="27"/>
      <c r="D119" s="27"/>
      <c r="E119" s="27"/>
      <c r="F119" s="27"/>
      <c r="G119" s="27"/>
      <c r="H119" s="27"/>
      <c r="I119" s="27"/>
      <c r="J119" s="27"/>
      <c r="K119" s="27"/>
      <c r="L119" s="27"/>
      <c r="M119" s="27"/>
      <c r="N119" s="27"/>
      <c r="O119" s="27"/>
      <c r="P119" s="76" t="s">
        <v>1124</v>
      </c>
      <c r="Q119" s="76" t="s">
        <v>1166</v>
      </c>
      <c r="R119" s="76" t="s">
        <v>1167</v>
      </c>
      <c r="S119" s="76" t="s">
        <v>1168</v>
      </c>
      <c r="T119" s="77" t="s">
        <v>676</v>
      </c>
      <c r="AJ119" s="58" t="str">
        <f t="shared" ca="1" si="60"/>
        <v xml:space="preserve"> </v>
      </c>
      <c r="AK119" s="60">
        <f t="shared" ca="1" si="58"/>
        <v>0</v>
      </c>
      <c r="AL119" s="29" t="str">
        <f t="shared" ca="1" si="59"/>
        <v xml:space="preserve"> </v>
      </c>
      <c r="CB119" s="35">
        <f t="shared" ca="1" si="57"/>
        <v>1</v>
      </c>
      <c r="CC119" s="36">
        <f ca="1">IF(BM20&gt;0,0,RAND())</f>
        <v>0.8543141966703347</v>
      </c>
      <c r="CD119" s="29" t="s">
        <v>25</v>
      </c>
    </row>
    <row r="120" spans="2:82" x14ac:dyDescent="0.3">
      <c r="B120" s="78" t="str">
        <f ca="1">IF(P15="way of the four elements","Way of the Four Elements",IF(AND(O11="wizard",O12&gt;=20),"Signature Spell",IF(AND($O$11="paladin",$O$12&gt;=3),"Oath Spells",IF(AND($P$15="moon",$O$12&gt;=14),"Thousand Forms",IF($P$15="way of the shadow","Shadow Arts",IF(AND($O$11="druid",$P$15="land"),"Land Circle Spells",IF($O$11="cleric","Domain Spells",IF($O$11="bard","Magical Secrets",IF($P$15="path of the totem warrior","Totem Warrior Spells",IF(AND($O$11="warlock",$O$12&gt;=2),"Mystic Arcanum and Invocation",IF($P$15="arcane trickster","4th,8th,14th,20th non E&amp;I spells",IF($P$15="eldritch knight","4th,8th,14th,20th non A&amp;E spells"," "))))))))))))</f>
        <v>Oath Spells</v>
      </c>
      <c r="C120" s="33"/>
      <c r="D120" s="33"/>
      <c r="E120" s="33"/>
      <c r="F120" s="33"/>
      <c r="G120" s="33"/>
      <c r="H120" s="33"/>
      <c r="I120" s="33"/>
      <c r="J120" s="33"/>
      <c r="K120" s="33"/>
      <c r="L120" s="33"/>
      <c r="M120" s="33"/>
      <c r="N120" s="33"/>
      <c r="O120" s="34">
        <v>1</v>
      </c>
      <c r="P120" s="33" t="str">
        <f ca="1">IF($O$16="pact of the tome",INDEX('Spell Tables'!$BD$19:$BD$37,MATCH(1,('Spell Tables'!$BB$19:$BB$37),0)),IF($P$15="way of the shadow","Minor Illusion (free)",IF($P$15="land",INDEX('Spell Tables'!P48:P55,MATCH(8,('Spell Tables'!N48:N55),0)),IF($P$15="nature",INDEX('Spell Tables'!P48:P55,MATCH(6,('Spell Tables'!N48:N55),0)),IF($P$15="light","Light",IF(AND($O$11="bard",AL191="c"),INDEX('Spell Tables'!$BD$2:$BD$16,MATCH(10,('Spell Tables'!$BB$2:$BB$16),0))," "))))))</f>
        <v xml:space="preserve"> </v>
      </c>
      <c r="Q120" s="33" t="str">
        <f ca="1">IF(COUNTIF(P18:P21,"*"&amp;"Fist of Four Thunders"&amp;"*"),"Thunderwave (2 ki)",IF(COUNTIF($O$18:$O$25,"*"&amp;"armor of shadows"&amp;"*"),"Mage Armor*",IF($P$15="oath of vengeance","Bane",IF($P$15="Oath of the Ancients","Ensnaring Strike",IF($P$15="Oath of Devotion","Protection from Good and Evil",IF(AND($P$15="war",$O$12&gt;=1),"Divine Favor",IF(AND($P$15="Trickery",$O$12&gt;=1),"Charm Person",IF(AND($P$15="tempest",$O$12&gt;=1),"Fog Cloud",IF(AND($P$15="nature",$O$12&gt;=1),"Animal Friendship",IF(AND($P$15="light",$O$12&gt;=1),"Burning Hands",IF($P$15="life","Bless",IF($P$15="knowledge","Command",IF(AND($O$11="bard",AL155=1),INDEX('Spell Tables'!$BH$2:$BH$41,MATCH($O$120,('Spell Tables'!$BF$2:$BF$41),0)),IF($P$15="arcane trickster",INDEX('Spell Tables'!$X$141:$X$163,MATCH(O120,('Spell Tables'!$V$141:$V$163),0)),IF($P$15="path of the totem warrior","Speak with Animals (as ritual)",IF($P$15="eldritch knight",INDEX('Spell Tables'!$X$70:$X$90,MATCH($O$120,('Spell Tables'!$V$70:$V$90),0))," "))))))))))))))))</f>
        <v>Ensnaring Strike</v>
      </c>
      <c r="R120" s="33" t="str">
        <f ca="1">IF(COUNTIF(P18:P21,"*"&amp;"Clench of the North Wind"&amp;"*"),"Hold Person (3 ki)",IF(COUNTIF(P18:P21,"*"&amp;"Clench of the North Wind"&amp;"*"),"Hold Person (3 ki)",IF(COUNTIF(O18:O25,"*"&amp;"ascendant step"&amp;"*"),"Levitate*",IF(AND(P15="oath of vengeance",O12&gt;=5),"Hold Person",IF(AND(P15="Oath of the Ancients",O12&gt;=5),"Moonbeam",IF(AND(P15="Oath of Devotion",O12&gt;=5),"Lesser Restoration",IF(AND(P15="moon",O12&gt;=14),"Alter Self",IF(P15="Way of the Shadow","Darkness",IF(AND($P$20="Underdark",$O$12&gt;=3),"Spider Climb",IF(AND($P$20="Swamp",$O$12&gt;=3),"Darkness",IF(AND($P$20="Mountain",$O$12&gt;=3),"Spider Climb",IF(AND($P$20="Grassland",$O$12&gt;=3),"Invisibility",IF(AND($P$20="Forest",$O$12&gt;=3),"Barkskin",IF(AND($P$20="Desert",$O$12&gt;=3),"Blur",IF(AND($P$20="Coast",$O$12&gt;=3),"Mirror Image",IF(AND($P$20="arctic",$O$12&gt;=3),"Hold Person",IF(AND(P15="war",O12&gt;=3),"Magic Weapon",IF(AND(P15="Trickery",O12&gt;=3),"Mirror Image",IF(AND(P15="tempest",O12&gt;=3),"Gust of Wind",IF(AND(P15="nature",O12&gt;=3),"Barkskin",IF(AND(P15="light",O12&gt;=3),"Flaming Sphere",IF(AND(P15="Life",O12&gt;=3),"Lesser Restoration",IF(AND(P15="knowledge",O12&gt;=3),"Augury",IF(AND(O11="bard",AL155=2),INDEX('Spell Tables'!BL2:BL37,MATCH(O120,('Spell Tables'!BJ2:BJ37),0)),IF(P15="path of the totem warrior","Beast Sense (as ritual)",IF(AND(P15="eldritch knight",O12&gt;=8),INDEX('Spell Tables'!AF70:AF94,MATCH(#REF!,('Spell Tables'!AD70:AD94),0)),IF(AND(P15="arcane trickster",O12&gt;=8),INDEX('Spell Tables'!AF141:AF165,MATCH(#REF!,('Spell Tables'!AD141:AD165),0))," ")))))))))))))))))))))))))))</f>
        <v xml:space="preserve"> </v>
      </c>
      <c r="S120" s="33" t="str">
        <f ca="1">IF(COUNTIF(P18:P21,"*"&amp;"Mist Stance"&amp;"*"),"Gaseous Form (4 ki)",IF(AND($O$11="wizard",O12&gt;=20),INDEX('Spell Tables'!$AB$242:$AB$270,MATCH(29,('Spell Tables'!$Z$242:$Z$270),0)),IF(COUNTIF(O18:O25,"*"&amp;"mire the mind"&amp;"*"),"Slow**",IF(AND(P15="oath of vengeance",O12&gt;=9),"Haste",IF(AND(P15="Oath of the Ancients",O12&gt;=9),"Plant Growth",IF(AND(P15="Oath of Devotion",O12&gt;=9),"Beacon of Hope",IF(AND($P$20="Underdark",$O$12&gt;=5),"Gaseous Form",IF(AND($P$20="Swamp",$O$12&gt;=5),"Water Walk",IF(AND($P$20="Mountain",$O$12&gt;=5),"Lightning Bolt",IF(AND($P$20="Grassland",$O$12&gt;=5),"Daylight",IF(AND($P$20="Forest",$O$12&gt;=5),"Call Lightning",IF(AND($P$20="Desert",$O$12&gt;=5),"Create Food and Water",IF(AND($P$20="Coast",$O$12&gt;=5),"Water Breathing",IF(AND($P$20="arctic",$O$12&gt;=5),"Sleet Storm",IF(AND(P15="war",O12&gt;=5),"Crusader's Mantle",IF(AND(P15="trickery",O12&gt;=5),"Blink",IF(AND(P15="tempest",O12&gt;=5),"Call Lightning",IF(AND(P15="nature",O12&gt;=5),"Plant Growth",IF(AND(P15="light",O12&gt;=5),"Daylight",IF(AND(P15="life",O12&gt;=5),"Beacon of Hope",IF(AND(P15="knowledge",O12&gt;=5),"Nondetection",IF(AND(O11="bard",AL155=3),INDEX('Spell Tables'!BP2:BP35,MATCH(O120,('Spell Tables'!BN2:BN35),0)),IF(AND(P15="arcane trickster",O12&gt;=14),INDEX('Spell Tables'!AN141:AN165,MATCH(O120,('Spell Tables'!AL141:AL165),0)),IF(AND(P15="eldritch knight",O12&gt;=14),INDEX('Spell Tables'!AN70:AN88,MATCH(O120,('Spell Tables'!AL70:AL88),0))," "))))))))))))))))))))))))</f>
        <v xml:space="preserve"> </v>
      </c>
      <c r="T120" s="72" t="str">
        <f ca="1">IF(COUNTIF(P18:P21,"*"&amp;"Eternal Mountain Defense"&amp;"*"),"Stoneskin (5 ki)",IF(COUNTIF(O18:O25,"*"&amp;"bewitching whispers"&amp;"*"),"Compulsion**",IF(AND(P15="oath of vengeance",O12&gt;=13),"Banishment",IF(AND(P15="Oath of the Ancients",O12&gt;=13),"Ice Storm",IF(AND(P15="Oath of Devotion",O12&gt;=13),"Freedom of Movement",IF(AND($P$20="Underdark",$O$12&gt;=7),"Greater Invisibility",IF(AND($P$20="Swamp",$O$12&gt;=7),"Freedom of Movement",IF(AND($P$20="Mountain",$O$12&gt;=7),"Stone Shape",IF(AND($P$20="Grassland",$O$12&gt;=7),"Divination",IF(AND($P$20="Forest",$O$12&gt;=7),"Divination",IF(AND($P$20="Desert",$O$12&gt;=7),"Blight",IF(AND($P$20="Coast",$O$12&gt;=7),"Control Water",IF(AND($P$20="arctic",$O$12&gt;=7),"Freedom of Movement",IF(AND(P15="war",O12&gt;=7),"Freedom of Movement",IF(AND(P15="trickery",O12&gt;=7),"Dimension Door",IF(AND(P15="tempest",O12&gt;=7),"Control Water",IF(AND(P15="nature",O12&gt;=7),"Dominate Beast",IF(AND(P15="light",O12&gt;=7),"Guardian of Faith",IF(AND(P15="life",O12&gt;=7),"Death Ward",IF(AND(P15="knowledge",O12&gt;=7),"Arcane Eye",IF(AND(O11="bard",AL155=4),INDEX('Spell Tables'!BT2:BT29,MATCH(O120,('Spell Tables'!BR2:BR29),0)),IF(AND(P15="arcane trickster",O12&gt;=20),INDEX('Spell Tables'!AV141:AV159,MATCH(O120,('Spell Tables'!AT141:AT159),0)),IF(AND(P15="eldritch knight",O12&gt;=20),INDEX('Spell Tables'!AV70:AV86,MATCH(O120,('Spell Tables'!AT70:AT86),0))," ")))))))))))))))))))))))</f>
        <v xml:space="preserve"> </v>
      </c>
      <c r="AJ120" s="58" t="str">
        <f t="shared" ca="1" si="60"/>
        <v xml:space="preserve"> </v>
      </c>
      <c r="AK120" s="60">
        <f t="shared" ca="1" si="58"/>
        <v>0</v>
      </c>
      <c r="AL120" s="29" t="str">
        <f t="shared" ca="1" si="59"/>
        <v xml:space="preserve"> </v>
      </c>
    </row>
    <row r="121" spans="2:82" x14ac:dyDescent="0.3">
      <c r="B121" s="79" t="str">
        <f ca="1">IF(P15="way of the four elements","Elemental Disciplines - cost Ki",IF(AND(O11="wizard",O12&gt;=20),"Always Prepared",IF(AND($O$11="warlock",$O$12&gt;=2),"* = at will - no slot use",IF($P$15="land",$P$20," "))))</f>
        <v xml:space="preserve"> </v>
      </c>
      <c r="C121" s="33"/>
      <c r="D121" s="33"/>
      <c r="E121" s="33"/>
      <c r="F121" s="33"/>
      <c r="G121" s="33"/>
      <c r="H121" s="33"/>
      <c r="I121" s="33"/>
      <c r="J121" s="33"/>
      <c r="K121" s="33"/>
      <c r="L121" s="33"/>
      <c r="M121" s="33"/>
      <c r="N121" s="33"/>
      <c r="O121" s="34">
        <v>2</v>
      </c>
      <c r="P121" s="33" t="str">
        <f ca="1">IF($O$16="pact of the tome",INDEX('Spell Tables'!$BD$19:$BD$37,MATCH(2,('Spell Tables'!$BB$19:$BB$37),0)),IF(AND($O$11="bard",AL192="c"),INDEX('Spell Tables'!$BD$2:$BD$16,MATCH(11,('Spell Tables'!$BB$2:$BB$16),0))," "))</f>
        <v xml:space="preserve"> </v>
      </c>
      <c r="Q121" s="33" t="str">
        <f ca="1">IF(COUNTIF(P18:P21,"*"&amp;"Sweeping Cinder Strike"&amp;"*"),"Burning Hands (2 ki)",IF(COUNTIF(O18:O25,"*"&amp;"beast speech"&amp;"*"),"Speak with Animals*",IF(P15="Oath of the Ancients","Speak with Animals",IF(P15="Oath of vengeance","Hunter's Mark",IF(P15="Oath of Devotion","Sanctuary",IF(AND(P15="war",O12&gt;=1),"Shield of Faith",IF(AND(P15="trickery",O12&gt;=1),"Disguise Self",IF(AND(P15="tempest",O12&gt;=1),"Thunderwave",IF(AND(P15="Nature",O12&gt;=1),"Speak with Animals",IF(AND(P15="light",O12&gt;=1),"Faerie Fire",IF(P15="life","Cure Wounds",IF(P15="knowledge","Identify",IF(AND($O$11="bard",AL156=1),INDEX('Spell Tables'!$BH$2:$BH$41,MATCH(O121,('Spell Tables'!$BF$2:$BF$41),0))," ")))))))))))))</f>
        <v>Speak with Animals</v>
      </c>
      <c r="R121" s="33" t="str">
        <f ca="1">IF(COUNTIF(P18:P21,"*"&amp;"Gong of the Summit"&amp;"*"),"Shatter (3 ki)",IF(COUNTIF(O18:O25,"*"&amp;"master of myriad forms"&amp;"*"),"Alter Self*",IF(AND(P15="oath of vengeance",O12&gt;=5),"Misty Step",IF(AND(P15="Oath of the Ancients",O12&gt;=5),"Misty Step",IF(AND(P15="Oath of Devotion",O12&gt;=5),"Zone of Truth",IF(P15="way of the shadow","Darkvision",IF(AND($P$20="Underdark",$O$12&gt;=3),"Web",IF(AND($P$20="Swamp",$O$12&gt;=3),"Melf's Acid Arrow",IF(AND($P$20="Mountain",$O$12&gt;=3),"Spike Growth",IF(AND($P$20="Grassland",$O$12&gt;=3),"Pass Without Trace",IF(AND($P$20="Forest",$O$12&gt;=3),"Spider Climb",IF(AND($P$20="Desert",$O$12&gt;=3),"Silence",IF(AND($P$20="Coast",$O$12&gt;=3),"Misty Step",IF(AND($P$20="arctic",$O$12&gt;=3),"Spike Growth",IF(AND(P15="war",O12&gt;=3),"Spiritual Weapon",IF(AND(P15="trickery",O12&gt;=3),"Pass Without Trace",IF(AND(P15="tempest",O12&gt;=3),"Shatter",IF(AND(P15="nature",O12&gt;=3),"Spike Growth",IF(AND(P15="light",O12&gt;=3),"Scorching Ray",IF(AND(P15="life",O12&gt;=3),"Spiritual Weapon",IF(AND(P15="knowledge",O12&gt;=3),"Suggestion",IF(AND($O$11="bard",AL156=2),INDEX('Spell Tables'!$BL$2:$BL$37,MATCH(O121,('Spell Tables'!$BJ$2:$BJ$37),0))," "))))))))))))))))))))))</f>
        <v xml:space="preserve"> </v>
      </c>
      <c r="S121" s="33" t="str">
        <f ca="1">IF(COUNTIF(P18:P21,"*"&amp;"Ride the Wind"&amp;"*"),"Fly (4 ki)",IF(AND($O$11="wizard",O12&gt;=20),INDEX('Spell Tables'!$AB$242:$AB$270,MATCH(28,('Spell Tables'!$Z$242:$Z$270),0)),IF(COUNTIF(O18:O25,"*"&amp;"sign of ill omen"&amp;"*"),"Bestow Curse**",IF(AND(P15="oath of vengeance",O12&gt;=9),"Protection from Energy",IF(AND(P15="Oath of the Ancients",O12&gt;=9),"Protection from Energy",IF(AND(P15="Oath of Devotion",O12&gt;=9),"Dispel Magic",IF(AND($P$20="Underdark",$O$12&gt;=5),"Stinking Cloud",IF(AND($P$20="Swamp",$O$12&gt;=5),"Stinking Cloud",IF(AND($P$20="Mountain",$O$12&gt;=5),"Meld Into Stone",IF(AND($P$20="Grassland",$O$12&gt;=5),"Haste",IF(AND($P$20="Forest",$O$12&gt;=5),"Plant Growth",IF(AND($P$20="Desert",$O$12&gt;=5),"Protection from Energy",IF(AND($P$20="Coast",$O$12&gt;=5),"Water Walk",IF(AND($P$20="arctic",$O$12&gt;=5),"Slow",IF(AND(P15="war",O12&gt;=5),"Spirit Guardians",IF(AND(P15="trickery",O12&gt;=5),"Dispel Magic",IF(AND(P15="Tempest",O12&gt;=5),"Sleet Storm",IF(AND(P15="nature",O12&gt;=5),"Wind Wall",IF(AND(P15="light",O12&gt;=5),"Fireball",IF(AND(P15="life",O12&gt;=5),"Revivify",IF(AND(P15="knowledge",O12&gt;=5),"Speak with Dead",IF(AND($O$11="bard",AL156=3),INDEX('Spell Tables'!$BP$2:$BP$35,MATCH(O121,('Spell Tables'!$BN$2:$BN$35),0))," "))))))))))))))))))))))</f>
        <v xml:space="preserve"> </v>
      </c>
      <c r="T121" s="72" t="str">
        <f ca="1">IF(COUNTIF(P18:P21,"*"&amp;"River of Hungry Flame"&amp;"*"),"Wall of Fire (5 ki)",IF(COUNTIF(O18:O25,"*"&amp;"Dreadful word"&amp;"*"),"Confusion**",IF(AND(P15="oath of vengeance",O12&gt;=13),"Dimension Door",IF(AND(P15="Oath of the Ancients",O12&gt;=13),"Stoneskin",IF(AND(P15="Oath of Devotion",O12&gt;=13),"Guardian of Faith",IF(AND($P$20="Underdark",$O$12&gt;=7),"Stone Shape",IF(AND($P$20="Swamp",$O$12&gt;=7),"Locate Creature",IF(AND($P$20="Mountain",$O$12&gt;=7),"Stonekin",IF(AND($P$20="Grassland",$O$12&gt;=7),"Freedom of Movement",IF(AND($P$20="Forest",$O$12&gt;=7),"Freedom of Movement",IF(AND($P$20="Desert",$O$12&gt;=7),"Hallucinatory Terrain",IF(AND($P$20="Coast",$O$12&gt;=7),"Freedom of Movement",IF(AND($P$20="arctic",$O$12&gt;=7),"Ice Storm",IF(AND(P15="war",O12&gt;=7),"Stoneskin",IF(AND(P15="trickery",O12&gt;=7),"Polymorph",IF(AND(P15="tempest",O12&gt;=7),"Ice Storm",IF(AND(P15="nature",O12&gt;=7),"Grasping Vine",IF(AND(P15="light",O12&gt;=7),"Wall of Fire",IF(AND(P15="life",O12&gt;=7),"Guardian of Faith",IF(AND(P15="knowledge",O12&gt;=7),"Confusion",IF(AND($O$11="bard",AL156=4),INDEX('Spell Tables'!$BT$2:$BT$29,MATCH(O121,('Spell Tables'!$BR$2:$BR$29),0))," ")))))))))))))))))))))</f>
        <v xml:space="preserve"> </v>
      </c>
      <c r="AJ121" s="58" t="str">
        <f t="shared" ca="1" si="60"/>
        <v xml:space="preserve"> </v>
      </c>
      <c r="AK121" s="60">
        <f t="shared" ca="1" si="58"/>
        <v>0</v>
      </c>
      <c r="AL121" s="29" t="str">
        <f t="shared" ca="1" si="59"/>
        <v xml:space="preserve"> </v>
      </c>
    </row>
    <row r="122" spans="2:82" x14ac:dyDescent="0.3">
      <c r="B122" s="79" t="str">
        <f ca="1">IF(AND(O11="wizard",O12&gt;=20),"Cast once at 3rd level - no slot use",IF(AND($O$11="warlock",$O$12&gt;=2),"** = once per long rest - uses slot",IF(AND($O$11="paladin",$O$12&gt;=3),"Free Preparation",IF(AND($P$15="moon",$O$12&gt;=14),"At Will",IF($P$15="way of the shadow","Cost 2 Ki Points",IF(OR($P$15="land",$O$11="cleric"),"Free Preparation",IF(AND($O$11="bard",$O$12&gt;=10),"Count Toward Known"," ")))))))</f>
        <v>Free Preparation</v>
      </c>
      <c r="C122" s="33"/>
      <c r="D122" s="33"/>
      <c r="E122" s="33"/>
      <c r="F122" s="33"/>
      <c r="G122" s="33"/>
      <c r="H122" s="33"/>
      <c r="I122" s="33"/>
      <c r="J122" s="33"/>
      <c r="K122" s="33"/>
      <c r="L122" s="33"/>
      <c r="M122" s="33"/>
      <c r="N122" s="33"/>
      <c r="O122" s="34">
        <v>3</v>
      </c>
      <c r="P122" s="33" t="str">
        <f ca="1">IF($O$16="pact of the tome",INDEX('Spell Tables'!$BD$19:$BD$37,MATCH(3,('Spell Tables'!$BB$19:$BB$37),0))," ")</f>
        <v xml:space="preserve"> </v>
      </c>
      <c r="Q122" s="29" t="str">
        <f ca="1">IF(COUNTIF(O18:O25,"*"&amp;"eldritch sight"&amp;"*"),"Detect Magic*",IF(AND($O$11="bard",AL191=1),INDEX('Spell Tables'!$BH$2:$BH$41,MATCH(O122,('Spell Tables'!$BF$2:$BF$41),0))," "))</f>
        <v xml:space="preserve"> </v>
      </c>
      <c r="R122" s="33" t="str">
        <f ca="1">IF(COUNTIF(P18:P21,"*"&amp;"Rush of the Gale Spirits"&amp;"*"),"Gust of Wind (2 ki)",IF(P15="way of the shadow","Pass Without Trace",IF(AND($O$11="bard",AL191=2),INDEX('Spell Tables'!$BL$2:$BL$37,MATCH(O122,('Spell Tables'!$BJ$2:$BJ$37),0))," ")))</f>
        <v xml:space="preserve"> </v>
      </c>
      <c r="S122" s="33" t="str">
        <f ca="1">IF(COUNTIF(O18:O25,"*"&amp;"whispers of the grave"&amp;"*"),"Speak with Dead*",IF(AND($O$11="bard",AL191=3),INDEX('Spell Tables'!$BP$2:$BP$35,MATCH(O122,('Spell Tables'!$BN$2:$BN$35),0))," "))</f>
        <v xml:space="preserve"> </v>
      </c>
      <c r="T122" s="72" t="str">
        <f ca="1">IF(COUNTIF(O18:O25,"*"&amp;"Sculptor of Flesh"&amp;"*"),"Polymorph**"," ")</f>
        <v xml:space="preserve"> </v>
      </c>
      <c r="AJ122" s="58" t="str">
        <f t="shared" ca="1" si="60"/>
        <v xml:space="preserve"> </v>
      </c>
      <c r="AK122" s="60">
        <f t="shared" ca="1" si="58"/>
        <v>0</v>
      </c>
      <c r="AL122" s="29" t="str">
        <f t="shared" ca="1" si="59"/>
        <v xml:space="preserve"> </v>
      </c>
    </row>
    <row r="123" spans="2:82" x14ac:dyDescent="0.3">
      <c r="B123" s="79" t="str">
        <f ca="1">IF(AND($O$11="warlock",$O$12&gt;=2),"6th level and up = *"," ")</f>
        <v xml:space="preserve"> </v>
      </c>
      <c r="O123" s="81">
        <v>4</v>
      </c>
      <c r="Q123" s="29" t="str">
        <f ca="1">IF(COUNTIF(O18:O25,"*"&amp;"fiendish vigor"&amp;"*"),"False Life*",IF(AND($O$11="bard",AL192=1),INDEX('Spell Tables'!$BH$2:$BH$41,MATCH(O123,('Spell Tables'!$BF$2:$BF$41),0))," "))</f>
        <v xml:space="preserve"> </v>
      </c>
      <c r="R123" s="29" t="str">
        <f ca="1">IF(P15="way of the shadow","Silence",IF(AND($O$11="bard",AL192=2),INDEX('Spell Tables'!$BL$2:$BL$37,MATCH(O123,('Spell Tables'!$BJ$2:$BJ$37),0))," "))</f>
        <v xml:space="preserve"> </v>
      </c>
      <c r="S123" s="29" t="str">
        <f ca="1">IF(AND($O$11="bard",AL192=3),INDEX('Spell Tables'!$BP$2:$BP$35,MATCH(O123,('Spell Tables'!$BN$2:$BN$35),0))," ")</f>
        <v xml:space="preserve"> </v>
      </c>
      <c r="T123" s="72" t="str">
        <f ca="1">IF(COUNTIF(O18:O25,"*"&amp;"visions of distant realms"&amp;"*"),"Arcane Eye*"," ")</f>
        <v xml:space="preserve"> </v>
      </c>
      <c r="AJ123" s="58" t="str">
        <f t="shared" ca="1" si="60"/>
        <v xml:space="preserve"> </v>
      </c>
      <c r="AK123" s="60">
        <f t="shared" ca="1" si="58"/>
        <v>0</v>
      </c>
      <c r="AL123" s="29" t="str">
        <f t="shared" ca="1" si="59"/>
        <v xml:space="preserve"> </v>
      </c>
    </row>
    <row r="124" spans="2:82" x14ac:dyDescent="0.3">
      <c r="B124" s="79"/>
      <c r="O124" s="81">
        <v>5</v>
      </c>
      <c r="Q124" s="29" t="str">
        <f ca="1">IF(COUNTIF(O18:O25,"*"&amp;"Mask of many faces"&amp;"*"),"Disguise Self*","")</f>
        <v/>
      </c>
      <c r="T124" s="72"/>
      <c r="AJ124" s="58" t="str">
        <f t="shared" ca="1" si="60"/>
        <v xml:space="preserve"> </v>
      </c>
      <c r="AK124" s="60">
        <f t="shared" ca="1" si="58"/>
        <v>0</v>
      </c>
      <c r="AL124" s="29" t="str">
        <f t="shared" ca="1" si="59"/>
        <v xml:space="preserve"> </v>
      </c>
    </row>
    <row r="125" spans="2:82" x14ac:dyDescent="0.3">
      <c r="B125" s="79"/>
      <c r="O125" s="81">
        <v>6</v>
      </c>
      <c r="Q125" s="29" t="str">
        <f ca="1">IF(COUNTIF(O18:O25,"*"&amp;"misty vision"&amp;"*"),"Silent Image*"," " )</f>
        <v xml:space="preserve"> </v>
      </c>
      <c r="T125" s="72"/>
      <c r="AJ125" s="58" t="str">
        <f t="shared" ca="1" si="60"/>
        <v xml:space="preserve"> </v>
      </c>
      <c r="AK125" s="60">
        <f t="shared" ca="1" si="58"/>
        <v>0</v>
      </c>
      <c r="AL125" s="29" t="str">
        <f t="shared" ca="1" si="59"/>
        <v xml:space="preserve"> </v>
      </c>
    </row>
    <row r="126" spans="2:82" x14ac:dyDescent="0.3">
      <c r="B126" s="79"/>
      <c r="O126" s="81">
        <v>7</v>
      </c>
      <c r="Q126" s="29" t="str">
        <f ca="1">IF(COUNTIF(O18:O25,"*"&amp;"otherworldly leap"&amp;"*"),"Jump*"," ")</f>
        <v xml:space="preserve"> </v>
      </c>
      <c r="T126" s="72"/>
    </row>
    <row r="127" spans="2:82" x14ac:dyDescent="0.3">
      <c r="B127" s="79"/>
      <c r="O127" s="81">
        <v>8</v>
      </c>
      <c r="Q127" s="29" t="str">
        <f ca="1">IF(COUNTIF(O18:O25,"*"&amp;"Thief of five fates"&amp;"*"),"Bane**"," ")</f>
        <v xml:space="preserve"> </v>
      </c>
      <c r="T127" s="72"/>
      <c r="AJ127" s="31" t="s">
        <v>677</v>
      </c>
    </row>
    <row r="128" spans="2:82" x14ac:dyDescent="0.3">
      <c r="B128" s="79" t="str">
        <f ca="1">IF(AND($O$16="pact of the tome",COUNTIF($O$13:$O$13,"*"&amp;"book of ancient secrets"&amp;"*")),"Book of Ancient Secrets"," ")</f>
        <v xml:space="preserve"> </v>
      </c>
      <c r="O128" s="81">
        <v>9</v>
      </c>
      <c r="Q128" s="29" t="str">
        <f ca="1">IF(AND(O16="pact of the tome",COUNTIF(O18:O25,"*"&amp;"book of ancient secrets"&amp;"*")),INDEX('Spell Tables'!BD40:BD46,MATCH(1,('Spell Tables'!BB40:BB46),0))," ")</f>
        <v xml:space="preserve"> </v>
      </c>
      <c r="T128" s="72"/>
      <c r="AJ128" s="58" t="str">
        <f ca="1">IF(AK128=0," ",_xlfn.RANK.EQ(AK128,$AK$128:$AK$137))</f>
        <v xml:space="preserve"> </v>
      </c>
      <c r="AK128" s="60">
        <f t="shared" ref="AK128:AK137" ca="1" si="61">IF(AL128=" ", 0,RAND())</f>
        <v>0</v>
      </c>
      <c r="AL128" s="29" t="str">
        <f t="shared" ref="AL128:AL137" ca="1" si="62">S334</f>
        <v xml:space="preserve"> </v>
      </c>
    </row>
    <row r="129" spans="1:38" ht="19.5" thickBot="1" x14ac:dyDescent="0.35">
      <c r="B129" s="80" t="str">
        <f ca="1">IF($O$16="pact of the chain",$O$16,IF(OR(P129="minor illusion",S129="animate dead",T129="polymorph"),"School Spells - in Spellbook"," "))</f>
        <v xml:space="preserve"> </v>
      </c>
      <c r="C129" s="38"/>
      <c r="D129" s="38"/>
      <c r="E129" s="38"/>
      <c r="F129" s="38"/>
      <c r="G129" s="38"/>
      <c r="H129" s="38"/>
      <c r="I129" s="38"/>
      <c r="J129" s="38"/>
      <c r="K129" s="38"/>
      <c r="L129" s="38"/>
      <c r="M129" s="38"/>
      <c r="N129" s="38"/>
      <c r="O129" s="82">
        <v>10</v>
      </c>
      <c r="P129" s="38" t="str">
        <f ca="1">IF(AND(P15="school of Illusion",COUNTIF(P315:P324,"*"&amp;"Minor Illusion"&amp;"*"))," ",IF(P15="school of illusion","Minor Illusion"," "))</f>
        <v xml:space="preserve"> </v>
      </c>
      <c r="Q129" s="38" t="str">
        <f ca="1">IF(AND(O16="pact of the tome",COUNTIF(O18:O25,"*"&amp;"book of ancient secrets"&amp;"*")),INDEX('Spell Tables'!BD40:BD46,MATCH(2,('Spell Tables'!BB40:BB46),0)),IF(O16="pact of the chain","Find Familiar (as ritual)"," "))</f>
        <v xml:space="preserve"> </v>
      </c>
      <c r="R129" s="38"/>
      <c r="S129" s="38" t="str">
        <f ca="1">IF(AND(P15="school of necromancy",O12&gt;=6,COUNTIF(S315:S324,"*"&amp;"Animate Dead"&amp;"*"))," ",IF(AND(P15="school of necromancy",O12&gt;=6),"Animate Dead"," "))</f>
        <v xml:space="preserve"> </v>
      </c>
      <c r="T129" s="73" t="str">
        <f ca="1">IF(AND(P15="school of transmutation",O12&gt;=10,COUNTIF(T315:T324,"*"&amp;"Polymorph"&amp;"*"))," ",IF(AND(P15="school of transmutation",O12&gt;=6),"Polymorph"," "))</f>
        <v xml:space="preserve"> </v>
      </c>
      <c r="AJ129" s="58" t="str">
        <f t="shared" ref="AJ129:AJ137" ca="1" si="63">IF(AK129=0," ",_xlfn.RANK.EQ(AK129,$AK$128:$AK$137))</f>
        <v xml:space="preserve"> </v>
      </c>
      <c r="AK129" s="60">
        <f t="shared" ca="1" si="61"/>
        <v>0</v>
      </c>
      <c r="AL129" s="29" t="str">
        <f t="shared" ca="1" si="62"/>
        <v xml:space="preserve"> </v>
      </c>
    </row>
    <row r="130" spans="1:38" x14ac:dyDescent="0.3">
      <c r="A130" s="33"/>
      <c r="B130" s="27"/>
      <c r="AJ130" s="58" t="str">
        <f t="shared" ca="1" si="63"/>
        <v xml:space="preserve"> </v>
      </c>
      <c r="AK130" s="60">
        <f t="shared" ca="1" si="61"/>
        <v>0</v>
      </c>
      <c r="AL130" s="29" t="str">
        <f t="shared" ca="1" si="62"/>
        <v xml:space="preserve"> </v>
      </c>
    </row>
    <row r="131" spans="1:38" ht="19.5" thickBot="1" x14ac:dyDescent="0.35">
      <c r="A131" s="131"/>
      <c r="B131" s="33"/>
      <c r="O131" s="38"/>
      <c r="AJ131" s="58" t="str">
        <f t="shared" ca="1" si="63"/>
        <v xml:space="preserve"> </v>
      </c>
      <c r="AK131" s="60">
        <f t="shared" ca="1" si="61"/>
        <v>0</v>
      </c>
      <c r="AL131" s="29" t="str">
        <f t="shared" ca="1" si="62"/>
        <v xml:space="preserve"> </v>
      </c>
    </row>
    <row r="132" spans="1:38" x14ac:dyDescent="0.3">
      <c r="A132" s="131"/>
      <c r="B132" s="129"/>
      <c r="O132" s="132"/>
      <c r="P132" s="76" t="s">
        <v>1169</v>
      </c>
      <c r="Q132" s="76" t="s">
        <v>1170</v>
      </c>
      <c r="R132" s="76" t="s">
        <v>1171</v>
      </c>
      <c r="S132" s="76" t="s">
        <v>677</v>
      </c>
      <c r="T132" s="77" t="s">
        <v>1172</v>
      </c>
      <c r="AJ132" s="58" t="str">
        <f t="shared" ca="1" si="63"/>
        <v xml:space="preserve"> </v>
      </c>
      <c r="AK132" s="60">
        <f t="shared" ca="1" si="61"/>
        <v>0</v>
      </c>
      <c r="AL132" s="29" t="str">
        <f t="shared" ca="1" si="62"/>
        <v xml:space="preserve"> </v>
      </c>
    </row>
    <row r="133" spans="1:38" x14ac:dyDescent="0.3">
      <c r="A133" s="131"/>
      <c r="B133" s="129"/>
      <c r="O133" s="86">
        <v>1</v>
      </c>
      <c r="P133" s="65" t="str">
        <f ca="1">IF(COUNTIF(P18:P21,"*"&amp;"Breath of Winter"&amp;"*"),"Cone of Cold (6 ki)",IF(COUNTIF(O18:O25,"*"&amp;"chains of carceri"&amp;"*"),"Hold Monster**(c,f,e only)",IF(AND(P15="oath of vengeance",O12&gt;=17),"Hold Monster",IF(AND(P15="Oath of the Ancients",O12&gt;=17),"Commune with Nature",IF(AND(P15="Oath of Devotion",O12&gt;=17),"Commune",IF(AND($P$20="Underdark",$O$12&gt;=9),"Cloudkill",IF(AND($P$20="Swamp",$O$12&gt;=9),"Insect Plague",IF(AND($P$20="Mountain",$O$12&gt;=9),"Passwall",IF(AND($P$20="Grassland",$O$12&gt;=9),"Dream",IF(AND($P$20="Forest",$O$12&gt;=9),"Commune with Nature",IF(AND($P$20="Desert",$O$12&gt;=9),"Insect Plague",IF(AND($P$20="Coast",$O$12&gt;=9),"Conjure Elemental",IF(AND($P$20="arctic",$O$12&gt;=9),"Commune with Nature",IF(AND($P$15="war",$O$12&gt;=9),"Flame Strike",IF(AND($P$15="trickery",$O$12&gt;=9),"Dominate Person",IF(AND($P$15="tempest",$O$12&gt;=9),"Destructive Wave",IF(AND($P$15="nature",$O$12&gt;=9),"Insect Plague",IF(AND(P15="light",O12&gt;=9),"Flame Strike",IF(AND(P15="life",O12&gt;=9),"Mass Cure Wounds",IF(AND(P15="knowledge",O12&gt;=9),"Legend Lore",IF(AND(O11="bard",AL156=5),INDEX('Spell Tables'!BX2:BX24,MATCH(O120,('Spell Tables'!BV2:BV24),0)),IF(AND(P15="path of the totem warrior",O12&gt;=10),"Commune with Nature (as ritual)"," "))))))))))))))))))))))</f>
        <v xml:space="preserve"> </v>
      </c>
      <c r="Q133" s="65" t="str">
        <f ca="1">IF(AND(O11="bard",AL167=6),INDEX('Spell Tables'!CB2:CB27,MATCH(O120,('Spell Tables'!BZ2:BZ27),0)),IF(AND($O$11="warlock",$O$12&gt;=11),INDEX('Spell Tables'!AN194:AN201,MATCH(1,('Spell Tables'!AL194:AL201),0))," "))</f>
        <v xml:space="preserve"> </v>
      </c>
      <c r="R133" s="65" t="str">
        <f ca="1">IF(AND(O11="bard",AL167=7),INDEX('Spell Tables'!CF2:CF11,MATCH(O120,('Spell Tables'!CD2:CD11),0)),IF(AND($O$11="warlock",$O$12&gt;=13),INDEX('Spell Tables'!AR194:AR197,MATCH(1,('Spell Tables'!AP194:AP197),0))," "))</f>
        <v xml:space="preserve"> </v>
      </c>
      <c r="S133" s="65" t="str">
        <f ca="1">IF(AND(O11="bard",AL179=8),INDEX('Spell Tables'!CJ2:CJ14,MATCH(O120,('Spell Tables'!CH2:CH14),0)),IF(AND($O$11="warlock",$O$12&gt;=15),INDEX('Spell Tables'!AV194:AV198,MATCH(1,('Spell Tables'!AT194:AT198),0))," "))</f>
        <v xml:space="preserve"> </v>
      </c>
      <c r="T133" s="66" t="str">
        <f ca="1">IF(AND(O11="bard",AL180=9),INDEX('Spell Tables'!CN2:CN11,MATCH(O120,('Spell Tables'!CL2:CL11),0)),IF(AND($O$11="warlock",$O$12&gt;=17),INDEX('Spell Tables'!AZ194:AZ198,MATCH(1,('Spell Tables'!AX194:AX198),0))," "))</f>
        <v xml:space="preserve"> </v>
      </c>
      <c r="AJ133" s="58" t="str">
        <f t="shared" ca="1" si="63"/>
        <v xml:space="preserve"> </v>
      </c>
      <c r="AK133" s="60">
        <f t="shared" ca="1" si="61"/>
        <v>0</v>
      </c>
      <c r="AL133" s="29" t="str">
        <f t="shared" ca="1" si="62"/>
        <v xml:space="preserve"> </v>
      </c>
    </row>
    <row r="134" spans="1:38" x14ac:dyDescent="0.3">
      <c r="A134" s="131"/>
      <c r="B134" s="129"/>
      <c r="O134" s="133">
        <v>2</v>
      </c>
      <c r="P134" s="60" t="str">
        <f ca="1">IF(COUNTIF(P18:P21,"*"&amp;"Wave of Rolling Earth"&amp;"*"),"Wall of Stone (6 ki)",IF(COUNTIF(O18:O25,"*"&amp;"minions of chaos"&amp;"*"),"Conjure Elemental**",IF(AND(P15="oath of vengeance",O12&gt;=17),"Scrying",IF(AND(P15="Oath of the Ancients",O12&gt;=17),"Tree Stride",IF(AND(P15="Oath of Devotion",O12&gt;=17),"Flame Strike",IF(AND($P$20="Underdark",$O$12&gt;=9),"Insect Plague",IF(AND($P$20="Swamp",$O$12&gt;=9),"Scrying",IF(AND($P$20="Mountain",$O$12&gt;=9),"Wall of Stone",IF(AND($P$20="Grassland",$O$12&gt;=9),"Insect Plague",IF(AND($P$20="Forest",$O$12&gt;=9),"Tree Stride",IF(AND($P$20="Desert",$O$12&gt;=9),"Wall of Stone",IF(AND($P$20="Coast",$O$12&gt;=9),"Scrying",IF(AND($P$20="arctic",$O$12&gt;=9),"Cone of Cold",IF(AND($P$15="war",$O$12&gt;=9),"Hold Monster",IF(AND($P$15="trickery",$O$12&gt;=9),"Modify Memory",IF(AND($P$15="tempest",$O$12&gt;=9),"Insect Plague",IF(AND($P$15="nature",$O$12&gt;=9),"Tree Stride",IF(AND(P15="light",O12&gt;=9),"Scrying",IF(AND(P15="life",O12&gt;=9),"Raise Dead",IF(AND(P15="knowledge",O12&gt;=9),"Scrying",IF(AND($O$11="bard",AL157=5),INDEX('Spell Tables'!$BX$2:$BX$24,MATCH(O121,('Spell Tables'!$BV$2:$BV$24),0))," ")))))))))))))))))))))</f>
        <v xml:space="preserve"> </v>
      </c>
      <c r="Q134" s="60" t="str">
        <f ca="1">IF(AND(O11="bard",AL168=6),INDEX('Spell Tables'!CB2:CB27,MATCH(O121,('Spell Tables'!BZ2:BZ27),0))," ")</f>
        <v xml:space="preserve"> </v>
      </c>
      <c r="R134" s="60" t="str">
        <f ca="1">IF(AND(O11="bard",AL168=7),INDEX('Spell Tables'!CF2:CF11,MATCH(O121,('Spell Tables'!CD2:CD11),0))," ")</f>
        <v xml:space="preserve"> </v>
      </c>
      <c r="S134" s="60" t="str">
        <f ca="1">IF(AND(O11="bard",AL179=8),INDEX('Spell Tables'!CJ2:CJ14,MATCH(O121,('Spell Tables'!CH2:CH14),0))," ")</f>
        <v xml:space="preserve"> </v>
      </c>
      <c r="T134" s="63" t="str">
        <f ca="1">IF(AND(O11="bard",AL180=9),INDEX('Spell Tables'!CN2:CN11,MATCH(O121,('Spell Tables'!CL2:CL11),0))," ")</f>
        <v xml:space="preserve"> </v>
      </c>
      <c r="AJ134" s="58" t="str">
        <f t="shared" ca="1" si="63"/>
        <v xml:space="preserve"> </v>
      </c>
      <c r="AK134" s="60">
        <f t="shared" ca="1" si="61"/>
        <v>0</v>
      </c>
      <c r="AL134" s="29" t="str">
        <f t="shared" ca="1" si="62"/>
        <v xml:space="preserve"> </v>
      </c>
    </row>
    <row r="135" spans="1:38" x14ac:dyDescent="0.3">
      <c r="A135" s="33"/>
      <c r="O135" s="86">
        <v>3</v>
      </c>
      <c r="P135" s="65"/>
      <c r="Q135" s="65"/>
      <c r="R135" s="65"/>
      <c r="S135" s="65"/>
      <c r="T135" s="66"/>
      <c r="AJ135" s="58" t="str">
        <f t="shared" ca="1" si="63"/>
        <v xml:space="preserve"> </v>
      </c>
      <c r="AK135" s="60">
        <f t="shared" ca="1" si="61"/>
        <v>0</v>
      </c>
      <c r="AL135" s="29" t="str">
        <f t="shared" ca="1" si="62"/>
        <v xml:space="preserve"> </v>
      </c>
    </row>
    <row r="136" spans="1:38" x14ac:dyDescent="0.3">
      <c r="A136" s="33"/>
      <c r="O136" s="133">
        <v>4</v>
      </c>
      <c r="P136" s="60"/>
      <c r="Q136" s="60"/>
      <c r="R136" s="60"/>
      <c r="S136" s="60"/>
      <c r="T136" s="63"/>
      <c r="AJ136" s="58" t="str">
        <f t="shared" ca="1" si="63"/>
        <v xml:space="preserve"> </v>
      </c>
      <c r="AK136" s="60">
        <f t="shared" ca="1" si="61"/>
        <v>0</v>
      </c>
      <c r="AL136" s="29" t="str">
        <f t="shared" ca="1" si="62"/>
        <v xml:space="preserve"> </v>
      </c>
    </row>
    <row r="137" spans="1:38" x14ac:dyDescent="0.3">
      <c r="A137" s="33"/>
      <c r="O137" s="86">
        <v>5</v>
      </c>
      <c r="P137" s="65"/>
      <c r="Q137" s="65"/>
      <c r="R137" s="65"/>
      <c r="S137" s="65"/>
      <c r="T137" s="66"/>
      <c r="AJ137" s="58" t="str">
        <f t="shared" ca="1" si="63"/>
        <v xml:space="preserve"> </v>
      </c>
      <c r="AK137" s="60">
        <f t="shared" ca="1" si="61"/>
        <v>0</v>
      </c>
      <c r="AL137" s="29" t="str">
        <f t="shared" ca="1" si="62"/>
        <v xml:space="preserve"> </v>
      </c>
    </row>
    <row r="138" spans="1:38" x14ac:dyDescent="0.3">
      <c r="A138" s="33"/>
      <c r="O138" s="133">
        <v>6</v>
      </c>
      <c r="P138" s="60"/>
      <c r="Q138" s="60"/>
      <c r="R138" s="60"/>
      <c r="S138" s="60"/>
      <c r="T138" s="63"/>
    </row>
    <row r="139" spans="1:38" x14ac:dyDescent="0.3">
      <c r="A139" s="33"/>
      <c r="O139" s="86">
        <v>7</v>
      </c>
      <c r="P139" s="65"/>
      <c r="Q139" s="65"/>
      <c r="R139" s="65"/>
      <c r="S139" s="65"/>
      <c r="T139" s="66"/>
      <c r="AJ139" s="31" t="s">
        <v>1172</v>
      </c>
    </row>
    <row r="140" spans="1:38" x14ac:dyDescent="0.3">
      <c r="A140" s="33"/>
      <c r="O140" s="133">
        <v>8</v>
      </c>
      <c r="P140" s="60"/>
      <c r="Q140" s="60"/>
      <c r="R140" s="60"/>
      <c r="S140" s="60"/>
      <c r="T140" s="63"/>
      <c r="AJ140" s="58" t="str">
        <f ca="1">IF(AK140=0," ",_xlfn.RANK.EQ(AK140,$AK$140:$AK$149))</f>
        <v xml:space="preserve"> </v>
      </c>
      <c r="AK140" s="60">
        <f t="shared" ref="AK140:AK149" ca="1" si="64">IF(AL140=" ", 0,RAND())</f>
        <v>0</v>
      </c>
      <c r="AL140" s="29" t="str">
        <f t="shared" ref="AL140:AL149" ca="1" si="65">T334</f>
        <v xml:space="preserve"> </v>
      </c>
    </row>
    <row r="141" spans="1:38" x14ac:dyDescent="0.3">
      <c r="A141" s="33"/>
      <c r="O141" s="86">
        <v>9</v>
      </c>
      <c r="P141" s="65"/>
      <c r="Q141" s="65"/>
      <c r="R141" s="65"/>
      <c r="S141" s="65"/>
      <c r="T141" s="66"/>
      <c r="AJ141" s="58" t="str">
        <f t="shared" ref="AJ141:AJ149" ca="1" si="66">IF(AK141=0," ",_xlfn.RANK.EQ(AK141,$AK$140:$AK$149))</f>
        <v xml:space="preserve"> </v>
      </c>
      <c r="AK141" s="60">
        <f t="shared" ca="1" si="64"/>
        <v>0</v>
      </c>
      <c r="AL141" s="29" t="str">
        <f t="shared" ca="1" si="65"/>
        <v xml:space="preserve"> </v>
      </c>
    </row>
    <row r="142" spans="1:38" ht="19.5" thickBot="1" x14ac:dyDescent="0.35">
      <c r="A142" s="33"/>
      <c r="O142" s="134">
        <v>10</v>
      </c>
      <c r="P142" s="67"/>
      <c r="Q142" s="67"/>
      <c r="R142" s="67"/>
      <c r="S142" s="67"/>
      <c r="T142" s="68"/>
      <c r="AJ142" s="58" t="str">
        <f t="shared" ca="1" si="66"/>
        <v xml:space="preserve"> </v>
      </c>
      <c r="AK142" s="60">
        <f t="shared" ca="1" si="64"/>
        <v>0</v>
      </c>
      <c r="AL142" s="29" t="str">
        <f t="shared" ca="1" si="65"/>
        <v xml:space="preserve"> </v>
      </c>
    </row>
    <row r="143" spans="1:38" ht="19.5" thickBot="1" x14ac:dyDescent="0.35">
      <c r="AJ143" s="58" t="str">
        <f t="shared" ca="1" si="66"/>
        <v xml:space="preserve"> </v>
      </c>
      <c r="AK143" s="60">
        <f t="shared" ca="1" si="64"/>
        <v>0</v>
      </c>
      <c r="AL143" s="29" t="str">
        <f t="shared" ca="1" si="65"/>
        <v xml:space="preserve"> </v>
      </c>
    </row>
    <row r="144" spans="1:38" ht="30.75" thickBot="1" x14ac:dyDescent="0.45">
      <c r="B144" s="105" t="s">
        <v>1335</v>
      </c>
      <c r="AJ144" s="58" t="str">
        <f t="shared" ca="1" si="66"/>
        <v xml:space="preserve"> </v>
      </c>
      <c r="AK144" s="60">
        <f t="shared" ca="1" si="64"/>
        <v>0</v>
      </c>
      <c r="AL144" s="29" t="str">
        <f t="shared" ca="1" si="65"/>
        <v xml:space="preserve"> </v>
      </c>
    </row>
    <row r="145" spans="1:38" x14ac:dyDescent="0.3">
      <c r="B145" s="79"/>
      <c r="C145" s="27"/>
      <c r="D145" s="27"/>
      <c r="E145" s="27"/>
      <c r="F145" s="27"/>
      <c r="G145" s="27"/>
      <c r="H145" s="27"/>
      <c r="I145" s="27"/>
      <c r="J145" s="27"/>
      <c r="K145" s="27"/>
      <c r="L145" s="27"/>
      <c r="M145" s="27"/>
      <c r="N145" s="27"/>
      <c r="O145" s="27"/>
      <c r="P145" s="76" t="s">
        <v>1124</v>
      </c>
      <c r="Q145" s="76" t="s">
        <v>1166</v>
      </c>
      <c r="R145" s="76" t="s">
        <v>1167</v>
      </c>
      <c r="S145" s="76" t="s">
        <v>1168</v>
      </c>
      <c r="T145" s="77" t="s">
        <v>676</v>
      </c>
      <c r="AJ145" s="58" t="str">
        <f t="shared" ca="1" si="66"/>
        <v xml:space="preserve"> </v>
      </c>
      <c r="AK145" s="60">
        <f t="shared" ca="1" si="64"/>
        <v>0</v>
      </c>
      <c r="AL145" s="29" t="str">
        <f t="shared" ca="1" si="65"/>
        <v xml:space="preserve"> </v>
      </c>
    </row>
    <row r="146" spans="1:38" x14ac:dyDescent="0.3">
      <c r="B146" s="86" t="str">
        <f ca="1">IF(R15="way of the four elements","Way of the Four Elements",IF(AND(Q11="paladin",Q12&gt;=3),"Oath Spells",IF(AND(R15="moon",Q12&gt;=14),"Thousand Forms",IF(R15="way of the shadow","Shadow Arts",IF(AND(Q11="druid",R15="land"),"Land Circle Spells",IF(Q11="cleric","Domain Spells",IF(Q11="bard","Magical Secrets",IF(R15="path of the totem warrior","Totem Warrior Spells",IF(AND(Q11="warlock",Q12&gt;=2),"Mystic Arcanum and Invocation",IF(R15="arcane trickster","4th,8th,14th,20th non E&amp;I spells",IF(R15="eldritch knight","4th,8th,14th,20th non A&amp;E spells"," ")))))))))))</f>
        <v xml:space="preserve"> </v>
      </c>
      <c r="C146" s="33"/>
      <c r="D146" s="33"/>
      <c r="E146" s="33"/>
      <c r="F146" s="33"/>
      <c r="G146" s="33"/>
      <c r="H146" s="33"/>
      <c r="I146" s="33"/>
      <c r="J146" s="33"/>
      <c r="K146" s="33"/>
      <c r="L146" s="33"/>
      <c r="M146" s="33"/>
      <c r="N146" s="33"/>
      <c r="O146" s="34">
        <v>1</v>
      </c>
      <c r="P146" s="33" t="str">
        <f ca="1">IF(R15="school of illusion","Minor Illusion",IF(Q16="pact of the tome",INDEX('Spell Tables'!$BD$19:$BD$37,MATCH(1,('Spell Tables'!$BB$19:$BB$37),0)),IF(R15="way of the shadow","Minor Illusion (free)",IF(R15="land",INDEX('Spell Tables'!P48:P55,MATCH(8,('Spell Tables'!N48:N55),0)),IF(R15="nature",INDEX('Spell Tables'!P48:P55,MATCH(6,('Spell Tables'!N48:N55),0)),IF(R15="light","Light",IF(AND(Q11="bard",AL191="c"),INDEX('Spell Tables'!$BD$2:$BD$16,MATCH(10,('Spell Tables'!$BB$2:$BB$16),0))," ")))))))</f>
        <v xml:space="preserve"> </v>
      </c>
      <c r="Q146" s="33" t="str">
        <f ca="1">IF(COUNTIF(R18:R21,"*"&amp;"Fist of Four Thunders"&amp;"*"),"Thunderwave (2 ki)",IF(COUNTIF($Q$18:$Q$22,"*"&amp;"armor of shadows"&amp;"*"),"Mage Armor*",IF(R15="oath of vengeance","Bane",IF(R15="Oath of the Ancients","Ensnaring Strike",IF(R15="Oath of Devotion","Protection from Good and Evil",IF(AND(R15="war",Q12&gt;=1),"Divine Favor",IF(AND(R15="Trickery",Q12&gt;=1),"Charm Person",IF(AND(R15="tempest",Q12&gt;=1),"Fog Cloud",IF(AND(R15="nature",Q12&gt;=1),"Animal Friendship",IF(AND(R15="light",Q12&gt;=1),"Burning Hands",IF(R15="life","Bless",IF(R15="knowledge","Command",IF(AND(Q11="bard",AL155=1),INDEX('Spell Tables'!$BH$2:$BH$41,MATCH($O$120,('Spell Tables'!$BF$2:$BF$41),0)),IF(R15="arcane trickster",INDEX('Spell Tables'!$X$141:$X$163,MATCH(O120,('Spell Tables'!$V$141:$V$163),0)),IF(R15="path of the totem warrior","Speak with Animals (as ritual)",IF(R15="eldritch knight",INDEX('Spell Tables'!$X$70:$X$90,MATCH($O$120,('Spell Tables'!$V$70:W90),0))," "))))))))))))))))</f>
        <v xml:space="preserve"> </v>
      </c>
      <c r="R146" s="33" t="str">
        <f ca="1">IF(COUNTIF(R18:R21,"*"&amp;"Clench of the North Wind"&amp;"*"),"Hold Person (3 ki)",IF(COUNTIF(Q18:Q22,"*"&amp;"ascendant step"&amp;"*"),"Levitate*",IF(AND(R15="oath of vengeance",Q12&gt;=5),"Hold Person",IF(AND(R15="Oath of the Ancients",Q12&gt;=5),"Moonbeam",IF(AND(R15="Oath of Devotion",Q12&gt;=5),"Lesser Restoration",IF(AND(R15="moon",Q12&gt;=14),"Alter Self",IF(R15="Way of the Shadow","Darkness",IF(AND($P$20="Underdark",Q12&gt;=3),"Spider Climb",IF(AND($P$20="Swamp",Q12&gt;=3),"Darkness",IF(AND($P$20="Mountain",Q12&gt;=3),"Spider Climb",IF(AND($P$20="Grassland",Q12&gt;=3),"Invisibility",IF(AND($P$20="Forest",Q12&gt;=3),"Barkskin",IF(AND($P$20="Desert",Q12&gt;=3),"Blur",IF(AND($P$20="Coast",Q12&gt;=3),"Mirror Image",IF(AND($P$20="arctic",Q12&gt;=3),"Hold Person",IF(AND(R15="war",Q12&gt;=3),"Magic Weapon",IF(AND(R15="Trickery",Q12&gt;=3),"Mirror Image",IF(AND(R15="tempest",Q12&gt;=3),"Gust of Wind",IF(AND(R15="nature",Q12&gt;=3),"Barkskin",IF(AND(R15="light",Q12&gt;=3),"Flaming Sphere",IF(AND(R15="Life",Q12&gt;=3),"Lesser Restoration",IF(AND(R15="knowledge",Q12&gt;=3),"Augury",IF(AND(Q11="bard",AL155=2),INDEX('Spell Tables'!BL2:BL37,MATCH(O120,('Spell Tables'!BJ2:BJ37),0)),IF(R15="path of the totem warrior","Beast Sense (as ritual)",IF(AND(R15="eldritch knight",Q12&gt;=8),INDEX('Spell Tables'!AF70:AF94,MATCH(#REF!,('Spell Tables'!AD70:AD94),0)),IF(AND(R15="arcane trickster",Q12&gt;=8),INDEX('Spell Tables'!AF141:AF165,MATCH(#REF!,('Spell Tables'!AD141:AD165),0))," "))))))))))))))))))))))))))</f>
        <v xml:space="preserve"> </v>
      </c>
      <c r="S146" s="33" t="str">
        <f ca="1">IF(COUNTIF(Q18:Q22,"*"&amp;"mire the mind"&amp;"*"),"Slow**",IF(AND(R15="oath of vengeance",Q12&gt;=9),"Haste",IF(AND(R15="Oath of the Ancients",Q12&gt;=9),"Plant Growth",IF(AND(R15="Oath of Devotion",Q12&gt;=9),"Beacon of Hope",IF(AND($P$20="Underdark",Q12&gt;=5),"Gaseous Form",IF(AND($P$20="Swamp",Q12&gt;=5),"Water Walk",IF(AND($P$20="Mountain",Q12&gt;=5),"Lightning Bolt",IF(AND($P$20="Grassland",Q12&gt;=5),"Daylight",IF(AND($P$20="Forest",Q12&gt;=5),"Call Lightning",IF(AND($P$20="Desert",Q12&gt;=5),"Create Food and Water",IF(AND($P$20="Coast",Q12&gt;=5),"Water Breathing",IF(AND($P$20="arctic",Q12&gt;=5),"Sleet Storm",IF(AND(R15="war",Q12&gt;=5),"Crusader's Mantle",IF(AND(R15="trickery",Q12&gt;=5),"Blink",IF(AND(R15="tempest",Q12&gt;=5),"Call Lightning",IF(AND(R15="nature",Q12&gt;=5),"Plant Growth",IF(AND(R15="light",Q12&gt;=5),"Daylight",IF(AND(R15="life",Q12&gt;=5),"Beacon of Hope",IF(AND(R15="knowledge",Q12&gt;=5),"Nondetection",IF(AND(Q11="bard",AL155=3),INDEX('Spell Tables'!BP2:BP35,MATCH(O120,('Spell Tables'!BN2:BN35),0)),IF(AND(R15="arcane trickster",Q12&gt;=14),INDEX('Spell Tables'!AN141:AN165,MATCH(O120,('Spell Tables'!AL141:AL165),0)),IF(AND(R15="eldritch knight",Q12&gt;=14),INDEX('Spell Tables'!AN70:AN88,MATCH(O120,('Spell Tables'!AL70:AL88),0))," "))))))))))))))))))))))</f>
        <v xml:space="preserve"> </v>
      </c>
      <c r="T146" s="72" t="str">
        <f ca="1">IF(COUNTIF(Q18:Q22,"*"&amp;"bewitching whispers"&amp;"*"),"Compulsion**",IF(AND(R15="oath of vengeance",Q12&gt;=13),"Banishment",IF(AND(R15="Oath of the Ancients",Q12&gt;=13),"Ice Storm",IF(AND(R15="Oath of Devotion",Q12&gt;=13),"Freedom of Movement",IF(AND($P$20="Underdark",Q12&gt;=7),"Greater Invisibility",IF(AND($P$20="Swamp",Q12&gt;=7),"Freedom of Movement",IF(AND($P$20="Mountain",Q12&gt;=7),"Stone Shape",IF(AND($P$20="Grassland",Q12&gt;=7),"Divination",IF(AND($P$20="Forest",Q12&gt;=7),"Divination",IF(AND($P$20="Desert",Q12&gt;=7),"Blight",IF(AND($P$20="Coast",Q12&gt;=7),"Control Water",IF(AND($P$20="arctic",Q12&gt;=7),"Freedom of Movement",IF(AND(R15="war",Q12&gt;=7),"Freedom of Movement",IF(AND(R15="trickery",Q12&gt;=7),"Dimension Door",IF(AND(R15="tempest",Q12&gt;=7),"Control Water",IF(AND(R15="nature",Q12&gt;=7),"Dominate Beast",IF(AND(R15="light",Q12&gt;=7),"Guardian of Faith",IF(AND(R15="life",Q12&gt;=7),"Death Ward",IF(AND(R15="knowledge",Q12&gt;=7),"Arcane Eye",IF(AND(Q11="bard",AL155=4),INDEX('Spell Tables'!BT2:BT29,MATCH(O120,('Spell Tables'!BR2:BR29),0)),IF(AND(R15="arcane trickster",Q12&gt;=20),INDEX('Spell Tables'!AV141:AV159,MATCH(O120,('Spell Tables'!AT267:AT285),0)),IF(AND(R15="eldritch knight",Q12&gt;=20),INDEX('Spell Tables'!AV70:AV86,MATCH(O120,('Spell Tables'!AT70:AT86),0))," "))))))))))))))))))))))</f>
        <v xml:space="preserve"> </v>
      </c>
      <c r="AJ146" s="58" t="str">
        <f t="shared" ca="1" si="66"/>
        <v xml:space="preserve"> </v>
      </c>
      <c r="AK146" s="60">
        <f t="shared" ca="1" si="64"/>
        <v>0</v>
      </c>
      <c r="AL146" s="29" t="str">
        <f t="shared" ca="1" si="65"/>
        <v xml:space="preserve"> </v>
      </c>
    </row>
    <row r="147" spans="1:38" x14ac:dyDescent="0.3">
      <c r="B147" s="79" t="str">
        <f ca="1">IF(R15="way of the four elements","Elemental Disciplines - cost ki",IF(AND(Q11="warlock",Q12&gt;=2),"* = at will - no slot use",IF(R15="land",$P$20," ")))</f>
        <v xml:space="preserve"> </v>
      </c>
      <c r="C147" s="33"/>
      <c r="D147" s="33"/>
      <c r="E147" s="33"/>
      <c r="F147" s="33"/>
      <c r="G147" s="33"/>
      <c r="H147" s="33"/>
      <c r="I147" s="33"/>
      <c r="J147" s="33"/>
      <c r="K147" s="33"/>
      <c r="L147" s="33"/>
      <c r="M147" s="33"/>
      <c r="N147" s="33"/>
      <c r="O147" s="34">
        <v>2</v>
      </c>
      <c r="P147" s="33" t="str">
        <f ca="1">IF(Q16="pact of the tome",INDEX('Spell Tables'!$BD$19:$BD$37,MATCH(2,('Spell Tables'!$BB$19:$BB$37),0)),IF(AND(Q11="bard",AL192="c"),INDEX('Spell Tables'!$BD$2:$BD$16,MATCH(11,('Spell Tables'!$BB$2:$BB$16),0))," "))</f>
        <v xml:space="preserve"> </v>
      </c>
      <c r="Q147" s="33" t="str">
        <f ca="1">IF(COUNTIF(R18:R21,"*"&amp;"Sweeping Cinder Strike"&amp;"*"),"Burning Hands (2 ki)",IF(COUNTIF(Q18:Q22,"*"&amp;"beast speech"&amp;"*"),"Speak with Animals*",IF(R15="Oath of the Ancients","Speak with Animals",IF(R15="Oath of vengeance","Hunter's Mark",IF(R15="Oath of Devotion","Sanctuary",IF(AND(R15="war",Q12&gt;=1),"Shield of Faith",IF(AND(R15="trickery",Q12&gt;=1),"Disguise Self",IF(AND(R15="tempest",Q12&gt;=1),"Thunderwave",IF(AND(R15="Nature",Q12&gt;=1),"Speak with Animals",IF(AND(R15="light",Q12&gt;=1),"Faerie Fire",IF(R15="life","Cure Wounds",IF(R15="knowledge","Identify",IF(AND(Q11="bard",AL156=1),INDEX('Spell Tables'!$BH$2:$BH$41,MATCH(O121,('Spell Tables'!$BF$2:$BF$41),0))," ")))))))))))))</f>
        <v xml:space="preserve"> </v>
      </c>
      <c r="R147" s="33" t="str">
        <f ca="1">IF(COUNTIF(R18:R21,"*"&amp;"Gong of the Summit"&amp;"*"),"Shatter (3 ki)",IF(COUNTIF(Q18:Q22,"*"&amp;"master of myriad forms"&amp;"*"),"Alter Self*",IF(AND(R15="oath of vengeance",Q12&gt;=5),"Misty Step",IF(AND(R15="Oath of the Ancients",Q12&gt;=5),"Misty Step",IF(AND(R15="Oath of Devotion",Q12&gt;=5),"Zone of Truth",IF(R15="way of the shadow","Darkvision",IF(AND($P$20="Underdark",Q12&gt;=3),"Web",IF(AND($P$20="Swamp",Q12&gt;=3),"Melf's Acid Arrow",IF(AND($P$20="Mountain",Q12&gt;=3),"Spike Growth",IF(AND($P$20="Grassland",Q12&gt;=3),"Pass Without Trace",IF(AND($P$20="Forest",Q12&gt;=3),"Spider Climb",IF(AND($P$20="Desert",Q12&gt;=3),"Silence",IF(AND($P$20="Coast",Q12&gt;=3),"Misty Step",IF(AND($P$20="arctic",Q12&gt;=3),"Spike Growth",IF(AND(R15="war",Q12&gt;=3),"Spiritual Weapon",IF(AND(R15="trickery",Q12&gt;=3),"Pass Without Trace",IF(AND(R15="tempest",Q12&gt;=3),"Shatter",IF(AND(R15="nature",Q12&gt;=3),"Spike Growth",IF(AND(R15="light",Q12&gt;=3),"Scorching Ray",IF(AND(R15="life",Q12&gt;=3),"Spiritual Weapon",IF(AND(R15="knowledge",Q12&gt;=3),"Suggestion",IF(AND(Q11="bard",AL156=2),INDEX('Spell Tables'!$BL$2:$BL$37,MATCH(O121,('Spell Tables'!$BJ$2:$BJ$37),0))," "))))))))))))))))))))))</f>
        <v xml:space="preserve"> </v>
      </c>
      <c r="S147" s="33" t="str">
        <f ca="1">IF(COUNTIF(Q18:Q22,"*"&amp;"sign of ill omen"&amp;"*"),"Bestow Curse**",IF(AND(R15="oath of vengeance",Q12&gt;=9),"Protection from Energy",IF(AND(R15="Oath of the Ancients",Q12&gt;=9),"Protection from Energy",IF(AND(R15="Oath of Devotion",Q12&gt;=9),"Dispel Magic",IF(AND($P$20="Underdark",Q12&gt;=5),"Stinking Cloud",IF(AND($P$20="Swamp",Q12&gt;=5),"Stinking Cloud",IF(AND($P$20="Mountain",Q12&gt;=5),"Meld Into Stone",IF(AND($P$20="Grassland",Q12&gt;=5),"Haste",IF(AND($P$20="Forest",Q12&gt;=5),"Plant Growth",IF(AND($P$20="Desert",Q12&gt;=5),"Protection from Energy",IF(AND($P$20="Coast",Q12&gt;=5),"Water Walk",IF(AND($P$20="arctic",Q12&gt;=5),"Slow",IF(AND(R15="war",Q12&gt;=5),"Spirit Guardians",IF(AND(R15="trickery",Q12&gt;=5),"Dispel Magic",IF(AND(R15="Tempest",Q12&gt;=5),"Sleet Storm",IF(AND(R15="nature",Q12&gt;=5),"Wind Wall",IF(AND(R15="light",Q12&gt;=5),"Fireball",IF(AND(R15="life",Q12&gt;=5),"Revivify",IF(AND(R15="knowledge",Q12&gt;=5),"Speak with Dead",IF(AND(Q11="bard",AL156=3),INDEX('Spell Tables'!$BP$2:$BP$35,MATCH(O121,('Spell Tables'!$BN$2:$BN$35),0))," "))))))))))))))))))))</f>
        <v xml:space="preserve"> </v>
      </c>
      <c r="T147" s="72" t="str">
        <f ca="1">IF(COUNTIF(Q18:Q22,"*"&amp;"dreadful word"&amp;"*"),"Confusion**",IF(AND(R15="oath of vengeance",Q12&gt;=13),"Dimension Door",IF(AND(R15="Oath of the Ancients",Q12&gt;=13),"Stoneskin",IF(AND(R15="Oath of Devotion",Q12&gt;=13),"Guardian of Faith",IF(AND($P$20="Underdark",Q12&gt;=7),"Stone Shape",IF(AND($P$20="Swamp",Q12&gt;=7),"Locate Creature",IF(AND($P$20="Mountain",Q12&gt;=7),"Stonekin",IF(AND($P$20="Grassland",Q12&gt;=7),"Freedom of Movement",IF(AND($P$20="Forest",Q12&gt;=7),"Freedom of Movement",IF(AND($P$20="Desert",Q12&gt;=7),"Hallucinatory Terrain",IF(AND($P$20="Coast",Q12&gt;=7),"Freedom of Movement",IF(AND($P$20="arctic",Q12&gt;=7),"Ice Storm",IF(AND(R15="war",Q12&gt;=7),"Stoneskin",IF(AND(R15="trickery",Q12&gt;=7),"Polymorph",IF(AND(R15="tempest",Q12&gt;=7),"Ice Storm",IF(AND(R15="nature",Q12&gt;=7),"Grasping Vine",IF(AND(R15="light",Q12&gt;=7),"Wall of Fire",IF(AND(R15="life",Q12&gt;=7),"Guardian of Faith",IF(AND(R15="knowledge",Q12&gt;=7),"Confusion",IF(AND(Q11="bard",AL156=4),INDEX('Spell Tables'!$BT$2:$BT$29,MATCH(O121,('Spell Tables'!$BR$2:$BR$29),0))," "))))))))))))))))))))</f>
        <v xml:space="preserve"> </v>
      </c>
      <c r="AJ147" s="58" t="str">
        <f t="shared" ca="1" si="66"/>
        <v xml:space="preserve"> </v>
      </c>
      <c r="AK147" s="60">
        <f t="shared" ca="1" si="64"/>
        <v>0</v>
      </c>
      <c r="AL147" s="29" t="str">
        <f t="shared" ca="1" si="65"/>
        <v xml:space="preserve"> </v>
      </c>
    </row>
    <row r="148" spans="1:38" x14ac:dyDescent="0.3">
      <c r="B148" s="79" t="str">
        <f ca="1">IF(AND(Q11="warlock",Q12&gt;=2),"** = once per long rest - uses slot",IF(AND(Q11="paladin",Q12&gt;=3),"Free Preparation",IF(AND(R15="moon",Q12&gt;=14),"At Will",IF(R15="way of the shadow","Cost 2 Ki Points",IF(OR(R15="land",Q11="cleric"),"Free Preparation",IF(AND(Q11="bard",Q12&gt;=10),"Count Toward Known"," "))))))</f>
        <v xml:space="preserve"> </v>
      </c>
      <c r="C148" s="33"/>
      <c r="D148" s="33"/>
      <c r="E148" s="33"/>
      <c r="F148" s="33"/>
      <c r="G148" s="33"/>
      <c r="H148" s="33"/>
      <c r="I148" s="33"/>
      <c r="J148" s="33"/>
      <c r="K148" s="33"/>
      <c r="L148" s="33"/>
      <c r="M148" s="33"/>
      <c r="N148" s="33"/>
      <c r="O148" s="34">
        <v>3</v>
      </c>
      <c r="P148" s="33" t="str">
        <f ca="1">IF(Q16="pact of the tome",INDEX('Spell Tables'!$BD$19:$BD$37,MATCH(3,('Spell Tables'!$BB$19:$BB$37),0))," ")</f>
        <v xml:space="preserve"> </v>
      </c>
      <c r="Q148" s="33" t="str">
        <f ca="1">IF(COUNTIF(Q18:Q22,"*"&amp;"eldritch sight"&amp;"*"),"Detect Magic*"," ")</f>
        <v xml:space="preserve"> </v>
      </c>
      <c r="R148" s="33" t="str">
        <f ca="1">IF(COUNTIF(R18:R21,"*"&amp;"Rush of the Gale Spirits"&amp;"*"),"Gust of Wind (2 ki)",IF(R15="way of the shadow","Pass Without Trace"," "))</f>
        <v xml:space="preserve"> </v>
      </c>
      <c r="S148" s="33" t="str">
        <f ca="1">IF(COUNTIF(Q18:Q22,"*"&amp;"whispers of the grave"&amp;"*"),"Speak with Dead*"," ")</f>
        <v xml:space="preserve"> </v>
      </c>
      <c r="T148" s="72" t="str">
        <f ca="1">IF(COUNTIF(Q18:Q22,"*"&amp;"Sculptor of Flesh"&amp;"*"),"Polymorph**"," ")</f>
        <v xml:space="preserve"> </v>
      </c>
      <c r="AJ148" s="58" t="str">
        <f t="shared" ca="1" si="66"/>
        <v xml:space="preserve"> </v>
      </c>
      <c r="AK148" s="60">
        <f t="shared" ca="1" si="64"/>
        <v>0</v>
      </c>
      <c r="AL148" s="29" t="str">
        <f t="shared" ca="1" si="65"/>
        <v xml:space="preserve"> </v>
      </c>
    </row>
    <row r="149" spans="1:38" x14ac:dyDescent="0.3">
      <c r="B149" s="79"/>
      <c r="O149" s="81">
        <v>4</v>
      </c>
      <c r="Q149" s="29" t="str">
        <f ca="1">IF(COUNTIF(Q18:Q22,"*"&amp;"fiendish vigor"&amp;"*"),"False Life*"," ")</f>
        <v xml:space="preserve"> </v>
      </c>
      <c r="R149" s="29" t="str">
        <f ca="1">IF(R15="way of the shadow","Silence"," ")</f>
        <v xml:space="preserve"> </v>
      </c>
      <c r="T149" s="72" t="str">
        <f ca="1">IF(COUNTIF(Q18:Q22,"*"&amp;"visions of distant realms"&amp;"*"),"Arcane Eye*"," ")</f>
        <v xml:space="preserve"> </v>
      </c>
      <c r="AJ149" s="58" t="str">
        <f t="shared" ca="1" si="66"/>
        <v xml:space="preserve"> </v>
      </c>
      <c r="AK149" s="60">
        <f t="shared" ca="1" si="64"/>
        <v>0</v>
      </c>
      <c r="AL149" s="29" t="str">
        <f t="shared" ca="1" si="65"/>
        <v xml:space="preserve"> </v>
      </c>
    </row>
    <row r="150" spans="1:38" x14ac:dyDescent="0.3">
      <c r="B150" s="79"/>
      <c r="O150" s="81">
        <v>5</v>
      </c>
      <c r="Q150" s="29" t="str">
        <f ca="1">IF(COUNTIF(Q18:Q22,"*"&amp;"mask of many faces"&amp;"*"),"Disguise Self*","")</f>
        <v/>
      </c>
      <c r="T150" s="72"/>
    </row>
    <row r="151" spans="1:38" x14ac:dyDescent="0.3">
      <c r="B151" s="79"/>
      <c r="O151" s="81">
        <v>6</v>
      </c>
      <c r="Q151" s="29" t="str">
        <f ca="1">IF(COUNTIF(Q18:Q22,"*"&amp;"misty vision"&amp;"*"),"Silent Image*"," " )</f>
        <v xml:space="preserve"> </v>
      </c>
      <c r="T151" s="72"/>
      <c r="AJ151" s="31" t="s">
        <v>1666</v>
      </c>
    </row>
    <row r="152" spans="1:38" x14ac:dyDescent="0.3">
      <c r="B152" s="79"/>
      <c r="O152" s="81">
        <v>7</v>
      </c>
      <c r="Q152" s="29" t="str">
        <f ca="1">IF(COUNTIF(Q18:Q22,"*"&amp;"otherworldly leap"&amp;"*"),"Jump*"," ")</f>
        <v xml:space="preserve"> </v>
      </c>
      <c r="T152" s="72"/>
      <c r="AJ152" s="29">
        <v>1</v>
      </c>
      <c r="AK152" s="29">
        <v>1</v>
      </c>
    </row>
    <row r="153" spans="1:38" x14ac:dyDescent="0.3">
      <c r="B153" s="79"/>
      <c r="O153" s="81">
        <v>8</v>
      </c>
      <c r="Q153" s="29" t="str">
        <f ca="1">IF(COUNTIF(Q18:Q22,"*"&amp;"thief of five fates"&amp;"*"),"Bane**"," ")</f>
        <v xml:space="preserve"> </v>
      </c>
      <c r="T153" s="72"/>
      <c r="AJ153" s="29">
        <v>2</v>
      </c>
      <c r="AK153" s="29">
        <v>2</v>
      </c>
    </row>
    <row r="154" spans="1:38" x14ac:dyDescent="0.3">
      <c r="B154" s="79" t="str">
        <f ca="1">IF(AND(Q16="pact of the tome",COUNTIF($O$13:$O$13,"*"&amp;"book of ancient secrets"&amp;"*")),"Book of Ancient Secrets"," ")</f>
        <v xml:space="preserve"> </v>
      </c>
      <c r="O154" s="81">
        <v>9</v>
      </c>
      <c r="Q154" s="29" t="str">
        <f ca="1">IF(AND(Q16="pact of the tome",COUNTIF(Q18:Q22,"*"&amp;"book of ancient secrets"&amp;"*")),INDEX('Spell Tables'!BD40:BD46,MATCH(1,('Spell Tables'!BB40:BB46),0))," ")</f>
        <v xml:space="preserve"> </v>
      </c>
      <c r="T154" s="72"/>
      <c r="AJ154" s="29">
        <v>3</v>
      </c>
      <c r="AK154" s="29">
        <v>3</v>
      </c>
    </row>
    <row r="155" spans="1:38" ht="19.5" thickBot="1" x14ac:dyDescent="0.35">
      <c r="B155" s="80" t="str">
        <f ca="1">IF(Q16="pact of the chain",Q16,IF(OR(P155="minor illusion",S155="animate dead",T155="polymorph"),"School Spells - in Spellbook"," "))</f>
        <v xml:space="preserve"> </v>
      </c>
      <c r="C155" s="38"/>
      <c r="D155" s="38"/>
      <c r="E155" s="38"/>
      <c r="F155" s="38"/>
      <c r="G155" s="38"/>
      <c r="H155" s="38"/>
      <c r="I155" s="38"/>
      <c r="J155" s="38"/>
      <c r="K155" s="38"/>
      <c r="L155" s="38"/>
      <c r="M155" s="38"/>
      <c r="N155" s="38"/>
      <c r="O155" s="82">
        <v>10</v>
      </c>
      <c r="P155" s="38" t="str">
        <f ca="1">IF(AND(R15="school of Illusion",COUNTIF(P315:P324,"*Minor Illusion*"))," ",IF(R15="school of illusion","Minor Illusion"," "))</f>
        <v xml:space="preserve"> </v>
      </c>
      <c r="Q155" s="38" t="str">
        <f ca="1">IF(AND(Q16="pact of the tome",COUNTIF(Q18:Q22,"*"&amp;"book of ancient secrets"&amp;"*")),INDEX('Spell Tables'!BD40:BD46,MATCH(2,('Spell Tables'!BB40:BB46),0)),IF(Q16="pact of the chain","Find Familiar (as ritual)"," "))</f>
        <v xml:space="preserve"> </v>
      </c>
      <c r="R155" s="38"/>
      <c r="S155" s="38" t="str">
        <f ca="1">IF(AND(R15="school of necromancy",Q12&gt;=6,COUNTIF(S315:S324,"*"&amp;"Animate Dead"&amp;"*"))," ",IF(AND(R15="school of necromancy",Q12&gt;=6),"Animate Dead"," "))</f>
        <v xml:space="preserve"> </v>
      </c>
      <c r="T155" s="73" t="str">
        <f ca="1">IF(AND(R15="school of transmutation",Q12&gt;=10,COUNTIF(T315:T324,"*"&amp;"Polymorph"&amp;"*"))," ",IF(AND(R15="school of transmutation",Q12&gt;=6),"Polymorph"," "))</f>
        <v xml:space="preserve"> </v>
      </c>
      <c r="AJ155" s="29">
        <v>4</v>
      </c>
      <c r="AK155" s="29">
        <v>3</v>
      </c>
      <c r="AL155" s="29" t="str">
        <f ca="1">IF(AND(O11="bard",O12&gt;=10),VLOOKUP(RANDBETWEEN(1,10),Table219344458800857914330387665[],2),IF(AND(Q11="bard",Q12&gt;=10),VLOOKUP(RANDBETWEEN(1,10),Table219344458800857914330387665[],2)," "))</f>
        <v xml:space="preserve"> </v>
      </c>
    </row>
    <row r="156" spans="1:38" ht="19.5" thickBot="1" x14ac:dyDescent="0.35">
      <c r="B156" s="27"/>
      <c r="O156" s="99"/>
      <c r="AJ156" s="29">
        <v>5</v>
      </c>
      <c r="AK156" s="29">
        <v>4</v>
      </c>
      <c r="AL156" s="29" t="str">
        <f ca="1">IF(AND(O11="bard",O12&gt;=10),VLOOKUP(RANDBETWEEN(1,10),Table219344458800857914330387665[],2),IF(AND(Q11="bard",Q12&gt;=10),VLOOKUP(RANDBETWEEN(1,10),Table219344458800857914330387665[],2)," "))</f>
        <v xml:space="preserve"> </v>
      </c>
    </row>
    <row r="157" spans="1:38" x14ac:dyDescent="0.3">
      <c r="A157" s="33"/>
      <c r="B157" s="72"/>
      <c r="P157" s="76" t="s">
        <v>1169</v>
      </c>
      <c r="Q157" s="76" t="s">
        <v>1170</v>
      </c>
      <c r="R157" s="76" t="s">
        <v>1171</v>
      </c>
      <c r="S157" s="76" t="s">
        <v>677</v>
      </c>
      <c r="T157" s="104" t="s">
        <v>1172</v>
      </c>
      <c r="AJ157" s="29">
        <v>6</v>
      </c>
      <c r="AK157" s="29">
        <v>4</v>
      </c>
    </row>
    <row r="158" spans="1:38" x14ac:dyDescent="0.3">
      <c r="A158" s="33"/>
      <c r="B158" s="72"/>
      <c r="O158" s="83">
        <v>1</v>
      </c>
      <c r="P158" s="65" t="str">
        <f ca="1">IF(COUNTIF(Q18:Q22,"*"&amp;"chains of carceri"&amp;"*"),"Hold Monster**(c,f,e only)",IF(AND(R15="oath of vengeance",Q12&gt;=17),"Hold Monster",IF(AND(R15="Oath of the Ancients",Q12&gt;=17),"Commune with Nature",IF(AND(R15="Oath of Devotion",Q12&gt;=17),"Commune",IF(AND($P$20="Underdark",Q12&gt;=9),"Cloudkill",IF(AND($P$20="Swamp",Q12&gt;=9),"Insect Plague",IF(AND($P$20="Mountain",Q12&gt;=9),"Passwall",IF(AND($P$20="Grassland",Q12&gt;=9),"Dream",IF(AND($P$20="Forest",Q12&gt;=9),"Commune with Nature",IF(AND($P$20="Desert",Q12&gt;=9),"Insect Plague",IF(AND($P$20="Coast",Q12&gt;=9),"Conjure Elemental",IF(AND($P$20="arctic",Q12&gt;=9),"Commune with Nature",IF(AND(R15="war",Q12&gt;=9),"Flame Strike",IF(AND(R15="trickery",Q12&gt;=9),"Dominate Person",IF(AND(R15="tempest",Q12&gt;=9),"Destructive Wave",IF(AND(R15="nature",Q12&gt;=9),"Insect Plague",IF(AND(R15="light",Q12&gt;=9),"Flame Strike",IF(AND(R15="life",Q12&gt;=9),"Mass Cure Wounds",IF(AND(R15="knowledge",Q12&gt;=9),"Legend Lore",IF(AND(Q11="bard",AL155=5),INDEX('Spell Tables'!BX2:BX24,MATCH(O120,('Spell Tables'!BV2:BV24),0)),IF(AND(R15="path of the totem warrior",Q12&gt;=10),"Commune with Nature (as ritual)"," ")))))))))))))))))))))</f>
        <v xml:space="preserve"> </v>
      </c>
      <c r="Q158" s="65" t="str">
        <f ca="1">IF(AND(Q11="bard",AL167=6),INDEX('Spell Tables'!CB2:CB27,MATCH(O120,('Spell Tables'!BZ2:BZ27),0)),IF(AND(Q11="warlock",Q12&gt;=11),INDEX('Spell Tables'!AN194:AN201,MATCH(1,('Spell Tables'!AL194:AL201),0))," "))</f>
        <v xml:space="preserve"> </v>
      </c>
      <c r="R158" s="65" t="str">
        <f ca="1">IF(AND(Q11="bard",AL167=7),INDEX('Spell Tables'!CF2:CF11,MATCH(O120,('Spell Tables'!CD2:CD11),0)),IF(AND(Q11="warlock",Q12&gt;=13),INDEX('Spell Tables'!AR194:AR197,MATCH(1,('Spell Tables'!AP194:AP197),0))," "))</f>
        <v xml:space="preserve"> </v>
      </c>
      <c r="S158" s="65" t="str">
        <f ca="1">IF(AND(Q11="bard",AL179=8),INDEX('Spell Tables'!CJ2:CJ14,MATCH(O120,('Spell Tables'!CH2:CH14),0)),IF(AND(Q11="warlock",Q12&gt;=15),INDEX('Spell Tables'!AV194:AV198,MATCH(1,('Spell Tables'!AT295:AT299),0))," "))</f>
        <v xml:space="preserve"> </v>
      </c>
      <c r="T158" s="66" t="str">
        <f ca="1">IF(AND(Q11="bard",AL179=9),INDEX('Spell Tables'!CN2:CN11,MATCH(O120,('Spell Tables'!CL2:CL11),0)),IF(AND(Q11="warlock",Q12&gt;=17),INDEX('Spell Tables'!AZ194:AZ198,MATCH(1,('Spell Tables'!AX194:AX198),0))," "))</f>
        <v xml:space="preserve"> </v>
      </c>
      <c r="AJ158" s="29">
        <v>7</v>
      </c>
      <c r="AK158" s="29">
        <v>4</v>
      </c>
    </row>
    <row r="159" spans="1:38" x14ac:dyDescent="0.3">
      <c r="A159" s="33"/>
      <c r="B159" s="72"/>
      <c r="O159" s="84">
        <v>2</v>
      </c>
      <c r="P159" s="60" t="str">
        <f ca="1">IF(COUNTIF(Q18:Q22,"*"&amp;"minions of chaos"&amp;"*"),"Conjure Elemental**",IF(AND(R15="oath of vengeance",Q12&gt;=17),"Scrying",IF(AND(R15="Oath of the Ancients",Q12&gt;=17),"Tree Stride",IF(AND(R15="Oath of Devotion",Q12&gt;=17),"Flame Strike",IF(AND($P$20="Underdark",Q12&gt;=9),"Insect Plague",IF(AND($P$20="Swamp",Q12&gt;=9),"Scrying",IF(AND($P$20="Mountain",Q12&gt;=9),"Wall of Stone",IF(AND($P$20="Grassland",Q12&gt;=9),"Insect Plague",IF(AND($P$20="Forest",Q12&gt;=9),"Tree Stride",IF(AND($P$20="Desert",Q12&gt;=9),"Wall of Stone",IF(AND($P$20="Coast",Q12&gt;=9),"Scrying",IF(AND($P$20="arctic",Q12&gt;=9),"Cone of Cold",IF(AND(R15="war",Q12&gt;=9),"Hold Monster",IF(AND(R15="trickery",Q12&gt;=9),"Modify Memory",IF(AND(R15="tempest",Q12&gt;=9),"Insect Plague",IF(AND(R15="nature",Q12&gt;=9),"Tree Stride",IF(AND(R15="light",Q12&gt;=9),"Scrying",IF(AND(R15="life",Q12&gt;=9),"Raise Dead",IF(AND(R15="knowledge",Q12&gt;=9),"Scrying",IF(AND(Q11="bard",AL156=5),INDEX('Spell Tables'!$BX$2:$BX$24,MATCH(O121,('Spell Tables'!$BV$2:$BV$24),0))," "))))))))))))))))))))</f>
        <v xml:space="preserve"> </v>
      </c>
      <c r="Q159" s="60" t="str">
        <f ca="1">IF(AND(Q11="bard",AL168=6),INDEX('Spell Tables'!CB2:CB27,MATCH(O121,('Spell Tables'!BZ2:BZ27),0))," ")</f>
        <v xml:space="preserve"> </v>
      </c>
      <c r="R159" s="60" t="str">
        <f ca="1">IF(AND(Q11="bard",AL168=7),INDEX('Spell Tables'!CF2:CF11,MATCH(O121,('Spell Tables'!CD2:CD11),0))," ")</f>
        <v xml:space="preserve"> </v>
      </c>
      <c r="S159" s="60" t="str">
        <f ca="1">IF(AND(Q11="bard",AL180=8),INDEX('Spell Tables'!CJ2:CJ14,MATCH(O121,('Spell Tables'!CH2:CH14),0))," ")</f>
        <v xml:space="preserve"> </v>
      </c>
      <c r="T159" s="63" t="str">
        <f ca="1">IF(AND(Q11="bard",AL180=9),INDEX('Spell Tables'!CN2:CN11,MATCH(O121,('Spell Tables'!CL2:CL11),0))," ")</f>
        <v xml:space="preserve"> </v>
      </c>
      <c r="AJ159" s="29">
        <v>8</v>
      </c>
      <c r="AK159" s="29">
        <v>5</v>
      </c>
    </row>
    <row r="160" spans="1:38" x14ac:dyDescent="0.3">
      <c r="A160" s="33"/>
      <c r="B160" s="72"/>
      <c r="O160" s="83">
        <v>3</v>
      </c>
      <c r="P160" s="65"/>
      <c r="Q160" s="65"/>
      <c r="R160" s="65"/>
      <c r="S160" s="65"/>
      <c r="T160" s="66"/>
      <c r="AJ160" s="29">
        <v>9</v>
      </c>
      <c r="AK160" s="29">
        <v>5</v>
      </c>
    </row>
    <row r="161" spans="1:38" x14ac:dyDescent="0.3">
      <c r="A161" s="33"/>
      <c r="B161" s="72"/>
      <c r="O161" s="84">
        <v>4</v>
      </c>
      <c r="P161" s="60"/>
      <c r="Q161" s="60"/>
      <c r="R161" s="60"/>
      <c r="S161" s="60"/>
      <c r="T161" s="63"/>
      <c r="AJ161" s="29">
        <v>10</v>
      </c>
      <c r="AK161" s="29">
        <v>5</v>
      </c>
    </row>
    <row r="162" spans="1:38" x14ac:dyDescent="0.3">
      <c r="A162" s="33"/>
      <c r="B162" s="72"/>
      <c r="O162" s="83">
        <v>5</v>
      </c>
      <c r="P162" s="65"/>
      <c r="Q162" s="65"/>
      <c r="R162" s="65"/>
      <c r="S162" s="65"/>
      <c r="T162" s="66"/>
    </row>
    <row r="163" spans="1:38" x14ac:dyDescent="0.3">
      <c r="A163" s="33"/>
      <c r="B163" s="72"/>
      <c r="O163" s="84">
        <v>6</v>
      </c>
      <c r="P163" s="60"/>
      <c r="Q163" s="60"/>
      <c r="R163" s="60"/>
      <c r="S163" s="60"/>
      <c r="T163" s="63"/>
      <c r="AJ163" s="31" t="s">
        <v>1667</v>
      </c>
    </row>
    <row r="164" spans="1:38" x14ac:dyDescent="0.3">
      <c r="A164" s="33"/>
      <c r="B164" s="72"/>
      <c r="O164" s="83">
        <v>7</v>
      </c>
      <c r="P164" s="65"/>
      <c r="Q164" s="65"/>
      <c r="R164" s="65"/>
      <c r="S164" s="65"/>
      <c r="T164" s="66"/>
      <c r="AJ164" s="29">
        <v>1</v>
      </c>
      <c r="AK164" s="29">
        <v>6</v>
      </c>
    </row>
    <row r="165" spans="1:38" x14ac:dyDescent="0.3">
      <c r="A165" s="33"/>
      <c r="B165" s="72"/>
      <c r="O165" s="84">
        <v>8</v>
      </c>
      <c r="P165" s="60"/>
      <c r="Q165" s="60"/>
      <c r="R165" s="60"/>
      <c r="S165" s="60"/>
      <c r="T165" s="63"/>
      <c r="AJ165" s="29">
        <v>2</v>
      </c>
      <c r="AK165" s="29">
        <v>6</v>
      </c>
    </row>
    <row r="166" spans="1:38" x14ac:dyDescent="0.3">
      <c r="A166" s="33"/>
      <c r="B166" s="72"/>
      <c r="O166" s="83">
        <v>9</v>
      </c>
      <c r="P166" s="65"/>
      <c r="Q166" s="65"/>
      <c r="R166" s="65"/>
      <c r="S166" s="65"/>
      <c r="T166" s="66"/>
      <c r="U166" s="57"/>
      <c r="V166" s="57"/>
      <c r="W166" s="57"/>
      <c r="X166" s="57"/>
      <c r="AJ166" s="29">
        <v>3</v>
      </c>
      <c r="AK166" s="29">
        <v>6</v>
      </c>
    </row>
    <row r="167" spans="1:38" ht="19.5" thickBot="1" x14ac:dyDescent="0.35">
      <c r="A167" s="33"/>
      <c r="B167" s="72"/>
      <c r="O167" s="85">
        <v>10</v>
      </c>
      <c r="P167" s="67"/>
      <c r="Q167" s="67"/>
      <c r="R167" s="67"/>
      <c r="S167" s="67"/>
      <c r="T167" s="68"/>
      <c r="AJ167" s="29">
        <v>4</v>
      </c>
      <c r="AK167" s="29">
        <v>6</v>
      </c>
      <c r="AL167" s="29" t="str">
        <f ca="1">IF(AND(O11="bard",O12&gt;=14),VLOOKUP(RANDBETWEEN(1,10),Table220345459801858915331388666[],2)," ")</f>
        <v xml:space="preserve"> </v>
      </c>
    </row>
    <row r="168" spans="1:38" ht="19.5" thickBot="1" x14ac:dyDescent="0.35">
      <c r="AJ168" s="29">
        <v>5</v>
      </c>
      <c r="AK168" s="29">
        <v>7</v>
      </c>
      <c r="AL168" s="29" t="str">
        <f ca="1">IF(AND(O11="bard",O12&gt;=14),VLOOKUP(RANDBETWEEN(1,10),Table220345459801858915331388666[],2)," ")</f>
        <v xml:space="preserve"> </v>
      </c>
    </row>
    <row r="169" spans="1:38" ht="30.75" thickBot="1" x14ac:dyDescent="0.45">
      <c r="B169" s="105" t="s">
        <v>1243</v>
      </c>
      <c r="AJ169" s="29">
        <v>6</v>
      </c>
      <c r="AK169" s="29">
        <v>7</v>
      </c>
    </row>
    <row r="170" spans="1:38" ht="19.5" thickBot="1" x14ac:dyDescent="0.35">
      <c r="B170" s="79"/>
      <c r="C170" s="27"/>
      <c r="D170" s="27"/>
      <c r="E170" s="27"/>
      <c r="F170" s="27"/>
      <c r="G170" s="27"/>
      <c r="H170" s="27"/>
      <c r="I170" s="27"/>
      <c r="J170" s="27"/>
      <c r="K170" s="27"/>
      <c r="L170" s="27"/>
      <c r="M170" s="27"/>
      <c r="N170" s="27"/>
      <c r="O170" s="27"/>
      <c r="P170" s="87" t="s">
        <v>1341</v>
      </c>
      <c r="Q170" s="88" t="str">
        <f ca="1">IF($O$11="warlock",INDEX('Spell Tables'!$D$194:$D$213,MATCH($O$12,('Spell Tables'!$A$194:$A$213),0))," ")</f>
        <v xml:space="preserve"> </v>
      </c>
      <c r="R170" s="89" t="s">
        <v>1340</v>
      </c>
      <c r="S170" s="90" t="str">
        <f ca="1">IF($O$11="warlock",INDEX('Spell Tables'!$E$194:$E$213,MATCH($O$12,('Spell Tables'!$A$194:$A$213),0))," ")</f>
        <v xml:space="preserve"> </v>
      </c>
      <c r="T170" s="91"/>
      <c r="AJ170" s="29">
        <v>7</v>
      </c>
      <c r="AK170" s="29">
        <v>7</v>
      </c>
    </row>
    <row r="171" spans="1:38" x14ac:dyDescent="0.3">
      <c r="B171" s="112"/>
      <c r="C171" s="33"/>
      <c r="D171" s="33"/>
      <c r="E171" s="33"/>
      <c r="F171" s="33"/>
      <c r="G171" s="33"/>
      <c r="H171" s="33"/>
      <c r="I171" s="33"/>
      <c r="J171" s="33"/>
      <c r="K171" s="33"/>
      <c r="L171" s="33"/>
      <c r="M171" s="33"/>
      <c r="N171" s="33"/>
      <c r="O171" s="33"/>
      <c r="P171" s="92" t="s">
        <v>1342</v>
      </c>
      <c r="Q171" s="33" t="str">
        <f ca="1">IF(AND(AF14=2,OR(O11="monk",O11="barbarian",O11="warlock"),OR(Q11="fighter",Q11="rogue"),OR(P15&lt;&gt;"arcane trickster",R15&lt;&gt;"arcane trickster",P15&lt;&gt;"eldritch knight",R15&lt;&gt;"eldritch knight")),0,IF(AND(AF14=2,OR(O11="monk",O11="barbarian",O11="warlock"),OR(Q11="monk",Q11="barbarian",Q11="warlock")),0,IF(AND(AF14=2,OR(O11="monk",O11="barbarian",O11="warlock",Q11="monk",Q11="barbarian",Q11="warlock"),OR(P15="arcane trickster",R15="arcane trickster",P15="eldritch knight",R15="eldritch knight")),INDEX('Spell Tables'!D141:D160,MATCH(AF18,('Spell Tables'!A141:A160),0)),IF(AND(AF14=2,OR(O11="monk",O11="barbarian",O11="warlock",Q11="monk",Q11="barbarian",Q11="warlock"),OR(O11="paladin",Q11="paladin",O11="ranger",Q11="ranger")),INDEX('Spell Tables'!D119:D138,MATCH(AF18,('Spell Tables'!B119:B138),0)),IF(AF14=2,INDEX('Spell Tables'!D242:D261,MATCH(AF18,('Spell Tables'!B242:B261),0)),IF(AND(AF14=1,$P$15="arcane trickster"),INDEX('Spell Tables'!$D$141:$D$161,MATCH($O$12,('Spell Tables'!$A$141:$A$160),0)),IF(AND(AF14=1,(OR($O$11="bard",$O$11="cleric",$O$11="druid",$O$11="sorcerer",$O$11="wizard"))),INDEX('Spell Tables'!$D$2:$D$21,MATCH($O$12,('Spell Tables'!$A$2:$A$21),0)),IF(AND(AF14=1,$P$15)="Eldritch Knight",INDEX('Spell Tables'!$D$70:$D$89,MATCH($O$12,('Spell Tables'!$A$70:$A$89),0))," "))))))))</f>
        <v xml:space="preserve"> </v>
      </c>
      <c r="R171" s="33" t="str">
        <f ca="1">IF(AND(AF14=2,OR(O11="monk",O11="barbarian",O11="warlock"),OR(Q11="fighter",Q11="rogue"),OR(P15&lt;&gt;"arcane trickster",R15&lt;&gt;"arcane trickster",P15&lt;&gt;"eldritch knight",R15&lt;&gt;"eldritch knight")),0,IF(AND(AF14=2,OR(O11="monk",O11="barbarian",O11="warlock"),OR(Q11="monk",Q11="barbarian",Q11="warlock")),0,IF(AND(AF14=2,OR(O11="monk",O11="barbarian",O11="warlock",Q11="monk",Q11="barbarian",Q11="warlock"),OR(P15="arcane trickster",R15="arcane trickster",P15="eldritch knight",R15="eldritch knight")),INDEX('Spell Tables'!E141:E160,MATCH(AF18,('Spell Tables'!A141:A160),0)),IF(AND(AF14=2,OR(O11="monk",O11="barbarian",O11="warlock",Q11="monk",Q11="barbarian",Q11="warlock"),OR(O11="paladin",Q11="paladin",O11="ranger",Q11="ranger")),INDEX('Spell Tables'!E119:E138,MATCH(AF18,('Spell Tables'!B119:B138),0)),IF(AF14=2,INDEX('Spell Tables'!E242:E261,MATCH(AF18,('Spell Tables'!B242:B261),0)),IF($P$15="arcane trickster",INDEX('Spell Tables'!$E$141:$E$161,MATCH($O$12,('Spell Tables'!$A$141:$A$160),0)),IF(OR($O$11="bard",$O$11="cleric",$O$11="druid",O11="sorcerer",O11="wizard"),INDEX('Spell Tables'!E$2:E$21,MATCH($O$12,('Spell Tables'!$A$2:$A$21),0)),IF($P$15="Eldritch Knight",INDEX('Spell Tables'!E70:E89,MATCH($O$12,('Spell Tables'!$A$70:$A$89),0))," "))))))))</f>
        <v xml:space="preserve"> </v>
      </c>
      <c r="S171" s="33" t="str">
        <f ca="1">IF(AND(AF14=2,OR(O11="monk",O11="barbarian",O11="warlock"),OR(Q11="fighter",Q11="rogue"),OR(P15&lt;&gt;"arcane trickster",R15&lt;&gt;"arcane trickster",P15&lt;&gt;"eldritch knight",R15&lt;&gt;"eldritch knight")),0,IF(AND(AF14=2,OR(O11="monk",O11="barbarian",O11="warlock"),OR(Q11="monk",Q11="barbarian",Q11="warlock")),0,IF(AND(AF14=2,OR(O11="monk",O11="barbarian",O11="warlock",Q11="monk",Q11="barbarian",Q11="warlock"),OR(P15="arcane trickster",R15="arcane trickster",P15="eldritch knight",R15="eldritch knight")),INDEX('Spell Tables'!F141:F160,MATCH(AF18,('Spell Tables'!A141:A160),0)),IF(AND(AF14=2,OR(O11="monk",O11="barbarian",O11="warlock",Q11="monk",Q11="barbarian",Q11="warlock"),OR(O11="paladin",Q11="paladin",O11="ranger",Q11="ranger")),INDEX('Spell Tables'!F119:F1383,MATCH(AF18,('Spell Tables'!B119:B138),0)),IF(AF14=2,INDEX('Spell Tables'!F242:F261,MATCH(AF18,('Spell Tables'!B242:B261),0)),IF($P$15="arcane trickster",INDEX('Spell Tables'!$F$141:$F$161,MATCH($O$12,('Spell Tables'!$A$141:$A$160),0)),IF(OR($O$11="bard",$O$11="cleric",$O$11="druid",O11="sorcerer",O11="wizard"),INDEX('Spell Tables'!F$2:F$21,MATCH($O$12,('Spell Tables'!$A$2:$A$21),0)),IF($P$15="Eldritch Knight",INDEX('Spell Tables'!F70:F89,MATCH($O$12,('Spell Tables'!$A$70:$A$89),0))," "))))))))</f>
        <v xml:space="preserve"> </v>
      </c>
      <c r="T171" s="72" t="str">
        <f ca="1">IF(AND(AF14=2,OR(O11="monk",O11="barbarian",O11="warlock"),OR(Q11="fighter",Q11="rogue"),OR(P15&lt;&gt;"arcane trickster",R15&lt;&gt;"arcane trickster",P15&lt;&gt;"eldritch knight",R15&lt;&gt;"eldritch knight")),0,IF(AND(AF14=2,OR(O11="monk",O11="barbarian",O11="warlock"),OR(Q11="monk",Q11="barbarian",Q11="warlock")),0,IF(AND(AF14=2,OR(O11="monk",O11="barbarian",O11="warlock",Q11="monk",Q11="barbarian",Q11="warlock"),OR(P15="arcane trickster",R15="arcane trickster",P15="eldritch knight",R15="eldritch knight")),INDEX('Spell Tables'!G141:G160,MATCH(AF18,('Spell Tables'!A141:A160),0)),IF(AND(AF14=2,OR(O11="monk",O11="barbarian",O11="warlock",Q11="monk",Q11="barbarian",Q11="warlock"),OR(O11="paladin",Q11="paladin",O11="ranger",Q11="ranger")),INDEX('Spell Tables'!G119:G138,MATCH(AF18,('Spell Tables'!B119:B138),0)),IF(AF14=2,INDEX('Spell Tables'!G242:G261,MATCH(AF18,('Spell Tables'!B242:B261),0)),IF($P$15="arcane trickster",INDEX('Spell Tables'!$G$141:$G$161,MATCH($O$12,('Spell Tables'!$A$141:$A$160),0)),IF(OR($O$11="bard",$O$11="cleric",$O$11="druid",O11="sorcerer",O11="wizard"),INDEX('Spell Tables'!G$2:G$21,MATCH($O$12,('Spell Tables'!$A$2:$A$21),0)),IF($P$15="Eldritch Knight",INDEX('Spell Tables'!G70:G89,MATCH($O$12,('Spell Tables'!$A$70:$A$89),0))," "))))))))</f>
        <v xml:space="preserve"> </v>
      </c>
      <c r="AJ171" s="29">
        <v>8</v>
      </c>
      <c r="AK171" s="29">
        <v>7</v>
      </c>
    </row>
    <row r="172" spans="1:38" hidden="1" x14ac:dyDescent="0.3">
      <c r="B172" s="112" t="s">
        <v>1270</v>
      </c>
      <c r="C172" s="33"/>
      <c r="D172" s="33"/>
      <c r="E172" s="33"/>
      <c r="F172" s="33"/>
      <c r="G172" s="33"/>
      <c r="H172" s="33"/>
      <c r="I172" s="33"/>
      <c r="J172" s="33"/>
      <c r="K172" s="33"/>
      <c r="L172" s="33"/>
      <c r="M172" s="33"/>
      <c r="N172" s="33"/>
      <c r="O172" s="33" t="s">
        <v>530</v>
      </c>
      <c r="P172" s="92" t="s">
        <v>530</v>
      </c>
      <c r="Q172" s="33" t="str">
        <f ca="1">IF(AND(O11="wizard",O12&gt;=3),"x",IF(O11="wizard","xx"," "))</f>
        <v xml:space="preserve"> </v>
      </c>
      <c r="R172" s="33" t="str">
        <f ca="1">IF(AND(O11="wizard",O12&gt;=5),"x",IF(AND($O$11="wizard",$O$12&gt;3),"xx",IF(AND(O11="wizard",O12=3),"xxx"," ")))</f>
        <v xml:space="preserve"> </v>
      </c>
      <c r="S172" s="33" t="str">
        <f ca="1">IF(AND(O11="Wizard",O12&gt;=7),"x",IF(AND($O$11="wizard",$O$12&gt;5),"xx",IF(AND(O11="wizard",O12=5),"xxx"," ")))</f>
        <v xml:space="preserve"> </v>
      </c>
      <c r="T172" s="33" t="str">
        <f ca="1">IF(AND(O11="wizard",O12&gt;=9),"x",IF(AND($O$11="wizard",$O$12&gt;7),"xx",IF(AND(O11="wizard",O12=7),"xxx"," ")))</f>
        <v xml:space="preserve"> </v>
      </c>
      <c r="AJ172" s="29">
        <v>9</v>
      </c>
      <c r="AK172" s="29">
        <v>7</v>
      </c>
    </row>
    <row r="173" spans="1:38" hidden="1" x14ac:dyDescent="0.3">
      <c r="B173" s="112" t="s">
        <v>1272</v>
      </c>
      <c r="C173" s="33"/>
      <c r="D173" s="33"/>
      <c r="E173" s="33"/>
      <c r="F173" s="33"/>
      <c r="G173" s="33"/>
      <c r="H173" s="33"/>
      <c r="I173" s="33"/>
      <c r="J173" s="33"/>
      <c r="K173" s="33"/>
      <c r="L173" s="33"/>
      <c r="M173" s="33"/>
      <c r="N173" s="33"/>
      <c r="O173" s="33" t="str">
        <f ca="1">IF(O11="wizard",P41+O12," ")</f>
        <v xml:space="preserve"> </v>
      </c>
      <c r="P173" s="92">
        <f ca="1">IF(O11="wizard",INDEX('Spell Tables'!C242:C261,MATCH(O12,('Spell Tables'!B242:B261),0)),0)</f>
        <v>0</v>
      </c>
      <c r="Q173" s="33">
        <f ca="1">IF($Q172="x",RANDBETWEEN(1,2),IF($Q172="xx",$O$173,0))</f>
        <v>0</v>
      </c>
      <c r="R173" s="33">
        <f ca="1">IF(R172="x",RANDBETWEEN(1,2),IF(R172="xx",$O$173-Q173,0))</f>
        <v>0</v>
      </c>
      <c r="S173" s="33">
        <f ca="1">IF(S172="x",O173-SUM(Q173:R173,U122:X122),IF(S172="xx",$O$173-SUM(Q173:R173),0))</f>
        <v>0</v>
      </c>
      <c r="T173" s="33">
        <f ca="1">IF(T172="x",RANDBETWEEN(1,2),IF(T172="xx",RANDBETWEEN(2,3),IF(T172="xxx",RANDBETWEEN(1,2),0)))</f>
        <v>0</v>
      </c>
      <c r="AJ173" s="29">
        <v>10</v>
      </c>
      <c r="AK173" s="29">
        <v>7</v>
      </c>
    </row>
    <row r="174" spans="1:38" hidden="1" x14ac:dyDescent="0.3">
      <c r="B174" s="112" t="s">
        <v>1269</v>
      </c>
      <c r="C174" s="33"/>
      <c r="D174" s="33"/>
      <c r="E174" s="33"/>
      <c r="F174" s="33"/>
      <c r="G174" s="33"/>
      <c r="H174" s="33"/>
      <c r="I174" s="33"/>
      <c r="J174" s="33"/>
      <c r="K174" s="33"/>
      <c r="L174" s="33"/>
      <c r="M174" s="33"/>
      <c r="N174" s="33"/>
      <c r="O174" s="33" t="s">
        <v>530</v>
      </c>
      <c r="P174" s="92" t="s">
        <v>530</v>
      </c>
      <c r="Q174" s="33" t="str">
        <f ca="1">IF(AND($O$11="warlock",$O$12&gt;=3),"x",IF(O11="warlock","xx"," "))</f>
        <v xml:space="preserve"> </v>
      </c>
      <c r="R174" s="33" t="str">
        <f ca="1">IF(AND($O$11="warlock",$O$12&gt;=5),"x",IF(AND($O$11="warlock",$O$12&gt;=3),"xx"," "))</f>
        <v xml:space="preserve"> </v>
      </c>
      <c r="S174" s="33" t="str">
        <f ca="1">IF(AND($O$11="warlock",$O$12&gt;=7),"x",IF(AND($O$11="warlock",$O$12&gt;=5),"xx"," "))</f>
        <v xml:space="preserve"> </v>
      </c>
      <c r="T174" s="33" t="str">
        <f ca="1">IF(AND($O$11="warlock",$O$12&gt;=9),"x",IF(AND($O$11="warlock",$O$12&gt;=7),"xx"," "))</f>
        <v xml:space="preserve"> </v>
      </c>
    </row>
    <row r="175" spans="1:38" hidden="1" x14ac:dyDescent="0.3">
      <c r="B175" s="112" t="s">
        <v>1268</v>
      </c>
      <c r="C175" s="33"/>
      <c r="D175" s="33"/>
      <c r="E175" s="33"/>
      <c r="F175" s="33"/>
      <c r="G175" s="33"/>
      <c r="H175" s="33"/>
      <c r="I175" s="33"/>
      <c r="J175" s="33"/>
      <c r="K175" s="33"/>
      <c r="L175" s="33"/>
      <c r="M175" s="33"/>
      <c r="N175" s="33"/>
      <c r="O175" s="33" t="str">
        <f ca="1">IF(O11="warlock",INDEX('Spell Tables'!C194:C213,MATCH($O$12,('Spell Tables'!A194:A213),0))," ")</f>
        <v xml:space="preserve"> </v>
      </c>
      <c r="P175" s="92">
        <f ca="1">IF($O$11="warlock",INDEX('Spell Tables'!B194:B213,MATCH($O$12,('Spell Tables'!A194:A213),0)),0)</f>
        <v>0</v>
      </c>
      <c r="Q175" s="33">
        <f ca="1">IF($Q174="x",RANDBETWEEN(1,2),IF($Q174="xx",$O$175,0))</f>
        <v>0</v>
      </c>
      <c r="R175" s="33">
        <f ca="1">IF(R174="x",RANDBETWEEN(1,2),IF(R174="xx",$O$175-Q175,0))</f>
        <v>0</v>
      </c>
      <c r="S175" s="33">
        <f ca="1">IF(S174="x",O175-SUM(Q175:R175,U124:X124),IF(S174="xx",$O$175-SUM(Q175:R175),0))</f>
        <v>0</v>
      </c>
      <c r="T175" s="33">
        <f ca="1">IF(T174="x",RANDBETWEEN(1,2),IF(T174="xx",RANDBETWEEN(2,3),0))</f>
        <v>0</v>
      </c>
      <c r="AJ175" s="31" t="s">
        <v>1668</v>
      </c>
    </row>
    <row r="176" spans="1:38" hidden="1" x14ac:dyDescent="0.3">
      <c r="B176" s="112" t="s">
        <v>1267</v>
      </c>
      <c r="C176" s="33"/>
      <c r="D176" s="33"/>
      <c r="E176" s="33"/>
      <c r="F176" s="33"/>
      <c r="G176" s="33"/>
      <c r="H176" s="33"/>
      <c r="I176" s="33"/>
      <c r="J176" s="33"/>
      <c r="K176" s="33"/>
      <c r="L176" s="33"/>
      <c r="M176" s="33"/>
      <c r="N176" s="33"/>
      <c r="O176" s="33" t="s">
        <v>530</v>
      </c>
      <c r="P176" s="92" t="s">
        <v>530</v>
      </c>
      <c r="Q176" s="33" t="str">
        <f ca="1">IF(AND($O$11="sorcerer",$O$12&gt;=3),"x",IF($O$11="sorcerer","xx"," "))</f>
        <v xml:space="preserve"> </v>
      </c>
      <c r="R176" s="33" t="str">
        <f ca="1">IF(AND($O$11="sorcerer",$O$12&gt;=5),"x",IF(AND($O$11="sorcerer",$O$12&gt;=3),"xx"," "))</f>
        <v xml:space="preserve"> </v>
      </c>
      <c r="S176" s="33" t="str">
        <f ca="1">IF(AND($O$11="sorcerer",$O$12&gt;=7),"x",IF(AND($O$11="sorcerer",$O$12&gt;=5),"xx"," "))</f>
        <v xml:space="preserve"> </v>
      </c>
      <c r="T176" s="33" t="str">
        <f ca="1">IF(AND($O$11="sorcerer",$O$12&gt;=9),"x",IF(AND($O$11="sorcerer",$O$12&gt;=7),"xx"," "))</f>
        <v xml:space="preserve"> </v>
      </c>
      <c r="AJ176" s="29">
        <v>1</v>
      </c>
      <c r="AK176" s="29">
        <v>8</v>
      </c>
    </row>
    <row r="177" spans="2:38" hidden="1" x14ac:dyDescent="0.3">
      <c r="B177" s="112" t="s">
        <v>1266</v>
      </c>
      <c r="C177" s="33"/>
      <c r="D177" s="33"/>
      <c r="E177" s="33"/>
      <c r="F177" s="33"/>
      <c r="G177" s="33"/>
      <c r="H177" s="33"/>
      <c r="I177" s="33"/>
      <c r="J177" s="33"/>
      <c r="K177" s="33"/>
      <c r="L177" s="33"/>
      <c r="M177" s="33"/>
      <c r="N177" s="33"/>
      <c r="O177" s="33" t="str">
        <f ca="1">IF(O11="sorcerer",INDEX('Spell Tables'!C168:C187,MATCH($O$12,('Spell Tables'!A168:A187),0))," ")</f>
        <v xml:space="preserve"> </v>
      </c>
      <c r="P177" s="92">
        <f ca="1">IF($O$11="sorcerer",INDEX('Spell Tables'!B168:B187,MATCH($O$12,('Spell Tables'!A168:A187),0)),0)</f>
        <v>0</v>
      </c>
      <c r="Q177" s="33">
        <f ca="1">IF($Q176="x",RANDBETWEEN(1,2),IF($Q176="xx",$O$177,0))</f>
        <v>0</v>
      </c>
      <c r="R177" s="33">
        <f ca="1">IF(R176="x",RANDBETWEEN(1,2),IF(R176="xx",$O$177-Q177,0))</f>
        <v>0</v>
      </c>
      <c r="S177" s="33">
        <f ca="1">IF(S176="x",O177-SUM(Q177:R177,U126:X126),IF(S176="xx",$O$177-SUM(Q177:R177),0))</f>
        <v>0</v>
      </c>
      <c r="T177" s="33">
        <f ca="1">IF(T176="x",RANDBETWEEN(1,2),IF(T176="xx",RANDBETWEEN(2,3),0))</f>
        <v>0</v>
      </c>
      <c r="AJ177" s="29">
        <v>2</v>
      </c>
      <c r="AK177" s="29">
        <v>8</v>
      </c>
    </row>
    <row r="178" spans="2:38" hidden="1" x14ac:dyDescent="0.3">
      <c r="B178" s="112" t="s">
        <v>1254</v>
      </c>
      <c r="C178" s="33"/>
      <c r="D178" s="33"/>
      <c r="E178" s="33"/>
      <c r="F178" s="33"/>
      <c r="G178" s="33"/>
      <c r="H178" s="33"/>
      <c r="I178" s="33"/>
      <c r="J178" s="33"/>
      <c r="K178" s="33"/>
      <c r="L178" s="33"/>
      <c r="M178" s="33"/>
      <c r="N178" s="33"/>
      <c r="O178" s="33" t="s">
        <v>530</v>
      </c>
      <c r="P178" s="92" t="s">
        <v>530</v>
      </c>
      <c r="Q178" s="33" t="str">
        <f ca="1">IF(AND(P15="arcane trickster",O12&gt;=7),"x",IF(P15="arcane trickster","xx"," "))</f>
        <v xml:space="preserve"> </v>
      </c>
      <c r="R178" s="33" t="str">
        <f ca="1">IF(AND(P15="arcane trickster",O12=13),"x",IF(AND(P15="arcane trickster",$O$12&gt;=7),"xx"," "))</f>
        <v xml:space="preserve"> </v>
      </c>
      <c r="S178" s="33" t="str">
        <f ca="1">IF(AND(P15="arcane trickster",O12&gt;=19),"x",IF(AND(P15="arcane trickster",$O$12&gt;=13),"xx"," "))</f>
        <v xml:space="preserve"> </v>
      </c>
      <c r="T178" s="33" t="str">
        <f ca="1">IF(AND(P15="arcane trickster",$O$12&gt;=19),"xx"," ")</f>
        <v xml:space="preserve"> </v>
      </c>
      <c r="AJ178" s="29">
        <v>3</v>
      </c>
      <c r="AK178" s="29">
        <v>8</v>
      </c>
    </row>
    <row r="179" spans="2:38" hidden="1" x14ac:dyDescent="0.3">
      <c r="B179" s="112" t="s">
        <v>1253</v>
      </c>
      <c r="C179" s="33"/>
      <c r="D179" s="33"/>
      <c r="E179" s="33"/>
      <c r="F179" s="33"/>
      <c r="G179" s="33"/>
      <c r="H179" s="33"/>
      <c r="I179" s="33"/>
      <c r="J179" s="33"/>
      <c r="K179" s="33"/>
      <c r="L179" s="33"/>
      <c r="M179" s="33"/>
      <c r="N179" s="33"/>
      <c r="O179" s="33" t="str">
        <f ca="1">IF(P15="arcane trickster",INDEX('Spell Tables'!C141:C160,MATCH($O$12,('Spell Tables'!A141:A160),0))," ")</f>
        <v xml:space="preserve"> </v>
      </c>
      <c r="P179" s="92">
        <f ca="1">IF($P$15="arcane trickster",INDEX('Spell Tables'!B141:B160,MATCH($O$12,('Spell Tables'!A141:A160),0)),0)</f>
        <v>0</v>
      </c>
      <c r="Q179" s="33">
        <f ca="1">IF($Q178="x",RANDBETWEEN(2,3),IF($Q178="xx",$O$179,0))</f>
        <v>0</v>
      </c>
      <c r="R179" s="33">
        <f ca="1">IF(R178="x",RANDBETWEEN(2,3),IF(R178="xx",$O$179-Q179,0))</f>
        <v>0</v>
      </c>
      <c r="S179" s="33">
        <f ca="1">IF(S178="x",O179-SUM(Q179:R179,U128:X128),IF(S178="xx",$O$179-SUM(Q179:R179),0))</f>
        <v>0</v>
      </c>
      <c r="T179" s="33">
        <f ca="1">IF(T178="x",RANDBETWEEN(1,2),IF(T178="xx",RANDBETWEEN(2,3),0))</f>
        <v>0</v>
      </c>
      <c r="AJ179" s="29">
        <v>4</v>
      </c>
      <c r="AK179" s="29">
        <v>8</v>
      </c>
      <c r="AL179" s="29" t="str">
        <f ca="1">IF(AND(O11="bard",O12&gt;=18),VLOOKUP(RANDBETWEEN(1,10),Table222346460802859916332389667[],2)," ")</f>
        <v xml:space="preserve"> </v>
      </c>
    </row>
    <row r="180" spans="2:38" hidden="1" x14ac:dyDescent="0.3">
      <c r="B180" s="112" t="s">
        <v>1247</v>
      </c>
      <c r="C180" s="33"/>
      <c r="D180" s="33"/>
      <c r="E180" s="33"/>
      <c r="F180" s="33"/>
      <c r="G180" s="33"/>
      <c r="H180" s="33"/>
      <c r="I180" s="33"/>
      <c r="J180" s="33"/>
      <c r="K180" s="33"/>
      <c r="L180" s="33"/>
      <c r="M180" s="33"/>
      <c r="N180" s="33"/>
      <c r="O180" s="33" t="s">
        <v>530</v>
      </c>
      <c r="P180" s="92" t="s">
        <v>1324</v>
      </c>
      <c r="Q180" s="33" t="str">
        <f ca="1">IF(AND($O$11="ranger",$O$12&gt;=5),"x",IF(AND(O11="ranger",O12&gt;=2),"xx"," "))</f>
        <v xml:space="preserve"> </v>
      </c>
      <c r="R180" s="33" t="str">
        <f ca="1">IF(AND($O$11="ranger",$O$12&gt;=9),"x",IF(AND($O$11="ranger",$O$12&gt;=5),"xx"," "))</f>
        <v xml:space="preserve"> </v>
      </c>
      <c r="S180" s="33" t="str">
        <f ca="1">IF(AND($O$11="ranger",$O$12&gt;=13),"x",IF(AND($O$11="ranger",$O$12&gt;=9),"xx"," "))</f>
        <v xml:space="preserve"> </v>
      </c>
      <c r="T180" s="33" t="str">
        <f ca="1">IF(AND($O$11="ranger",$O$12&gt;=17),"x",IF(AND($O$11="ranger",$O$12&gt;=13),"xx"," "))</f>
        <v xml:space="preserve"> </v>
      </c>
      <c r="AJ180" s="29">
        <v>5</v>
      </c>
      <c r="AK180" s="29">
        <v>9</v>
      </c>
      <c r="AL180" s="29" t="str">
        <f ca="1">IF(AND(O11="bard",O12&gt;=18),VLOOKUP(RANDBETWEEN(1,10),Table222346460802859916332389667[],2)," ")</f>
        <v xml:space="preserve"> </v>
      </c>
    </row>
    <row r="181" spans="2:38" hidden="1" x14ac:dyDescent="0.3">
      <c r="B181" s="112" t="s">
        <v>1246</v>
      </c>
      <c r="C181" s="33"/>
      <c r="D181" s="33"/>
      <c r="E181" s="33"/>
      <c r="F181" s="33"/>
      <c r="G181" s="33"/>
      <c r="H181" s="33"/>
      <c r="I181" s="33"/>
      <c r="J181" s="33"/>
      <c r="K181" s="33"/>
      <c r="L181" s="33"/>
      <c r="M181" s="33"/>
      <c r="N181" s="33"/>
      <c r="O181" s="33" t="str">
        <f ca="1">IF($O$11="ranger",INDEX('Spell Tables'!C119:C138,MATCH($O$12,('Spell Tables'!B119:B138),0))," ")</f>
        <v xml:space="preserve"> </v>
      </c>
      <c r="P181" s="92" t="s">
        <v>1324</v>
      </c>
      <c r="Q181" s="33">
        <f ca="1">IF($Q180="x",RANDBETWEEN(1,2),IF($Q180="xx",$O$181,0))</f>
        <v>0</v>
      </c>
      <c r="R181" s="33">
        <f ca="1">IF(R180="x",RANDBETWEEN(1,2),IF(R180="xx",$O$181-Q181,0))</f>
        <v>0</v>
      </c>
      <c r="S181" s="33">
        <f ca="1">IF(S180="x",O181-SUM(Q181:R181,T130:X130),IF(S180="xx",$O$181-SUM(Q181:R181),0))</f>
        <v>0</v>
      </c>
      <c r="T181" s="33">
        <f ca="1">IF(T180="x",RANDBETWEEN(1,2),IF(T180="xx",RANDBETWEEN(2,3),0))</f>
        <v>0</v>
      </c>
      <c r="AJ181" s="29">
        <v>6</v>
      </c>
      <c r="AK181" s="29">
        <v>9</v>
      </c>
    </row>
    <row r="182" spans="2:38" hidden="1" x14ac:dyDescent="0.3">
      <c r="B182" s="112" t="s">
        <v>1245</v>
      </c>
      <c r="C182" s="33"/>
      <c r="D182" s="33"/>
      <c r="E182" s="33"/>
      <c r="F182" s="33"/>
      <c r="G182" s="33"/>
      <c r="H182" s="33"/>
      <c r="I182" s="33"/>
      <c r="J182" s="33"/>
      <c r="K182" s="33"/>
      <c r="L182" s="33"/>
      <c r="M182" s="33"/>
      <c r="N182" s="33"/>
      <c r="O182" s="33" t="s">
        <v>530</v>
      </c>
      <c r="P182" s="92" t="s">
        <v>1324</v>
      </c>
      <c r="Q182" s="33" t="str">
        <f ca="1">IF(AND($O$11="paladin",$O$12&gt;=5),"x",IF($O$11="paladin","xx"," "))</f>
        <v>xx</v>
      </c>
      <c r="R182" s="33" t="str">
        <f ca="1">IF(AND(O11="paladin",O12&gt;=9),"x",IF(AND($O$11="paladin",$O$12&gt;=5),"xx"," "))</f>
        <v xml:space="preserve"> </v>
      </c>
      <c r="S182" s="33" t="str">
        <f ca="1">IF(AND(O11="paladin",O12&gt;=13),"x",IF(AND($O$11="paladin",$O$12&gt;=9),"xx"," "))</f>
        <v xml:space="preserve"> </v>
      </c>
      <c r="T182" s="33" t="str">
        <f ca="1">IF(AND(O11="paladin",O12&gt;=17),"x",IF(AND($O$11="paladin",$O$12&gt;=13),"xx"," "))</f>
        <v xml:space="preserve"> </v>
      </c>
      <c r="AJ182" s="29">
        <v>7</v>
      </c>
      <c r="AK182" s="29">
        <v>9</v>
      </c>
    </row>
    <row r="183" spans="2:38" hidden="1" x14ac:dyDescent="0.3">
      <c r="B183" s="112" t="s">
        <v>1244</v>
      </c>
      <c r="C183" s="33"/>
      <c r="D183" s="33"/>
      <c r="E183" s="33"/>
      <c r="F183" s="33"/>
      <c r="G183" s="33"/>
      <c r="H183" s="33"/>
      <c r="I183" s="33"/>
      <c r="J183" s="33"/>
      <c r="K183" s="33"/>
      <c r="L183" s="33"/>
      <c r="M183" s="33"/>
      <c r="N183" s="33"/>
      <c r="O183" s="33">
        <f ca="1">IF(O11="paladin",ROUNDDOWN(P43+(O12*0.5),0)," ")</f>
        <v>5</v>
      </c>
      <c r="P183" s="92" t="s">
        <v>1324</v>
      </c>
      <c r="Q183" s="33">
        <f ca="1">IF($Q182="x",RANDBETWEEN(1,2),IF($Q182="xx",$O$183,0))</f>
        <v>5</v>
      </c>
      <c r="R183" s="33">
        <f ca="1">IF(R182="x",RANDBETWEEN(1,2),IF(R182="xx",$O$183-Q183,0))</f>
        <v>0</v>
      </c>
      <c r="S183" s="33">
        <f ca="1">IF(S182="x",O183-SUM(Q183:R183,U132:X132),IF(S182="xx",$O$183-SUM(Q183:R183),0))</f>
        <v>0</v>
      </c>
      <c r="T183" s="33">
        <f ca="1">IF(T182="x",RANDBETWEEN(1,2),IF(T182="xx",RANDBETWEEN(2,3),0))</f>
        <v>0</v>
      </c>
      <c r="AJ183" s="29">
        <v>8</v>
      </c>
      <c r="AK183" s="29">
        <v>9</v>
      </c>
    </row>
    <row r="184" spans="2:38" hidden="1" x14ac:dyDescent="0.3">
      <c r="B184" s="112" t="s">
        <v>1226</v>
      </c>
      <c r="C184" s="33"/>
      <c r="D184" s="33"/>
      <c r="E184" s="33"/>
      <c r="F184" s="33"/>
      <c r="G184" s="33"/>
      <c r="H184" s="33"/>
      <c r="I184" s="33"/>
      <c r="J184" s="33"/>
      <c r="K184" s="33"/>
      <c r="L184" s="33"/>
      <c r="M184" s="33"/>
      <c r="N184" s="33"/>
      <c r="O184" s="33" t="s">
        <v>530</v>
      </c>
      <c r="P184" s="92" t="s">
        <v>530</v>
      </c>
      <c r="Q184" s="33" t="str">
        <f ca="1">IF(AND(P15="eldritch knight",O12&gt;=7),"x",IF(P15="eldritch knight","xx"," "))</f>
        <v xml:space="preserve"> </v>
      </c>
      <c r="R184" s="33" t="str">
        <f ca="1">IF(AND(P15="eldritch knight",O12&gt;=13),"x",IF(AND(P15="eldritch knight",$O$12&gt;=7),"xx"," "))</f>
        <v xml:space="preserve"> </v>
      </c>
      <c r="S184" s="33" t="str">
        <f ca="1">IF(AND(P15="eldritch knight",O12&gt;=19),"x",IF(AND(P15="eldritch knight",$O$12&gt;=13),"xx"," "))</f>
        <v xml:space="preserve"> </v>
      </c>
      <c r="T184" s="33" t="str">
        <f ca="1">IF(AND(P15="eldritch knight",$O$12&gt;=19),"xx"," ")</f>
        <v xml:space="preserve"> </v>
      </c>
      <c r="AJ184" s="29">
        <v>9</v>
      </c>
      <c r="AK184" s="29">
        <v>9</v>
      </c>
    </row>
    <row r="185" spans="2:38" hidden="1" x14ac:dyDescent="0.3">
      <c r="B185" s="112" t="s">
        <v>1222</v>
      </c>
      <c r="C185" s="33"/>
      <c r="D185" s="33"/>
      <c r="E185" s="33"/>
      <c r="F185" s="33"/>
      <c r="G185" s="33"/>
      <c r="H185" s="33"/>
      <c r="I185" s="33"/>
      <c r="J185" s="33"/>
      <c r="K185" s="33"/>
      <c r="L185" s="33"/>
      <c r="M185" s="33"/>
      <c r="N185" s="33"/>
      <c r="O185" s="33" t="str">
        <f ca="1">IF($P$15="eldritch knight",INDEX('Spell Tables'!C70:C89,MATCH($O$12,('Spell Tables'!$A$70:$A$89),0))," ")</f>
        <v xml:space="preserve"> </v>
      </c>
      <c r="P185" s="92">
        <f ca="1">IF($P$15="eldritch knight",INDEX('Spell Tables'!B70:B89,MATCH($O$12,('Spell Tables'!A70:A89),0)),0)</f>
        <v>0</v>
      </c>
      <c r="Q185" s="33">
        <f ca="1">IF($Q184="x",RANDBETWEEN(2,3),IF($Q184="xx",$O$185,0))</f>
        <v>0</v>
      </c>
      <c r="R185" s="33">
        <f ca="1">IF(R184="x",RANDBETWEEN(2,3),IF(R184="xx",$O$185-Q185,0))</f>
        <v>0</v>
      </c>
      <c r="S185" s="33">
        <f ca="1">IF(S184="x",O185-SUM(Q185:R185,U134:X134),IF(S184="xx",$O$185-SUM(Q185:R185),0))</f>
        <v>0</v>
      </c>
      <c r="T185" s="33">
        <f ca="1">IF(T184="x",RANDBETWEEN(1,2),IF(T184="xx",RANDBETWEEN(2,3),0))</f>
        <v>0</v>
      </c>
      <c r="AJ185" s="29">
        <v>10</v>
      </c>
      <c r="AK185" s="29">
        <v>9</v>
      </c>
    </row>
    <row r="186" spans="2:38" hidden="1" x14ac:dyDescent="0.3">
      <c r="B186" s="112" t="s">
        <v>1219</v>
      </c>
      <c r="C186" s="33"/>
      <c r="D186" s="33"/>
      <c r="E186" s="33"/>
      <c r="F186" s="33"/>
      <c r="G186" s="33"/>
      <c r="H186" s="33"/>
      <c r="I186" s="33"/>
      <c r="J186" s="33"/>
      <c r="K186" s="33"/>
      <c r="L186" s="33"/>
      <c r="M186" s="33"/>
      <c r="N186" s="33"/>
      <c r="O186" s="33" t="s">
        <v>530</v>
      </c>
      <c r="P186" s="92" t="s">
        <v>530</v>
      </c>
      <c r="Q186" s="33" t="str">
        <f ca="1">IF(AND($O$11="druid",$O$12&gt;=3),"x",IF($O$11="druid","xx"," "))</f>
        <v xml:space="preserve"> </v>
      </c>
      <c r="R186" s="33" t="str">
        <f ca="1">IF(AND($O$11="druid",$O$12&gt;=5),"x",IF(AND($O$11="druid",$O$12&gt;=3),"xx"," "))</f>
        <v xml:space="preserve"> </v>
      </c>
      <c r="S186" s="33" t="str">
        <f ca="1">IF(AND($O$11="druid",$O$12&gt;=7),"x",IF(AND($O$11="druid",$O$12&gt;=5),"xx"," "))</f>
        <v xml:space="preserve"> </v>
      </c>
      <c r="T186" s="33" t="str">
        <f ca="1">IF(AND($O$11="druid",$O$12&gt;=9),"x",IF(AND($O$11="druid",$O$12&gt;=7),"xx"," "))</f>
        <v xml:space="preserve"> </v>
      </c>
    </row>
    <row r="187" spans="2:38" hidden="1" x14ac:dyDescent="0.3">
      <c r="B187" s="112" t="s">
        <v>1220</v>
      </c>
      <c r="C187" s="33"/>
      <c r="D187" s="33"/>
      <c r="E187" s="33"/>
      <c r="F187" s="33"/>
      <c r="G187" s="33"/>
      <c r="H187" s="33"/>
      <c r="I187" s="33"/>
      <c r="J187" s="33"/>
      <c r="K187" s="33"/>
      <c r="L187" s="33"/>
      <c r="M187" s="33"/>
      <c r="N187" s="33"/>
      <c r="O187" s="33" t="str">
        <f ca="1">IF(O11="druid",O12+P42," ")</f>
        <v xml:space="preserve"> </v>
      </c>
      <c r="P187" s="92">
        <f ca="1">IF($O$11="druid",INDEX('Spell Tables'!C48:C67,MATCH($O$12,('Spell Tables'!B48:B67),0)),0)</f>
        <v>0</v>
      </c>
      <c r="Q187" s="33">
        <f ca="1">IF($Q186="x",RANDBETWEEN(1,2),IF($Q186="xx",$O$187,0))</f>
        <v>0</v>
      </c>
      <c r="R187" s="33">
        <f ca="1">IF(R186="x",RANDBETWEEN(1,2),IF(R186="xx",$O$187-Q187,0))</f>
        <v>0</v>
      </c>
      <c r="S187" s="33">
        <f ca="1">IF(S186="x",O187-SUM(Q187:R187,U136:X136),IF(S186="xx",$O$187-SUM(Q187:R187),0))</f>
        <v>0</v>
      </c>
      <c r="T187" s="33">
        <f ca="1">IF(T186="x",RANDBETWEEN(1,2),IF(T186="xx",RANDBETWEEN(2,3),0))</f>
        <v>0</v>
      </c>
      <c r="AJ187" s="31" t="s">
        <v>1670</v>
      </c>
    </row>
    <row r="188" spans="2:38" hidden="1" x14ac:dyDescent="0.3">
      <c r="B188" s="112" t="s">
        <v>1143</v>
      </c>
      <c r="C188" s="33"/>
      <c r="D188" s="33"/>
      <c r="E188" s="33"/>
      <c r="F188" s="33"/>
      <c r="G188" s="33"/>
      <c r="H188" s="33"/>
      <c r="I188" s="33"/>
      <c r="J188" s="33"/>
      <c r="K188" s="33"/>
      <c r="L188" s="33"/>
      <c r="M188" s="33"/>
      <c r="N188" s="33"/>
      <c r="O188" s="33" t="s">
        <v>530</v>
      </c>
      <c r="P188" s="92" t="s">
        <v>530</v>
      </c>
      <c r="Q188" s="33" t="str">
        <f ca="1">IF(AND(O11="cleric",O12&gt;=3),"x",IF(O11="cleric","xx"," "))</f>
        <v xml:space="preserve"> </v>
      </c>
      <c r="R188" s="33" t="str">
        <f ca="1">IF(AND(O11="cleric",O12&gt;=5),"x",IF(AND($O$11="cleric",$O$12&gt;=3),"xx"," "))</f>
        <v xml:space="preserve"> </v>
      </c>
      <c r="S188" s="33" t="str">
        <f ca="1">IF(AND(O11="cleric",O12&gt;=7),"x",IF(AND($O$11="cleric",$O$12&gt;=5),"xx"," "))</f>
        <v xml:space="preserve"> </v>
      </c>
      <c r="T188" s="33" t="str">
        <f ca="1">IF(AND(O11="cleric",O12&gt;=9),"x",IF(AND($O$11="cleric",$O$12&gt;=7),"xx"," "))</f>
        <v xml:space="preserve"> </v>
      </c>
      <c r="AJ188" s="29">
        <v>1</v>
      </c>
      <c r="AK188" s="29" t="s">
        <v>1671</v>
      </c>
    </row>
    <row r="189" spans="2:38" hidden="1" x14ac:dyDescent="0.3">
      <c r="B189" s="112" t="s">
        <v>1142</v>
      </c>
      <c r="C189" s="33"/>
      <c r="D189" s="33"/>
      <c r="E189" s="33"/>
      <c r="F189" s="33"/>
      <c r="G189" s="33"/>
      <c r="H189" s="33"/>
      <c r="I189" s="33"/>
      <c r="J189" s="33"/>
      <c r="K189" s="33"/>
      <c r="L189" s="33"/>
      <c r="M189" s="33"/>
      <c r="N189" s="33"/>
      <c r="O189" s="33" t="str">
        <f ca="1">IF(O11="cleric",O12+P42," ")</f>
        <v xml:space="preserve"> </v>
      </c>
      <c r="P189" s="92">
        <f ca="1">IF($O$11="cleric",INDEX('Spell Tables'!C26:C45,MATCH($O$12,('Spell Tables'!B26:B45),0)),0)</f>
        <v>0</v>
      </c>
      <c r="Q189" s="33">
        <f ca="1">IF($Q188="x",RANDBETWEEN(1,2),IF($Q188="xx",$O$189,0))</f>
        <v>0</v>
      </c>
      <c r="R189" s="33">
        <f ca="1">IF(R188="x",RANDBETWEEN(1,2),IF(R188="xx",$O$189-Q189,0))</f>
        <v>0</v>
      </c>
      <c r="S189" s="33">
        <f ca="1">IF(S188="x",O189-SUM(Q189:R189,U138:X138),IF(S188="xx",$O$189-SUM(Q189:R189),0))</f>
        <v>0</v>
      </c>
      <c r="T189" s="33">
        <f ca="1">IF(T188="x",RANDBETWEEN(1,2),IF(T188="xx",RANDBETWEEN(2,3),0))</f>
        <v>0</v>
      </c>
      <c r="AJ189" s="29">
        <v>2</v>
      </c>
      <c r="AK189" s="29">
        <v>1</v>
      </c>
    </row>
    <row r="190" spans="2:38" hidden="1" x14ac:dyDescent="0.3">
      <c r="B190" s="112" t="s">
        <v>1248</v>
      </c>
      <c r="C190" s="33"/>
      <c r="D190" s="33"/>
      <c r="E190" s="33"/>
      <c r="F190" s="33"/>
      <c r="G190" s="33"/>
      <c r="H190" s="33"/>
      <c r="I190" s="33"/>
      <c r="J190" s="33"/>
      <c r="K190" s="33"/>
      <c r="L190" s="33"/>
      <c r="M190" s="33"/>
      <c r="N190" s="33"/>
      <c r="O190" s="33" t="s">
        <v>530</v>
      </c>
      <c r="P190" s="92" t="s">
        <v>530</v>
      </c>
      <c r="Q190" s="33" t="str">
        <f ca="1">IF(AND($O$11="bard",$O$12&gt;=3),"x",IF($O$11="bard","xx"," "))</f>
        <v xml:space="preserve"> </v>
      </c>
      <c r="R190" s="33" t="str">
        <f ca="1">IF(AND($O$11="bard",$O$12&gt;=5),"x",IF(AND($O$11="bard",$O$12&gt;=3),"xx"," "))</f>
        <v xml:space="preserve"> </v>
      </c>
      <c r="S190" s="33" t="str">
        <f ca="1">IF(AND($O$11="bard",$O$12&gt;=7),"x",IF(AND($O$11="bard",$O$12&gt;=5),"xx"," "))</f>
        <v xml:space="preserve"> </v>
      </c>
      <c r="T190" s="33" t="str">
        <f ca="1">IF(AND($O$11="bard",$O$12&gt;=9),"x",IF(AND($O$11="bard",$O$12&gt;=7),"xx"," "))</f>
        <v xml:space="preserve"> </v>
      </c>
      <c r="AJ190" s="29">
        <v>3</v>
      </c>
      <c r="AK190" s="29">
        <v>1</v>
      </c>
    </row>
    <row r="191" spans="2:38" hidden="1" x14ac:dyDescent="0.3">
      <c r="B191" s="112" t="s">
        <v>1141</v>
      </c>
      <c r="C191" s="33"/>
      <c r="D191" s="33"/>
      <c r="E191" s="33"/>
      <c r="F191" s="33"/>
      <c r="G191" s="33"/>
      <c r="H191" s="33"/>
      <c r="I191" s="33"/>
      <c r="J191" s="33"/>
      <c r="K191" s="33"/>
      <c r="L191" s="33"/>
      <c r="M191" s="33"/>
      <c r="N191" s="33"/>
      <c r="O191" s="33" t="str">
        <f ca="1">IF($O$11="bard",INDEX('Spell Tables'!C$2:C$21,MATCH($O$12,('Spell Tables'!$A$2:$A$21),0))," ")</f>
        <v xml:space="preserve"> </v>
      </c>
      <c r="P191" s="92">
        <f ca="1">IF($O$11="bard",INDEX('Spell Tables'!B2:B21,MATCH($O$12,('Spell Tables'!A2:A21),0)),0)</f>
        <v>0</v>
      </c>
      <c r="Q191" s="33">
        <f ca="1">IF($Q190="x",RANDBETWEEN(1,2),IF($Q190="xx",$O$191,0))</f>
        <v>0</v>
      </c>
      <c r="R191" s="33">
        <f ca="1">IF(R190="x",RANDBETWEEN(1,2),IF(R190="xx",$O$191-Q191,0))</f>
        <v>0</v>
      </c>
      <c r="S191" s="33">
        <f ca="1">IF(S190="x",O191-SUM(Q191:R191,U140:X140),IF(S190="xx",$O$191-SUM(Q191:R191),0))</f>
        <v>0</v>
      </c>
      <c r="T191" s="33">
        <f ca="1">IF(T190="x",RANDBETWEEN(1,2),IF(T190="xx",RANDBETWEEN(2,3),0))</f>
        <v>0</v>
      </c>
      <c r="AJ191" s="29">
        <v>4</v>
      </c>
      <c r="AK191" s="29">
        <v>2</v>
      </c>
      <c r="AL191" s="29" t="str">
        <f ca="1">IF(AND(P15="college of lore",O12&gt;=6),VLOOKUP(RANDBETWEEN(1,10),Table250347461803860917333390668[],2),IF(AND(R15="college of lore",Q12&gt;=6),VLOOKUP(RANDBETWEEN(1,10),Table250347461803860917333390668[],2)," "))</f>
        <v xml:space="preserve"> </v>
      </c>
    </row>
    <row r="192" spans="2:38" x14ac:dyDescent="0.3">
      <c r="B192" s="112" t="s">
        <v>1122</v>
      </c>
      <c r="C192" s="33"/>
      <c r="D192" s="33"/>
      <c r="E192" s="33"/>
      <c r="F192" s="33"/>
      <c r="G192" s="33"/>
      <c r="H192" s="33"/>
      <c r="I192" s="33"/>
      <c r="J192" s="33"/>
      <c r="K192" s="33"/>
      <c r="L192" s="33"/>
      <c r="M192" s="33"/>
      <c r="N192" s="33"/>
      <c r="O192" s="33"/>
      <c r="P192" s="92" t="s">
        <v>1124</v>
      </c>
      <c r="Q192" s="92" t="s">
        <v>1326</v>
      </c>
      <c r="R192" s="92" t="s">
        <v>1167</v>
      </c>
      <c r="S192" s="92" t="s">
        <v>1168</v>
      </c>
      <c r="T192" s="92" t="s">
        <v>676</v>
      </c>
      <c r="AJ192" s="29">
        <v>5</v>
      </c>
      <c r="AK192" s="29">
        <v>2</v>
      </c>
      <c r="AL192" s="29" t="str">
        <f ca="1">IF(AND(P15="college of lore",O12&gt;=6),VLOOKUP(RANDBETWEEN(1,10),Table250347461803860917333390668[],2),IF(AND(R15="college of lore",Q12&gt;=6),VLOOKUP(RANDBETWEEN(1,10),Table250347461803860917333390668[],2)," "))</f>
        <v xml:space="preserve"> </v>
      </c>
    </row>
    <row r="193" spans="2:37" x14ac:dyDescent="0.3">
      <c r="B193" s="79">
        <f ca="1">IF(OR(O11="bard",O11="paladin",O11="sorcerer",O11="warlock"),8+$P$8+$P$43,IF(OR(O11="druid",O11="cleric",O11="ranger"),8+P8+P42,IF(OR(P15="eldritch knight",P15="arcane trickster",O11="wizard"),8+P8+P41," ")))</f>
        <v>14</v>
      </c>
      <c r="C193" s="33"/>
      <c r="D193" s="33"/>
      <c r="E193" s="33"/>
      <c r="F193" s="33"/>
      <c r="G193" s="33"/>
      <c r="H193" s="33"/>
      <c r="I193" s="33"/>
      <c r="J193" s="33"/>
      <c r="K193" s="33"/>
      <c r="L193" s="33"/>
      <c r="M193" s="33"/>
      <c r="N193" s="33"/>
      <c r="O193" s="34">
        <v>1</v>
      </c>
      <c r="P193" s="33" t="str">
        <f ca="1">IF(P$173&gt;=O193,INDEX('Spell Tables'!$P$242:$P$257,MATCH(O193,('Spell Tables'!$N$242:$N$257),0)),IF(P$175&gt;=O193,INDEX('Spell Tables'!$P$194:$P$201,MATCH(O193,('Spell Tables'!$N$194:$N$201),0)),IF(P$177&gt;=O193,INDEX('Spell Tables'!$P$168:$P$183,MATCH(O193,('Spell Tables'!$N$168:$N$183),0)),IF(P$179&gt;=O193,INDEX('Spell Tables'!$P$141:$P$156,MATCH(O193,('Spell Tables'!$N$141:$N$157),0)),IF(P$185&gt;=O193,INDEX('Spell Tables'!$P$70:$P$83,MATCH(O193,('Spell Tables'!$N$70:$N$83),0)),IF(P$187&gt;=O193,INDEX('Spell Tables'!$P$48:$P$55,MATCH(O193,('Spell Tables'!$N$48:$N$55),0)),IF(P$189&gt;=O193,INDEX('Spell Tables'!$P$26:$P$32,MATCH(O193,('Spell Tables'!$N$26:$N$32),0)),IF(P$191&gt;=O193,INDEX('Spell Tables'!$P$2:$P$12,MATCH(O193,('Spell Tables'!$N$2:$N$12),0))," "))))))))</f>
        <v xml:space="preserve"> </v>
      </c>
      <c r="Q193" s="33" t="str">
        <f ca="1">IF(AND($O$15="Otherworldly patron - great old one",Q$175&gt;=O193),INDEX('Spell Tables'!$T$226:$T$238,MATCH(O193,('Spell Tables'!$R$226:$R$238),0)),IF(AND($O$15="Otherworldly patron - fiend",Q$175&gt;=O193),INDEX('Spell Tables'!$T$210:$T$222,MATCH(O193,('Spell Tables'!$R$210:$R$222),0)),IF(Q$173&gt;=O193,INDEX($AL$44:$AL$53,MATCH(O193,($AJ$44:$AJ$53),0)),IF(AND($O$15="Otherworldly patron - archfey",Q$175&gt;=O193),INDEX('Spell Tables'!$T$194:$T$206,MATCH(O193,('Spell Tables'!$R$194:$R$206),0)),IF(Q$177&gt;=O193,INDEX('Spell Tables'!$T$168:$T$187,MATCH(O193,('Spell Tables'!$R$168:$R$187),0)),IF(Q$179&gt;=O193,INDEX('Spell Tables'!$T$141:$T$147,MATCH(O193,('Spell Tables'!$R$141:$R$147),0)),IF(Q$181&gt;=O193,INDEX('Spell Tables'!$P$119:$P$131,MATCH(O193,('Spell Tables'!$N$119:$N$131),0)),IF(Q$183&gt;=O193,INDEX('Spell Tables'!$P$97:$P$111,MATCH(O193,('Spell Tables'!$N$97:$N$111),0)),IF(Q$185&gt;=O193,INDEX('Spell Tables'!$T$70:$T$78,MATCH(O193,('Spell Tables'!$R$70:$R$78),0)),IF(Q$187&gt;=O193,INDEX('Spell Tables'!$T$48:$T$63,MATCH(O193,('Spell Tables'!$R$48:$R$63),0)),IF(Q$189&gt;=O193,INDEX('Spell Tables'!$T$26:$T$40,MATCH(O193,('Spell Tables'!$R$26:$R$40),0)),IF(Q$191&gt;=O193,INDEX('Spell Tables'!$T$2:$T$22,MATCH(O193,('Spell Tables'!$R$2:$R$22),0))," "))))))))))))</f>
        <v>Protection from Evil and Good</v>
      </c>
      <c r="R193" s="33" t="str">
        <f ca="1">IF(AND($O$15="Otherworldly patron - great old one",R$175&gt;=O193),INDEX('Spell Tables'!$X$226:$X$239,MATCH(O193,('Spell Tables'!$V$226:$V$239),0)),IF(AND($O$15="Otherworldly patron - fiend",R$175&gt;=O193),INDEX('Spell Tables'!$X$210:$X$223,MATCH(O193,('Spell Tables'!$V$210:$V$223),0)),IF(AND($O$15="Otherworldly patron - archfey",R$175&gt;=O193),INDEX('Spell Tables'!$X$194:$X$207,MATCH(O193,('Spell Tables'!$V$194:$V$207),0)),IF($R$173&gt;=O193,INDEX($AL$56:$AL$65,MATCH(O193,($AJ$56:$AJ$65),0)),IF($R$177&gt;=O193,INDEX('Spell Tables'!$X$168:$X$191,MATCH(O193,('Spell Tables'!$V$168:$V$191),0)),IF($R$179&gt;=O193,INDEX('Spell Tables'!$AB$141:$AB$149,MATCH(O193,('Spell Tables'!$Z$141:$Z$149),0)),IF($R$181&gt;=O193,INDEX('Spell Tables'!$T$119:$T$131,MATCH(O193,('Spell Tables'!$R$119:$R$131),0)),IF($R$183&gt;=O193,INDEX('Spell Tables'!$T$97:$T$104,MATCH(O193,('Spell Tables'!$R$97:$R$104),0)),IF($R$185&gt;=O193,INDEX('Spell Tables'!$AB$70:$AB$75,MATCH(O193,('Spell Tables'!$Z$70:$Z$75),0)),IF($R$187&gt;=O193,INDEX('Spell Tables'!$X$48:$X$65,MATCH(O193,('Spell Tables'!$V$48:$V$65),0)),IF($R$189&gt;=O193,INDEX('Spell Tables'!$X$26:$X$42,MATCH(O193,('Spell Tables'!$V$26:$V$42),0)),IF($R$191&gt;=O193,INDEX('Spell Tables'!$X$2:$X$23,MATCH(O193,('Spell Tables'!$V$2:$V$23),0))," "))))))))))))</f>
        <v xml:space="preserve"> </v>
      </c>
      <c r="S193" s="33" t="str">
        <f ca="1">IF(AND($O$15="Otherworldly patron - great old one",S$175&gt;=O193),INDEX('Spell Tables'!$AB$226:$AB$238,MATCH(O193,('Spell Tables'!$Z$226:$Z$238),0)),IF(AND($O$15="Otherworldly patron - fiend",S$175&gt;=O193),INDEX('Spell Tables'!$AB$210:$AB$222,MATCH(O193,('Spell Tables'!$Z$210:$Z$222),0)),IF(AND($O$15="Otherworldly patron - archfey",S$175&gt;=O193),INDEX('Spell Tables'!$AB$194:$AB$206,MATCH(O193,('Spell Tables'!$Z$194:$Z$206),0)),IF($S$173&gt;=O193,INDEX($AL$68:$AL$77,MATCH(O193,($AJ$68:$AJ$77),0)),IF($S$177&gt;=O193,INDEX('Spell Tables'!$AB$168:$AB$187,MATCH(O193,('Spell Tables'!$Z$168:$Z$187),0)),IF($S$179&gt;=O193,INDEX('Spell Tables'!$AJ$141:$AJ$144,MATCH(O193,('Spell Tables'!$AH$141:$AH$144),0)),IF($S$181&gt;=O193,INDEX('Spell Tables'!$X$119:$X$129,MATCH(O193,('Spell Tables'!$V$119:$V$129),0)),IF($S$183&gt;=O193,INDEX('Spell Tables'!$X$97:$X$106,MATCH(O193,('Spell Tables'!$V$97:$V$106),0)),IF($S$185&gt;=O193,INDEX('Spell Tables'!$AJ$70:$AJ$79,MATCH(O193,('Spell Tables'!$AH$70:$AH$79),0)),IF($S$187&gt;=O193,INDEX('Spell Tables'!$AB$48:$AB$60,MATCH(O193,('Spell Tables'!$Z$48:$Z$60),0)),IF($S$189&gt;=O193,INDEX('Spell Tables'!$AB$26:$AB$45,MATCH(O193,('Spell Tables'!$Z$26:$Z$45),0)),IF($S$191&gt;=O193,INDEX('Spell Tables'!$AB$2:$AB$17,MATCH(O193,('Spell Tables'!$Z$2:$Z$17),0))," "))))))))))))</f>
        <v xml:space="preserve"> </v>
      </c>
      <c r="T193" s="33" t="str">
        <f ca="1">IF(AND($O$15="Otherworldly patron - great old one",T$175&gt;=O193),INDEX('Spell Tables'!$AF$226:$AF$231,MATCH(O193,('Spell Tables'!$AD$226:$AD$231),0)),IF(AND($O$15="Otherworldly patron - fiend",T$175&gt;=O193),INDEX('Spell Tables'!$AF$210:$AF$215,MATCH(O193,('Spell Tables'!$AD$210:$AD$215),0)),IF(AND($O$15="Otherworldly patron - archfey",T$175&gt;=O193),INDEX('Spell Tables'!$AF$194:$AF$199,MATCH(O193,('Spell Tables'!$AD$194:$AD$199),0)),IF($T$173&gt;=O193,INDEX($AL$80:$AL$89,MATCH(O193,($AJ$80:$AJ$89),0)),IF($T$177&gt;=O193,INDEX('Spell Tables'!$AF$168:$AF$177,MATCH(O193,('Spell Tables'!$AD$168:$AD$177),0)),IF($T$179&gt;=O193,INDEX('Spell Tables'!$AR$141:$AR$144,MATCH(O193,('Spell Tables'!$AP$141:$AP$144),0)),IF($T$181&gt;=O193,INDEX('Spell Tables'!$AB$119:$AB$123,MATCH(O193,('Spell Tables'!$Z$119:$Z$123),0)),IF($T$183&gt;=O193,INDEX('Spell Tables'!$AB$97:$AB$102,MATCH(O193,('Spell Tables'!$Z$97:$Z$102),0)),IF($T$185&gt;=O193,INDEX('Spell Tables'!$AR$70:$AR$75,MATCH(O193,('Spell Tables'!$AP$70:$AP$75),0)),IF($T$187&gt;=O193,INDEX('Spell Tables'!$AF$48:$AF$63,MATCH(O193,('Spell Tables'!$AD$48:$AD$63),0)),IF($T$189&gt;=O193,INDEX('Spell Tables'!$AF$26:$AF$33,MATCH(O193,('Spell Tables'!$AD$26:$AD$33),0)),IF($T$191&gt;=O193,INDEX('Spell Tables'!$AF$2:$AF$9,MATCH(O193,('Spell Tables'!$AD$2:$AD$9),0))," "))))))))))))</f>
        <v xml:space="preserve"> </v>
      </c>
      <c r="AJ193" s="29">
        <v>6</v>
      </c>
      <c r="AK193" s="29">
        <v>2</v>
      </c>
    </row>
    <row r="194" spans="2:37" x14ac:dyDescent="0.3">
      <c r="B194" s="112" t="s">
        <v>1123</v>
      </c>
      <c r="C194" s="33"/>
      <c r="D194" s="33"/>
      <c r="E194" s="33"/>
      <c r="F194" s="33"/>
      <c r="G194" s="33"/>
      <c r="H194" s="33"/>
      <c r="I194" s="33"/>
      <c r="J194" s="33"/>
      <c r="K194" s="33"/>
      <c r="L194" s="33"/>
      <c r="M194" s="33"/>
      <c r="N194" s="33"/>
      <c r="O194" s="34">
        <v>2</v>
      </c>
      <c r="P194" s="33" t="str">
        <f ca="1">IF(P$173&gt;=O194,INDEX('Spell Tables'!$P$242:$P$257,MATCH(O194,('Spell Tables'!$N$242:$N$257),0)),IF(P$175&gt;=O194,INDEX('Spell Tables'!$P$194:$P$201,MATCH(O194,('Spell Tables'!$N$194:$N$201),0)),IF(P$177&gt;=O194,INDEX('Spell Tables'!$P$168:$P$183,MATCH(O194,('Spell Tables'!$N$168:$N$183),0)),IF(P$179&gt;=O194,INDEX('Spell Tables'!$P$141:$P$156,MATCH(O194,('Spell Tables'!$N$141:$N$157),0)),IF(P$185&gt;=O194,INDEX('Spell Tables'!$P$70:$P$83,MATCH(O194,('Spell Tables'!$N$70:$N$83),0)),IF(P$187&gt;=O194,INDEX('Spell Tables'!$P$48:$P$55,MATCH(O194,('Spell Tables'!$N$48:$N$55),0)),IF(P$189&gt;=O194,INDEX('Spell Tables'!$P$26:$P$32,MATCH(O194,('Spell Tables'!$N$26:$N$32),0)),IF(P$191&gt;=O194,INDEX('Spell Tables'!$P$2:$P$12,MATCH(O194,('Spell Tables'!$N$2:$N$12),0))," "))))))))</f>
        <v xml:space="preserve"> </v>
      </c>
      <c r="Q194" s="33" t="str">
        <f ca="1">IF(AND($O$15="Otherworldly patron - great old one",Q$175&gt;=O194),INDEX('Spell Tables'!$T$226:$T$238,MATCH(O194,('Spell Tables'!$R$226:$R$238),0)),IF(AND($O$15="Otherworldly patron - fiend",Q$175&gt;=O194),INDEX('Spell Tables'!$T$210:$T$222,MATCH(O194,('Spell Tables'!$R$210:$R$222),0)),IF(Q$173&gt;=O194,INDEX($AL$44:$AL$53,MATCH(O194,($AJ$44:$AJ$53),0)),IF(AND($O$15="Otherworldly patron - archfey",Q$175&gt;=O194),INDEX('Spell Tables'!$T$194:$T$206,MATCH(O194,('Spell Tables'!$R$194:$R$206),0)),IF(Q$177&gt;=O194,INDEX('Spell Tables'!$T$168:$T$187,MATCH(O194,('Spell Tables'!$R$168:$R$187),0)),IF(Q$179&gt;=O194,INDEX('Spell Tables'!$T$141:$T$147,MATCH(O194,('Spell Tables'!$R$141:$R$147),0)),IF(Q$181&gt;=O194,INDEX('Spell Tables'!$P$119:$P$131,MATCH(O194,('Spell Tables'!$N$119:$N$131),0)),IF(Q$183&gt;=O194,INDEX('Spell Tables'!$P$97:$P$111,MATCH(O194,('Spell Tables'!$N$97:$N$111),0)),IF(Q$185&gt;=O194,INDEX('Spell Tables'!$T$70:$T$78,MATCH(O194,('Spell Tables'!$R$70:$R$78),0)),IF(Q$187&gt;=O194,INDEX('Spell Tables'!$T$48:$T$63,MATCH(O194,('Spell Tables'!$R$48:$R$63),0)),IF(Q$189&gt;=O194,INDEX('Spell Tables'!$T$26:$T$40,MATCH(O194,('Spell Tables'!$R$26:$R$40),0)),IF(Q$191&gt;=O194,INDEX('Spell Tables'!$T$2:$T$22,MATCH(O194,('Spell Tables'!$R$2:$R$22),0))," "))))))))))))</f>
        <v>Purify Food and Drink</v>
      </c>
      <c r="R194" s="33" t="str">
        <f ca="1">IF(AND($O$15="Otherworldly patron - great old one",R$175&gt;=O194),INDEX('Spell Tables'!$X$226:$X$239,MATCH(O194,('Spell Tables'!$V$226:$V$239),0)),IF(AND($O$15="Otherworldly patron - fiend",R$175&gt;=O194),INDEX('Spell Tables'!$X$210:$X$223,MATCH(O194,('Spell Tables'!$V$210:$V$223),0)),IF(AND($O$15="Otherworldly patron - archfey",R$175&gt;=O194),INDEX('Spell Tables'!$X$194:$X$207,MATCH(O194,('Spell Tables'!$V$194:$V$207),0)),IF($R$173&gt;=O194,INDEX($AL$56:$AL$65,MATCH(O194,($AJ$56:$AJ$65),0)),IF($R$177&gt;=O194,INDEX('Spell Tables'!$X$168:$X$191,MATCH(O194,('Spell Tables'!$V$168:$V$191),0)),IF($R$179&gt;=O194,INDEX('Spell Tables'!$AB$141:$AB$149,MATCH(O194,('Spell Tables'!$Z$141:$Z$149),0)),IF($R$181&gt;=O194,INDEX('Spell Tables'!$T$119:$T$131,MATCH(O194,('Spell Tables'!$R$119:$R$131),0)),IF($R$183&gt;=O194,INDEX('Spell Tables'!$T$97:$T$104,MATCH(O194,('Spell Tables'!$R$97:$R$104),0)),IF($R$185&gt;=O194,INDEX('Spell Tables'!$AB$70:$AB$75,MATCH(O194,('Spell Tables'!$Z$70:$Z$75),0)),IF($R$187&gt;=O194,INDEX('Spell Tables'!$X$48:$X$65,MATCH(O194,('Spell Tables'!$V$48:$V$65),0)),IF($R$189&gt;=O194,INDEX('Spell Tables'!$X$26:$X$42,MATCH(O194,('Spell Tables'!$V$26:$V$42),0)),IF($R$191&gt;=O194,INDEX('Spell Tables'!$X$2:$X$23,MATCH(O194,('Spell Tables'!$V$2:$V$23),0))," "))))))))))))</f>
        <v xml:space="preserve"> </v>
      </c>
      <c r="S194" s="33" t="str">
        <f ca="1">IF(AND($O$15="Otherworldly patron - great old one",S$175&gt;=O194),INDEX('Spell Tables'!$AB$226:$AB$238,MATCH(O194,('Spell Tables'!$Z$226:$Z$238),0)),IF(AND($O$15="Otherworldly patron - fiend",S$175&gt;=O194),INDEX('Spell Tables'!$AB$210:$AB$222,MATCH(O194,('Spell Tables'!$Z$210:$Z$222),0)),IF(AND($O$15="Otherworldly patron - archfey",S$175&gt;=O194),INDEX('Spell Tables'!$AB$194:$AB$206,MATCH(O194,('Spell Tables'!$Z$194:$Z$206),0)),IF($S$173&gt;=O194,INDEX($AL$68:$AL$77,MATCH(O194,($AJ$68:$AJ$77),0)),IF($S$177&gt;=O194,INDEX('Spell Tables'!$AB$168:$AB$187,MATCH(O194,('Spell Tables'!$Z$168:$Z$187),0)),IF($S$179&gt;=O194,INDEX('Spell Tables'!$AJ$141:$AJ$144,MATCH(O194,('Spell Tables'!$AH$141:$AH$144),0)),IF($S$181&gt;=O194,INDEX('Spell Tables'!$X$119:$X$129,MATCH(O194,('Spell Tables'!$V$119:$V$129),0)),IF($S$183&gt;=O194,INDEX('Spell Tables'!$X$97:$X$106,MATCH(O194,('Spell Tables'!$V$97:$V$106),0)),IF($S$185&gt;=O194,INDEX('Spell Tables'!$AJ$70:$AJ$79,MATCH(O194,('Spell Tables'!$AH$70:$AH$79),0)),IF($S$187&gt;=O194,INDEX('Spell Tables'!$AB$48:$AB$60,MATCH(O194,('Spell Tables'!$Z$48:$Z$60),0)),IF($S$189&gt;=O194,INDEX('Spell Tables'!$AB$26:$AB$45,MATCH(O194,('Spell Tables'!$Z$26:$Z$45),0)),IF($S$191&gt;=O194,INDEX('Spell Tables'!$AB$2:$AB$17,MATCH(O194,('Spell Tables'!$Z$2:$Z$17),0))," "))))))))))))</f>
        <v xml:space="preserve"> </v>
      </c>
      <c r="T194" s="33" t="str">
        <f ca="1">IF(AND($O$15="Otherworldly patron - great old one",T$175&gt;=O194),INDEX('Spell Tables'!$AF$226:$AF$231,MATCH(O194,('Spell Tables'!$AD$226:$AD$231),0)),IF(AND($O$15="Otherworldly patron - fiend",T$175&gt;=O194),INDEX('Spell Tables'!$AF$210:$AF$215,MATCH(O194,('Spell Tables'!$AD$210:$AD$215),0)),IF(AND($O$15="Otherworldly patron - archfey",T$175&gt;=O194),INDEX('Spell Tables'!$AF$194:$AF$199,MATCH(O194,('Spell Tables'!$AD$194:$AD$199),0)),IF($T$173&gt;=O194,INDEX($AL$80:$AL$89,MATCH(O194,($AJ$80:$AJ$89),0)),IF($T$177&gt;=O194,INDEX('Spell Tables'!$AF$168:$AF$177,MATCH(O194,('Spell Tables'!$AD$168:$AD$177),0)),IF($T$179&gt;=O194,INDEX('Spell Tables'!$AR$141:$AR$144,MATCH(O194,('Spell Tables'!$AP$141:$AP$144),0)),IF($T$181&gt;=O194,INDEX('Spell Tables'!$AB$119:$AB$123,MATCH(O194,('Spell Tables'!$Z$119:$Z$123),0)),IF($T$183&gt;=O194,INDEX('Spell Tables'!$AB$97:$AB$102,MATCH(O194,('Spell Tables'!$Z$97:$Z$102),0)),IF($T$185&gt;=O194,INDEX('Spell Tables'!$AR$70:$AR$75,MATCH(O194,('Spell Tables'!$AP$70:$AP$75),0)),IF($T$187&gt;=O194,INDEX('Spell Tables'!$AF$48:$AF$63,MATCH(O194,('Spell Tables'!$AD$48:$AD$63),0)),IF($T$189&gt;=O194,INDEX('Spell Tables'!$AF$26:$AF$33,MATCH(O194,('Spell Tables'!$AD$26:$AD$33),0)),IF($T$191&gt;=O194,INDEX('Spell Tables'!$AF$2:$AF$9,MATCH(O194,('Spell Tables'!$AD$2:$AD$9),0))," "))))))))))))</f>
        <v xml:space="preserve"> </v>
      </c>
      <c r="AJ194" s="29">
        <v>7</v>
      </c>
      <c r="AK194" s="29">
        <v>3</v>
      </c>
    </row>
    <row r="195" spans="2:37" x14ac:dyDescent="0.3">
      <c r="B195" s="79">
        <f ca="1">IF(OR(O11="bard",O11="paladin",O11="sorcerer",O11="warlock"),P8+$P$43,IF(OR(O11="druid",O11="cleric",O11="ranger"),P8+P42,IF(OR(P15="eldritch knight",P15="arcane trickster",O11="wizard"),P8+P41," ")))</f>
        <v>6</v>
      </c>
      <c r="C195" s="33"/>
      <c r="D195" s="33"/>
      <c r="E195" s="33"/>
      <c r="F195" s="33"/>
      <c r="G195" s="33"/>
      <c r="H195" s="33"/>
      <c r="I195" s="33"/>
      <c r="J195" s="33"/>
      <c r="K195" s="33"/>
      <c r="L195" s="33"/>
      <c r="M195" s="33"/>
      <c r="N195" s="33"/>
      <c r="O195" s="34">
        <v>3</v>
      </c>
      <c r="P195" s="33" t="str">
        <f ca="1">IF(P$173&gt;=O195,INDEX('Spell Tables'!$P$242:$P$257,MATCH(O195,('Spell Tables'!$N$242:$N$257),0)),IF(P$175&gt;=O195,INDEX('Spell Tables'!$P$194:$P$201,MATCH(O195,('Spell Tables'!$N$194:$N$201),0)),IF(P$177&gt;=O195,INDEX('Spell Tables'!$P$168:$P$183,MATCH(O195,('Spell Tables'!$N$168:$N$183),0)),IF(P$179&gt;=O195,INDEX('Spell Tables'!$P$141:$P$156,MATCH(O195,('Spell Tables'!$N$141:$N$157),0)),IF(P$185&gt;=O195,INDEX('Spell Tables'!$P$70:$P$83,MATCH(O195,('Spell Tables'!$N$70:$N$83),0)),IF(P$187&gt;=O195,INDEX('Spell Tables'!$P$48:$P$55,MATCH(O195,('Spell Tables'!$N$48:$N$55),0)),IF(P$189&gt;=O195,INDEX('Spell Tables'!$P$26:$P$32,MATCH(O195,('Spell Tables'!$N$26:$N$32),0)),IF(P$191&gt;=O195,INDEX('Spell Tables'!$P$2:$P$12,MATCH(O195,('Spell Tables'!$N$2:$N$12),0))," "))))))))</f>
        <v xml:space="preserve"> </v>
      </c>
      <c r="Q195" s="33" t="str">
        <f ca="1">IF(AND($O$15="Otherworldly patron - great old one",Q$175&gt;=O195),INDEX('Spell Tables'!$T$226:$T$238,MATCH(O195,('Spell Tables'!$R$226:$R$238),0)),IF(AND($O$15="Otherworldly patron - fiend",Q$175&gt;=O195),INDEX('Spell Tables'!$T$210:$T$222,MATCH(O195,('Spell Tables'!$R$210:$R$222),0)),IF(Q$173&gt;=O195,INDEX($AL$44:$AL$53,MATCH(O195,($AJ$44:$AJ$53),0)),IF(AND($O$15="Otherworldly patron - archfey",Q$175&gt;=O195),INDEX('Spell Tables'!$T$194:$T$206,MATCH(O195,('Spell Tables'!$R$194:$R$206),0)),IF(Q$177&gt;=O195,INDEX('Spell Tables'!$T$168:$T$187,MATCH(O195,('Spell Tables'!$R$168:$R$187),0)),IF(Q$179&gt;=O195,INDEX('Spell Tables'!$T$141:$T$147,MATCH(O195,('Spell Tables'!$R$141:$R$147),0)),IF(Q$181&gt;=O195,INDEX('Spell Tables'!$P$119:$P$131,MATCH(O195,('Spell Tables'!$N$119:$N$131),0)),IF(Q$183&gt;=O195,INDEX('Spell Tables'!$P$97:$P$111,MATCH(O195,('Spell Tables'!$N$97:$N$111),0)),IF(Q$185&gt;=O195,INDEX('Spell Tables'!$T$70:$T$78,MATCH(O195,('Spell Tables'!$R$70:$R$78),0)),IF(Q$187&gt;=O195,INDEX('Spell Tables'!$T$48:$T$63,MATCH(O195,('Spell Tables'!$R$48:$R$63),0)),IF(Q$189&gt;=O195,INDEX('Spell Tables'!$T$26:$T$40,MATCH(O195,('Spell Tables'!$R$26:$R$40),0)),IF(Q$191&gt;=O195,INDEX('Spell Tables'!$T$2:$T$22,MATCH(O195,('Spell Tables'!$R$2:$R$22),0))," "))))))))))))</f>
        <v>Compelled Duel</v>
      </c>
      <c r="R195" s="33" t="str">
        <f ca="1">IF(AND($O$15="Otherworldly patron - great old one",R$175&gt;=O195),INDEX('Spell Tables'!$X$226:$X$239,MATCH(O195,('Spell Tables'!$V$226:$V$239),0)),IF(AND($O$15="Otherworldly patron - fiend",R$175&gt;=O195),INDEX('Spell Tables'!$X$210:$X$223,MATCH(O195,('Spell Tables'!$V$210:$V$223),0)),IF(AND($O$15="Otherworldly patron - archfey",R$175&gt;=O195),INDEX('Spell Tables'!$X$194:$X$207,MATCH(O195,('Spell Tables'!$V$194:$V$207),0)),IF($R$173&gt;=O195,INDEX($AL$56:$AL$65,MATCH(O195,($AJ$56:$AJ$65),0)),IF($R$177&gt;=O195,INDEX('Spell Tables'!$X$168:$X$191,MATCH(O195,('Spell Tables'!$V$168:$V$191),0)),IF($R$179&gt;=O195,INDEX('Spell Tables'!$AB$141:$AB$149,MATCH(O195,('Spell Tables'!$Z$141:$Z$149),0)),IF($R$181&gt;=O195,INDEX('Spell Tables'!$T$119:$T$131,MATCH(O195,('Spell Tables'!$R$119:$R$131),0)),IF($R$183&gt;=O195,INDEX('Spell Tables'!$T$97:$T$104,MATCH(O195,('Spell Tables'!$R$97:$R$104),0)),IF($R$185&gt;=O195,INDEX('Spell Tables'!$AB$70:$AB$75,MATCH(O195,('Spell Tables'!$Z$70:$Z$75),0)),IF($R$187&gt;=O195,INDEX('Spell Tables'!$X$48:$X$65,MATCH(O195,('Spell Tables'!$V$48:$V$65),0)),IF($R$189&gt;=O195,INDEX('Spell Tables'!$X$26:$X$42,MATCH(O195,('Spell Tables'!$V$26:$V$42),0)),IF($R$191&gt;=O195,INDEX('Spell Tables'!$X$2:$X$23,MATCH(O195,('Spell Tables'!$V$2:$V$23),0))," "))))))))))))</f>
        <v xml:space="preserve"> </v>
      </c>
      <c r="S195" s="33" t="str">
        <f ca="1">IF(AND($O$15="Otherworldly patron - great old one",S$175&gt;=O195),INDEX('Spell Tables'!$AB$226:$AB$238,MATCH(O195,('Spell Tables'!$Z$226:$Z$238),0)),IF(AND($O$15="Otherworldly patron - fiend",S$175&gt;=O195),INDEX('Spell Tables'!$AB$210:$AB$222,MATCH(O195,('Spell Tables'!$Z$210:$Z$222),0)),IF(AND($O$15="Otherworldly patron - archfey",S$175&gt;=O195),INDEX('Spell Tables'!$AB$194:$AB$206,MATCH(O195,('Spell Tables'!$Z$194:$Z$206),0)),IF($S$173&gt;=O197,INDEX($AL$68:$AL$77,MATCH(O195,($AJ$68:$AJ$77),0)),IF($S$177&gt;=O195,INDEX('Spell Tables'!$AB$168:$AB$187,MATCH(O195,('Spell Tables'!$Z$168:$Z$187),0)),IF($S$179&gt;=O195,INDEX('Spell Tables'!$AJ$141:$AJ$144,MATCH(O195,('Spell Tables'!$AH$141:$AH$144),0)),IF($S$181&gt;=O195,INDEX('Spell Tables'!$X$119:$X$129,MATCH(O195,('Spell Tables'!$V$119:$V$129),0)),IF($S$183&gt;=O195,INDEX('Spell Tables'!$X$97:$X$106,MATCH(O195,('Spell Tables'!$V$97:$V$106),0)),IF($S$185&gt;=O195,INDEX('Spell Tables'!$AJ$70:$AJ$79,MATCH(O195,('Spell Tables'!$AH$70:$AH$79),0)),IF($S$187&gt;=O195,INDEX('Spell Tables'!$AB$48:$AB$60,MATCH(O195,('Spell Tables'!$Z$48:$Z$60),0)),IF($S$189&gt;=O195,INDEX('Spell Tables'!$AB$26:$AB$45,MATCH(O195,('Spell Tables'!$Z$26:$Z$45),0)),IF($S$191&gt;=O195,INDEX('Spell Tables'!$AB$2:$AB$17,MATCH(O195,('Spell Tables'!$Z$2:$Z$17),0))," "))))))))))))</f>
        <v xml:space="preserve"> </v>
      </c>
      <c r="T195" s="33" t="str">
        <f ca="1">IF(AND($O$15="Otherworldly patron - great old one",T$175&gt;=O195),INDEX('Spell Tables'!$AF$226:$AF$231,MATCH(O195,('Spell Tables'!$AD$226:$AD$231),0)),IF(AND($O$15="Otherworldly patron - fiend",T$175&gt;=O195),INDEX('Spell Tables'!$AF$210:$AF$215,MATCH(O195,('Spell Tables'!$AD$210:$AD$215),0)),IF(AND($O$15="Otherworldly patron - archfey",T$175&gt;=O195),INDEX('Spell Tables'!$AF$194:$AF$199,MATCH(O195,('Spell Tables'!$AD$194:$AD$199),0)),IF($T$173&gt;=O195,INDEX($AL$80:$AL$89,MATCH(O195,($AJ$80:$AJ$89),0)),IF($T$177&gt;=O195,INDEX('Spell Tables'!$AF$168:$AF$177,MATCH(O195,('Spell Tables'!$AD$168:$AD$177),0)),IF($T$179&gt;=O195,INDEX('Spell Tables'!$AR$141:$AR$144,MATCH(O195,('Spell Tables'!$AP$141:$AP$144),0)),IF($T$181&gt;=O195,INDEX('Spell Tables'!$AB$119:$AB$123,MATCH(O195,('Spell Tables'!$Z$119:$Z$123),0)),IF($T$183&gt;=O195,INDEX('Spell Tables'!$AB$97:$AB$102,MATCH(O195,('Spell Tables'!$Z$97:$Z$102),0)),IF($T$185&gt;=O195,INDEX('Spell Tables'!$AR$70:$AR$75,MATCH(O195,('Spell Tables'!$AP$70:$AP$75),0)),IF($T$187&gt;=O195,INDEX('Spell Tables'!$AF$48:$AF$63,MATCH(O195,('Spell Tables'!$AD$48:$AD$63),0)),IF($T$189&gt;=O195,INDEX('Spell Tables'!$AF$26:$AF$33,MATCH(O195,('Spell Tables'!$AD$26:$AD$33),0)),IF($T$191&gt;=O195,INDEX('Spell Tables'!$AF$2:$AF$9,MATCH(O195,('Spell Tables'!$AD$2:$AD$9),0))," "))))))))))))</f>
        <v xml:space="preserve"> </v>
      </c>
      <c r="AJ195" s="29">
        <v>8</v>
      </c>
      <c r="AK195" s="29">
        <v>3</v>
      </c>
    </row>
    <row r="196" spans="2:37" x14ac:dyDescent="0.3">
      <c r="B196" s="79"/>
      <c r="C196" s="33"/>
      <c r="D196" s="33"/>
      <c r="E196" s="33"/>
      <c r="F196" s="33"/>
      <c r="G196" s="33"/>
      <c r="H196" s="33"/>
      <c r="I196" s="33"/>
      <c r="J196" s="33"/>
      <c r="K196" s="33"/>
      <c r="L196" s="33"/>
      <c r="M196" s="33"/>
      <c r="N196" s="33"/>
      <c r="O196" s="34">
        <v>4</v>
      </c>
      <c r="P196" s="33" t="str">
        <f ca="1">IF(P$173&gt;=O196,INDEX('Spell Tables'!$P$242:$P$257,MATCH(O196,('Spell Tables'!$N$242:$N$257),0)),IF(P$175&gt;=O196,INDEX('Spell Tables'!$P$194:$P$201,MATCH(O196,('Spell Tables'!$N$194:$N$201),0)),IF(P$177&gt;=O196,INDEX('Spell Tables'!$P$168:$P$183,MATCH(O196,('Spell Tables'!$N$168:$N$183),0)),IF(P$179&gt;=O196,INDEX('Spell Tables'!$P$141:$P$156,MATCH(O196,('Spell Tables'!$N$141:$N$157),0)),IF(P$185&gt;=O196,INDEX('Spell Tables'!$P$70:$P$83,MATCH(O196,('Spell Tables'!$N$70:$N$83),0)),IF(P$187&gt;=O196,INDEX('Spell Tables'!$P$48:$P$55,MATCH(O196,('Spell Tables'!$N$48:$N$55),0)),IF(P$189&gt;=O196,INDEX('Spell Tables'!$P$26:$P$32,MATCH(O196,('Spell Tables'!$N$26:$N$32),0)),IF(P$191&gt;=O196,INDEX('Spell Tables'!$P$2:$P$12,MATCH(O196,('Spell Tables'!$N$2:$N$12),0))," "))))))))</f>
        <v xml:space="preserve"> </v>
      </c>
      <c r="Q196" s="33" t="str">
        <f ca="1">IF(AND($O$15="Otherworldly patron - great old one",Q$175&gt;=O196),INDEX('Spell Tables'!$T$226:$T$238,MATCH(O196,('Spell Tables'!$R$226:$R$238),0)),IF(AND($O$15="Otherworldly patron - fiend",Q$175&gt;=O196),INDEX('Spell Tables'!$T$210:$T$222,MATCH(O196,('Spell Tables'!$R$210:$R$222),0)),IF(Q$173&gt;=O196,INDEX($AL$44:$AL$53,MATCH(O196,($AJ$44:$AJ$53),0)),IF(AND($O$15="Otherworldly patron - archfey",Q$175&gt;=O196),INDEX('Spell Tables'!$T$194:$T$206,MATCH(O196,('Spell Tables'!$R$194:$R$206),0)),IF(Q$177&gt;=O196,INDEX('Spell Tables'!$T$168:$T$187,MATCH(O196,('Spell Tables'!$R$168:$R$187),0)),IF(Q$179&gt;=O196,INDEX('Spell Tables'!$T$141:$T$147,MATCH(O196,('Spell Tables'!$R$141:$R$147),0)),IF(Q$181&gt;=O196,INDEX('Spell Tables'!$P$119:$P$131,MATCH(O196,('Spell Tables'!$N$119:$N$131),0)),IF(Q$183&gt;=O196,INDEX('Spell Tables'!$P$97:$P$111,MATCH(O196,('Spell Tables'!$N$97:$N$111),0)),IF(Q$185&gt;=O196,INDEX('Spell Tables'!$T$70:$T$78,MATCH(O196,('Spell Tables'!$R$70:$R$78),0)),IF(Q$187&gt;=O196,INDEX('Spell Tables'!$T$48:$T$63,MATCH(O196,('Spell Tables'!$R$48:$R$63),0)),IF(Q$189&gt;=O196,INDEX('Spell Tables'!$T$26:$T$40,MATCH(O196,('Spell Tables'!$R$26:$R$40),0)),IF(Q$191&gt;=O196,INDEX('Spell Tables'!$T$2:$T$22,MATCH(O196,('Spell Tables'!$R$2:$R$22),0))," "))))))))))))</f>
        <v>Command</v>
      </c>
      <c r="R196" s="33" t="str">
        <f ca="1">IF(AND($O$15="Otherworldly patron - great old one",R$175&gt;=O196),INDEX('Spell Tables'!$X$226:$X$239,MATCH(O196,('Spell Tables'!$V$226:$V$239),0)),IF(AND($O$15="Otherworldly patron - fiend",R$175&gt;=O196),INDEX('Spell Tables'!$X$210:$X$223,MATCH(O196,('Spell Tables'!$V$210:$V$223),0)),IF(AND($O$15="Otherworldly patron - archfey",R$175&gt;=O196),INDEX('Spell Tables'!$X$194:$X$207,MATCH(O196,('Spell Tables'!$V$194:$V$207),0)),IF($R$173&gt;=O196,INDEX($AL$56:$AL$65,MATCH(O196,($AJ$56:$AJ$65),0)),IF($R$177&gt;=O196,INDEX('Spell Tables'!$X$168:$X$191,MATCH(O196,('Spell Tables'!$V$168:$V$191),0)),IF($R$179&gt;=O196,INDEX('Spell Tables'!$AB$141:$AB$149,MATCH(O196,('Spell Tables'!$Z$141:$Z$149),0)),IF($R$181&gt;=O196,INDEX('Spell Tables'!$T$119:$T$131,MATCH(O196,('Spell Tables'!$R$119:$R$131),0)),IF($R$183&gt;=O196,INDEX('Spell Tables'!$T$97:$T$104,MATCH(O196,('Spell Tables'!$R$97:$R$104),0)),IF($R$185&gt;=O196,INDEX('Spell Tables'!$AB$70:$AB$75,MATCH(O196,('Spell Tables'!$Z$70:$Z$75),0)),IF($R$187&gt;=O196,INDEX('Spell Tables'!$X$48:$X$65,MATCH(O196,('Spell Tables'!$V$48:$V$65),0)),IF($R$189&gt;=O196,INDEX('Spell Tables'!$X$26:$X$42,MATCH(O196,('Spell Tables'!$V$26:$V$42),0)),IF($R$191&gt;=O196,INDEX('Spell Tables'!$X$2:$X$23,MATCH(O196,('Spell Tables'!$V$2:$V$23),0))," "))))))))))))</f>
        <v xml:space="preserve"> </v>
      </c>
      <c r="S196" s="33" t="str">
        <f ca="1">IF(AND($O$15="Otherworldly patron - great old one",S$175&gt;=O196),INDEX('Spell Tables'!$AB$226:$AB$238,MATCH(O196,('Spell Tables'!$Z$226:$Z$238),0)),IF(AND($O$15="Otherworldly patron - fiend",S$175&gt;=O196),INDEX('Spell Tables'!$AB$210:$AB$222,MATCH(O196,('Spell Tables'!$Z$210:$Z$222),0)),IF(AND($O$15="Otherworldly patron - archfey",S$175&gt;=O196),INDEX('Spell Tables'!$AB$194:$AB$206,MATCH(O196,('Spell Tables'!$Z$194:$Z$206),0)),IF($S$173&gt;=O196,INDEX($AL$68:$AL$77,MATCH(O196,($AJ$68:$AJ$77),0)),IF($S$177&gt;=O196,INDEX('Spell Tables'!$AB$168:$AB$187,MATCH(O196,('Spell Tables'!$Z$168:$Z$187),0)),IF($S$179&gt;=O196,INDEX('Spell Tables'!$AJ$141:$AJ$144,MATCH(O196,('Spell Tables'!$AH$141:$AH$144),0)),IF($S$181&gt;=O196,INDEX('Spell Tables'!$X$119:$X$129,MATCH(O196,('Spell Tables'!$V$119:$V$129),0)),IF($S$183&gt;=O196,INDEX('Spell Tables'!$X$97:$X$106,MATCH(O196,('Spell Tables'!$V$97:$V$106),0)),IF($S$185&gt;=O196,INDEX('Spell Tables'!$AJ$70:$AJ$79,MATCH(O196,('Spell Tables'!$AH$70:$AH$79),0)),IF($S$187&gt;=O196,INDEX('Spell Tables'!$AB$48:$AB$60,MATCH(O196,('Spell Tables'!$Z$48:$Z$60),0)),IF($S$189&gt;=O196,INDEX('Spell Tables'!$AB$26:$AB$45,MATCH(O196,('Spell Tables'!$Z$26:$Z$45),0)),IF($S$191&gt;=O196,INDEX('Spell Tables'!$AB$2:$AB$17,MATCH(O196,('Spell Tables'!$Z$2:$Z$17),0))," "))))))))))))</f>
        <v xml:space="preserve"> </v>
      </c>
      <c r="T196" s="33" t="str">
        <f ca="1">IF(AND($O$15="Otherworldly patron - great old one",T$175&gt;=O196),INDEX('Spell Tables'!$AF$226:$AF$231,MATCH(O196,('Spell Tables'!$AD$226:$AD$231),0)),IF(AND($O$15="Otherworldly patron - fiend",T$175&gt;=O196),INDEX('Spell Tables'!$AF$210:$AF$215,MATCH(O196,('Spell Tables'!$AD$210:$AD$215),0)),IF(AND($O$15="Otherworldly patron - archfey",T$175&gt;=O196),INDEX('Spell Tables'!$AF$194:$AF$199,MATCH(O196,('Spell Tables'!$AD$194:$AD$199),0)),IF($T$173&gt;=O196,INDEX($AL$80:$AL$89,MATCH(O196,($AJ$80:$AJ$89),0)),IF($T$177&gt;=O196,INDEX('Spell Tables'!$AF$168:$AF$177,MATCH(O196,('Spell Tables'!$AD$168:$AD$177),0)),IF($T$179&gt;=O196,INDEX('Spell Tables'!$AR$141:$AR$144,MATCH(O196,('Spell Tables'!$AP$141:$AP$144),0)),IF($T$181&gt;=O196,INDEX('Spell Tables'!$AB$119:$AB$123,MATCH(O196,('Spell Tables'!$Z$119:$Z$123),0)),IF($T$183&gt;=O196,INDEX('Spell Tables'!$AB$97:$AB$102,MATCH(O196,('Spell Tables'!$Z$97:$Z$102),0)),IF($T$185&gt;=O196,INDEX('Spell Tables'!$AR$70:$AR$75,MATCH(O196,('Spell Tables'!$AP$70:$AP$75),0)),IF($T$187&gt;=O196,INDEX('Spell Tables'!$AF$48:$AF$63,MATCH(O196,('Spell Tables'!$AD$48:$AD$63),0)),IF($T$189&gt;=O196,INDEX('Spell Tables'!$AF$26:$AF$33,MATCH(O196,('Spell Tables'!$AD$26:$AD$33),0)),IF($T$191&gt;=O196,INDEX('Spell Tables'!$AF$2:$AF$9,MATCH(O196,('Spell Tables'!$AD$2:$AD$9),0))," "))))))))))))</f>
        <v xml:space="preserve"> </v>
      </c>
      <c r="AJ196" s="29">
        <v>9</v>
      </c>
      <c r="AK196" s="29">
        <v>3</v>
      </c>
    </row>
    <row r="197" spans="2:37" x14ac:dyDescent="0.3">
      <c r="B197" s="79"/>
      <c r="C197" s="33"/>
      <c r="D197" s="33"/>
      <c r="E197" s="33"/>
      <c r="F197" s="33"/>
      <c r="G197" s="33"/>
      <c r="H197" s="33"/>
      <c r="I197" s="33"/>
      <c r="J197" s="33"/>
      <c r="K197" s="33"/>
      <c r="L197" s="33"/>
      <c r="M197" s="33"/>
      <c r="N197" s="33"/>
      <c r="O197" s="34">
        <v>5</v>
      </c>
      <c r="P197" s="33" t="str">
        <f ca="1">IF(P$173&gt;=O197,INDEX('Spell Tables'!$P$242:$P$257,MATCH(O197,('Spell Tables'!$N$242:$N$257),0)),IF(P$175&gt;=O197,INDEX('Spell Tables'!$P$194:$P$201,MATCH(O197,('Spell Tables'!$N$194:$N$201),0)),IF(P$177&gt;=O197,INDEX('Spell Tables'!$P$168:$P$183,MATCH(O197,('Spell Tables'!$N$168:$N$183),0)),IF(P$179&gt;=O197,INDEX('Spell Tables'!$P$141:$P$156,MATCH(O197,('Spell Tables'!$N$141:$N$157),0)),IF(P$185&gt;=O197,INDEX('Spell Tables'!$P$70:$P$83,MATCH(O197,('Spell Tables'!$N$70:$N$83),0)),IF(P$187&gt;=O197,INDEX('Spell Tables'!$P$48:$P$55,MATCH(O197,('Spell Tables'!$N$48:$N$55),0)),IF(P$189&gt;=O197,INDEX('Spell Tables'!$P$26:$P$32,MATCH(O197,('Spell Tables'!$N$26:$N$32),0)),IF(P$191&gt;=O197,INDEX('Spell Tables'!$P$2:$P$12,MATCH(O197,('Spell Tables'!$N$2:$N$12),0))," "))))))))</f>
        <v xml:space="preserve"> </v>
      </c>
      <c r="Q197" s="33" t="str">
        <f ca="1">IF(AND($O$15="Otherworldly patron - great old one",Q$175&gt;=O197),INDEX('Spell Tables'!$T$226:$T$238,MATCH(O197,('Spell Tables'!$R$226:$R$238),0)),IF(AND($O$15="Otherworldly patron - fiend",Q$175&gt;=O197),INDEX('Spell Tables'!$T$210:$T$222,MATCH(O197,('Spell Tables'!$R$210:$R$222),0)),IF(Q$173&gt;=O197,INDEX($AL$44:$AL$53,MATCH(O197,($AJ$44:$AJ$53),0)),IF(AND($O$15="Otherworldly patron - archfey",Q$175&gt;=O197),INDEX('Spell Tables'!$T$194:$T$206,MATCH(O197,('Spell Tables'!$R$194:$R$206),0)),IF(Q$177&gt;=O197,INDEX('Spell Tables'!$T$168:$T$187,MATCH(O197,('Spell Tables'!$R$168:$R$187),0)),IF(Q$179&gt;=O197,INDEX('Spell Tables'!$T$141:$T$147,MATCH(O197,('Spell Tables'!$R$141:$R$147),0)),IF(Q$181&gt;=O197,INDEX('Spell Tables'!$P$119:$P$131,MATCH(O197,('Spell Tables'!$N$119:$N$131),0)),IF(Q$183&gt;=O197,INDEX('Spell Tables'!$P$97:$P$111,MATCH(O197,('Spell Tables'!$N$97:$N$111),0)),IF(Q$185&gt;=O197,INDEX('Spell Tables'!$T$70:$T$78,MATCH(O197,('Spell Tables'!$R$70:$R$78),0)),IF(Q$187&gt;=O197,INDEX('Spell Tables'!$T$48:$T$63,MATCH(O197,('Spell Tables'!$R$48:$R$63),0)),IF(Q$189&gt;=O197,INDEX('Spell Tables'!$T$26:$T$40,MATCH(O197,('Spell Tables'!$R$26:$R$40),0)),IF(Q$191&gt;=O197,INDEX('Spell Tables'!$T$2:$T$22,MATCH(O197,('Spell Tables'!$R$2:$R$22),0))," "))))))))))))</f>
        <v>Wrathful Smite</v>
      </c>
      <c r="R197" s="33" t="str">
        <f ca="1">IF(AND($O$15="Otherworldly patron - great old one",R$175&gt;=O197),INDEX('Spell Tables'!$X$226:$X$239,MATCH(O197,('Spell Tables'!$V$226:$V$239),0)),IF(AND($O$15="Otherworldly patron - fiend",R$175&gt;=O197),INDEX('Spell Tables'!$X$210:$X$223,MATCH(O197,('Spell Tables'!$V$210:$V$223),0)),IF(AND($O$15="Otherworldly patron - archfey",R$175&gt;=O197),INDEX('Spell Tables'!$X$194:$X$207,MATCH(O197,('Spell Tables'!$V$194:$V$207),0)),IF($R$173&gt;=O197,INDEX($AL$56:$AL$65,MATCH(O197,($AJ$56:$AJ$65),0)),IF($R$177&gt;=O197,INDEX('Spell Tables'!$X$168:$X$191,MATCH(O197,('Spell Tables'!$V$168:$V$191),0)),IF($R$179&gt;=O197,INDEX('Spell Tables'!$AB$141:$AB$149,MATCH(O197,('Spell Tables'!$Z$141:$Z$149),0)),IF($R$181&gt;=O197,INDEX('Spell Tables'!$T$119:$T$131,MATCH(O197,('Spell Tables'!$R$119:$R$131),0)),IF($R$183&gt;=O197,INDEX('Spell Tables'!$T$97:$T$104,MATCH(O197,('Spell Tables'!$R$97:$R$104),0)),IF($R$185&gt;=O197,INDEX('Spell Tables'!$AB$70:$AB$75,MATCH(O197,('Spell Tables'!$Z$70:$Z$75),0)),IF($R$187&gt;=O197,INDEX('Spell Tables'!$X$48:$X$65,MATCH(O197,('Spell Tables'!$V$48:$V$65),0)),IF($R$189&gt;=O197,INDEX('Spell Tables'!$X$26:$X$42,MATCH(O197,('Spell Tables'!$V$26:$V$42),0)),IF($R$191&gt;=O197,INDEX('Spell Tables'!$X$2:$X$23,MATCH(O197,('Spell Tables'!$V$2:$V$23),0))," "))))))))))))</f>
        <v xml:space="preserve"> </v>
      </c>
      <c r="S197" s="33" t="str">
        <f ca="1">IF(AND($O$15="Otherworldly patron - great old one",S$175&gt;=O197),INDEX('Spell Tables'!$AB$226:$AB$238,MATCH(O197,('Spell Tables'!$Z$226:$Z$238),0)),IF(AND($O$15="Otherworldly patron - fiend",S$175&gt;=O197),INDEX('Spell Tables'!$AB$210:$AB$222,MATCH(O197,('Spell Tables'!$Z$210:$Z$222),0)),IF(AND($O$15="Otherworldly patron - archfey",S$175&gt;=O197),INDEX('Spell Tables'!$AB$194:$AB$206,MATCH(O197,('Spell Tables'!$Z$194:$Z$206),0)),IF($S$173&gt;=O197,INDEX($AL$68:$AL$77,MATCH(O197,($AJ$68:$AJ$77),0)),IF($S$177&gt;=O197,INDEX('Spell Tables'!$AB$168:$AB$187,MATCH(O197,('Spell Tables'!$Z$168:$Z$187),0)),IF($S$179&gt;=O197,INDEX('Spell Tables'!$AJ$141:$AJ$144,MATCH(O197,('Spell Tables'!$AH$141:$AH$144),0)),IF($S$181&gt;=O197,INDEX('Spell Tables'!$X$119:$X$129,MATCH(O197,('Spell Tables'!$V$119:$V$129),0)),IF($S$183&gt;=O197,INDEX('Spell Tables'!$X$97:$X$106,MATCH(O197,('Spell Tables'!$V$97:$V$106),0)),IF($S$185&gt;=O197,INDEX('Spell Tables'!$AJ$70:$AJ$79,MATCH(O197,('Spell Tables'!$AH$70:$AH$79),0)),IF($S$187&gt;=O197,INDEX('Spell Tables'!$AB$48:$AB$60,MATCH(O197,('Spell Tables'!$Z$48:$Z$60),0)),IF($S$189&gt;=O197,INDEX('Spell Tables'!$AB$26:$AB$45,MATCH(O197,('Spell Tables'!$Z$26:$Z$45),0)),IF($S$191&gt;=O197,INDEX('Spell Tables'!$AB$2:$AB$17,MATCH(O197,('Spell Tables'!$Z$2:$Z$17),0))," "))))))))))))</f>
        <v xml:space="preserve"> </v>
      </c>
      <c r="T197" s="33" t="str">
        <f ca="1">IF(AND($O$15="Otherworldly patron - great old one",T$175&gt;=O197),INDEX('Spell Tables'!$AF$226:$AF$231,MATCH(O197,('Spell Tables'!$AD$226:$AD$231),0)),IF(AND($O$15="Otherworldly patron - fiend",T$175&gt;=O197),INDEX('Spell Tables'!$AF$210:$AF$215,MATCH(O197,('Spell Tables'!$AD$210:$AD$215),0)),IF(AND($O$15="Otherworldly patron - archfey",T$175&gt;=O197),INDEX('Spell Tables'!$AF$194:$AF$199,MATCH(O197,('Spell Tables'!$AD$194:$AD$199),0)),IF($T$173&gt;=O197,INDEX($AL$80:$AL$89,MATCH(O197,($AJ$80:$AJ$89),0)),IF($T$177&gt;=O197,INDEX('Spell Tables'!$AF$168:$AF$177,MATCH(O197,('Spell Tables'!$AD$168:$AD$177),0)),IF($T$179&gt;=O197,INDEX('Spell Tables'!$AR$141:$AR$144,MATCH(O197,('Spell Tables'!$AP$141:$AP$144),0)),IF($T$181&gt;=O197,INDEX('Spell Tables'!$AB$119:$AB$123,MATCH(O197,('Spell Tables'!$Z$119:$Z$123),0)),IF($T$183&gt;=O197,INDEX('Spell Tables'!$AB$97:$AB$102,MATCH(O197,('Spell Tables'!$Z$97:$Z$102),0)),IF($T$185&gt;=O197,INDEX('Spell Tables'!$AR$70:$AR$75,MATCH(O197,('Spell Tables'!$AP$70:$AP$75),0)),IF($T$187&gt;=O197,INDEX('Spell Tables'!$AF$48:$AF$63,MATCH(O197,('Spell Tables'!$AD$48:$AD$63),0)),IF($T$189&gt;=O197,INDEX('Spell Tables'!$AF$26:$AF$33,MATCH(O197,('Spell Tables'!$AD$26:$AD$33),0)),IF($T$191&gt;=O197,INDEX('Spell Tables'!$AF$2:$AF$9,MATCH(O197,('Spell Tables'!$AD$2:$AD$9),0))," "))))))))))))</f>
        <v xml:space="preserve"> </v>
      </c>
      <c r="AJ197" s="29">
        <v>10</v>
      </c>
      <c r="AK197" s="29">
        <v>3</v>
      </c>
    </row>
    <row r="198" spans="2:37" x14ac:dyDescent="0.3">
      <c r="B198" s="33"/>
      <c r="C198" s="33"/>
      <c r="D198" s="33"/>
      <c r="E198" s="33"/>
      <c r="F198" s="33"/>
      <c r="G198" s="33"/>
      <c r="H198" s="33"/>
      <c r="I198" s="33"/>
      <c r="J198" s="33"/>
      <c r="K198" s="33"/>
      <c r="L198" s="33"/>
      <c r="M198" s="33"/>
      <c r="N198" s="33"/>
      <c r="O198" s="34">
        <v>6</v>
      </c>
      <c r="P198" s="33" t="str">
        <f ca="1">IF(P$173&gt;=O198,INDEX('Spell Tables'!$P$242:$P$257,MATCH(O198,('Spell Tables'!$N$242:$N$257),0)),IF(P$175&gt;=O198,INDEX('Spell Tables'!$P$194:$P$201,MATCH(O198,('Spell Tables'!$N$194:$N$201),0)),IF(P$177&gt;=O198,INDEX('Spell Tables'!$P$168:$P$183,MATCH(O198,('Spell Tables'!$N$168:$N$183),0)),IF(P$179&gt;=O198,INDEX('Spell Tables'!$P$141:$P$156,MATCH(O198,('Spell Tables'!$N$141:$N$157),0)),IF(P$185&gt;=O198,INDEX('Spell Tables'!$P$70:$P$83,MATCH(O198,('Spell Tables'!$N$70:$N$83),0)),IF(P$187&gt;=O198,INDEX('Spell Tables'!$P$48:$P$55,MATCH(O198,('Spell Tables'!$N$48:$N$55),0)),IF(P$189&gt;=O198,INDEX('Spell Tables'!$P$26:$P$32,MATCH(O198,('Spell Tables'!$N$26:$N$32),0)),IF(P$191&gt;=O198,INDEX('Spell Tables'!$P$2:$P$12,MATCH(O198,('Spell Tables'!$N$2:$N$12),0))," "))))))))</f>
        <v xml:space="preserve"> </v>
      </c>
      <c r="Q198" s="33" t="str">
        <f ca="1">IF(AND($O$15="Otherworldly patron - great old one",Q$175&gt;=O198),INDEX('Spell Tables'!$T$226:$T$238,MATCH(O198,('Spell Tables'!$R$226:$R$238),0)),IF(AND($O$15="Otherworldly patron - fiend",Q$175&gt;=O198),INDEX('Spell Tables'!$T$210:$T$222,MATCH(O198,('Spell Tables'!$R$210:$R$222),0)),IF(Q$173&gt;=O198,INDEX($AL$44:$AL$53,MATCH(O198,($AJ$44:$AJ$53),0)),IF(AND($O$15="Otherworldly patron - archfey",Q$175&gt;=O198),INDEX('Spell Tables'!$T$194:$T$206,MATCH(O198,('Spell Tables'!$R$194:$R$206),0)),IF(Q$177&gt;=O198,INDEX('Spell Tables'!$T$168:$T$187,MATCH(O198,('Spell Tables'!$R$168:$R$187),0)),IF(Q$179&gt;=O198,INDEX('Spell Tables'!$T$141:$T$147,MATCH(O198,('Spell Tables'!$R$141:$R$147),0)),IF(Q$181&gt;=O198,INDEX('Spell Tables'!$P$119:$P$131,MATCH(O198,('Spell Tables'!$N$119:$N$131),0)),IF(Q$183&gt;=O198,INDEX('Spell Tables'!$P$97:$P$111,MATCH(O198,('Spell Tables'!$N$97:$N$111),0)),IF(Q$185&gt;=O198,INDEX('Spell Tables'!$T$70:$T$78,MATCH(O198,('Spell Tables'!$R$70:$R$78),0)),IF(Q$187&gt;=O198,INDEX('Spell Tables'!$T$48:$T$63,MATCH(O198,('Spell Tables'!$R$48:$R$63),0)),IF(Q$189&gt;=O198,INDEX('Spell Tables'!$T$26:$T$40,MATCH(O198,('Spell Tables'!$R$26:$R$40),0)),IF(Q$191&gt;=O198,INDEX('Spell Tables'!$T$2:$T$22,MATCH(O198,('Spell Tables'!$R$2:$R$22),0))," "))))))))))))</f>
        <v xml:space="preserve"> </v>
      </c>
      <c r="R198" s="33" t="str">
        <f ca="1">IF(AND($O$15="Otherworldly patron - great old one",R$175&gt;=O198),INDEX('Spell Tables'!$X$226:$X$239,MATCH(O198,('Spell Tables'!$V$226:$V$239),0)),IF(AND($O$15="Otherworldly patron - fiend",R$175&gt;=O198),INDEX('Spell Tables'!$X$210:$X$223,MATCH(O198,('Spell Tables'!$V$210:$V$223),0)),IF(AND($O$15="Otherworldly patron - archfey",R$175&gt;=O198),INDEX('Spell Tables'!$X$194:$X$207,MATCH(O198,('Spell Tables'!$V$194:$V$207),0)),IF($R$173&gt;=O198,INDEX($AL$56:$AL$65,MATCH(O198,($AJ$56:$AJ$65),0)),IF($R$177&gt;=O198,INDEX('Spell Tables'!$X$168:$X$191,MATCH(O198,('Spell Tables'!$V$168:$V$191),0)),IF($R$179&gt;=O198,INDEX('Spell Tables'!$AB$141:$AB$149,MATCH(O198,('Spell Tables'!$Z$141:$Z$149),0)),IF($R$181&gt;=O198,INDEX('Spell Tables'!$T$119:$T$131,MATCH(O198,('Spell Tables'!$R$119:$R$131),0)),IF($R$183&gt;=O198,INDEX('Spell Tables'!$T$97:$T$104,MATCH(O198,('Spell Tables'!$R$97:$R$104),0)),IF($R$185&gt;=O198,INDEX('Spell Tables'!$AB$70:$AB$75,MATCH(O198,('Spell Tables'!$Z$70:$Z$75),0)),IF($R$187&gt;=O198,INDEX('Spell Tables'!$X$48:$X$65,MATCH(O198,('Spell Tables'!$V$48:$V$65),0)),IF($R$189&gt;=O198,INDEX('Spell Tables'!$X$26:$X$42,MATCH(O198,('Spell Tables'!$V$26:$V$42),0)),IF($R$191&gt;=O198,INDEX('Spell Tables'!$X$2:$X$23,MATCH(O198,('Spell Tables'!$V$2:$V$23),0))," "))))))))))))</f>
        <v xml:space="preserve"> </v>
      </c>
      <c r="S198" s="33" t="str">
        <f ca="1">IF(AND($O$15="Otherworldly patron - great old one",S$175&gt;=O198),INDEX('Spell Tables'!$AB$226:$AB$238,MATCH(O198,('Spell Tables'!$Z$226:$Z$238),0)),IF(AND($O$15="Otherworldly patron - fiend",S$175&gt;=O198),INDEX('Spell Tables'!$AB$210:$AB$222,MATCH(O198,('Spell Tables'!$Z$210:$Z$222),0)),IF(AND($O$15="Otherworldly patron - archfey",S$175&gt;=O198),INDEX('Spell Tables'!$AB$194:$AB$206,MATCH(O198,('Spell Tables'!$Z$194:$Z$206),0)),IF($S$173&gt;=O198,INDEX($AL$68:$AL$77,MATCH(O198,($AJ$68:$AJ$77),0)),IF($S$177&gt;=O198,INDEX('Spell Tables'!$AB$168:$AB$187,MATCH(O198,('Spell Tables'!$Z$168:$Z$187),0)),IF($S$179&gt;=O198,INDEX('Spell Tables'!$AJ$141:$AJ$144,MATCH(O198,('Spell Tables'!$AH$141:$AH$144),0)),IF($S$181&gt;=O198,INDEX('Spell Tables'!$X$119:$X$129,MATCH(O198,('Spell Tables'!$V$119:$V$129),0)),IF($S$183&gt;=O198,INDEX('Spell Tables'!$X$97:$X$106,MATCH(O198,('Spell Tables'!$V$97:$V$106),0)),IF($S$185&gt;=O198,INDEX('Spell Tables'!$AJ$70:$AJ$79,MATCH(O198,('Spell Tables'!$AH$70:$AH$79),0)),IF($S$187&gt;=O198,INDEX('Spell Tables'!$AB$48:$AB$60,MATCH(O198,('Spell Tables'!$Z$48:$Z$60),0)),IF($S$189&gt;=O198,INDEX('Spell Tables'!$AB$26:$AB$45,MATCH(O198,('Spell Tables'!$Z$26:$Z$45),0)),IF($S$191&gt;=O198,INDEX('Spell Tables'!$AB$2:$AB$17,MATCH(O198,('Spell Tables'!$Z$2:$Z$17),0))," "))))))))))))</f>
        <v xml:space="preserve"> </v>
      </c>
      <c r="T198" s="33" t="str">
        <f ca="1">IF(AND($O$15="Otherworldly patron - great old one",T$175&gt;=O198),INDEX('Spell Tables'!$AF$226:$AF$231,MATCH(O198,('Spell Tables'!$AD$226:$AD$231),0)),IF(AND($O$15="Otherworldly patron - fiend",T$175&gt;=O198),INDEX('Spell Tables'!$AF$210:$AF$215,MATCH(O198,('Spell Tables'!$AD$210:$AD$215),0)),IF(AND($O$15="Otherworldly patron - archfey",T$175&gt;=O198),INDEX('Spell Tables'!$AF$194:$AF$199,MATCH(O198,('Spell Tables'!$AD$194:$AD$199),0)),IF($T$173&gt;=O198,INDEX($AL$80:$AL$89,MATCH(O198,($AJ$80:$AJ$89),0)),IF($T$177&gt;=O198,INDEX('Spell Tables'!$AF$168:$AF$177,MATCH(O198,('Spell Tables'!$AD$168:$AD$177),0)),IF($T$179&gt;=O198,INDEX('Spell Tables'!$AR$141:$AR$144,MATCH(O198,('Spell Tables'!$AP$141:$AP$144),0)),IF($T$181&gt;=O198,INDEX('Spell Tables'!$AB$119:$AB$123,MATCH(O198,('Spell Tables'!$Z$119:$Z$123),0)),IF($T$183&gt;=O198,INDEX('Spell Tables'!$AB$97:$AB$102,MATCH(O198,('Spell Tables'!$Z$97:$Z$102),0)),IF($T$185&gt;=O198,INDEX('Spell Tables'!$AR$70:$AR$75,MATCH(O198,('Spell Tables'!$AP$70:$AP$75),0)),IF($T$187&gt;=O198,INDEX('Spell Tables'!$AF$48:$AF$63,MATCH(O198,('Spell Tables'!$AD$48:$AD$63),0)),IF($T$189&gt;=O198,INDEX('Spell Tables'!$AF$26:$AF$33,MATCH(O198,('Spell Tables'!$AD$26:$AD$33),0)),IF($T$191&gt;=O198,INDEX('Spell Tables'!$AF$2:$AF$9,MATCH(O198,('Spell Tables'!$AD$2:$AD$9),0))," "))))))))))))</f>
        <v xml:space="preserve"> </v>
      </c>
    </row>
    <row r="199" spans="2:37" x14ac:dyDescent="0.3">
      <c r="B199" s="33"/>
      <c r="C199" s="33"/>
      <c r="D199" s="33"/>
      <c r="E199" s="33"/>
      <c r="F199" s="33"/>
      <c r="G199" s="33"/>
      <c r="H199" s="33"/>
      <c r="I199" s="33"/>
      <c r="J199" s="33"/>
      <c r="K199" s="33"/>
      <c r="L199" s="33"/>
      <c r="M199" s="33"/>
      <c r="N199" s="33"/>
      <c r="O199" s="34">
        <v>7</v>
      </c>
      <c r="P199" s="33" t="str">
        <f ca="1">IF(P$173&gt;=O199,INDEX('Spell Tables'!$P$242:$P$257,MATCH(O199,('Spell Tables'!$N$242:$N$257),0)),IF(P$175&gt;=O199,INDEX('Spell Tables'!$P$194:$P$201,MATCH(O199,('Spell Tables'!$N$194:$N$201),0)),IF(P$177&gt;=O199,INDEX('Spell Tables'!$P$168:$P$183,MATCH(O199,('Spell Tables'!$N$168:$N$183),0)),IF(P$179&gt;=O199,INDEX('Spell Tables'!$P$141:$P$156,MATCH(O199,('Spell Tables'!$N$141:$N$157),0)),IF(P$185&gt;=O199,INDEX('Spell Tables'!$P$70:$P$83,MATCH(O199,('Spell Tables'!$N$70:$N$83),0)),IF(P$187&gt;=O199,INDEX('Spell Tables'!$P$48:$P$55,MATCH(O199,('Spell Tables'!$N$48:$N$55),0)),IF(P$189&gt;=O199,INDEX('Spell Tables'!$P$26:$P$32,MATCH(O199,('Spell Tables'!$N$26:$N$32),0)),IF(P$191&gt;=O199,INDEX('Spell Tables'!$P$2:$P$12,MATCH(O199,('Spell Tables'!$N$2:$N$12),0))," "))))))))</f>
        <v xml:space="preserve"> </v>
      </c>
      <c r="Q199" s="33" t="str">
        <f ca="1">IF(AND($O$15="Otherworldly patron - great old one",Q$175&gt;=O199),INDEX('Spell Tables'!$T$226:$T$238,MATCH(O199,('Spell Tables'!$R$226:$R$238),0)),IF(AND($O$15="Otherworldly patron - fiend",Q$175&gt;=O199),INDEX('Spell Tables'!$T$210:$T$222,MATCH(O199,('Spell Tables'!$R$210:$R$222),0)),IF(Q$173&gt;=O199,INDEX($AL$44:$AL$53,MATCH(O199,($AJ$44:$AJ$53),0)),IF(AND($O$15="Otherworldly patron - archfey",Q$175&gt;=O199),INDEX('Spell Tables'!$T$194:$T$206,MATCH(O199,('Spell Tables'!$R$194:$R$206),0)),IF(Q$177&gt;=O199,INDEX('Spell Tables'!$T$168:$T$187,MATCH(O199,('Spell Tables'!$R$168:$R$187),0)),IF(Q$179&gt;=O199,INDEX('Spell Tables'!$T$141:$T$147,MATCH(O199,('Spell Tables'!$R$141:$R$147),0)),IF(Q$181&gt;=O199,INDEX('Spell Tables'!$P$119:$P$131,MATCH(O199,('Spell Tables'!$N$119:$N$131),0)),IF(Q$183&gt;=O199,INDEX('Spell Tables'!$P$97:$P$111,MATCH(O199,('Spell Tables'!$N$97:$N$111),0)),IF(Q$185&gt;=O199,INDEX('Spell Tables'!$T$70:$T$78,MATCH(O199,('Spell Tables'!$R$70:$R$78),0)),IF(Q$187&gt;=O199,INDEX('Spell Tables'!$T$48:$T$63,MATCH(O199,('Spell Tables'!$R$48:$R$63),0)),IF(Q$189&gt;=O199,INDEX('Spell Tables'!$T$26:$T$40,MATCH(O199,('Spell Tables'!$R$26:$R$40),0)),IF(Q$191&gt;=O199,INDEX('Spell Tables'!$T$2:$T$22,MATCH(O199,('Spell Tables'!$R$2:$R$22),0))," "))))))))))))</f>
        <v xml:space="preserve"> </v>
      </c>
      <c r="R199" s="33" t="str">
        <f ca="1">IF(AND($O$15="Otherworldly patron - great old one",R$175&gt;=O199),INDEX('Spell Tables'!$X$226:$X$239,MATCH(O199,('Spell Tables'!$V$226:$V$239),0)),IF(AND($O$15="Otherworldly patron - fiend",R$175&gt;=O199),INDEX('Spell Tables'!$X$210:$X$223,MATCH(O199,('Spell Tables'!$V$210:$V$223),0)),IF(AND($O$15="Otherworldly patron - archfey",R$175&gt;=O199),INDEX('Spell Tables'!$X$194:$X$207,MATCH(O199,('Spell Tables'!$V$194:$V$207),0)),IF($R$173&gt;=O199,INDEX($AL$56:$AL$65,MATCH(O199,($AJ$56:$AJ$65),0)),IF($R$177&gt;=O199,INDEX('Spell Tables'!$X$168:$X$191,MATCH(O199,('Spell Tables'!$V$168:$V$191),0)),IF($R$179&gt;=O199,INDEX('Spell Tables'!$AB$141:$AB$149,MATCH(O199,('Spell Tables'!$Z$141:$Z$149),0)),IF($R$181&gt;=O199,INDEX('Spell Tables'!$T$119:$T$131,MATCH(O199,('Spell Tables'!$R$119:$R$131),0)),IF($R$183&gt;=O199,INDEX('Spell Tables'!$T$97:$T$104,MATCH(O199,('Spell Tables'!$R$97:$R$104),0)),IF($R$185&gt;=O199,INDEX('Spell Tables'!$AB$70:$AB$75,MATCH(O199,('Spell Tables'!$Z$70:$Z$75),0)),IF($R$187&gt;=O199,INDEX('Spell Tables'!$X$48:$X$65,MATCH(O199,('Spell Tables'!$V$48:$V$65),0)),IF($R$189&gt;=O199,INDEX('Spell Tables'!$X$26:$X$42,MATCH(O199,('Spell Tables'!$V$26:$V$42),0)),IF($R$191&gt;=O199,INDEX('Spell Tables'!$X$2:$X$23,MATCH(O199,('Spell Tables'!$V$2:$V$23),0))," "))))))))))))</f>
        <v xml:space="preserve"> </v>
      </c>
      <c r="S199" s="33" t="str">
        <f ca="1">IF(AND($O$15="Otherworldly patron - great old one",S$175&gt;=O199),INDEX('Spell Tables'!$AB$226:$AB$238,MATCH(O199,('Spell Tables'!$Z$226:$Z$238),0)),IF(AND($O$15="Otherworldly patron - fiend",S$175&gt;=O199),INDEX('Spell Tables'!$AB$210:$AB$222,MATCH(O199,('Spell Tables'!$Z$210:$Z$222),0)),IF(AND($O$15="Otherworldly patron - archfey",S$175&gt;=O199),INDEX('Spell Tables'!$AB$194:$AB$206,MATCH(O199,('Spell Tables'!$Z$194:$Z$206),0)),IF($S$173&gt;=O199,INDEX($AL$68:$AL$77,MATCH(O199,($AJ$68:$AJ$77),0)),IF($S$177&gt;=O199,INDEX('Spell Tables'!$AB$168:$AB$187,MATCH(O199,('Spell Tables'!$Z$168:$Z$187),0)),IF($S$179&gt;=O199,INDEX('Spell Tables'!$AJ$141:$AJ$144,MATCH(O199,('Spell Tables'!$AH$141:$AH$144),0)),IF($S$181&gt;=O199,INDEX('Spell Tables'!$X$119:$X$129,MATCH(O199,('Spell Tables'!$V$119:$V$129),0)),IF($S$183&gt;=O199,INDEX('Spell Tables'!$X$97:$X$106,MATCH(O199,('Spell Tables'!$V$97:$V$106),0)),IF($S$185&gt;=O199,INDEX('Spell Tables'!$AJ$70:$AJ$79,MATCH(O199,('Spell Tables'!$AH$70:$AH$79),0)),IF($S$187&gt;=O199,INDEX('Spell Tables'!$AB$48:$AB$60,MATCH(O199,('Spell Tables'!$Z$48:$Z$60),0)),IF($S$189&gt;=O199,INDEX('Spell Tables'!$AB$26:$AB$45,MATCH(O199,('Spell Tables'!$Z$26:$Z$45),0)),IF($S$191&gt;=O199,INDEX('Spell Tables'!$AB$2:$AB$17,MATCH(O199,('Spell Tables'!$Z$2:$Z$17),0))," "))))))))))))</f>
        <v xml:space="preserve"> </v>
      </c>
      <c r="T199" s="33" t="str">
        <f ca="1">IF(AND($O$15="Otherworldly patron - great old one",T$175&gt;=O199),INDEX('Spell Tables'!$AF$226:$AF$231,MATCH(O199,('Spell Tables'!$AD$226:$AD$231),0)),IF(AND($O$15="Otherworldly patron - fiend",T$175&gt;=O199),INDEX('Spell Tables'!$AF$210:$AF$215,MATCH(O199,('Spell Tables'!$AD$210:$AD$215),0)),IF(AND($O$15="Otherworldly patron - archfey",T$175&gt;=O199),INDEX('Spell Tables'!$AF$194:$AF$199,MATCH(O199,('Spell Tables'!$AD$194:$AD$199),0)),IF($T$173&gt;=O199,INDEX($AL$80:$AL$89,MATCH(O199,($AJ$80:$AJ$89),0)),IF($T$177&gt;=O199,INDEX('Spell Tables'!$AF$168:$AF$177,MATCH(O199,('Spell Tables'!$AD$168:$AD$177),0)),IF($T$179&gt;=O199,INDEX('Spell Tables'!$AR$141:$AR$144,MATCH(O199,('Spell Tables'!$AP$141:$AP$144),0)),IF($T$181&gt;=O199,INDEX('Spell Tables'!$AB$119:$AB$123,MATCH(O199,('Spell Tables'!$Z$119:$Z$123),0)),IF($T$183&gt;=O199,INDEX('Spell Tables'!$AB$97:$AB$102,MATCH(O199,('Spell Tables'!$Z$97:$Z$102),0)),IF($T$185&gt;=O199,INDEX('Spell Tables'!$AR$70:$AR$75,MATCH(O199,('Spell Tables'!$AP$70:$AP$75),0)),IF($T$187&gt;=O199,INDEX('Spell Tables'!$AF$48:$AF$63,MATCH(O199,('Spell Tables'!$AD$48:$AD$63),0)),IF($T$189&gt;=O199,INDEX('Spell Tables'!$AF$26:$AF$33,MATCH(O199,('Spell Tables'!$AD$26:$AD$33),0)),IF($T$191&gt;=O199,INDEX('Spell Tables'!$AF$2:$AF$9,MATCH(O199,('Spell Tables'!$AD$2:$AD$9),0))," "))))))))))))</f>
        <v xml:space="preserve"> </v>
      </c>
    </row>
    <row r="200" spans="2:37" x14ac:dyDescent="0.3">
      <c r="B200" s="33"/>
      <c r="C200" s="33"/>
      <c r="D200" s="33"/>
      <c r="E200" s="33"/>
      <c r="F200" s="33"/>
      <c r="G200" s="33"/>
      <c r="H200" s="33"/>
      <c r="I200" s="33"/>
      <c r="J200" s="33"/>
      <c r="K200" s="33"/>
      <c r="L200" s="33"/>
      <c r="M200" s="33"/>
      <c r="N200" s="33"/>
      <c r="O200" s="34">
        <v>8</v>
      </c>
      <c r="P200" s="33" t="str">
        <f ca="1">IF(P$173&gt;=O200,INDEX('Spell Tables'!$P$242:$P$257,MATCH(O200,('Spell Tables'!$N$242:$N$257),0)),IF(P$175&gt;=O200,INDEX('Spell Tables'!$P$194:$P$201,MATCH(O200,('Spell Tables'!$N$194:$N$201),0)),IF(P$177&gt;=O200,INDEX('Spell Tables'!$P$168:$P$183,MATCH(O200,('Spell Tables'!$N$168:$N$183),0)),IF(P$179&gt;=O200,INDEX('Spell Tables'!$P$141:$P$156,MATCH(O200,('Spell Tables'!$N$141:$N$157),0)),IF(P$185&gt;=O200,INDEX('Spell Tables'!$P$70:$P$83,MATCH(O200,('Spell Tables'!$N$70:$N$83),0)),IF(P$187&gt;=O200,INDEX('Spell Tables'!$P$48:$P$55,MATCH(O200,('Spell Tables'!$N$48:$N$55),0)),IF(P$189&gt;=O200,INDEX('Spell Tables'!$P$26:$P$32,MATCH(O200,('Spell Tables'!$N$26:$N$32),0)),IF(P$191&gt;=O200,INDEX('Spell Tables'!$P$2:$P$12,MATCH(O200,('Spell Tables'!$N$2:$N$12),0))," "))))))))</f>
        <v xml:space="preserve"> </v>
      </c>
      <c r="Q200" s="33" t="str">
        <f ca="1">IF(AND($O$15="Otherworldly patron - great old one",Q$175&gt;=O200),INDEX('Spell Tables'!$T$226:$T$238,MATCH(O200,('Spell Tables'!$R$226:$R$238),0)),IF(AND($O$15="Otherworldly patron - fiend",Q$175&gt;=O200),INDEX('Spell Tables'!$T$210:$T$222,MATCH(O200,('Spell Tables'!$R$210:$R$222),0)),IF(Q$173&gt;=O200,INDEX($AL$44:$AL$53,MATCH(O200,($AJ$44:$AJ$53),0)),IF(AND($O$15="Otherworldly patron - archfey",Q$175&gt;=O200),INDEX('Spell Tables'!$T$194:$T$206,MATCH(O200,('Spell Tables'!$R$194:$R$206),0)),IF(Q$177&gt;=O200,INDEX('Spell Tables'!$T$168:$T$187,MATCH(O200,('Spell Tables'!$R$168:$R$187),0)),IF(Q$179&gt;=O200,INDEX('Spell Tables'!$T$141:$T$147,MATCH(O200,('Spell Tables'!$R$141:$R$147),0)),IF(Q$181&gt;=O200,INDEX('Spell Tables'!$P$119:$P$131,MATCH(O200,('Spell Tables'!$N$119:$N$131),0)),IF(Q$183&gt;=O200,INDEX('Spell Tables'!$P$97:$P$111,MATCH(O200,('Spell Tables'!$N$97:$N$111),0)),IF(Q$185&gt;=O200,INDEX('Spell Tables'!$T$70:$T$78,MATCH(O200,('Spell Tables'!$R$70:$R$78),0)),IF(Q$187&gt;=O200,INDEX('Spell Tables'!$T$48:$T$63,MATCH(O200,('Spell Tables'!$R$48:$R$63),0)),IF(Q$189&gt;=O200,INDEX('Spell Tables'!$T$26:$T$40,MATCH(O200,('Spell Tables'!$R$26:$R$40),0)),IF(Q$191&gt;=O200,INDEX('Spell Tables'!$T$2:$T$22,MATCH(O200,('Spell Tables'!$R$2:$R$22),0))," "))))))))))))</f>
        <v xml:space="preserve"> </v>
      </c>
      <c r="R200" s="33" t="str">
        <f ca="1">IF(AND($O$15="Otherworldly patron - great old one",R$175&gt;=O200),INDEX('Spell Tables'!$X$226:$X$239,MATCH(O200,('Spell Tables'!$V$226:$V$239),0)),IF(AND($O$15="Otherworldly patron - fiend",R$175&gt;=O200),INDEX('Spell Tables'!$X$210:$X$223,MATCH(O200,('Spell Tables'!$V$210:$V$223),0)),IF(AND($O$15="Otherworldly patron - archfey",R$175&gt;=O200),INDEX('Spell Tables'!$X$194:$X$207,MATCH(O200,('Spell Tables'!$V$194:$V$207),0)),IF($R$173&gt;=O200,INDEX($AL$56:$AL$65,MATCH(O200,($AJ$56:$AJ$65),0)),IF($R$177&gt;=O200,INDEX('Spell Tables'!$X$168:$X$191,MATCH(O200,('Spell Tables'!$V$168:$V$191),0)),IF($R$179&gt;=O200,INDEX('Spell Tables'!$AB$141:$AB$149,MATCH(O200,('Spell Tables'!$Z$141:$Z$149),0)),IF($R$181&gt;=O200,INDEX('Spell Tables'!$T$119:$T$131,MATCH(O200,('Spell Tables'!$R$119:$R$131),0)),IF($R$183&gt;=O200,INDEX('Spell Tables'!$T$97:$T$104,MATCH(O200,('Spell Tables'!$R$97:$R$104),0)),IF($R$185&gt;=O200,INDEX('Spell Tables'!$AB$70:$AB$75,MATCH(O200,('Spell Tables'!$Z$70:$Z$75),0)),IF($R$187&gt;=O200,INDEX('Spell Tables'!$X$48:$X$65,MATCH(O200,('Spell Tables'!$V$48:$V$65),0)),IF($R$189&gt;=O200,INDEX('Spell Tables'!$X$26:$X$42,MATCH(O200,('Spell Tables'!$V$26:$V$42),0)),IF($R$191&gt;=O200,INDEX('Spell Tables'!$X$2:$X$23,MATCH(O200,('Spell Tables'!$V$2:$V$23),0))," "))))))))))))</f>
        <v xml:space="preserve"> </v>
      </c>
      <c r="S200" s="33" t="str">
        <f ca="1">IF(AND($O$15="Otherworldly patron - great old one",S$175&gt;=O200),INDEX('Spell Tables'!$AB$226:$AB$238,MATCH(O200,('Spell Tables'!$Z$226:$Z$238),0)),IF(AND($O$15="Otherworldly patron - fiend",S$175&gt;=O200),INDEX('Spell Tables'!$AB$210:$AB$222,MATCH(O200,('Spell Tables'!$Z$210:$Z$222),0)),IF(AND($O$15="Otherworldly patron - archfey",S$175&gt;=O200),INDEX('Spell Tables'!$AB$194:$AB$206,MATCH(O200,('Spell Tables'!$Z$194:$Z$206),0)),IF($S$173&gt;=O200,INDEX($AL$68:$AL$77,MATCH(O200,($AJ$68:$AJ$77),0)),IF($S$177&gt;=O200,INDEX('Spell Tables'!$AB$168:$AB$187,MATCH(O200,('Spell Tables'!$Z$168:$Z$187),0)),IF($S$179&gt;=O200,INDEX('Spell Tables'!$AJ$141:$AJ$144,MATCH(O200,('Spell Tables'!$AH$141:$AH$144),0)),IF($S$181&gt;=O200,INDEX('Spell Tables'!$X$119:$X$129,MATCH(O200,('Spell Tables'!$V$119:$V$129),0)),IF($S$183&gt;=O200,INDEX('Spell Tables'!$X$97:$X$106,MATCH(O200,('Spell Tables'!$V$97:$V$106),0)),IF($S$185&gt;=O200,INDEX('Spell Tables'!$AJ$70:$AJ$79,MATCH(O200,('Spell Tables'!$AH$70:$AH$79),0)),IF($S$187&gt;=O200,INDEX('Spell Tables'!$AB$48:$AB$60,MATCH(O200,('Spell Tables'!$Z$48:$Z$60),0)),IF($S$189&gt;=O200,INDEX('Spell Tables'!$AB$26:$AB$45,MATCH(O200,('Spell Tables'!$Z$26:$Z$45),0)),IF($S$191&gt;=O200,INDEX('Spell Tables'!$AB$2:$AB$17,MATCH(O200,('Spell Tables'!$Z$2:$Z$17),0))," "))))))))))))</f>
        <v xml:space="preserve"> </v>
      </c>
      <c r="T200" s="33" t="str">
        <f ca="1">IF(AND($O$15="Otherworldly patron - great old one",T$175&gt;=O200),INDEX('Spell Tables'!$AF$226:$AF$231,MATCH(O200,('Spell Tables'!$AD$226:$AD$231),0)),IF(AND($O$15="Otherworldly patron - fiend",T$175&gt;=O200),INDEX('Spell Tables'!$AF$210:$AF$215,MATCH(O200,('Spell Tables'!$AD$210:$AD$215),0)),IF(AND($O$15="Otherworldly patron - archfey",T$175&gt;=O200),INDEX('Spell Tables'!$AF$194:$AF$199,MATCH(O200,('Spell Tables'!$AD$194:$AD$199),0)),IF($T$173&gt;=O200,INDEX($AL$80:$AL$89,MATCH(O200,($AJ$80:$AJ$89),0)),IF($T$177&gt;=O200,INDEX('Spell Tables'!$AF$168:$AF$177,MATCH(O200,('Spell Tables'!$AD$168:$AD$177),0)),IF($T$179&gt;=O200,INDEX('Spell Tables'!$AR$141:$AR$144,MATCH(O200,('Spell Tables'!$AP$141:$AP$144),0)),IF($T$181&gt;=O200,INDEX('Spell Tables'!$AB$119:$AB$123,MATCH(O200,('Spell Tables'!$Z$119:$Z$123),0)),IF($T$183&gt;=O200,INDEX('Spell Tables'!$AB$97:$AB$102,MATCH(O200,('Spell Tables'!$Z$97:$Z$102),0)),IF($T$185&gt;=O200,INDEX('Spell Tables'!$AR$70:$AR$75,MATCH(O200,('Spell Tables'!$AP$70:$AP$75),0)),IF($T$187&gt;=O200,INDEX('Spell Tables'!$AF$48:$AF$63,MATCH(O200,('Spell Tables'!$AD$48:$AD$63),0)),IF($T$189&gt;=O200,INDEX('Spell Tables'!$AF$26:$AF$33,MATCH(O200,('Spell Tables'!$AD$26:$AD$33),0)),IF($T$191&gt;=O200,INDEX('Spell Tables'!$AF$2:$AF$9,MATCH(O200,('Spell Tables'!$AD$2:$AD$9),0))," "))))))))))))</f>
        <v xml:space="preserve"> </v>
      </c>
    </row>
    <row r="201" spans="2:37" x14ac:dyDescent="0.3">
      <c r="B201" s="33"/>
      <c r="C201" s="33"/>
      <c r="D201" s="33"/>
      <c r="E201" s="33"/>
      <c r="F201" s="33"/>
      <c r="G201" s="33"/>
      <c r="H201" s="33"/>
      <c r="I201" s="33"/>
      <c r="J201" s="33"/>
      <c r="K201" s="33"/>
      <c r="L201" s="33"/>
      <c r="M201" s="33"/>
      <c r="N201" s="33"/>
      <c r="O201" s="34">
        <v>9</v>
      </c>
      <c r="P201" s="33" t="str">
        <f ca="1">IF(P$173&gt;=O201,INDEX('Spell Tables'!$P$242:$P$257,MATCH(O201,('Spell Tables'!$N$242:$N$257),0)),IF(P$175&gt;=O201,INDEX('Spell Tables'!$P$194:$P$201,MATCH(O201,('Spell Tables'!$N$194:$N$201),0)),IF(P$177&gt;=O201,INDEX('Spell Tables'!$P$168:$P$183,MATCH(O201,('Spell Tables'!$N$168:$N$183),0)),IF(P$179&gt;=O201,INDEX('Spell Tables'!$P$141:$P$156,MATCH(O201,('Spell Tables'!$N$141:$N$157),0)),IF(P$185&gt;=O201,INDEX('Spell Tables'!$P$70:$P$83,MATCH(O201,('Spell Tables'!$N$70:$N$83),0)),IF(P$187&gt;=O201,INDEX('Spell Tables'!$P$48:$P$55,MATCH(O201,('Spell Tables'!$N$48:$N$55),0)),IF(P$189&gt;=O201,INDEX('Spell Tables'!$P$26:$P$32,MATCH(O201,('Spell Tables'!$N$26:$N$32),0)),IF(P$191&gt;=O201,INDEX('Spell Tables'!$P$2:$P$12,MATCH(O201,('Spell Tables'!$N$2:$N$12),0))," "))))))))</f>
        <v xml:space="preserve"> </v>
      </c>
      <c r="Q201" s="33" t="str">
        <f ca="1">IF(AND($O$15="Otherworldly patron - great old one",Q$175&gt;=O201),INDEX('Spell Tables'!$T$226:$T$238,MATCH(O201,('Spell Tables'!$R$226:$R$238),0)),IF(AND($O$15="Otherworldly patron - fiend",Q$175&gt;=O201),INDEX('Spell Tables'!$T$210:$T$222,MATCH(O201,('Spell Tables'!$R$210:$R$222),0)),IF(Q$173&gt;=O201,INDEX($AL$44:$AL$53,MATCH(O201,($AJ$44:$AJ$53),0)),IF(AND($O$15="Otherworldly patron - archfey",Q$175&gt;=O201),INDEX('Spell Tables'!$T$194:$T$206,MATCH(O201,('Spell Tables'!$R$194:$R$206),0)),IF(Q$177&gt;=O201,INDEX('Spell Tables'!$T$168:$T$187,MATCH(O201,('Spell Tables'!$R$168:$R$187),0)),IF(Q$179&gt;=O201,INDEX('Spell Tables'!$T$141:$T$147,MATCH(O201,('Spell Tables'!$R$141:$R$147),0)),IF(Q$181&gt;=O201,INDEX('Spell Tables'!$P$119:$P$131,MATCH(O201,('Spell Tables'!$N$119:$N$131),0)),IF(Q$183&gt;=O201,INDEX('Spell Tables'!$P$97:$P$111,MATCH(O201,('Spell Tables'!$N$97:$N$111),0)),IF(Q$185&gt;=O201,INDEX('Spell Tables'!$T$70:$T$78,MATCH(O201,('Spell Tables'!$R$70:$R$78),0)),IF(Q$187&gt;=O201,INDEX('Spell Tables'!$T$48:$T$63,MATCH(O201,('Spell Tables'!$R$48:$R$63),0)),IF(Q$189&gt;=O201,INDEX('Spell Tables'!$T$26:$T$40,MATCH(O201,('Spell Tables'!$R$26:$R$40),0)),IF(Q$191&gt;=O201,INDEX('Spell Tables'!$T$2:$T$22,MATCH(O201,('Spell Tables'!$R$2:$R$22),0))," "))))))))))))</f>
        <v xml:space="preserve"> </v>
      </c>
      <c r="R201" s="33" t="str">
        <f ca="1">IF(AND($O$15="Otherworldly patron - great old one",R$175&gt;=O201),INDEX('Spell Tables'!$X$226:$X$239,MATCH(O201,('Spell Tables'!$V$226:$V$239),0)),IF(AND($O$15="Otherworldly patron - fiend",R$175&gt;=O201),INDEX('Spell Tables'!$X$210:$X$223,MATCH(O201,('Spell Tables'!$V$210:$V$223),0)),IF(AND($O$15="Otherworldly patron - archfey",R$175&gt;=O201),INDEX('Spell Tables'!$X$194:$X$207,MATCH(O201,('Spell Tables'!$V$194:$V$207),0)),IF($R$173&gt;=O201,INDEX($AL$56:$AL$65,MATCH(O201,($AJ$56:$AJ$65),0)),IF($R$177&gt;=O201,INDEX('Spell Tables'!$X$168:$X$191,MATCH(O201,('Spell Tables'!$V$168:$V$191),0)),IF($R$179&gt;=O201,INDEX('Spell Tables'!$AB$141:$AB$149,MATCH(O201,('Spell Tables'!$Z$141:$Z$149),0)),IF($R$181&gt;=O201,INDEX('Spell Tables'!$T$119:$T$131,MATCH(O201,('Spell Tables'!$R$119:$R$131),0)),IF($R$183&gt;=O201,INDEX('Spell Tables'!$T$97:$T$104,MATCH(O201,('Spell Tables'!$R$97:$R$104),0)),IF($R$185&gt;=O201,INDEX('Spell Tables'!$AB$70:$AB$75,MATCH(O201,('Spell Tables'!$Z$70:$Z$75),0)),IF($R$187&gt;=O201,INDEX('Spell Tables'!$X$48:$X$65,MATCH(O201,('Spell Tables'!$V$48:$V$65),0)),IF($R$189&gt;=O201,INDEX('Spell Tables'!$X$26:$X$42,MATCH(O201,('Spell Tables'!$V$26:$V$42),0)),IF($R$191&gt;=O201,INDEX('Spell Tables'!$X$2:$X$23,MATCH(O201,('Spell Tables'!$V$2:$V$23),0))," "))))))))))))</f>
        <v xml:space="preserve"> </v>
      </c>
      <c r="S201" s="33" t="str">
        <f ca="1">IF(AND($O$15="Otherworldly patron - great old one",S$175&gt;=O201),INDEX('Spell Tables'!$AB$226:$AB$238,MATCH(O201,('Spell Tables'!$Z$226:$Z$238),0)),IF(AND($O$15="Otherworldly patron - fiend",S$175&gt;=O201),INDEX('Spell Tables'!$AB$210:$AB$222,MATCH(O201,('Spell Tables'!$Z$210:$Z$222),0)),IF(AND($O$15="Otherworldly patron - archfey",S$175&gt;=O201),INDEX('Spell Tables'!$AB$194:$AB$206,MATCH(O201,('Spell Tables'!$Z$194:$Z$206),0)),IF($S$173&gt;=O201,INDEX($AL$68:$AL$77,MATCH(O201,($AJ$68:$AJ$77),0)),IF($S$177&gt;=O201,INDEX('Spell Tables'!$AB$168:$AB$187,MATCH(O201,('Spell Tables'!$Z$168:$Z$187),0)),IF($S$179&gt;=O201,INDEX('Spell Tables'!$AJ$141:$AJ$144,MATCH(O201,('Spell Tables'!$AH$141:$AH$144),0)),IF($S$181&gt;=O201,INDEX('Spell Tables'!$X$119:$X$129,MATCH(O201,('Spell Tables'!$V$119:$V$129),0)),IF($S$183&gt;=O201,INDEX('Spell Tables'!$X$97:$X$106,MATCH(O201,('Spell Tables'!$V$97:$V$106),0)),IF($S$185&gt;=O201,INDEX('Spell Tables'!$AJ$70:$AJ$79,MATCH(O201,('Spell Tables'!$AH$70:$AH$79),0)),IF($S$187&gt;=O201,INDEX('Spell Tables'!$AB$48:$AB$60,MATCH(O201,('Spell Tables'!$Z$48:$Z$60),0)),IF($S$189&gt;=O201,INDEX('Spell Tables'!$AB$26:$AB$45,MATCH(O201,('Spell Tables'!$Z$26:$Z$45),0)),IF($S$191&gt;=O201,INDEX('Spell Tables'!$AB$2:$AB$17,MATCH(O201,('Spell Tables'!$Z$2:$Z$17),0))," "))))))))))))</f>
        <v xml:space="preserve"> </v>
      </c>
      <c r="T201" s="33" t="str">
        <f ca="1">IF(AND($O$15="Otherworldly patron - great old one",T$175&gt;=O201),INDEX('Spell Tables'!$AF$226:$AF$231,MATCH(O201,('Spell Tables'!$AD$226:$AD$231),0)),IF(AND($O$15="Otherworldly patron - fiend",T$175&gt;=O201),INDEX('Spell Tables'!$AF$210:$AF$215,MATCH(O201,('Spell Tables'!$AD$210:$AD$215),0)),IF(AND($O$15="Otherworldly patron - archfey",T$175&gt;=O201),INDEX('Spell Tables'!$AF$194:$AF$199,MATCH(O201,('Spell Tables'!$AD$194:$AD$199),0)),IF($T$173&gt;=O201,INDEX($AL$80:$AL$89,MATCH(O201,($AJ$80:$AJ$89),0)),IF($T$177&gt;=O201,INDEX('Spell Tables'!$AF$168:$AF$177,MATCH(O201,('Spell Tables'!$AD$168:$AD$177),0)),IF($T$179&gt;=O201,INDEX('Spell Tables'!$AR$141:$AR$144,MATCH(O201,('Spell Tables'!$AP$141:$AP$144),0)),IF($T$181&gt;=O201,INDEX('Spell Tables'!$AB$119:$AB$123,MATCH(O201,('Spell Tables'!$Z$119:$Z$123),0)),IF($T$183&gt;=O201,INDEX('Spell Tables'!$AB$97:$AB$102,MATCH(O201,('Spell Tables'!$Z$97:$Z$102),0)),IF($T$185&gt;=O201,INDEX('Spell Tables'!$AR$70:$AR$75,MATCH(O201,('Spell Tables'!$AP$70:$AP$75),0)),IF($T$187&gt;=O201,INDEX('Spell Tables'!$AF$48:$AF$63,MATCH(O201,('Spell Tables'!$AD$48:$AD$63),0)),IF($T$189&gt;=O201,INDEX('Spell Tables'!$AF$26:$AF$33,MATCH(O201,('Spell Tables'!$AD$26:$AD$33),0)),IF($T$191&gt;=O201,INDEX('Spell Tables'!$AF$2:$AF$9,MATCH(O201,('Spell Tables'!$AD$2:$AD$9),0))," "))))))))))))</f>
        <v xml:space="preserve"> </v>
      </c>
    </row>
    <row r="202" spans="2:37" x14ac:dyDescent="0.3">
      <c r="B202" s="33"/>
      <c r="C202" s="33"/>
      <c r="D202" s="33"/>
      <c r="E202" s="33"/>
      <c r="F202" s="33"/>
      <c r="G202" s="33"/>
      <c r="H202" s="33"/>
      <c r="I202" s="33"/>
      <c r="J202" s="33"/>
      <c r="K202" s="33"/>
      <c r="L202" s="33"/>
      <c r="M202" s="33"/>
      <c r="N202" s="33"/>
      <c r="O202" s="34">
        <v>10</v>
      </c>
      <c r="P202" s="33" t="str">
        <f ca="1">IF(P$173&gt;=O202,INDEX('Spell Tables'!$P$242:$P$257,MATCH(O202,('Spell Tables'!$N$242:$N$257),0)),IF(P$175&gt;=O202,INDEX('Spell Tables'!$P$194:$P$201,MATCH(O202,('Spell Tables'!$N$194:$N$201),0)),IF(P$177&gt;=O202,INDEX('Spell Tables'!$P$168:$P$183,MATCH(O202,('Spell Tables'!$N$168:$N$183),0)),IF(P$179&gt;=O202,INDEX('Spell Tables'!$P$141:$P$156,MATCH(O202,('Spell Tables'!$N$141:$N$157),0)),IF(P$185&gt;=O202,INDEX('Spell Tables'!$P$70:$P$83,MATCH(O202,('Spell Tables'!$N$70:$N$83),0)),IF(P$187&gt;=O202,INDEX('Spell Tables'!$P$48:$P$55,MATCH(O202,('Spell Tables'!$N$48:$N$55),0)),IF(P$189&gt;=O202,INDEX('Spell Tables'!$P$26:$P$32,MATCH(O202,('Spell Tables'!$N$26:$N$32),0)),IF(P$191&gt;=O202,INDEX('Spell Tables'!$P$2:$P$12,MATCH(O202,('Spell Tables'!$N$2:$N$12),0))," "))))))))</f>
        <v xml:space="preserve"> </v>
      </c>
      <c r="Q202" s="33" t="str">
        <f ca="1">IF(AND($O$15="Otherworldly patron - great old one",Q$175&gt;=O202),INDEX('Spell Tables'!$T$226:$T$238,MATCH(O202,('Spell Tables'!$R$226:$R$238),0)),IF(AND($O$15="Otherworldly patron - fiend",Q$175&gt;=O202),INDEX('Spell Tables'!$T$210:$T$222,MATCH(O202,('Spell Tables'!$R$210:$R$222),0)),IF(Q$173&gt;=O202,INDEX($AL$44:$AL$53,MATCH(O202,($AJ$44:$AJ$53),0)),IF(AND($O$15="Otherworldly patron - archfey",Q$175&gt;=O202),INDEX('Spell Tables'!$T$194:$T$206,MATCH(O202,('Spell Tables'!$R$194:$R$206),0)),IF(Q$177&gt;=O202,INDEX('Spell Tables'!$T$168:$T$187,MATCH(O202,('Spell Tables'!$R$168:$R$187),0)),IF(Q$179&gt;=O202,INDEX('Spell Tables'!$T$141:$T$147,MATCH(O202,('Spell Tables'!$R$141:$R$147),0)),IF(Q$181&gt;=O202,INDEX('Spell Tables'!$P$119:$P$131,MATCH(O202,('Spell Tables'!$N$119:$N$131),0)),IF(Q$183&gt;=O202,INDEX('Spell Tables'!$P$97:$P$111,MATCH(O202,('Spell Tables'!$N$97:$N$111),0)),IF(Q$185&gt;=O202,INDEX('Spell Tables'!$T$70:$T$78,MATCH(O202,('Spell Tables'!$R$70:$R$78),0)),IF(Q$187&gt;=O202,INDEX('Spell Tables'!$T$48:$T$63,MATCH(O202,('Spell Tables'!$R$48:$R$63),0)),IF(Q$189&gt;=O202,INDEX('Spell Tables'!$T$26:$T$40,MATCH(O202,('Spell Tables'!$R$26:$R$40),0)),IF(Q$191&gt;=O202,INDEX('Spell Tables'!$T$2:$T$22,MATCH(O202,('Spell Tables'!$R$2:$R$22),0))," "))))))))))))</f>
        <v xml:space="preserve"> </v>
      </c>
      <c r="R202" s="33" t="str">
        <f ca="1">IF(AND($O$15="Otherworldly patron - great old one",R$175&gt;=O202),INDEX('Spell Tables'!$X$226:$X$239,MATCH(O202,('Spell Tables'!$V$226:$V$239),0)),IF(AND($O$15="Otherworldly patron - fiend",R$175&gt;=O202),INDEX('Spell Tables'!$X$210:$X$223,MATCH(O202,('Spell Tables'!$V$210:$V$223),0)),IF(AND($O$15="Otherworldly patron - archfey",R$175&gt;=O202),INDEX('Spell Tables'!$X$194:$X$207,MATCH(O202,('Spell Tables'!$V$194:$V$207),0)),IF($R$173&gt;=O202,INDEX($AL$56:$AL$65,MATCH(O202,($AJ$56:$AJ$65),0)),IF($R$177&gt;=O202,INDEX('Spell Tables'!$X$168:$X$191,MATCH(O202,('Spell Tables'!$V$168:$V$191),0)),IF($R$179&gt;=O202,INDEX('Spell Tables'!$AB$141:$AB$149,MATCH(O202,('Spell Tables'!$Z$141:$Z$149),0)),IF($R$181&gt;=O202,INDEX('Spell Tables'!$T$119:$T$131,MATCH(O202,('Spell Tables'!$R$119:$R$131),0)),IF($R$183&gt;=O202,INDEX('Spell Tables'!$T$97:$T$104,MATCH(O202,('Spell Tables'!$R$97:$R$104),0)),IF($R$185&gt;=O202,INDEX('Spell Tables'!$AB$70:$AB$75,MATCH(O202,('Spell Tables'!$Z$70:$Z$75),0)),IF($R$187&gt;=O202,INDEX('Spell Tables'!$X$48:$X$65,MATCH(O202,('Spell Tables'!$V$48:$V$65),0)),IF($R$189&gt;=O202,INDEX('Spell Tables'!$X$26:$X$42,MATCH(O202,('Spell Tables'!$V$26:$V$42),0)),IF($R$191&gt;=O202,INDEX('Spell Tables'!$X$2:$X$23,MATCH(O202,('Spell Tables'!$V$2:$V$23),0))," "))))))))))))</f>
        <v xml:space="preserve"> </v>
      </c>
      <c r="S202" s="33" t="str">
        <f ca="1">IF(AND($O$15="Otherworldly patron - great old one",S$175&gt;=O202),INDEX('Spell Tables'!$AB$226:$AB$238,MATCH(O202,('Spell Tables'!$Z$226:$Z$238),0)),IF(AND($O$15="Otherworldly patron - fiend",S$175&gt;=O202),INDEX('Spell Tables'!$AB$210:$AB$222,MATCH(O202,('Spell Tables'!$Z$210:$Z$222),0)),IF(AND($O$15="Otherworldly patron - archfey",S$175&gt;=O202),INDEX('Spell Tables'!$AB$194:$AB$206,MATCH(O202,('Spell Tables'!$Z$194:$Z$206),0)),IF($S$173&gt;=O202,INDEX($AL$68:$AL$77,MATCH(O202,($AJ$68:$AJ$77),0)),IF($S$177&gt;=O202,INDEX('Spell Tables'!$AB$168:$AB$187,MATCH(O202,('Spell Tables'!$Z$168:$Z$187),0)),IF($S$179&gt;=O202,INDEX('Spell Tables'!$AJ$141:$AJ$144,MATCH(O202,('Spell Tables'!$AH$141:$AH$144),0)),IF($S$181&gt;=O202,INDEX('Spell Tables'!$X$119:$X$129,MATCH(O202,('Spell Tables'!$V$119:$V$129),0)),IF($S$183&gt;=O202,INDEX('Spell Tables'!$X$97:$X$106,MATCH(O202,('Spell Tables'!$V$97:$V$106),0)),IF($S$185&gt;=O202,INDEX('Spell Tables'!$AJ$70:$AJ$79,MATCH(O202,('Spell Tables'!$AH$70:$AH$79),0)),IF($S$187&gt;=O202,INDEX('Spell Tables'!$AB$48:$AB$60,MATCH(O202,('Spell Tables'!$Z$48:$Z$60),0)),IF($S$189&gt;=O202,INDEX('Spell Tables'!$AB$26:$AB$45,MATCH(O202,('Spell Tables'!$Z$26:$Z$45),0)),IF($S$191&gt;=O202,INDEX('Spell Tables'!$AB$2:$AB$17,MATCH(O202,('Spell Tables'!$Z$2:$Z$17),0))," "))))))))))))</f>
        <v xml:space="preserve"> </v>
      </c>
      <c r="T202" s="33" t="str">
        <f ca="1">IF(AND($O$15="Otherworldly patron - great old one",T$175&gt;=O202),INDEX('Spell Tables'!$AF$226:$AF$231,MATCH(O202,('Spell Tables'!$AD$226:$AD$231),0)),IF(AND($O$15="Otherworldly patron - fiend",T$175&gt;=O202),INDEX('Spell Tables'!$AF$210:$AF$215,MATCH(O202,('Spell Tables'!$AD$210:$AD$215),0)),IF(AND($O$15="Otherworldly patron - archfey",T$175&gt;=O202),INDEX('Spell Tables'!$AF$194:$AF$199,MATCH(O202,('Spell Tables'!$AD$194:$AD$199),0)),IF($T$173&gt;=O202,INDEX('Spell Tables'!$AF$242:$AF$264,MATCH(O202,('Spell Tables'!$AD$242:$AD$264),0)),IF($T$177&gt;=O202,INDEX('Spell Tables'!$AF$168:$AF$177,MATCH(O202,('Spell Tables'!$AD$168:$AD$177),0)),IF($T$179&gt;=O202,INDEX('Spell Tables'!$AR$141:$AR$144,MATCH(O202,('Spell Tables'!$AP$141:$AP$144),0)),IF($T$181&gt;=O202,INDEX('Spell Tables'!$AB$119:$AB$123,MATCH(O202,('Spell Tables'!$Z$119:$Z$123),0)),IF($T$183&gt;=O202,INDEX('Spell Tables'!$AB$97:$AB$102,MATCH(O202,('Spell Tables'!$Z$97:$Z$102),0)),IF($T$185&gt;=O202,INDEX('Spell Tables'!$AR$70:$AR$75,MATCH(O202,('Spell Tables'!$AP$70:$AP$75),0)),IF($T$187&gt;=O202,INDEX('Spell Tables'!$AF$48:$AF$63,MATCH(O202,('Spell Tables'!$AD$48:$AD$63),0)),IF($T$189&gt;=O202,INDEX('Spell Tables'!$AF$26:$AF$33,MATCH(O202,('Spell Tables'!$AD$26:$AD$33),0)),IF($T$191&gt;=O202,INDEX('Spell Tables'!$AF$2:$AF$9,MATCH(O202,('Spell Tables'!$AD$2:$AD$9),0))," "))))))))))))</f>
        <v xml:space="preserve"> </v>
      </c>
    </row>
    <row r="204" spans="2:37" ht="19.5" thickBot="1" x14ac:dyDescent="0.35">
      <c r="C204" s="38"/>
      <c r="D204" s="38"/>
      <c r="E204" s="38"/>
      <c r="F204" s="38"/>
      <c r="G204" s="38"/>
      <c r="H204" s="38"/>
      <c r="I204" s="38"/>
      <c r="J204" s="38"/>
      <c r="K204" s="38"/>
      <c r="L204" s="38"/>
      <c r="M204" s="38"/>
      <c r="O204" s="38"/>
      <c r="P204" s="38"/>
      <c r="Q204" s="38"/>
      <c r="R204" s="38"/>
      <c r="S204" s="38"/>
      <c r="T204" s="38"/>
    </row>
    <row r="205" spans="2:37" hidden="1" x14ac:dyDescent="0.3">
      <c r="N205" s="72"/>
      <c r="P205" s="27"/>
      <c r="Q205" s="27"/>
      <c r="R205" s="27"/>
      <c r="S205" s="91"/>
    </row>
    <row r="206" spans="2:37" x14ac:dyDescent="0.3">
      <c r="N206" s="72"/>
      <c r="O206" s="135" t="s">
        <v>1342</v>
      </c>
      <c r="P206" s="65" t="str">
        <f ca="1">IF(AND(AF14=2,OR(O11="monk",O11="barbarian",O11="warlock"),OR(Q11="fighter",Q11="rogue"),OR(P15&lt;&gt;"arcane trickster",R15&lt;&gt;"arcane trickster",P15&lt;&gt;"eldritch knight",R15&lt;&gt;"eldritch knight")),0,IF(AND(AF14=2,OR(O11="monk",O11="barbarian",O11="warlock"),OR(Q11="monk",Q11="barbarian",Q11="warlock")),0,IF(AND(AF14=2,OR(O11="monk",O11="barbarian",O11="warlock",Q11="monk",Q11="barbarian",Q11="warlock"),OR(O11="paladin",Q11="paladin",O11="ranger",Q11="ranger")),INDEX('Spell Tables'!H119:H138,MATCH(AF18,('Spell Tables'!B119:B138),0)),IF(AF14=2,INDEX('Spell Tables'!H242:H261,MATCH(AF18,('Spell Tables'!B242:B261),0)),IF(OR($O$11="bard",$O$11="cleric",$O$11="druid",O11="sorcerer",O11="wizard"),INDEX('Spell Tables'!H$2:H$21,MATCH($O$12,('Spell Tables'!$A$2:$A$21),0))," ")))))</f>
        <v xml:space="preserve"> </v>
      </c>
      <c r="Q206" s="65" t="str">
        <f ca="1">IF(AND(AF14=2,OR(O11="monk",O11="barbarian",O11="warlock"),OR(Q11="fighter",Q11="rogue"),OR(P15&lt;&gt;"arcane trickster",R15&lt;&gt;"arcane trickster",P15&lt;&gt;"eldritch knight",R15&lt;&gt;"eldritch knight")),0,IF(AND(AF14=2,OR(O11="monk",O11="barbarian",O11="warlock"),OR(Q11="monk",Q11="barbarian",Q11="warlock")),0,IF(AF14=2,INDEX('Spell Tables'!I242:I261,MATCH(AF18,('Spell Tables'!B242:B261),0)),IF(OR($O$11="bard",$O$11="cleric",$O$11="druid",O11="sorcerer",O11="wizard"),INDEX('Spell Tables'!I$2:I$21,MATCH($O$12,('Spell Tables'!$A$2:$A$21),0))," "))))</f>
        <v xml:space="preserve"> </v>
      </c>
      <c r="R206" s="65" t="str">
        <f ca="1">IF(AND(AF14=2,OR(O11="monk",O11="barbarian",O11="warlock"),OR(Q11="fighter",Q11="rogue"),OR(P15&lt;&gt;"arcane trickster",R15&lt;&gt;"arcane trickster",P15&lt;&gt;"eldritch knight",R15&lt;&gt;"eldritch knight")),0,IF(AND(AF14=2,OR(O11="monk",O11="barbarian",O11="warlock"),OR(Q11="monk",Q11="barbarian",Q11="warlock")),0,IF(AF14=2,INDEX('Spell Tables'!J242:J261,MATCH(AF18,('Spell Tables'!B242:B261),0)),IF(OR($O$11="bard",$O$11="cleric",$O$11="druid",O11="sorcerer",O11="wizard"),INDEX('Spell Tables'!J$2:J$21,MATCH($O$12,('Spell Tables'!$A$2:$A$21),0))," "))))</f>
        <v xml:space="preserve"> </v>
      </c>
      <c r="S206" s="65" t="str">
        <f ca="1">IF(AND(AF14=2,OR(O11="monk",O11="barbarian",O11="warlock"),OR(Q11="fighter",Q11="rogue"),OR(P15&lt;&gt;"arcane trickster",R15&lt;&gt;"arcane trickster",P15&lt;&gt;"eldritch knight",R15&lt;&gt;"eldritch knight")),0,IF(AND(AF14=2,OR(O11="monk",O11="barbarian",O11="warlock"),OR(Q11="monk",Q11="barbarian",Q11="warlock")),0,IF(AF14=2,INDEX('Spell Tables'!K242:K261,MATCH(AF18,('Spell Tables'!B242:B261),0)),IF(OR($O$11="bard",$O$11="cleric",$O$11="druid",O11="sorcerer",O11="wizard"),INDEX('Spell Tables'!K$2:K$21,MATCH($O$12,('Spell Tables'!$A$2:$A$21),0))," "))))</f>
        <v xml:space="preserve"> </v>
      </c>
      <c r="T206" s="66" t="str">
        <f ca="1">IF(AND(AF14=2,OR(O11="monk",O11="barbarian",O11="warlock"),OR(Q11="fighter",Q11="rogue"),OR(P15&lt;&gt;"arcane trickster",R15&lt;&gt;"arcane trickster",P15&lt;&gt;"eldritch knight",R15&lt;&gt;"eldritch knight")),0,IF(AND(AF14=2,OR(O11="monk",O11="barbarian",O11="warlock"),OR(Q11="monk",Q11="barbarian",Q11="warlock")),0,IF(AF14=2,INDEX('Spell Tables'!L242:L261,MATCH(AF18,('Spell Tables'!B242:B261),0)),IF(OR($O$11="bard",$O$11="cleric",$O$11="druid",O11="sorcerer",O11="wizard"),INDEX('Spell Tables'!L$2:L$21,MATCH($O$12,('Spell Tables'!$A$2:$A$21),0))," "))))</f>
        <v xml:space="preserve"> </v>
      </c>
    </row>
    <row r="207" spans="2:37" hidden="1" x14ac:dyDescent="0.3">
      <c r="N207" s="72"/>
      <c r="O207" s="79"/>
      <c r="P207" s="29" t="str">
        <f ca="1">IF(AND(O11="wizard",O12&gt;=11),"x",IF(AND($O$11="wizard",$O$12&gt;9),"xx",IF(AND(O11="wizard",O12=9),"xxx"," ")))</f>
        <v xml:space="preserve"> </v>
      </c>
      <c r="Q207" s="29" t="str">
        <f ca="1">IF(AND(O11="wizard",O12&gt;=13),"x",IF(AND($O$11="wizard",$O$12&gt;11),"xx",IF(AND(O11="wizard",O12=11),"xxx"," ")))</f>
        <v xml:space="preserve"> </v>
      </c>
      <c r="R207" s="29" t="str">
        <f ca="1">IF(AND(O11="wizard",O12&gt;=15),"x",IF(AND($O$11="wizard",$O$12&gt;13),"xx",IF(AND(O11="wizard",O12=13),"xxx"," ")))</f>
        <v xml:space="preserve"> </v>
      </c>
      <c r="S207" s="29" t="str">
        <f ca="1">IF(AND(O11="wizard",O12&gt;=17),"x",IF(AND($O$11="wizard",$O$12&gt;15),"xx",IF(AND(O11="wizard",O12=15),"xxx"," ")))</f>
        <v xml:space="preserve"> </v>
      </c>
      <c r="T207" s="72" t="str">
        <f ca="1">IF(AND($O$11="wizard",$O$12&gt;17),"xx",IF(AND(O11="wizard",O12=17),"xxx"," "))</f>
        <v xml:space="preserve"> </v>
      </c>
    </row>
    <row r="208" spans="2:37" hidden="1" x14ac:dyDescent="0.3">
      <c r="N208" s="72"/>
      <c r="O208" s="79"/>
      <c r="P208" s="29">
        <f ca="1">IF(P207="x",RANDBETWEEN(2,3),IF(P207="xx",RANDBETWEEN(2,3),IF(P207="xxx",RANDBETWEEN(1,2),0)))</f>
        <v>0</v>
      </c>
      <c r="Q208" s="29">
        <f ca="1">IF(Q207="x",RANDBETWEEN(2,3),IF(Q207="xx",RANDBETWEEN(2,3),IF(Q207="xxx",RANDBETWEEN(1,2),0)))</f>
        <v>0</v>
      </c>
      <c r="R208" s="29">
        <f ca="1">IF(R207="x",RANDBETWEEN(1,2),IF(R207="xx",RANDBETWEEN(1,2),IF(R207="xxx",RANDBETWEEN(1,2),0)))</f>
        <v>0</v>
      </c>
      <c r="S208" s="29">
        <f ca="1">IF(OR(S207="x",S207="xx"),RANDBETWEEN(1,2),IF(S207="xxx",RANDBETWEEN(1,2),0))</f>
        <v>0</v>
      </c>
      <c r="T208" s="72">
        <f ca="1">IF(T207="xx",RANDBETWEEN(1,2),IF(T207="xxx",RANDBETWEEN(1,2),0))</f>
        <v>0</v>
      </c>
    </row>
    <row r="209" spans="14:20" hidden="1" x14ac:dyDescent="0.3">
      <c r="N209" s="72"/>
      <c r="O209" s="79"/>
      <c r="P209" s="29" t="str">
        <f ca="1">IF(AND($O$11="warlock",$O$12&gt;=9),"xx"," ")</f>
        <v xml:space="preserve"> </v>
      </c>
      <c r="T209" s="72"/>
    </row>
    <row r="210" spans="14:20" hidden="1" x14ac:dyDescent="0.3">
      <c r="N210" s="72"/>
      <c r="O210" s="79"/>
      <c r="P210" s="29">
        <f ca="1">IF(P209="x",RANDBETWEEN(2,3),IF(P209="xx",RANDBETWEEN(2,3),0))</f>
        <v>0</v>
      </c>
      <c r="T210" s="72"/>
    </row>
    <row r="211" spans="14:20" hidden="1" x14ac:dyDescent="0.3">
      <c r="N211" s="72"/>
      <c r="O211" s="79"/>
      <c r="P211" s="29" t="str">
        <f ca="1">IF(AND($O$11="sorcerer",$O$12&gt;=11),"x",IF(AND($O$11="sorcerer",$O$12&gt;=9),"xx"," "))</f>
        <v xml:space="preserve"> </v>
      </c>
      <c r="Q211" s="29" t="str">
        <f ca="1">IF(AND($O$11="sorcerer",$O$12&gt;=13),"x",IF(AND($O$11="sorcerer",$O$12&gt;=11),"xx"," "))</f>
        <v xml:space="preserve"> </v>
      </c>
      <c r="R211" s="29" t="str">
        <f ca="1">IF(AND($O$11="sorcerer",$O$12&gt;=15),"x",IF(AND($O$11="sorcerer",$O$12&gt;=13),"xx"," "))</f>
        <v xml:space="preserve"> </v>
      </c>
      <c r="S211" s="29" t="str">
        <f ca="1">IF(AND($O$11="sorcerer",$O$12&gt;=17),"x",IF(AND($O$11="sorcerer",$O$12&gt;15),"xx"," "))</f>
        <v xml:space="preserve"> </v>
      </c>
      <c r="T211" s="72" t="str">
        <f ca="1">IF(AND($O$11="sorcerer",$O$12&gt;=17),"xx"," ")</f>
        <v xml:space="preserve"> </v>
      </c>
    </row>
    <row r="212" spans="14:20" hidden="1" x14ac:dyDescent="0.3">
      <c r="N212" s="72"/>
      <c r="O212" s="79"/>
      <c r="P212" s="29">
        <f ca="1">IF(P211="x",RANDBETWEEN(2,3),IF(P211="xx",RANDBETWEEN(2,3),0))</f>
        <v>0</v>
      </c>
      <c r="Q212" s="29">
        <f ca="1">IF(Q211="x",RANDBETWEEN(2,3),IF(Q211="xx",RANDBETWEEN(2,3),0))</f>
        <v>0</v>
      </c>
      <c r="R212" s="29">
        <f ca="1">IF(R211="x",RANDBETWEEN(1,2),IF(R211="xx",RANDBETWEEN(1,2),0))</f>
        <v>0</v>
      </c>
      <c r="S212" s="29">
        <f ca="1">IF(OR(S211="x",S211="xx"),RANDBETWEEN(1,2),0)</f>
        <v>0</v>
      </c>
      <c r="T212" s="72">
        <f ca="1">IF(T211="xx",RANDBETWEEN(1,2),0)</f>
        <v>0</v>
      </c>
    </row>
    <row r="213" spans="14:20" hidden="1" x14ac:dyDescent="0.3">
      <c r="N213" s="72"/>
      <c r="O213" s="79"/>
      <c r="T213" s="72"/>
    </row>
    <row r="214" spans="14:20" hidden="1" x14ac:dyDescent="0.3">
      <c r="N214" s="72"/>
      <c r="O214" s="79"/>
      <c r="T214" s="72"/>
    </row>
    <row r="215" spans="14:20" hidden="1" x14ac:dyDescent="0.3">
      <c r="N215" s="72"/>
      <c r="O215" s="79"/>
      <c r="P215" s="29" t="str">
        <f ca="1">IF(AND($O$11="ranger",$O$12&gt;=17),"xx"," ")</f>
        <v xml:space="preserve"> </v>
      </c>
      <c r="T215" s="72"/>
    </row>
    <row r="216" spans="14:20" hidden="1" x14ac:dyDescent="0.3">
      <c r="N216" s="72"/>
      <c r="O216" s="79"/>
      <c r="P216" s="29">
        <f ca="1">IF(P215="x",RANDBETWEEN(2,3),IF(P215="xx",RANDBETWEEN(2,3),0))</f>
        <v>0</v>
      </c>
      <c r="T216" s="72"/>
    </row>
    <row r="217" spans="14:20" hidden="1" x14ac:dyDescent="0.3">
      <c r="N217" s="72"/>
      <c r="O217" s="79"/>
      <c r="P217" s="29" t="str">
        <f ca="1">IF(AND(O11="paladin",O12&gt;=17),"xx"," ")</f>
        <v xml:space="preserve"> </v>
      </c>
      <c r="T217" s="72"/>
    </row>
    <row r="218" spans="14:20" hidden="1" x14ac:dyDescent="0.3">
      <c r="N218" s="72"/>
      <c r="O218" s="79"/>
      <c r="P218" s="29">
        <f ca="1">IF(P217="x",RANDBETWEEN(2,3),IF(P217="xx",RANDBETWEEN(2,3),0))</f>
        <v>0</v>
      </c>
      <c r="T218" s="72"/>
    </row>
    <row r="219" spans="14:20" hidden="1" x14ac:dyDescent="0.3">
      <c r="N219" s="72"/>
      <c r="O219" s="79"/>
      <c r="T219" s="72"/>
    </row>
    <row r="220" spans="14:20" hidden="1" x14ac:dyDescent="0.3">
      <c r="N220" s="72"/>
      <c r="O220" s="79"/>
      <c r="T220" s="72"/>
    </row>
    <row r="221" spans="14:20" hidden="1" x14ac:dyDescent="0.3">
      <c r="N221" s="72"/>
      <c r="O221" s="79"/>
      <c r="P221" s="29" t="str">
        <f ca="1">IF(AND($O$11="druid",$O$12&gt;=11),"x",IF(AND($O$11="druid",$O$12&gt;=9),"xx"," "))</f>
        <v xml:space="preserve"> </v>
      </c>
      <c r="Q221" s="29" t="str">
        <f ca="1">IF(AND($O$11="druid",$O$12&gt;=13),"x",IF(AND($O$11="druid",$O$12&gt;=11),"xx"," "))</f>
        <v xml:space="preserve"> </v>
      </c>
      <c r="R221" s="29" t="str">
        <f ca="1">IF(AND($O$11="druid",$O$12&gt;=15),"x",IF(AND($O$11="druid",$O$12&gt;=13),"xx"," "))</f>
        <v xml:space="preserve"> </v>
      </c>
      <c r="S221" s="29" t="str">
        <f ca="1">IF(AND($O$11="druid",$O$12&gt;=17),"x",IF(AND($O$11="druid",$O$12&gt;15),"xx"," "))</f>
        <v xml:space="preserve"> </v>
      </c>
      <c r="T221" s="72" t="str">
        <f ca="1">IF(AND($O$11="druid",$O$12&gt;=17),"xx"," ")</f>
        <v xml:space="preserve"> </v>
      </c>
    </row>
    <row r="222" spans="14:20" hidden="1" x14ac:dyDescent="0.3">
      <c r="N222" s="72"/>
      <c r="O222" s="79"/>
      <c r="P222" s="29">
        <f ca="1">IF(P221="x",RANDBETWEEN(2,3),IF(P221="xx",RANDBETWEEN(2,3),0))</f>
        <v>0</v>
      </c>
      <c r="Q222" s="29">
        <f ca="1">IF(Q221="x",RANDBETWEEN(2,3),IF(Q221="xx",RANDBETWEEN(2,3),0))</f>
        <v>0</v>
      </c>
      <c r="R222" s="29">
        <f ca="1">IF(R221="x",RANDBETWEEN(1,2),IF(R221="xx",RANDBETWEEN(1,2),0))</f>
        <v>0</v>
      </c>
      <c r="S222" s="29">
        <f ca="1">IF(OR(S221="x",S221="xx"),RANDBETWEEN(1,2),0)</f>
        <v>0</v>
      </c>
      <c r="T222" s="72">
        <f ca="1">IF(T221="xx",RANDBETWEEN(1,2),0)</f>
        <v>0</v>
      </c>
    </row>
    <row r="223" spans="14:20" hidden="1" x14ac:dyDescent="0.3">
      <c r="N223" s="72"/>
      <c r="O223" s="79"/>
      <c r="P223" s="29" t="str">
        <f ca="1">IF(AND(O11="cleric",O12&gt;=11),"x",IF(AND($O$11="cleric",$O$12&gt;=9),"xx"," "))</f>
        <v xml:space="preserve"> </v>
      </c>
      <c r="Q223" s="29" t="str">
        <f ca="1">IF(AND(O11="cleric",O12&gt;=13),"x",IF(AND($O$11="cleric",$O$12&gt;=11),"xx"," "))</f>
        <v xml:space="preserve"> </v>
      </c>
      <c r="R223" s="29" t="str">
        <f ca="1">IF(AND(O11="cleric",O12&gt;=15),"x",IF(AND($O$11="cleric",$O$12&gt;=13),"xx"," "))</f>
        <v xml:space="preserve"> </v>
      </c>
      <c r="S223" s="29" t="str">
        <f ca="1">IF(AND(O11="cleric",O12&gt;=17),"x",IF(AND($O$11="cleric",$O$12&gt;15),"xx"," "))</f>
        <v xml:space="preserve"> </v>
      </c>
      <c r="T223" s="72" t="str">
        <f ca="1">IF(AND($O$11="cleric",$O$12&gt;=17),"xx"," ")</f>
        <v xml:space="preserve"> </v>
      </c>
    </row>
    <row r="224" spans="14:20" hidden="1" x14ac:dyDescent="0.3">
      <c r="N224" s="72"/>
      <c r="O224" s="79"/>
      <c r="P224" s="29">
        <f ca="1">IF(P223="x",RANDBETWEEN(2,3),IF(P223="xx",RANDBETWEEN(2,3),0))</f>
        <v>0</v>
      </c>
      <c r="Q224" s="29">
        <f ca="1">IF(Q223="x",RANDBETWEEN(2,3),IF(Q223="xx",RANDBETWEEN(2,3),0))</f>
        <v>0</v>
      </c>
      <c r="R224" s="29">
        <f ca="1">IF(R223="x",RANDBETWEEN(1,2),IF(R223="xx",RANDBETWEEN(1,2),0))</f>
        <v>0</v>
      </c>
      <c r="S224" s="29">
        <f ca="1">IF(OR(S223="x",S223="xx"),RANDBETWEEN(1,2),0)</f>
        <v>0</v>
      </c>
      <c r="T224" s="72">
        <f ca="1">IF(T223="xx",RANDBETWEEN(1,2),0)</f>
        <v>0</v>
      </c>
    </row>
    <row r="225" spans="2:20" hidden="1" x14ac:dyDescent="0.3">
      <c r="N225" s="72"/>
      <c r="O225" s="79"/>
      <c r="P225" s="29" t="str">
        <f ca="1">IF(AND($O$11="bard",$O$12&gt;=11),"x",IF(AND($O$11="bard",$O$12&gt;=9),"xx"," "))</f>
        <v xml:space="preserve"> </v>
      </c>
      <c r="Q225" s="29" t="str">
        <f ca="1">IF(AND($O$11="bard",$O$12&gt;=13),"x",IF(AND($O$11="bard",$O$12&gt;=11),"xx"," "))</f>
        <v xml:space="preserve"> </v>
      </c>
      <c r="R225" s="29" t="str">
        <f ca="1">IF(AND($O$11="bard",$O$12&gt;=15),"x",IF(AND($O$11="bard",$O$12&gt;=13),"xx"," "))</f>
        <v xml:space="preserve"> </v>
      </c>
      <c r="S225" s="29" t="str">
        <f ca="1">IF(AND($O$11="bard",$O$12&gt;=17),"x",IF(AND($O$11="bard",$O$12&gt;15),"xx"," "))</f>
        <v xml:space="preserve"> </v>
      </c>
      <c r="T225" s="72" t="str">
        <f ca="1">IF(AND($O$11="bard",$O$12&gt;=17),"xx"," ")</f>
        <v xml:space="preserve"> </v>
      </c>
    </row>
    <row r="226" spans="2:20" hidden="1" x14ac:dyDescent="0.3">
      <c r="N226" s="72"/>
      <c r="O226" s="79"/>
      <c r="P226" s="29">
        <f ca="1">IF(P225="x",RANDBETWEEN(2,3),IF(P225="xx",RANDBETWEEN(2,3),0))</f>
        <v>0</v>
      </c>
      <c r="Q226" s="29">
        <f ca="1">IF(Q225="x",RANDBETWEEN(2,3),IF(Q225="xx",RANDBETWEEN(2,3),0))</f>
        <v>0</v>
      </c>
      <c r="R226" s="29">
        <f ca="1">IF(R225="x",RANDBETWEEN(1,2),IF(R225="xx",RANDBETWEEN(1,2),0))</f>
        <v>0</v>
      </c>
      <c r="S226" s="29">
        <f ca="1">IF(OR(S225="x",S225="xx"),RANDBETWEEN(1,2),0)</f>
        <v>0</v>
      </c>
      <c r="T226" s="72">
        <f ca="1">IF(T225="xx",RANDBETWEEN(1,2),0)</f>
        <v>0</v>
      </c>
    </row>
    <row r="227" spans="2:20" x14ac:dyDescent="0.3">
      <c r="N227" s="72"/>
      <c r="O227" s="79"/>
      <c r="P227" s="107" t="s">
        <v>1169</v>
      </c>
      <c r="Q227" s="107" t="s">
        <v>1170</v>
      </c>
      <c r="R227" s="107" t="s">
        <v>1171</v>
      </c>
      <c r="S227" s="107" t="s">
        <v>677</v>
      </c>
      <c r="T227" s="93" t="s">
        <v>1172</v>
      </c>
    </row>
    <row r="228" spans="2:20" x14ac:dyDescent="0.3">
      <c r="N228" s="72"/>
      <c r="O228" s="86">
        <v>1</v>
      </c>
      <c r="P228" s="65" t="str">
        <f ca="1">IF(AND($O$15="Otherworldly patron - great old one",P$210&gt;=O193),INDEX('Spell Tables'!$AJ$226:$AJ$231,MATCH(O193,('Spell Tables'!$AH$226:$AH$231),0)),IF(AND($O$15="Otherworldly patron - fiend",P$210&gt;=O193),INDEX('Spell Tables'!$AJ$210:$AJ$215,MATCH(O193,('Spell Tables'!$AH$210:$AH$215),0)),IF(AND($O$15="Otherworldly patron - archfey",P$210&gt;=O193),INDEX('Spell Tables'!$AJ$194:$AJ$199,MATCH(O193,('Spell Tables'!$AH$194:$AH$199),0)),IF($P$208&gt;=O193,INDEX($AL$92:$AL$101,MATCH(O193,($AJ$92:$AJ$101),0)),IF($P$212&gt;=O193,INDEX('Spell Tables'!$AJ$168:$AJ$178,MATCH(O193,('Spell Tables'!$AH$168:$AH$178),0)),IF($P$216&gt;=O193,INDEX('Spell Tables'!$AF$119:$AF$122,MATCH(O193,('Spell Tables'!$AD$119:$AD$122),0)),IF($P$218&gt;=O193,INDEX('Spell Tables'!$AF$97:$AF$102,MATCH(O193,('Spell Tables'!$AD$97:$AD$102),0)),IF($P$222&gt;=O193,INDEX('Spell Tables'!$AJ$48:$AJ$61,MATCH(O193,('Spell Tables'!$AH$48:$AH$61),0)),IF($P$224&gt;=O193,INDEX('Spell Tables'!$AJ$26:$AJ$38,MATCH(O193,('Spell Tables'!$AH$26:$AH$38),0)),IF($P$226&gt;=O193,INDEX('Spell Tables'!$AJ$2:$AJ$17,MATCH(O193,('Spell Tables'!$AH$2:$AH$17),0))," "))))))))))</f>
        <v xml:space="preserve"> </v>
      </c>
      <c r="Q228" s="65" t="str">
        <f ca="1">IF($Q$208&gt;=O193,INDEX($AL$104:$AL$113,MATCH(O193,($AJ$104:$AJ$113),0)),IF($Q$212&gt;=O193,INDEX('Spell Tables'!$AN$168:$AN$177,MATCH(O193,('Spell Tables'!$AL$168:$AL$177),0)),IF($Q$222&gt;=O193,INDEX('Spell Tables'!$AN$48:$AN$56,MATCH(O193,('Spell Tables'!$AL$48:$AL$56),0)),IF($Q$224&gt;=O193,INDEX('Spell Tables'!$AN$26:$AN$35,MATCH(O193,('Spell Tables'!$AL$26:$AL$35),0)),IF($Q$226&gt;=O193,INDEX('Spell Tables'!$AN$2:$AN$8,MATCH(O193,('Spell Tables'!$AL$2:$AL$8),0))," ")))))</f>
        <v xml:space="preserve"> </v>
      </c>
      <c r="R228" s="65" t="str">
        <f ca="1">IF($R$208&gt;=O193,INDEX($AL$116:$AL$125,MATCH(O193,($AJ$116:$AJ$125),0)),IF($R$212&gt;=O193,INDEX('Spell Tables'!$AR$168:$AR$175,MATCH(O193,('Spell Tables'!$AP$168:$AP$175),0)),IF($R$222&gt;=O193,INDEX('Spell Tables'!$AR$48:$AR$52,MATCH(O193,('Spell Tables'!$AP$48:$AP$52),0)),IF($R$224&gt;=O193,INDEX('Spell Tables'!$AR$26:$AR$33,MATCH(O193,('Spell Tables'!$AP$26:$AP$33),0)),IF($R$226&gt;=O193,INDEX('Spell Tables'!$AR$2:$AR$11,MATCH(O193,('Spell Tables'!$AL$2:$AL$11),0))," ")))))</f>
        <v xml:space="preserve"> </v>
      </c>
      <c r="S228" s="65" t="str">
        <f ca="1">IF($S$208&gt;=O193,INDEX($AL$128:$AL$137,MATCH(O193,($AJ$128:$AJ$137),0)),IF($S$212&gt;=O193,INDEX('Spell Tables'!$AV$168:$AV$172,MATCH(O193,('Spell Tables'!$AT$168:$AT$172),0)),IF($S$222&gt;=O193,INDEX('Spell Tables'!$AV$48:$AV$54,MATCH(O193,('Spell Tables'!$AT$48:$AT$54),0)),IF($S$224&gt;=O193,INDEX('Spell Tables'!$AV$26:$AV$29,MATCH(O193,('Spell Tables'!$AT$26:$AT$29),0)),IF($S$226&gt;=O193,INDEX('Spell Tables'!$AV$2:$AV$6,MATCH(O193,('Spell Tables'!$AT$2:$AT$6),0))," ")))))</f>
        <v xml:space="preserve"> </v>
      </c>
      <c r="T228" s="66" t="str">
        <f ca="1">IF($T$222&gt;=O193,INDEX('Spell Tables'!$AZ$48:$AZ$51,MATCH(O193,('Spell Tables'!$AX$48:$AX$51),0)),IF($T$208&gt;=O193,INDEX($AL$140:$AL$149,MATCH(O193,($AJ$140:$AJ$149),0)),IF($T$212&gt;=O193,INDEX('Spell Tables'!$AZ$168:$AZ$172,MATCH(O193,('Spell Tables'!$AX$168:$AX$172),0)),IF($T$224&gt;=O193,INDEX('Spell Tables'!$AZ$26:$AZ$29,MATCH(O193,('Spell Tables'!$AX$26:$AX$29),0)),IF($T$226&gt;=O193,INDEX('Spell Tables'!$AZ$2:$AZ$5,MATCH(O193,('Spell Tables'!$AX$2:$AX$5),0))," ")))))</f>
        <v xml:space="preserve"> </v>
      </c>
    </row>
    <row r="229" spans="2:20" x14ac:dyDescent="0.3">
      <c r="N229" s="72"/>
      <c r="O229" s="133">
        <v>2</v>
      </c>
      <c r="P229" s="60" t="str">
        <f ca="1">IF(AND($O$15="Otherworldly patron - great old one",P$210&gt;=O194),INDEX('Spell Tables'!$AJ$226:$AJ$231,MATCH(O194,('Spell Tables'!$AH$226:$AH$231),0)),IF(AND($O$15="Otherworldly patron - fiend",P$210&gt;=O194),INDEX('Spell Tables'!$AJ$210:$AJ$215,MATCH(O194,('Spell Tables'!$AH$210:$AH$215),0)),IF(AND($O$15="Otherworldly patron - archfey",P$210&gt;=O194),INDEX('Spell Tables'!$AJ$194:$AJ$199,MATCH(O194,('Spell Tables'!$AH$194:$AH$199),0)),IF($P$208&gt;=O194,INDEX($AL$92:$AL$101,MATCH(O194,($AJ$92:$AJ$101),0)),IF($P$212&gt;=O194,INDEX('Spell Tables'!$AJ$168:$AJ$178,MATCH(O194,('Spell Tables'!$AH$168:$AH$178),0)),IF($P$216&gt;=O194,INDEX('Spell Tables'!$AF$119:$AF$122,MATCH(O194,('Spell Tables'!$AD$119:$AD$122),0)),IF($P$218&gt;=O194,INDEX('Spell Tables'!$AF$97:$AF$102,MATCH(O194,('Spell Tables'!$AD$97:$AD$102),0)),IF($P$222&gt;=O194,INDEX('Spell Tables'!$AJ$48:$AJ$61,MATCH(O194,('Spell Tables'!$AH$48:$AH$61),0)),IF($P$224&gt;=O194,INDEX('Spell Tables'!$AJ$26:$AJ$38,MATCH(O194,('Spell Tables'!$AH$26:$AH$38),0)),IF($P$226&gt;=O194,INDEX('Spell Tables'!$AJ$2:$AJ$17,MATCH(O194,('Spell Tables'!$AH$2:$AH$17),0))," "))))))))))</f>
        <v xml:space="preserve"> </v>
      </c>
      <c r="Q229" s="60" t="str">
        <f ca="1">IF($Q$208&gt;=O194,INDEX($AL$104:$AL$113,MATCH(O194,($AJ$104:$AJ$113),0)),IF($Q$212&gt;=O194,INDEX('Spell Tables'!$AN$168:$AN$177,MATCH(O194,('Spell Tables'!$AL$168:$AL$177),0)),IF($Q$222&gt;=O194,INDEX('Spell Tables'!$AN$48:$AN$56,MATCH(O194,('Spell Tables'!$AL$48:$AL$56),0)),IF($Q$224&gt;=O194,INDEX('Spell Tables'!$AN$26:$AN$35,MATCH(O194,('Spell Tables'!$AL$26:$AL$35),0)),IF($Q$226&gt;=O194,INDEX('Spell Tables'!$AN$2:$AN$8,MATCH(O194,('Spell Tables'!$AL$2:$AL$8),0))," ")))))</f>
        <v xml:space="preserve"> </v>
      </c>
      <c r="R229" s="60" t="str">
        <f ca="1">IF($R$208&gt;=O194,INDEX($AL$116:$AL$125,MATCH(O194,($AJ$116:$AJ$125),0)),IF($R$212&gt;=O194,INDEX('Spell Tables'!$AR$168:$AR$175,MATCH(O194,('Spell Tables'!$AP$168:$AP$175),0)),IF($R$222&gt;=O194,INDEX('Spell Tables'!$AR$48:$AR$52,MATCH(O194,('Spell Tables'!$AP$48:$AP$52),0)),IF($R$224&gt;=O194,INDEX('Spell Tables'!$AR$26:$AR$33,MATCH(O194,('Spell Tables'!$AP$26:$AP$33),0)),IF($R$226&gt;=O194,INDEX('Spell Tables'!$AR$2:$AR$11,MATCH(O194,('Spell Tables'!$AL$2:$AL$11),0))," ")))))</f>
        <v xml:space="preserve"> </v>
      </c>
      <c r="S229" s="60" t="str">
        <f ca="1">IF($S$208&gt;=O194,INDEX($AL$128:$AL$137,MATCH(O194,($AJ$128:$AJ$137),0)),IF($S$212&gt;=O194,INDEX('Spell Tables'!$AV$168:$AV$172,MATCH(O194,('Spell Tables'!$AT$168:$AT$172),0)),IF($S$222&gt;=O194,INDEX('Spell Tables'!$AV$48:$AV$54,MATCH(O194,('Spell Tables'!$AT$48:$AT$54),0)),IF($S$224&gt;=O194,INDEX('Spell Tables'!$AV$26:$AV$29,MATCH(O194,('Spell Tables'!$AT$26:$AT$29),0)),IF($S$226&gt;=O194,INDEX('Spell Tables'!$AV$2:$AV$6,MATCH(O194,('Spell Tables'!$AT$2:$AT$6),0))," ")))))</f>
        <v xml:space="preserve"> </v>
      </c>
      <c r="T229" s="63" t="str">
        <f ca="1">IF($T$222&gt;=O194,INDEX('Spell Tables'!$AZ$48:$AZ$51,MATCH(O194,('Spell Tables'!$AX$48:$AX$51),0)),IF($T$208&gt;=O194,INDEX($AL$140:$AL$149,MATCH(O194,($AJ$140:$AJ$149),0)),IF($T$212&gt;=O194,INDEX('Spell Tables'!$AZ$168:$AZ$172,MATCH(O194,('Spell Tables'!$AX$168:$AX$172),0)),IF($T$224&gt;=O194,INDEX('Spell Tables'!$AZ$26:$AZ$29,MATCH(O194,('Spell Tables'!$AX$26:$AX$29),0)),IF($T$226&gt;=O194,INDEX('Spell Tables'!$AZ$2:$AZ$5,MATCH(O194,('Spell Tables'!$AX$2:$AX$5),0))," ")))))</f>
        <v xml:space="preserve"> </v>
      </c>
    </row>
    <row r="230" spans="2:20" x14ac:dyDescent="0.3">
      <c r="N230" s="72"/>
      <c r="O230" s="86">
        <v>3</v>
      </c>
      <c r="P230" s="65" t="str">
        <f ca="1">IF(AND($O$15="Otherworldly patron - great old one",P$210&gt;=O195),INDEX('Spell Tables'!$AJ$226:$AJ$231,MATCH(O195,('Spell Tables'!$AH$226:$AH$231),0)),IF(AND($O$15="Otherworldly patron - fiend",P$210&gt;=O195),INDEX('Spell Tables'!$AJ$210:$AJ$215,MATCH(O195,('Spell Tables'!$AH$210:$AH$215),0)),IF(AND($O$15="Otherworldly patron - archfey",P$210&gt;=O195),INDEX('Spell Tables'!$AJ$194:$AJ$199,MATCH(O195,('Spell Tables'!$AH$194:$AH$199),0)),IF($P$208&gt;=O195,INDEX($AL$92:$AL$101,MATCH(O195,($AJ$92:$AJ$101),0)),IF($P$212&gt;=O195,INDEX('Spell Tables'!$AJ$168:$AJ$178,MATCH(O195,('Spell Tables'!$AH$168:$AH$178),0)),IF($P$216&gt;=O195,INDEX('Spell Tables'!$AF$119:$AF$122,MATCH(O195,('Spell Tables'!$AD$119:$AD$122),0)),IF($P$218&gt;=O195,INDEX('Spell Tables'!$AF$97:$AF$102,MATCH(O195,('Spell Tables'!$AD$97:$AD$102),0)),IF($P$222&gt;=O195,INDEX('Spell Tables'!$AJ$48:$AJ$61,MATCH(O195,('Spell Tables'!$AH$48:$AH$61),0)),IF($P$224&gt;=O195,INDEX('Spell Tables'!$AJ$26:$AJ$38,MATCH(O195,('Spell Tables'!$AH$26:$AH$38),0)),IF($P$226&gt;=O195,INDEX('Spell Tables'!$AJ$2:$AJ$17,MATCH(O195,('Spell Tables'!$AH$2:$AH$17),0))," "))))))))))</f>
        <v xml:space="preserve"> </v>
      </c>
      <c r="Q230" s="65" t="str">
        <f ca="1">IF($Q$208&gt;=O195,INDEX($AL$104:$AL$113,MATCH(O195,($AJ$104:$AJ$113),0)),IF($Q$212&gt;=O195,INDEX('Spell Tables'!$AN$168:$AN$177,MATCH(O195,('Spell Tables'!$AL$168:$AL$177),0)),IF($Q$222&gt;=O195,INDEX('Spell Tables'!$AN$48:$AN$56,MATCH(O195,('Spell Tables'!$AL$48:$AL$56),0)),IF($Q$224&gt;=O195,INDEX('Spell Tables'!$AN$26:$AN$35,MATCH(O195,('Spell Tables'!$AL$26:$AL$35),0)),IF($Q$226&gt;=O195,INDEX('Spell Tables'!$AN$2:$AN$8,MATCH(O195,('Spell Tables'!$AL$2:$AL$8),0))," ")))))</f>
        <v xml:space="preserve"> </v>
      </c>
      <c r="R230" s="65" t="str">
        <f ca="1">IF($R$208&gt;=O195,INDEX($AL$116:$AL$125,MATCH(O195,($AJ$116:$AJ$125),0)),IF($R$212&gt;=O195,INDEX('Spell Tables'!$AR$168:$AR$175,MATCH(O195,('Spell Tables'!$AP$168:$AP$175),0)),IF($R$222&gt;=O195,INDEX('Spell Tables'!$AR$48:$AR$52,MATCH(O195,('Spell Tables'!$AP$48:$AP$52),0)),IF($R$224&gt;=O195,INDEX('Spell Tables'!$AR$26:$AR$33,MATCH(O195,('Spell Tables'!$AP$26:$AP$33),0)),IF($R$226&gt;=O195,INDEX('Spell Tables'!$AR$2:$AR$11,MATCH(O195,('Spell Tables'!$AL$2:$AL$11),0))," ")))))</f>
        <v xml:space="preserve"> </v>
      </c>
      <c r="S230" s="65" t="str">
        <f ca="1">IF($S$208&gt;=O195,INDEX($AL$128:$AL$137,MATCH(O195,($AJ$128:$AJ$137),0)),IF($S$212&gt;=O195,INDEX('Spell Tables'!$AV$168:$AV$172,MATCH(O195,('Spell Tables'!$AT$168:$AT$172),0)),IF($S$222&gt;=O195,INDEX('Spell Tables'!$AV$48:$AV$54,MATCH(O195,('Spell Tables'!$AT$48:$AT$54),0)),IF($S$224&gt;=O195,INDEX('Spell Tables'!$AV$26:$AV$29,MATCH(O195,('Spell Tables'!$AT$26:$AT$29),0)),IF($S$226&gt;=O195,INDEX('Spell Tables'!$AV$2:$AV$6,MATCH(O195,('Spell Tables'!$AT$2:$AT$6),0))," ")))))</f>
        <v xml:space="preserve"> </v>
      </c>
      <c r="T230" s="66" t="str">
        <f ca="1">IF($T$222&gt;=O195,INDEX('Spell Tables'!$AZ$48:$AZ$51,MATCH(O195,('Spell Tables'!$AX$48:$AX$51),0)),IF($T$208&gt;=O195,INDEX($AL$140:$AL$149,MATCH(O195,($AJ$140:$AJ$149),0)),IF($T$212&gt;=O195,INDEX('Spell Tables'!$AZ$168:$AZ$172,MATCH(O195,('Spell Tables'!$AX$168:$AX$172),0)),IF($T$224&gt;=O195,INDEX('Spell Tables'!$AZ$26:$AZ$29,MATCH(O195,('Spell Tables'!$AX$26:$AX$29),0)),IF($T$226&gt;=O195,INDEX('Spell Tables'!$AZ$2:$AZ$5,MATCH(O195,('Spell Tables'!$AX$2:$AX$5),0))," ")))))</f>
        <v xml:space="preserve"> </v>
      </c>
    </row>
    <row r="231" spans="2:20" x14ac:dyDescent="0.3">
      <c r="N231" s="72"/>
      <c r="O231" s="133">
        <v>4</v>
      </c>
      <c r="P231" s="60" t="str">
        <f ca="1">IF(AND($O$15="Otherworldly patron - great old one",P$210&gt;=O196),INDEX('Spell Tables'!$AJ$226:$AJ$231,MATCH(O196,('Spell Tables'!$AH$226:$AH$231),0)),IF(AND($O$15="Otherworldly patron - fiend",P$210&gt;=O196),INDEX('Spell Tables'!$AJ$210:$AJ$215,MATCH(O196,('Spell Tables'!$AH$210:$AH$215),0)),IF(AND($O$15="Otherworldly patron - archfey",P$210&gt;=O196),INDEX('Spell Tables'!$AJ$194:$AJ$199,MATCH(O196,('Spell Tables'!$AH$194:$AH$199),0)),IF($P$208&gt;=O196,INDEX($AL$92:$AL$101,MATCH(O196,($AJ$92:$AJ$101),0)),IF($P$212&gt;=O196,INDEX('Spell Tables'!$AJ$168:$AJ$178,MATCH(O196,('Spell Tables'!$AH$168:$AH$178),0)),IF($P$216&gt;=O196,INDEX('Spell Tables'!$AF$119:$AF$122,MATCH(O196,('Spell Tables'!$AD$119:$AD$122),0)),IF($P$218&gt;=O196,INDEX('Spell Tables'!$AF$97:$AF$102,MATCH(O196,('Spell Tables'!$AD$97:$AD$102),0)),IF($P$222&gt;=O196,INDEX('Spell Tables'!$AJ$48:$AJ$61,MATCH(O196,('Spell Tables'!$AH$48:$AH$61),0)),IF($P$224&gt;=O196,INDEX('Spell Tables'!$AJ$26:$AJ$38,MATCH(O196,('Spell Tables'!$AH$26:$AH$38),0)),IF($P$226&gt;=O196,INDEX('Spell Tables'!$AJ$2:$AJ$17,MATCH(O196,('Spell Tables'!$AH$2:$AH$17),0))," "))))))))))</f>
        <v xml:space="preserve"> </v>
      </c>
      <c r="Q231" s="60" t="str">
        <f ca="1">IF($Q$208&gt;=O196,INDEX($AL$104:$AL$113,MATCH(O196,($AJ$104:$AJ$113),0)),IF($Q$212&gt;=O196,INDEX('Spell Tables'!$AN$168:$AN$177,MATCH(O196,('Spell Tables'!$AL$168:$AL$177),0)),IF($Q$222&gt;=O196,INDEX('Spell Tables'!$AN$48:$AN$56,MATCH(O196,('Spell Tables'!$AL$48:$AL$56),0)),IF($Q$224&gt;=O196,INDEX('Spell Tables'!$AN$26:$AN$35,MATCH(O196,('Spell Tables'!$AL$26:$AL$35),0)),IF($Q$226&gt;=O196,INDEX('Spell Tables'!$AN$2:$AN$8,MATCH(O196,('Spell Tables'!$AL$2:$AL$8),0))," ")))))</f>
        <v xml:space="preserve"> </v>
      </c>
      <c r="R231" s="60" t="str">
        <f ca="1">IF($R$208&gt;=O196,INDEX($AL$116:$AL$125,MATCH(O196,($AJ$116:$AJ$125),0)),IF($R$212&gt;=O196,INDEX('Spell Tables'!$AR$168:$AR$175,MATCH(O196,('Spell Tables'!$AP$168:$AP$175),0)),IF($R$222&gt;=O196,INDEX('Spell Tables'!$AR$48:$AR$52,MATCH(O196,('Spell Tables'!$AP$48:$AP$52),0)),IF($R$224&gt;=O196,INDEX('Spell Tables'!$AR$26:$AR$33,MATCH(O196,('Spell Tables'!$AP$26:$AP$33),0)),IF($R$226&gt;=O196,INDEX('Spell Tables'!$AR$2:$AR$11,MATCH(O196,('Spell Tables'!$AL$2:$AL$11),0))," ")))))</f>
        <v xml:space="preserve"> </v>
      </c>
      <c r="S231" s="60" t="str">
        <f ca="1">IF($S$208&gt;=O196,INDEX($AL$128:$AL$137,MATCH(O196,($AJ$128:$AJ$137),0)),IF($S$212&gt;=O196,INDEX('Spell Tables'!$AV$168:$AV$172,MATCH(O196,('Spell Tables'!$AT$168:$AT$172),0)),IF($S$222&gt;=O196,INDEX('Spell Tables'!$AV$48:$AV$54,MATCH(O196,('Spell Tables'!$AT$48:$AT$54),0)),IF($S$224&gt;=O196,INDEX('Spell Tables'!$AV$26:$AV$29,MATCH(O196,('Spell Tables'!$AT$26:$AT$29),0)),IF($S$226&gt;=O196,INDEX('Spell Tables'!$AV$2:$AV$6,MATCH(O196,('Spell Tables'!$AT$2:$AT$6),0))," ")))))</f>
        <v xml:space="preserve"> </v>
      </c>
      <c r="T231" s="63" t="str">
        <f ca="1">IF($T$222&gt;=O196,INDEX('Spell Tables'!$AZ$48:$AZ$51,MATCH(O196,('Spell Tables'!$AX$48:$AX$51),0)),IF($T$208&gt;=O196,INDEX($AL$140:$AL$149,MATCH(O196,($AJ$140:$AJ$149),0)),IF($T$212&gt;=O196,INDEX('Spell Tables'!$AZ$168:$AZ$172,MATCH(O196,('Spell Tables'!$AX$168:$AX$172),0)),IF($T$224&gt;=O196,INDEX('Spell Tables'!$AZ$26:$AZ$29,MATCH(O196,('Spell Tables'!$AX$26:$AX$29),0)),IF($T$226&gt;=O196,INDEX('Spell Tables'!$AZ$2:$AZ$5,MATCH(O196,('Spell Tables'!$AX$2:$AX$5),0))," ")))))</f>
        <v xml:space="preserve"> </v>
      </c>
    </row>
    <row r="232" spans="2:20" x14ac:dyDescent="0.3">
      <c r="N232" s="72"/>
      <c r="O232" s="86">
        <v>5</v>
      </c>
      <c r="P232" s="65" t="str">
        <f ca="1">IF(AND($O$15="Otherworldly patron - great old one",P$210&gt;=O197),INDEX('Spell Tables'!$AJ$226:$AJ$231,MATCH(O197,('Spell Tables'!$AH$226:$AH$231),0)),IF(AND($O$15="Otherworldly patron - fiend",P$210&gt;=O197),INDEX('Spell Tables'!$AJ$210:$AJ$215,MATCH(O197,('Spell Tables'!$AH$210:$AH$215),0)),IF(AND($O$15="Otherworldly patron - archfey",P$210&gt;=O197),INDEX('Spell Tables'!$AJ$194:$AJ$199,MATCH(O197,('Spell Tables'!$AH$194:$AH$199),0)),IF($P$208&gt;=O197,INDEX($AL$92:$AL$101,MATCH(O197,($AJ$92:$AJ$101),0)),IF($P$212&gt;=O197,INDEX('Spell Tables'!$AJ$168:$AJ$178,MATCH(O197,('Spell Tables'!$AH$168:$AH$178),0)),IF($P$216&gt;=O197,INDEX('Spell Tables'!$AF$119:$AF$122,MATCH(O197,('Spell Tables'!$AD$119:$AD$122),0)),IF($P$218&gt;=O197,INDEX('Spell Tables'!$AF$97:$AF$102,MATCH(O197,('Spell Tables'!$AD$97:$AD$102),0)),IF($P$222&gt;=O197,INDEX('Spell Tables'!$AJ$48:$AJ$61,MATCH(O197,('Spell Tables'!$AH$48:$AH$61),0)),IF($P$224&gt;=O197,INDEX('Spell Tables'!$AJ$26:$AJ$38,MATCH(O197,('Spell Tables'!$AH$26:$AH$38),0)),IF($P$226&gt;=O197,INDEX('Spell Tables'!$AJ$2:$AJ$17,MATCH(O197,('Spell Tables'!$AH$2:$AH$17),0))," "))))))))))</f>
        <v xml:space="preserve"> </v>
      </c>
      <c r="Q232" s="65" t="str">
        <f ca="1">IF($Q$208&gt;=O197,INDEX($AL$104:$AL$113,MATCH(O197,($AJ$104:$AJ$113),0)),IF($Q$212&gt;=O197,INDEX('Spell Tables'!$AN$168:$AN$177,MATCH(O197,('Spell Tables'!$AL$168:$AL$177),0)),IF($Q$222&gt;=O197,INDEX('Spell Tables'!$AN$48:$AN$56,MATCH(O197,('Spell Tables'!$AL$48:$AL$56),0)),IF($Q$224&gt;=O197,INDEX('Spell Tables'!$AN$26:$AN$35,MATCH(O197,('Spell Tables'!$AL$26:$AL$35),0)),IF($Q$226&gt;=O197,INDEX('Spell Tables'!$AN$2:$AN$8,MATCH(O197,('Spell Tables'!$AL$2:$AL$8),0))," ")))))</f>
        <v xml:space="preserve"> </v>
      </c>
      <c r="R232" s="65" t="str">
        <f ca="1">IF($R$208&gt;=O197,INDEX($AL$116:$AL$125,MATCH(O197,($AJ$116:$AJ$125),0)),IF($R$212&gt;=O197,INDEX('Spell Tables'!$AR$168:$AR$175,MATCH(O197,('Spell Tables'!$AP$168:$AP$175),0)),IF($R$222&gt;=O197,INDEX('Spell Tables'!$AR$48:$AR$52,MATCH(O197,('Spell Tables'!$AP$48:$AP$52),0)),IF($R$224&gt;=O197,INDEX('Spell Tables'!$AR$26:$AR$33,MATCH(O197,('Spell Tables'!$AP$26:$AP$33),0)),IF($R$226&gt;=O197,INDEX('Spell Tables'!$AR$2:$AR$11,MATCH(O197,('Spell Tables'!$AL$2:$AL$11),0))," ")))))</f>
        <v xml:space="preserve"> </v>
      </c>
      <c r="S232" s="65" t="str">
        <f ca="1">IF($S$208&gt;=O197,INDEX($AL$128:$AL$137,MATCH(O197,($AJ$128:$AJ$137),0)),IF($S$212&gt;=O197,INDEX('Spell Tables'!$AV$168:$AV$172,MATCH(O197,('Spell Tables'!$AT$168:$AT$172),0)),IF($S$222&gt;=O197,INDEX('Spell Tables'!$AV$48:$AV$54,MATCH(O197,('Spell Tables'!$AT$48:$AT$54),0)),IF($S$224&gt;=O197,INDEX('Spell Tables'!$AV$26:$AV$29,MATCH(O197,('Spell Tables'!$AT$26:$AT$29),0)),IF($S$226&gt;=O197,INDEX('Spell Tables'!$AV$2:$AV$6,MATCH(O197,('Spell Tables'!$AT$2:$AT$6),0))," ")))))</f>
        <v xml:space="preserve"> </v>
      </c>
      <c r="T232" s="66" t="str">
        <f ca="1">IF($T$222&gt;=O197,INDEX('Spell Tables'!$AZ$48:$AZ$51,MATCH(O197,('Spell Tables'!$AX$48:$AX$51),0)),IF($T$208&gt;=O197,INDEX($AL$140:$AL$149,MATCH(O197,($AJ$140:$AJ$149),0)),IF($T$212&gt;=O197,INDEX('Spell Tables'!$AZ$168:$AZ$172,MATCH(O197,('Spell Tables'!$AX$168:$AX$172),0)),IF($T$224&gt;=O197,INDEX('Spell Tables'!$AZ$26:$AZ$29,MATCH(O197,('Spell Tables'!$AX$26:$AX$29),0)),IF($T$226&gt;=O197,INDEX('Spell Tables'!$AZ$2:$AZ$5,MATCH(O197,('Spell Tables'!$AX$2:$AX$5),0))," ")))))</f>
        <v xml:space="preserve"> </v>
      </c>
    </row>
    <row r="233" spans="2:20" x14ac:dyDescent="0.3">
      <c r="N233" s="72"/>
      <c r="O233" s="133">
        <v>6</v>
      </c>
      <c r="P233" s="60" t="str">
        <f ca="1">IF(AND($O$15="Otherworldly patron - great old one",P$210&gt;=O198),INDEX('Spell Tables'!$AJ$226:$AJ$231,MATCH(O198,('Spell Tables'!$AH$226:$AH$231),0)),IF(AND($O$15="Otherworldly patron - fiend",P$210&gt;=O198),INDEX('Spell Tables'!$AJ$210:$AJ$215,MATCH(O198,('Spell Tables'!$AH$210:$AH$215),0)),IF(AND($O$15="Otherworldly patron - archfey",P$210&gt;=O198),INDEX('Spell Tables'!$AJ$194:$AJ$199,MATCH(O198,('Spell Tables'!$AH$194:$AH$199),0)),IF($P$208&gt;=O198,INDEX($AL$92:$AL$101,MATCH(O198,($AJ$92:$AJ$101),0)),IF($P$212&gt;=O198,INDEX('Spell Tables'!$AJ$168:$AJ$178,MATCH(O198,('Spell Tables'!$AH$168:$AH$178),0)),IF($P$216&gt;=O198,INDEX('Spell Tables'!$AF$119:$AF$122,MATCH(O198,('Spell Tables'!$AD$119:$AD$122),0)),IF($P$218&gt;=O198,INDEX('Spell Tables'!$AF$97:$AF$102,MATCH(O198,('Spell Tables'!$AD$97:$AD$102),0)),IF($P$222&gt;=O198,INDEX('Spell Tables'!$AJ$48:$AJ$61,MATCH(O198,('Spell Tables'!$AH$48:$AH$61),0)),IF($P$224&gt;=O198,INDEX('Spell Tables'!$AJ$26:$AJ$38,MATCH(O198,('Spell Tables'!$AH$26:$AH$38),0)),IF($P$226&gt;=O198,INDEX('Spell Tables'!$AJ$2:$AJ$17,MATCH(O198,('Spell Tables'!$AH$2:$AH$17),0))," "))))))))))</f>
        <v xml:space="preserve"> </v>
      </c>
      <c r="Q233" s="60" t="str">
        <f ca="1">IF($Q$208&gt;=O198,INDEX($AL$104:$AL$113,MATCH(O198,($AJ$104:$AJ$113),0)),IF($Q$212&gt;=O198,INDEX('Spell Tables'!$AN$168:$AN$177,MATCH(O198,('Spell Tables'!$AL$168:$AL$177),0)),IF($Q$222&gt;=O198,INDEX('Spell Tables'!$AN$48:$AN$56,MATCH(O198,('Spell Tables'!$AL$48:$AL$56),0)),IF($Q$224&gt;=O198,INDEX('Spell Tables'!$AN$26:$AN$35,MATCH(O198,('Spell Tables'!$AL$26:$AL$35),0)),IF($Q$226&gt;=O198,INDEX('Spell Tables'!$AN$2:$AN$8,MATCH(O198,('Spell Tables'!$AL$2:$AL$8),0))," ")))))</f>
        <v xml:space="preserve"> </v>
      </c>
      <c r="R233" s="60" t="str">
        <f ca="1">IF($R$208&gt;=O198,INDEX($AL$116:$AL$125,MATCH(O198,($AJ$116:$AJ$125),0)),IF($R$212&gt;=O198,INDEX('Spell Tables'!$AR$168:$AR$175,MATCH(O198,('Spell Tables'!$AP$168:$AP$175),0)),IF($R$222&gt;=O198,INDEX('Spell Tables'!$AR$48:$AR$52,MATCH(O198,('Spell Tables'!$AP$48:$AP$52),0)),IF($R$224&gt;=O198,INDEX('Spell Tables'!$AR$26:$AR$33,MATCH(O198,('Spell Tables'!$AP$26:$AP$33),0)),IF($R$226&gt;=O198,INDEX('Spell Tables'!$AR$2:$AR$11,MATCH(O198,('Spell Tables'!$AL$2:$AL$11),0))," ")))))</f>
        <v xml:space="preserve"> </v>
      </c>
      <c r="S233" s="60" t="str">
        <f ca="1">IF($S$208&gt;=O198,INDEX($AL$128:$AL$137,MATCH(O198,($AJ$128:$AJ$137),0)),IF($S$212&gt;=O198,INDEX('Spell Tables'!$AV$168:$AV$172,MATCH(O198,('Spell Tables'!$AT$168:$AT$172),0)),IF($S$222&gt;=O198,INDEX('Spell Tables'!$AV$48:$AV$54,MATCH(O198,('Spell Tables'!$AT$48:$AT$54),0)),IF($S$224&gt;=O198,INDEX('Spell Tables'!$AV$26:$AV$29,MATCH(O198,('Spell Tables'!$AT$26:$AT$29),0)),IF($S$226&gt;=O198,INDEX('Spell Tables'!$AV$2:$AV$6,MATCH(O198,('Spell Tables'!$AT$2:$AT$6),0))," ")))))</f>
        <v xml:space="preserve"> </v>
      </c>
      <c r="T233" s="63" t="str">
        <f ca="1">IF($T$222&gt;=O198,INDEX('Spell Tables'!$AZ$48:$AZ$51,MATCH(O198,('Spell Tables'!$AX$48:$AX$51),0)),IF($T$208&gt;=O198,INDEX($AL$140:$AL$149,MATCH(O198,($AJ$140:$AJ$149),0)),IF($T$212&gt;=O198,INDEX('Spell Tables'!$AZ$168:$AZ$172,MATCH(O198,('Spell Tables'!$AX$168:$AX$172),0)),IF($T$224&gt;=O198,INDEX('Spell Tables'!$AZ$26:$AZ$29,MATCH(O198,('Spell Tables'!$AX$26:$AX$29),0)),IF($T$226&gt;=O198,INDEX('Spell Tables'!$AZ$2:$AZ$5,MATCH(O198,('Spell Tables'!$AX$2:$AX$5),0))," ")))))</f>
        <v xml:space="preserve"> </v>
      </c>
    </row>
    <row r="234" spans="2:20" x14ac:dyDescent="0.3">
      <c r="N234" s="72"/>
      <c r="O234" s="86">
        <v>7</v>
      </c>
      <c r="P234" s="65" t="str">
        <f ca="1">IF(AND($O$15="Otherworldly patron - great old one",P$210&gt;=O199),INDEX('Spell Tables'!$AJ$226:$AJ$231,MATCH(O199,('Spell Tables'!$AH$226:$AH$231),0)),IF(AND($O$15="Otherworldly patron - fiend",P$210&gt;=O199),INDEX('Spell Tables'!$AJ$210:$AJ$215,MATCH(O199,('Spell Tables'!$AH$210:$AH$215),0)),IF(AND($O$15="Otherworldly patron - archfey",P$210&gt;=O199),INDEX('Spell Tables'!$AJ$194:$AJ$199,MATCH(O199,('Spell Tables'!$AH$194:$AH$199),0)),IF($P$208&gt;=O199,INDEX($AL$92:$AL$101,MATCH(O199,($AJ$92:$AJ$101),0)),IF($P$212&gt;=O199,INDEX('Spell Tables'!$AJ$168:$AJ$178,MATCH(O199,('Spell Tables'!$AH$168:$AH$178),0)),IF($P$216&gt;=O199,INDEX('Spell Tables'!$AF$119:$AF$122,MATCH(O199,('Spell Tables'!$AD$119:$AD$122),0)),IF($P$218&gt;=O199,INDEX('Spell Tables'!$AF$97:$AF$102,MATCH(O199,('Spell Tables'!$AD$97:$AD$102),0)),IF($P$222&gt;=O199,INDEX('Spell Tables'!$AJ$48:$AJ$61,MATCH(O199,('Spell Tables'!$AH$48:$AH$61),0)),IF($P$224&gt;=O199,INDEX('Spell Tables'!$AJ$26:$AJ$38,MATCH(O199,('Spell Tables'!$AH$26:$AH$38),0)),IF($P$226&gt;=O199,INDEX('Spell Tables'!$AJ$2:$AJ$17,MATCH(O199,('Spell Tables'!$AH$2:$AH$17),0))," "))))))))))</f>
        <v xml:space="preserve"> </v>
      </c>
      <c r="Q234" s="65" t="str">
        <f ca="1">IF($Q$208&gt;=O199,INDEX($AL$104:$AL$113,MATCH(O199,($AJ$104:$AJ$113),0)),IF($Q$212&gt;=O199,INDEX('Spell Tables'!$AN$168:$AN$177,MATCH(O199,('Spell Tables'!$AL$168:$AL$177),0)),IF($Q$222&gt;=O199,INDEX('Spell Tables'!$AN$48:$AN$56,MATCH(O199,('Spell Tables'!$AL$48:$AL$56),0)),IF($Q$224&gt;=O199,INDEX('Spell Tables'!$AN$26:$AN$35,MATCH(O199,('Spell Tables'!$AL$26:$AL$35),0)),IF($Q$226&gt;=O199,INDEX('Spell Tables'!$AN$2:$AN$8,MATCH(O199,('Spell Tables'!$AL$2:$AL$8),0))," ")))))</f>
        <v xml:space="preserve"> </v>
      </c>
      <c r="R234" s="65" t="str">
        <f ca="1">IF($R$208&gt;=O199,INDEX($AL$116:$AL$125,MATCH(O199,($AJ$116:$AJ$125),0)),IF($R$212&gt;=O199,INDEX('Spell Tables'!$AR$168:$AR$175,MATCH(O199,('Spell Tables'!$AP$168:$AP$175),0)),IF($R$222&gt;=O199,INDEX('Spell Tables'!$AR$48:$AR$52,MATCH(O199,('Spell Tables'!$AP$48:$AP$52),0)),IF($R$224&gt;=O199,INDEX('Spell Tables'!$AR$26:$AR$33,MATCH(O199,('Spell Tables'!$AP$26:$AP$33),0)),IF($R$226&gt;=O199,INDEX('Spell Tables'!$AR$2:$AR$11,MATCH(O199,('Spell Tables'!$AL$2:$AL$11),0))," ")))))</f>
        <v xml:space="preserve"> </v>
      </c>
      <c r="S234" s="65" t="str">
        <f ca="1">IF($S$208&gt;=O199,INDEX($AL$128:$AL$137,MATCH(O199,($AJ$128:$AJ$137),0)),IF($S$212&gt;=O199,INDEX('Spell Tables'!$AV$168:$AV$172,MATCH(O199,('Spell Tables'!$AT$168:$AT$172),0)),IF($S$222&gt;=O199,INDEX('Spell Tables'!$AV$48:$AV$54,MATCH(O199,('Spell Tables'!$AT$48:$AT$54),0)),IF($S$224&gt;=O199,INDEX('Spell Tables'!$AV$26:$AV$29,MATCH(O199,('Spell Tables'!$AT$26:$AT$29),0)),IF($S$226&gt;=O199,INDEX('Spell Tables'!$AV$2:$AV$6,MATCH(O199,('Spell Tables'!$AT$2:$AT$6),0))," ")))))</f>
        <v xml:space="preserve"> </v>
      </c>
      <c r="T234" s="66" t="str">
        <f ca="1">IF($T$222&gt;=O199,INDEX('Spell Tables'!$AZ$48:$AZ$51,MATCH(O199,('Spell Tables'!$AX$48:$AX$51),0)),IF($T$208&gt;=O199,INDEX($AL$140:$AL$149,MATCH(O199,($AJ$140:$AJ$149),0)),IF($T$212&gt;=O199,INDEX('Spell Tables'!$AZ$168:$AZ$172,MATCH(O199,('Spell Tables'!$AX$168:$AX$172),0)),IF($T$224&gt;=O199,INDEX('Spell Tables'!$AZ$26:$AZ$29,MATCH(O199,('Spell Tables'!$AX$26:$AX$29),0)),IF($T$226&gt;=O199,INDEX('Spell Tables'!$AZ$2:$AZ$5,MATCH(O199,('Spell Tables'!$AX$2:$AX$5),0))," ")))))</f>
        <v xml:space="preserve"> </v>
      </c>
    </row>
    <row r="235" spans="2:20" x14ac:dyDescent="0.3">
      <c r="N235" s="72"/>
      <c r="O235" s="133">
        <v>8</v>
      </c>
      <c r="P235" s="60" t="str">
        <f ca="1">IF(AND($O$15="Otherworldly patron - great old one",P$210&gt;=O200),INDEX('Spell Tables'!$AJ$226:$AJ$231,MATCH(O200,('Spell Tables'!$AH$226:$AH$231),0)),IF(AND($O$15="Otherworldly patron - fiend",P$210&gt;=O200),INDEX('Spell Tables'!$AJ$210:$AJ$215,MATCH(O200,('Spell Tables'!$AH$210:$AH$215),0)),IF(AND($O$15="Otherworldly patron - archfey",P$210&gt;=O200),INDEX('Spell Tables'!$AJ$194:$AJ$199,MATCH(O200,('Spell Tables'!$AH$194:$AH$199),0)),IF($P$208&gt;=O200,INDEX($AL$92:$AL$101,MATCH(O200,($AJ$92:$AJ$101),0)),IF($P$212&gt;=O200,INDEX('Spell Tables'!$AJ$168:$AJ$178,MATCH(O200,('Spell Tables'!$AH$168:$AH$178),0)),IF($P$216&gt;=O200,INDEX('Spell Tables'!$AF$119:$AF$122,MATCH(O200,('Spell Tables'!$AD$119:$AD$122),0)),IF($P$218&gt;=O200,INDEX('Spell Tables'!$AF$97:$AF$102,MATCH(O200,('Spell Tables'!$AD$97:$AD$102),0)),IF($P$222&gt;=O200,INDEX('Spell Tables'!$AJ$48:$AJ$61,MATCH(O200,('Spell Tables'!$AH$48:$AH$61),0)),IF($P$224&gt;=O200,INDEX('Spell Tables'!$AJ$26:$AJ$38,MATCH(O200,('Spell Tables'!$AH$26:$AH$38),0)),IF($P$226&gt;=O200,INDEX('Spell Tables'!$AJ$2:$AJ$17,MATCH(O200,('Spell Tables'!$AH$2:$AH$17),0))," "))))))))))</f>
        <v xml:space="preserve"> </v>
      </c>
      <c r="Q235" s="60" t="str">
        <f ca="1">IF($Q$208&gt;=O200,INDEX($AL$104:$AL$113,MATCH(O200,($AJ$104:$AJ$113),0)),IF($Q$212&gt;=O200,INDEX('Spell Tables'!$AN$168:$AN$177,MATCH(O200,('Spell Tables'!$AL$168:$AL$177),0)),IF($Q$222&gt;=O200,INDEX('Spell Tables'!$AN$48:$AN$56,MATCH(O200,('Spell Tables'!$AL$48:$AL$56),0)),IF($Q$224&gt;=O200,INDEX('Spell Tables'!$AN$26:$AN$35,MATCH(O200,('Spell Tables'!$AL$26:$AL$35),0)),IF($Q$226&gt;=O200,INDEX('Spell Tables'!$AN$2:$AN$8,MATCH(O200,('Spell Tables'!$AL$2:$AL$8),0))," ")))))</f>
        <v xml:space="preserve"> </v>
      </c>
      <c r="R235" s="60" t="str">
        <f ca="1">IF($R$208&gt;=O200,INDEX($AL$116:$AL$125,MATCH(O200,($AJ$116:$AJ$125),0)),IF($R$212&gt;=O200,INDEX('Spell Tables'!$AR$168:$AR$175,MATCH(O200,('Spell Tables'!$AP$168:$AP$175),0)),IF($R$222&gt;=O200,INDEX('Spell Tables'!$AR$48:$AR$52,MATCH(O200,('Spell Tables'!$AP$48:$AP$52),0)),IF($R$224&gt;=O200,INDEX('Spell Tables'!$AR$26:$AR$33,MATCH(O200,('Spell Tables'!$AP$26:$AP$33),0)),IF($R$226&gt;=O200,INDEX('Spell Tables'!$AR$2:$AR$11,MATCH(O200,('Spell Tables'!$AL$2:$AL$11),0))," ")))))</f>
        <v xml:space="preserve"> </v>
      </c>
      <c r="S235" s="60" t="str">
        <f ca="1">IF($S$208&gt;=O200,INDEX($AL$128:$AL$137,MATCH(O200,($AJ$128:$AJ$137),0)),IF($S$212&gt;=O200,INDEX('Spell Tables'!$AV$168:$AV$172,MATCH(O200,('Spell Tables'!$AT$168:$AT$172),0)),IF($S$222&gt;=O200,INDEX('Spell Tables'!$AV$48:$AV$54,MATCH(O200,('Spell Tables'!$AT$48:$AT$54),0)),IF($S$224&gt;=O200,INDEX('Spell Tables'!$AV$26:$AV$29,MATCH(O200,('Spell Tables'!$AT$26:$AT$29),0)),IF($S$226&gt;=O200,INDEX('Spell Tables'!$AV$2:$AV$6,MATCH(O200,('Spell Tables'!$AT$2:$AT$6),0))," ")))))</f>
        <v xml:space="preserve"> </v>
      </c>
      <c r="T235" s="63" t="str">
        <f ca="1">IF($T$222&gt;=O200,INDEX('Spell Tables'!$AZ$48:$AZ$51,MATCH(O200,('Spell Tables'!$AX$48:$AX$51),0)),IF($T$208&gt;=O200,INDEX($AL$140:$AL$149,MATCH(O200,($AJ$140:$AJ$149),0)),IF($T$212&gt;=O200,INDEX('Spell Tables'!$AZ$168:$AZ$172,MATCH(O200,('Spell Tables'!$AX$168:$AX$172),0)),IF($T$224&gt;=O200,INDEX('Spell Tables'!$AZ$26:$AZ$29,MATCH(O200,('Spell Tables'!$AX$26:$AX$29),0)),IF($T$226&gt;=O200,INDEX('Spell Tables'!$AZ$2:$AZ$5,MATCH(O200,('Spell Tables'!$AX$2:$AX$5),0))," ")))))</f>
        <v xml:space="preserve"> </v>
      </c>
    </row>
    <row r="236" spans="2:20" x14ac:dyDescent="0.3">
      <c r="N236" s="72"/>
      <c r="O236" s="86">
        <v>9</v>
      </c>
      <c r="P236" s="65" t="str">
        <f ca="1">IF(AND($O$15="Otherworldly patron - great old one",P$210&gt;=O201),INDEX('Spell Tables'!$AJ$226:$AJ$231,MATCH(O201,('Spell Tables'!$AH$226:$AH$231),0)),IF(AND($O$15="Otherworldly patron - fiend",P$210&gt;=O201),INDEX('Spell Tables'!$AJ$210:$AJ$215,MATCH(O201,('Spell Tables'!$AH$210:$AH$215),0)),IF(AND($O$15="Otherworldly patron - archfey",P$210&gt;=O201),INDEX('Spell Tables'!$AJ$194:$AJ$199,MATCH(O201,('Spell Tables'!$AH$194:$AH$199),0)),IF($P$208&gt;=O201,INDEX($AL$92:$AL$101,MATCH(O201,($AJ$92:$AJ$101),0)),IF($P$212&gt;=O201,INDEX('Spell Tables'!$AJ$168:$AJ$178,MATCH(O201,('Spell Tables'!$AH$168:$AH$178),0)),IF($P$216&gt;=O201,INDEX('Spell Tables'!$AF$119:$AF$122,MATCH(O201,('Spell Tables'!$AD$119:$AD$122),0)),IF($P$218&gt;=O201,INDEX('Spell Tables'!$AF$97:$AF$102,MATCH(O201,('Spell Tables'!$AD$97:$AD$102),0)),IF($P$222&gt;=O201,INDEX('Spell Tables'!$AJ$48:$AJ$61,MATCH(O201,('Spell Tables'!$AH$48:$AH$61),0)),IF($P$224&gt;=O201,INDEX('Spell Tables'!$AJ$26:$AJ$38,MATCH(O201,('Spell Tables'!$AH$26:$AH$38),0)),IF($P$226&gt;=O201,INDEX('Spell Tables'!$AJ$2:$AJ$17,MATCH(O201,('Spell Tables'!$AH$2:$AH$17),0))," "))))))))))</f>
        <v xml:space="preserve"> </v>
      </c>
      <c r="Q236" s="65" t="str">
        <f ca="1">IF($Q$208&gt;=O201,INDEX($AL$104:$AL$113,MATCH(O201,($AJ$104:$AJ$113),0)),IF($Q$212&gt;=O201,INDEX('Spell Tables'!$AN$168:$AN$177,MATCH(O201,('Spell Tables'!$AL$168:$AL$177),0)),IF($Q$222&gt;=O201,INDEX('Spell Tables'!$AN$48:$AN$56,MATCH(O201,('Spell Tables'!$AL$48:$AL$56),0)),IF($Q$224&gt;=O201,INDEX('Spell Tables'!$AN$26:$AN$35,MATCH(O201,('Spell Tables'!$AL$26:$AL$35),0)),IF($Q$226&gt;=O201,INDEX('Spell Tables'!$AN$2:$AN$8,MATCH(O201,('Spell Tables'!$AL$2:$AL$8),0))," ")))))</f>
        <v xml:space="preserve"> </v>
      </c>
      <c r="R236" s="65" t="str">
        <f ca="1">IF($R$208&gt;=O201,INDEX($AL$116:$AL$125,MATCH(O201,($AJ$116:$AJ$125),0)),IF($R$212&gt;=O201,INDEX('Spell Tables'!$AR$168:$AR$175,MATCH(O201,('Spell Tables'!$AP$168:$AP$175),0)),IF($R$222&gt;=O201,INDEX('Spell Tables'!$AR$48:$AR$52,MATCH(O201,('Spell Tables'!$AP$48:$AP$52),0)),IF($R$224&gt;=O201,INDEX('Spell Tables'!$AR$26:$AR$33,MATCH(O201,('Spell Tables'!$AP$26:$AP$33),0)),IF($R$226&gt;=O201,INDEX('Spell Tables'!$AR$2:$AR$11,MATCH(O201,('Spell Tables'!$AL$2:$AL$11),0))," ")))))</f>
        <v xml:space="preserve"> </v>
      </c>
      <c r="S236" s="65" t="str">
        <f ca="1">IF($S$208&gt;=O201,INDEX($AL$128:$AL$137,MATCH(O201,($AJ$128:$AJ$137),0)),IF($S$212&gt;=O201,INDEX('Spell Tables'!$AV$168:$AV$172,MATCH(O201,('Spell Tables'!$AT$168:$AT$172),0)),IF($S$222&gt;=O201,INDEX('Spell Tables'!$AV$48:$AV$54,MATCH(O201,('Spell Tables'!$AT$48:$AT$54),0)),IF($S$224&gt;=O201,INDEX('Spell Tables'!$AV$26:$AV$29,MATCH(O201,('Spell Tables'!$AT$26:$AT$29),0)),IF($S$226&gt;=O201,INDEX('Spell Tables'!$AV$2:$AV$6,MATCH(O201,('Spell Tables'!$AT$2:$AT$6),0))," ")))))</f>
        <v xml:space="preserve"> </v>
      </c>
      <c r="T236" s="66" t="str">
        <f ca="1">IF($T$222&gt;=O201,INDEX('Spell Tables'!$AZ$48:$AZ$51,MATCH(O201,('Spell Tables'!$AX$48:$AX$51),0)),IF($T$208&gt;=O201,INDEX($AL$140:$AL$149,MATCH(O201,($AJ$140:$AJ$149),0)),IF($T$212&gt;=O201,INDEX('Spell Tables'!$AZ$168:$AZ$172,MATCH(O201,('Spell Tables'!$AX$168:$AX$172),0)),IF($T$224&gt;=O201,INDEX('Spell Tables'!$AZ$26:$AZ$29,MATCH(O201,('Spell Tables'!$AX$26:$AX$29),0)),IF($T$226&gt;=O201,INDEX('Spell Tables'!$AZ$2:$AZ$5,MATCH(O201,('Spell Tables'!$AX$2:$AX$5),0))," ")))))</f>
        <v xml:space="preserve"> </v>
      </c>
    </row>
    <row r="237" spans="2:20" ht="19.5" thickBot="1" x14ac:dyDescent="0.35">
      <c r="N237" s="72"/>
      <c r="O237" s="134">
        <v>10</v>
      </c>
      <c r="P237" s="67" t="str">
        <f ca="1">IF(AND($O$15="Otherworldly patron - great old one",P$210&gt;=O202),INDEX('Spell Tables'!$AJ$226:$AJ$231,MATCH(O202,('Spell Tables'!$AH$226:$AH$231),0)),IF(AND($O$15="Otherworldly patron - fiend",P$210&gt;=O202),INDEX('Spell Tables'!$AJ$210:$AJ$215,MATCH(O202,('Spell Tables'!$AH$210:$AH$215),0)),IF(AND($O$15="Otherworldly patron - archfey",P$210&gt;=O202),INDEX('Spell Tables'!$AJ$194:$AJ$199,MATCH(O202,('Spell Tables'!$AH$194:$AH$199),0)),IF($P$208&gt;=O202,INDEX($AL$92:$AL$101,MATCH(O202,($AJ$92:$AJ$101),0)),IF($P$212&gt;=O202,INDEX('Spell Tables'!$AJ$168:$AJ$178,MATCH(O202,('Spell Tables'!$AH$168:$AH$178),0)),IF($P$216&gt;=O202,INDEX('Spell Tables'!$AF$119:$AF$122,MATCH(O202,('Spell Tables'!$AD$119:$AD$122),0)),IF($P$218&gt;=O202,INDEX('Spell Tables'!$AF$97:$AF$102,MATCH(O202,('Spell Tables'!$AD$97:$AD$102),0)),IF($P$222&gt;=O202,INDEX('Spell Tables'!$AJ$48:$AJ$61,MATCH(O202,('Spell Tables'!$AH$48:$AH$61),0)),IF($P$224&gt;=O202,INDEX('Spell Tables'!$AJ$26:$AJ$38,MATCH(O202,('Spell Tables'!$AH$26:$AH$38),0)),IF($P$226&gt;=O202,INDEX('Spell Tables'!$AJ$2:$AJ$17,MATCH(O202,('Spell Tables'!$AH$2:$AH$17),0))," "))))))))))</f>
        <v xml:space="preserve"> </v>
      </c>
      <c r="Q237" s="67" t="str">
        <f ca="1">IF($Q$208&gt;=O202,INDEX($AL$104:$AL$113,MATCH(O202,($AJ$104:$AJ$113),0)),IF($Q$212&gt;=O202,INDEX('Spell Tables'!$AN$168:$AN$177,MATCH(O202,('Spell Tables'!$AL$168:$AL$177),0)),IF($Q$222&gt;=O202,INDEX('Spell Tables'!$AN$48:$AN$56,MATCH(O202,('Spell Tables'!$AL$48:$AL$56),0)),IF($Q$224&gt;=O202,INDEX('Spell Tables'!$AN$26:$AN$35,MATCH(O202,('Spell Tables'!$AL$26:$AL$35),0)),IF($Q$226&gt;=O202,INDEX('Spell Tables'!$AN$2:$AN$8,MATCH(O202,('Spell Tables'!$AL$2:$AL$8),0))," ")))))</f>
        <v xml:space="preserve"> </v>
      </c>
      <c r="R237" s="67" t="str">
        <f ca="1">IF($R$208&gt;=O202,INDEX($AL$116:$AL$125,MATCH(O202,($AJ$116:$AJ$125),0)),IF($R$212&gt;=O202,INDEX('Spell Tables'!$AR$168:$AR$175,MATCH(O202,('Spell Tables'!$AP$168:$AP$175),0)),IF($R$222&gt;=O202,INDEX('Spell Tables'!$AR$48:$AR$52,MATCH(O202,('Spell Tables'!$AP$48:$AP$52),0)),IF($R$224&gt;=O202,INDEX('Spell Tables'!$AR$26:$AR$33,MATCH(O202,('Spell Tables'!$AP$26:$AP$33),0)),IF($R$226&gt;=O202,INDEX('Spell Tables'!$AR$2:$AR$11,MATCH(O202,('Spell Tables'!$AL$2:$AL$11),0))," ")))))</f>
        <v xml:space="preserve"> </v>
      </c>
      <c r="S237" s="67" t="str">
        <f ca="1">IF($S$208&gt;=O202,INDEX($AL$128:$AL$137,MATCH(O202,($AJ$128:$AJ$137),0)),IF($S$212&gt;=O202,INDEX('Spell Tables'!$AV$168:$AV$172,MATCH(O202,('Spell Tables'!$AT$168:$AT$172),0)),IF($S$222&gt;=O202,INDEX('Spell Tables'!$AV$48:$AV$54,MATCH(O202,('Spell Tables'!$AT$48:$AT$54),0)),IF($S$224&gt;=O202,INDEX('Spell Tables'!$AV$26:$AV$29,MATCH(O202,('Spell Tables'!$AT$26:$AT$29),0)),IF($S$226&gt;=O202,INDEX('Spell Tables'!$AV$2:$AV$6,MATCH(O202,('Spell Tables'!$AT$2:$AT$6),0))," ")))))</f>
        <v xml:space="preserve"> </v>
      </c>
      <c r="T237" s="68" t="str">
        <f ca="1">IF($T$222&gt;=O202,INDEX('Spell Tables'!$AZ$48:$AZ$51,MATCH(O202,('Spell Tables'!$AX$48:$AX$51),0)),IF($T$208&gt;=O202,INDEX($AL$140:$AL$149,MATCH(O202,($AJ$140:$AJ$149),0)),IF($T$212&gt;=O202,INDEX('Spell Tables'!$AZ$168:$AZ$172,MATCH(O202,('Spell Tables'!$AX$168:$AX$172),0)),IF($T$224&gt;=O202,INDEX('Spell Tables'!$AZ$26:$AZ$29,MATCH(O202,('Spell Tables'!$AX$26:$AX$29),0)),IF($T$226&gt;=O202,INDEX('Spell Tables'!$AZ$2:$AZ$5,MATCH(O202,('Spell Tables'!$AX$2:$AX$5),0))," ")))))</f>
        <v xml:space="preserve"> </v>
      </c>
    </row>
    <row r="238" spans="2:20" ht="19.5" thickBot="1" x14ac:dyDescent="0.35"/>
    <row r="239" spans="2:20" ht="30.75" thickBot="1" x14ac:dyDescent="0.45">
      <c r="B239" s="105" t="s">
        <v>1323</v>
      </c>
      <c r="C239" s="57"/>
      <c r="D239" s="57"/>
      <c r="E239" s="57"/>
      <c r="F239" s="57"/>
      <c r="G239" s="57"/>
      <c r="H239" s="57"/>
      <c r="I239" s="57"/>
      <c r="J239" s="57"/>
      <c r="K239" s="57"/>
      <c r="L239" s="57"/>
      <c r="M239" s="57"/>
      <c r="N239" s="57"/>
      <c r="O239" s="57"/>
      <c r="P239" s="57"/>
      <c r="Q239" s="57"/>
      <c r="R239" s="57"/>
      <c r="S239" s="57"/>
    </row>
    <row r="240" spans="2:20" ht="19.5" thickBot="1" x14ac:dyDescent="0.35">
      <c r="B240" s="33"/>
      <c r="C240" s="27"/>
      <c r="D240" s="27"/>
      <c r="E240" s="27"/>
      <c r="F240" s="27"/>
      <c r="G240" s="27"/>
      <c r="H240" s="27"/>
      <c r="I240" s="27"/>
      <c r="J240" s="27"/>
      <c r="K240" s="27"/>
      <c r="L240" s="27"/>
      <c r="M240" s="27"/>
      <c r="O240" s="27"/>
      <c r="P240" s="87" t="s">
        <v>1341</v>
      </c>
      <c r="Q240" s="94" t="str">
        <f ca="1">IF($Q$11="warlock",INDEX('Spell Tables'!$D$194:$D$213,MATCH($Q$12,('Spell Tables'!$A$194:$A$213),0))," ")</f>
        <v xml:space="preserve"> </v>
      </c>
      <c r="R240" s="89" t="s">
        <v>1340</v>
      </c>
      <c r="S240" s="90" t="str">
        <f ca="1">IF($Q$11="warlock",INDEX('Spell Tables'!$E$194:$E$213,MATCH($Q$12,('Spell Tables'!$A$194:$A$213),0))," ")</f>
        <v xml:space="preserve"> </v>
      </c>
      <c r="T240" s="27"/>
    </row>
    <row r="241" spans="2:20" hidden="1" x14ac:dyDescent="0.3">
      <c r="B241" s="92" t="s">
        <v>1270</v>
      </c>
      <c r="C241" s="33"/>
      <c r="D241" s="33"/>
      <c r="E241" s="33"/>
      <c r="F241" s="33"/>
      <c r="G241" s="33"/>
      <c r="H241" s="33"/>
      <c r="I241" s="33"/>
      <c r="J241" s="33"/>
      <c r="K241" s="33"/>
      <c r="L241" s="33"/>
      <c r="M241" s="33"/>
      <c r="O241" s="33" t="s">
        <v>530</v>
      </c>
      <c r="P241" s="33" t="s">
        <v>530</v>
      </c>
      <c r="Q241" s="114" t="str">
        <f ca="1">IF(AND(Q11="wizard",Q12&gt;=3),"x",IF(Q11="wizard","xx"," "))</f>
        <v xml:space="preserve"> </v>
      </c>
      <c r="R241" s="114" t="str">
        <f ca="1">IF(AND(Q11="wizard",Q12&gt;=5),"x",IF(AND($Q$11="wizard",$Q$12&gt;=3),"xx"," "))</f>
        <v xml:space="preserve"> </v>
      </c>
      <c r="S241" s="114" t="str">
        <f ca="1">IF(AND(Q11="Wizard",Q12&gt;=7),"x",IF(AND($Q$11="wizard",$Q$12&gt;5),"xx",IF(AND(Q11="wizard",Q12=5),"xxx"," ")))</f>
        <v xml:space="preserve"> </v>
      </c>
      <c r="T241" s="114" t="str">
        <f ca="1">IF(AND(Q11="wizard",Q12&gt;=9),"x",IF(AND($Q$11="wizard",$Q$12&gt;7),"xx",IF(AND(Q11="wizard",Q12=7),"xxx"," ")))</f>
        <v xml:space="preserve"> </v>
      </c>
    </row>
    <row r="242" spans="2:20" hidden="1" x14ac:dyDescent="0.3">
      <c r="B242" s="92" t="s">
        <v>1272</v>
      </c>
      <c r="C242" s="33"/>
      <c r="D242" s="33"/>
      <c r="E242" s="33"/>
      <c r="F242" s="33"/>
      <c r="G242" s="33"/>
      <c r="H242" s="33"/>
      <c r="I242" s="33"/>
      <c r="J242" s="33"/>
      <c r="K242" s="33"/>
      <c r="L242" s="33"/>
      <c r="M242" s="33"/>
      <c r="O242" s="33" t="str">
        <f ca="1">IF(Q11="wizard",N41+Q12," ")</f>
        <v xml:space="preserve"> </v>
      </c>
      <c r="P242" s="33">
        <f ca="1">IF(Q11="wizard",INDEX('Spell Tables'!C242:C261,MATCH(Q12,('Spell Tables'!B242:B261),0)),0)</f>
        <v>0</v>
      </c>
      <c r="Q242" s="114">
        <f ca="1">IF($Q241="x",RANDBETWEEN(1,2),IF($Q241="xx",$O$242,0))</f>
        <v>0</v>
      </c>
      <c r="R242" s="114">
        <f ca="1">IF(R241="x",RANDBETWEEN(1,2),IF(R241="xx",$O$242-Q242,0))</f>
        <v>0</v>
      </c>
      <c r="S242" s="114">
        <f ca="1">IF(S241="x",O242-SUM(Q242:R242,U169:X169),IF(S241="xx",$O$242-SUM(Q242:R242),0))</f>
        <v>0</v>
      </c>
      <c r="T242" s="114">
        <f ca="1">IF(T241="x",RANDBETWEEN(1,2),IF(T241="xx",RANDBETWEEN(2,3),IF(T241="xxx",RANDBETWEEN(1,2),0)))</f>
        <v>0</v>
      </c>
    </row>
    <row r="243" spans="2:20" hidden="1" x14ac:dyDescent="0.3">
      <c r="B243" s="92" t="s">
        <v>1269</v>
      </c>
      <c r="C243" s="33"/>
      <c r="D243" s="33"/>
      <c r="E243" s="33"/>
      <c r="F243" s="33"/>
      <c r="G243" s="33"/>
      <c r="H243" s="33"/>
      <c r="I243" s="33"/>
      <c r="J243" s="33"/>
      <c r="K243" s="33"/>
      <c r="L243" s="33"/>
      <c r="M243" s="33"/>
      <c r="O243" s="33" t="s">
        <v>530</v>
      </c>
      <c r="P243" s="33" t="s">
        <v>530</v>
      </c>
      <c r="Q243" s="114" t="str">
        <f ca="1">IF(AND($Q$11="warlock",$Q$12&gt;=3),"x",IF(Q11="warlock","xx"," "))</f>
        <v xml:space="preserve"> </v>
      </c>
      <c r="R243" s="114" t="str">
        <f ca="1">IF(AND($Q$11="warlock",$Q$12&gt;=5),"x",IF(AND($Q$11="warlock",$Q$12&gt;=3),"xx"," "))</f>
        <v xml:space="preserve"> </v>
      </c>
      <c r="S243" s="114" t="str">
        <f ca="1">IF(AND($Q$11="warlock",$Q$12&gt;=7),"x",IF(AND($Q$11="warlock",$Q$12&gt;=5),"xx"," "))</f>
        <v xml:space="preserve"> </v>
      </c>
      <c r="T243" s="114" t="str">
        <f ca="1">IF(AND($Q$11="warlock",$Q$12&gt;=9),"x",IF(AND($Q$11="warlock",$Q$12&gt;=7),"xx"," "))</f>
        <v xml:space="preserve"> </v>
      </c>
    </row>
    <row r="244" spans="2:20" hidden="1" x14ac:dyDescent="0.3">
      <c r="B244" s="92" t="s">
        <v>1268</v>
      </c>
      <c r="C244" s="33"/>
      <c r="D244" s="33"/>
      <c r="E244" s="33"/>
      <c r="F244" s="33"/>
      <c r="G244" s="33"/>
      <c r="H244" s="33"/>
      <c r="I244" s="33"/>
      <c r="J244" s="33"/>
      <c r="K244" s="33"/>
      <c r="L244" s="33"/>
      <c r="M244" s="33"/>
      <c r="O244" s="33" t="str">
        <f ca="1">IF(Q11="warlock",INDEX('Spell Tables'!C194:C213,MATCH($Q$12,('Spell Tables'!A194:A213),0))," ")</f>
        <v xml:space="preserve"> </v>
      </c>
      <c r="P244" s="33">
        <f ca="1">IF($Q$11="warlock",INDEX('Spell Tables'!B194:B213,MATCH($Q$12,('Spell Tables'!A194:A213),0)),0)</f>
        <v>0</v>
      </c>
      <c r="Q244" s="114">
        <f ca="1">IF($Q243="x",RANDBETWEEN(1,2),IF($Q243="xx",$O$244,0))</f>
        <v>0</v>
      </c>
      <c r="R244" s="114">
        <f ca="1">IF(R243="x",RANDBETWEEN(1,2),IF(R243="xx",$O$244-Q244,0))</f>
        <v>0</v>
      </c>
      <c r="S244" s="114">
        <f ca="1">IF(S243="x",O244-SUM(Q244:R244,U171:X171),IF(S243="xx",$O$244-SUM(Q244:R244),0))</f>
        <v>0</v>
      </c>
      <c r="T244" s="114">
        <f ca="1">IF(T243="x",RANDBETWEEN(1,2),IF(T243="xx",RANDBETWEEN(2,3),0))</f>
        <v>0</v>
      </c>
    </row>
    <row r="245" spans="2:20" hidden="1" x14ac:dyDescent="0.3">
      <c r="B245" s="92" t="s">
        <v>1267</v>
      </c>
      <c r="C245" s="33"/>
      <c r="D245" s="33"/>
      <c r="E245" s="33"/>
      <c r="F245" s="33"/>
      <c r="G245" s="33"/>
      <c r="H245" s="33"/>
      <c r="I245" s="33"/>
      <c r="J245" s="33"/>
      <c r="K245" s="33"/>
      <c r="L245" s="33"/>
      <c r="M245" s="33"/>
      <c r="O245" s="33" t="s">
        <v>530</v>
      </c>
      <c r="P245" s="33" t="s">
        <v>530</v>
      </c>
      <c r="Q245" s="114" t="str">
        <f ca="1">IF(AND($Q$11="sorcerer",$Q$12&gt;=3),"x",IF($Q$11="sorcerer","xx"," "))</f>
        <v xml:space="preserve"> </v>
      </c>
      <c r="R245" s="114" t="str">
        <f ca="1">IF(AND($Q$11="sorcerer",$Q$12&gt;=5),"x",IF(AND($Q$11="sorcerer",$Q$12&gt;=3),"xx"," "))</f>
        <v xml:space="preserve"> </v>
      </c>
      <c r="S245" s="114" t="str">
        <f ca="1">IF(AND($Q$11="sorcerer",$Q$12&gt;=7),"x",IF(AND($Q$11="sorcerer",$Q$12&gt;=5),"xx"," "))</f>
        <v xml:space="preserve"> </v>
      </c>
      <c r="T245" s="114" t="str">
        <f ca="1">IF(AND($Q$11="sorcerer",$Q$12&gt;=9),"x",IF(AND($Q$11="sorcerer",$Q$12&gt;=7),"xx"," "))</f>
        <v xml:space="preserve"> </v>
      </c>
    </row>
    <row r="246" spans="2:20" hidden="1" x14ac:dyDescent="0.3">
      <c r="B246" s="92" t="s">
        <v>1266</v>
      </c>
      <c r="C246" s="33"/>
      <c r="D246" s="33"/>
      <c r="E246" s="33"/>
      <c r="F246" s="33"/>
      <c r="G246" s="33"/>
      <c r="H246" s="33"/>
      <c r="I246" s="33"/>
      <c r="J246" s="33"/>
      <c r="K246" s="33"/>
      <c r="L246" s="33"/>
      <c r="M246" s="33"/>
      <c r="O246" s="33" t="str">
        <f ca="1">IF(Q11="sorcerer",INDEX('Spell Tables'!C168:C187,MATCH($Q$12,('Spell Tables'!A168:A187),0))," ")</f>
        <v xml:space="preserve"> </v>
      </c>
      <c r="P246" s="33">
        <f ca="1">IF($Q$11="sorcerer",INDEX('Spell Tables'!B168:B187,MATCH($Q$12,('Spell Tables'!A168:A187),0)),0)</f>
        <v>0</v>
      </c>
      <c r="Q246" s="114">
        <f ca="1">IF($Q245="x",RANDBETWEEN(1,2),IF($Q245="xx",$O$246,0))</f>
        <v>0</v>
      </c>
      <c r="R246" s="114">
        <f ca="1">IF(R245="x",RANDBETWEEN(1,2),IF(R245="xx",$O$246-Q246,0))</f>
        <v>0</v>
      </c>
      <c r="S246" s="114">
        <f ca="1">IF(S245="x",O246-SUM(Q246:R246,U173:X173),IF(S245="xx",$O$246-SUM(Q246:R246),0))</f>
        <v>0</v>
      </c>
      <c r="T246" s="114">
        <f ca="1">IF(T245="x",RANDBETWEEN(1,2),IF(T245="xx",RANDBETWEEN(2,3),0))</f>
        <v>0</v>
      </c>
    </row>
    <row r="247" spans="2:20" hidden="1" x14ac:dyDescent="0.3">
      <c r="B247" s="92" t="s">
        <v>1254</v>
      </c>
      <c r="C247" s="33"/>
      <c r="D247" s="33"/>
      <c r="E247" s="33"/>
      <c r="F247" s="33"/>
      <c r="G247" s="33"/>
      <c r="H247" s="33"/>
      <c r="I247" s="33"/>
      <c r="J247" s="33"/>
      <c r="K247" s="33"/>
      <c r="L247" s="33"/>
      <c r="M247" s="33"/>
      <c r="O247" s="33" t="s">
        <v>530</v>
      </c>
      <c r="P247" s="33" t="s">
        <v>530</v>
      </c>
      <c r="Q247" s="114" t="str">
        <f ca="1">IF(AND(R15="arcane trickster",Q12&gt;=7),"x",IF(R15="arcane trickster","xx"," "))</f>
        <v xml:space="preserve"> </v>
      </c>
      <c r="R247" s="114" t="str">
        <f ca="1">IF(AND(R15="arcane trickster",Q12=13),"x",IF(AND(R15="arcane trickster",$Q$12&gt;=7),"xx"," "))</f>
        <v xml:space="preserve"> </v>
      </c>
      <c r="S247" s="114" t="str">
        <f ca="1">IF(AND(R15="arcane trickster",Q12&gt;=19),"x",IF(AND(R15="arcane trickster",$Q$12&gt;=13),"xx"," "))</f>
        <v xml:space="preserve"> </v>
      </c>
      <c r="T247" s="114" t="str">
        <f ca="1">IF(AND(R15="arcane trickster",$Q$12&gt;=19),"xx"," ")</f>
        <v xml:space="preserve"> </v>
      </c>
    </row>
    <row r="248" spans="2:20" hidden="1" x14ac:dyDescent="0.3">
      <c r="B248" s="92" t="s">
        <v>1253</v>
      </c>
      <c r="C248" s="33"/>
      <c r="D248" s="33"/>
      <c r="E248" s="33"/>
      <c r="F248" s="33"/>
      <c r="G248" s="33"/>
      <c r="H248" s="33"/>
      <c r="I248" s="33"/>
      <c r="J248" s="33"/>
      <c r="K248" s="33"/>
      <c r="L248" s="33"/>
      <c r="M248" s="33"/>
      <c r="O248" s="33" t="str">
        <f ca="1">IF(R15="arcane trickster",INDEX('Spell Tables'!C141:C160,MATCH($Q$12,('Spell Tables'!A141:A160),0))," ")</f>
        <v xml:space="preserve"> </v>
      </c>
      <c r="P248" s="33">
        <f ca="1">IF($R$15="arcane trickster",INDEX('Spell Tables'!B141:B160,MATCH($Q$12,('Spell Tables'!A141:A160),0)),0)</f>
        <v>0</v>
      </c>
      <c r="Q248" s="114">
        <f ca="1">IF($Q247="x",RANDBETWEEN(2,3),IF($Q247="xx",$O$248,0))</f>
        <v>0</v>
      </c>
      <c r="R248" s="114">
        <f ca="1">IF(R247="x",RANDBETWEEN(2,3),IF(R247="xx",$O$248-Q248,0))</f>
        <v>0</v>
      </c>
      <c r="S248" s="114">
        <f ca="1">IF(S247="x",O248-SUM(Q248:R248,U175:X175),IF(S247="xx",$O$248-SUM(Q248:R248),0))</f>
        <v>0</v>
      </c>
      <c r="T248" s="114">
        <f ca="1">IF(T247="x",RANDBETWEEN(1,2),IF(T247="xx",RANDBETWEEN(2,3),0))</f>
        <v>0</v>
      </c>
    </row>
    <row r="249" spans="2:20" hidden="1" x14ac:dyDescent="0.3">
      <c r="B249" s="92" t="s">
        <v>1247</v>
      </c>
      <c r="C249" s="33"/>
      <c r="D249" s="33"/>
      <c r="E249" s="33"/>
      <c r="F249" s="33"/>
      <c r="G249" s="33"/>
      <c r="H249" s="33"/>
      <c r="I249" s="33"/>
      <c r="J249" s="33"/>
      <c r="K249" s="33"/>
      <c r="L249" s="33"/>
      <c r="M249" s="33"/>
      <c r="O249" s="33" t="s">
        <v>530</v>
      </c>
      <c r="P249" s="33" t="s">
        <v>1324</v>
      </c>
      <c r="Q249" s="114" t="str">
        <f ca="1">IF(AND($Q$11="ranger",$Q$12&gt;=5),"x",IF(AND(Q11="ranger",Q12&gt;=2),"xx"," "))</f>
        <v xml:space="preserve"> </v>
      </c>
      <c r="R249" s="114" t="str">
        <f ca="1">IF(AND($Q$11="ranger",$Q$12&gt;=9),"x",IF(AND($Q$11="ranger",$Q$12&gt;=5),"xx"," "))</f>
        <v xml:space="preserve"> </v>
      </c>
      <c r="S249" s="114" t="str">
        <f ca="1">IF(AND($Q$11="ranger",$Q$12&gt;=13),"x",IF(AND($Q$11="ranger",$Q$12&gt;=9),"xx"," "))</f>
        <v xml:space="preserve"> </v>
      </c>
      <c r="T249" s="114" t="str">
        <f ca="1">IF(AND($Q$11="ranger",$Q$12&gt;=17),"x",IF(AND($Q$11="ranger",$Q$12&gt;=13),"xx"," "))</f>
        <v xml:space="preserve"> </v>
      </c>
    </row>
    <row r="250" spans="2:20" hidden="1" x14ac:dyDescent="0.3">
      <c r="B250" s="92" t="s">
        <v>1246</v>
      </c>
      <c r="C250" s="33"/>
      <c r="D250" s="33"/>
      <c r="E250" s="33"/>
      <c r="F250" s="33"/>
      <c r="G250" s="33"/>
      <c r="H250" s="33"/>
      <c r="I250" s="33"/>
      <c r="J250" s="33"/>
      <c r="K250" s="33"/>
      <c r="L250" s="33"/>
      <c r="M250" s="33"/>
      <c r="O250" s="33" t="str">
        <f ca="1">IF($Q$11="ranger",INDEX('Spell Tables'!C119:C138,MATCH($Q$12,('Spell Tables'!B119:B138),0))," ")</f>
        <v xml:space="preserve"> </v>
      </c>
      <c r="P250" s="33" t="s">
        <v>1324</v>
      </c>
      <c r="Q250" s="114">
        <f ca="1">IF($Q249="x",RANDBETWEEN(1,2),IF($Q249="xx",$O$250,0))</f>
        <v>0</v>
      </c>
      <c r="R250" s="114">
        <f ca="1">IF(R249="x",RANDBETWEEN(1,2),IF(R249="xx",$O$250-Q250,0))</f>
        <v>0</v>
      </c>
      <c r="S250" s="114">
        <f ca="1">IF(S249="x",O250-SUM(Q250:R250,U177:X177),IF(S249="xx",$O$250-SUM(Q250:R250),0))</f>
        <v>0</v>
      </c>
      <c r="T250" s="114">
        <f ca="1">IF(T249="x",RANDBETWEEN(1,2),IF(T249="xx",RANDBETWEEN(2,3),0))</f>
        <v>0</v>
      </c>
    </row>
    <row r="251" spans="2:20" hidden="1" x14ac:dyDescent="0.3">
      <c r="B251" s="92" t="s">
        <v>1245</v>
      </c>
      <c r="C251" s="33"/>
      <c r="D251" s="33"/>
      <c r="E251" s="33"/>
      <c r="F251" s="33"/>
      <c r="G251" s="33"/>
      <c r="H251" s="33"/>
      <c r="I251" s="33"/>
      <c r="J251" s="33"/>
      <c r="K251" s="33"/>
      <c r="L251" s="33"/>
      <c r="M251" s="33"/>
      <c r="O251" s="33" t="s">
        <v>530</v>
      </c>
      <c r="P251" s="33" t="s">
        <v>1324</v>
      </c>
      <c r="Q251" s="114" t="str">
        <f ca="1">IF(AND($Q$11="paladin",$Q$12&gt;=5),"x",IF($Q$11="paladin","xx"," "))</f>
        <v xml:space="preserve"> </v>
      </c>
      <c r="R251" s="114" t="str">
        <f ca="1">IF(AND(Q11="paladin",Q12&gt;=9),"x",IF(AND($Q$11="paladin",$Q$12&gt;=5),"xx"," "))</f>
        <v xml:space="preserve"> </v>
      </c>
      <c r="S251" s="114" t="str">
        <f ca="1">IF(AND(Q11="paladin",Q12&gt;=13),"x",IF(AND($Q$11="paladin",$Q$12&gt;=9),"xx"," "))</f>
        <v xml:space="preserve"> </v>
      </c>
      <c r="T251" s="114" t="str">
        <f ca="1">IF(AND(Q11="paladin",Q12&gt;=17),"x",IF(AND($Q$11="paladin",$Q$12&gt;=13),"xx"," "))</f>
        <v xml:space="preserve"> </v>
      </c>
    </row>
    <row r="252" spans="2:20" hidden="1" x14ac:dyDescent="0.3">
      <c r="B252" s="92" t="s">
        <v>1244</v>
      </c>
      <c r="C252" s="33"/>
      <c r="D252" s="33"/>
      <c r="E252" s="33"/>
      <c r="F252" s="33"/>
      <c r="G252" s="33"/>
      <c r="H252" s="33"/>
      <c r="I252" s="33"/>
      <c r="J252" s="33"/>
      <c r="K252" s="33"/>
      <c r="L252" s="33"/>
      <c r="M252" s="33"/>
      <c r="O252" s="33" t="str">
        <f ca="1">IF(Q11="paladin",ROUNDDOWN(N43+(Q12*0.5),0)," ")</f>
        <v xml:space="preserve"> </v>
      </c>
      <c r="P252" s="33" t="s">
        <v>1324</v>
      </c>
      <c r="Q252" s="114">
        <f ca="1">IF($Q251="x",RANDBETWEEN(1,2),IF($Q251="xx",$O$252,0))</f>
        <v>0</v>
      </c>
      <c r="R252" s="114">
        <f ca="1">IF(R251="x",RANDBETWEEN(1,2),IF(R251="xx",$O$252-Q252,0))</f>
        <v>0</v>
      </c>
      <c r="S252" s="114">
        <f ca="1">IF(S251="x",O252-SUM(Q252:R252,U179:X179),IF(S251="xx",$O$252-SUM(Q252:R252),0))</f>
        <v>0</v>
      </c>
      <c r="T252" s="114">
        <f ca="1">IF(T251="x",RANDBETWEEN(1,2),IF(T251="xx",RANDBETWEEN(2,3),0))</f>
        <v>0</v>
      </c>
    </row>
    <row r="253" spans="2:20" hidden="1" x14ac:dyDescent="0.3">
      <c r="B253" s="92" t="s">
        <v>1226</v>
      </c>
      <c r="C253" s="33"/>
      <c r="D253" s="33"/>
      <c r="E253" s="33"/>
      <c r="F253" s="33"/>
      <c r="G253" s="33"/>
      <c r="H253" s="33"/>
      <c r="I253" s="33"/>
      <c r="J253" s="33"/>
      <c r="K253" s="33"/>
      <c r="L253" s="33"/>
      <c r="M253" s="33"/>
      <c r="O253" s="33" t="s">
        <v>530</v>
      </c>
      <c r="P253" s="33" t="s">
        <v>530</v>
      </c>
      <c r="Q253" s="114" t="str">
        <f ca="1">IF(AND(R15="eldritch knight",Q12&gt;=7),"x",IF(R15="eldritch knight","xx"," "))</f>
        <v xml:space="preserve"> </v>
      </c>
      <c r="R253" s="114" t="str">
        <f ca="1">IF(AND(R15="eldritch knight",Q12&gt;=13),"x",IF(AND(R15="eldritch knight",$Q$12&gt;=7),"xx"," "))</f>
        <v xml:space="preserve"> </v>
      </c>
      <c r="S253" s="114" t="str">
        <f ca="1">IF(AND(R15="eldritch knight",Q12&gt;=19),"x",IF(AND(R15="eldritch knight",$Q$12&gt;=13),"xx"," "))</f>
        <v xml:space="preserve"> </v>
      </c>
      <c r="T253" s="114" t="str">
        <f ca="1">IF(AND(R15="eldritch knight",$Q$12&gt;=19),"xx"," ")</f>
        <v xml:space="preserve"> </v>
      </c>
    </row>
    <row r="254" spans="2:20" hidden="1" x14ac:dyDescent="0.3">
      <c r="B254" s="92" t="s">
        <v>1222</v>
      </c>
      <c r="C254" s="33"/>
      <c r="D254" s="33"/>
      <c r="E254" s="33"/>
      <c r="F254" s="33"/>
      <c r="G254" s="33"/>
      <c r="H254" s="33"/>
      <c r="I254" s="33"/>
      <c r="J254" s="33"/>
      <c r="K254" s="33"/>
      <c r="L254" s="33"/>
      <c r="M254" s="33"/>
      <c r="O254" s="33" t="str">
        <f ca="1">IF($R$15="eldritch knight",INDEX('Spell Tables'!C70:C89,MATCH($Q$12,('Spell Tables'!A70:A89),0))," ")</f>
        <v xml:space="preserve"> </v>
      </c>
      <c r="P254" s="33">
        <f ca="1">IF($R$15="eldritch knight",INDEX('Spell Tables'!B70:B89,MATCH($Q$12,('Spell Tables'!A70:A89),0)),0)</f>
        <v>0</v>
      </c>
      <c r="Q254" s="114">
        <f ca="1">IF($Q253="x",RANDBETWEEN(2,3),IF($Q253="xx",$O$254,0))</f>
        <v>0</v>
      </c>
      <c r="R254" s="114">
        <f ca="1">IF(R253="x",RANDBETWEEN(2,3),IF(R253="xx",$O$254-Q254,0))</f>
        <v>0</v>
      </c>
      <c r="S254" s="114">
        <f ca="1">IF(S253="x",O254-SUM(Q254:R254,U181:X181),IF(S253="xx",$O$254-SUM(Q254:R254),0))</f>
        <v>0</v>
      </c>
      <c r="T254" s="114">
        <f ca="1">IF(T253="x",RANDBETWEEN(1,2),IF(T253="xx",RANDBETWEEN(2,3),0))</f>
        <v>0</v>
      </c>
    </row>
    <row r="255" spans="2:20" hidden="1" x14ac:dyDescent="0.3">
      <c r="B255" s="92" t="s">
        <v>1219</v>
      </c>
      <c r="C255" s="33"/>
      <c r="D255" s="33"/>
      <c r="E255" s="33"/>
      <c r="F255" s="33"/>
      <c r="G255" s="33"/>
      <c r="H255" s="33"/>
      <c r="I255" s="33"/>
      <c r="J255" s="33"/>
      <c r="K255" s="33"/>
      <c r="L255" s="33"/>
      <c r="M255" s="33"/>
      <c r="O255" s="33" t="s">
        <v>530</v>
      </c>
      <c r="P255" s="33" t="s">
        <v>530</v>
      </c>
      <c r="Q255" s="114" t="str">
        <f ca="1">IF(AND($Q$11="druid",$Q$12&gt;=3),"x",IF($Q$11="druid","xx"," "))</f>
        <v xml:space="preserve"> </v>
      </c>
      <c r="R255" s="114" t="str">
        <f ca="1">IF(AND($Q$11="druid",$Q$12&gt;=5),"x",IF(AND($Q$11="druid",$Q$12&gt;=3),"xx"," "))</f>
        <v xml:space="preserve"> </v>
      </c>
      <c r="S255" s="114" t="str">
        <f ca="1">IF(AND($Q$11="druid",$Q$12&gt;=7),"x",IF(AND($Q$11="druid",$Q$12&gt;=5),"xx"," "))</f>
        <v xml:space="preserve"> </v>
      </c>
      <c r="T255" s="114" t="str">
        <f ca="1">IF(AND($Q$11="druid",$Q$12&gt;=9),"x",IF(AND($Q$11="druid",$Q$12&gt;=7),"xx"," "))</f>
        <v xml:space="preserve"> </v>
      </c>
    </row>
    <row r="256" spans="2:20" hidden="1" x14ac:dyDescent="0.3">
      <c r="B256" s="92" t="s">
        <v>1220</v>
      </c>
      <c r="C256" s="33"/>
      <c r="D256" s="33"/>
      <c r="E256" s="33"/>
      <c r="F256" s="33"/>
      <c r="G256" s="33"/>
      <c r="H256" s="33"/>
      <c r="I256" s="33"/>
      <c r="J256" s="95"/>
      <c r="K256" s="95"/>
      <c r="L256" s="95"/>
      <c r="M256" s="95"/>
      <c r="O256" s="33" t="str">
        <f ca="1">IF(Q11="druid",Q12+N42," ")</f>
        <v xml:space="preserve"> </v>
      </c>
      <c r="P256" s="33">
        <f ca="1">IF($Q$11="druid",INDEX('Spell Tables'!C48:C67,MATCH($Q$12,('Spell Tables'!B48:B67),0)),0)</f>
        <v>0</v>
      </c>
      <c r="Q256" s="114">
        <f ca="1">IF($Q255="x",RANDBETWEEN(1,2),IF($Q255="xx",$O$256,0))</f>
        <v>0</v>
      </c>
      <c r="R256" s="114">
        <f ca="1">IF(R255="x",RANDBETWEEN(1,2),IF(R255="xx",$O$256-Q256,0))</f>
        <v>0</v>
      </c>
      <c r="S256" s="114">
        <f ca="1">IF(S255="x",O256-SUM(Q256:R256,U183:X183),IF(S255="xx",$O$256-SUM(Q256:R256),0))</f>
        <v>0</v>
      </c>
      <c r="T256" s="114">
        <f ca="1">IF(T255="x",RANDBETWEEN(1,2),IF(T255="xx",RANDBETWEEN(2,3),0))</f>
        <v>0</v>
      </c>
    </row>
    <row r="257" spans="2:20" hidden="1" x14ac:dyDescent="0.3">
      <c r="B257" s="92" t="s">
        <v>1143</v>
      </c>
      <c r="C257" s="33"/>
      <c r="D257" s="33"/>
      <c r="E257" s="33"/>
      <c r="F257" s="33"/>
      <c r="G257" s="33"/>
      <c r="H257" s="33"/>
      <c r="I257" s="33"/>
      <c r="J257" s="33"/>
      <c r="K257" s="33"/>
      <c r="L257" s="33"/>
      <c r="M257" s="33"/>
      <c r="O257" s="33" t="s">
        <v>530</v>
      </c>
      <c r="P257" s="33" t="s">
        <v>530</v>
      </c>
      <c r="Q257" s="114" t="str">
        <f ca="1">IF(AND(Q11="cleric",Q12&gt;=3),"x",IF(Q11="cleric","xx"," "))</f>
        <v xml:space="preserve"> </v>
      </c>
      <c r="R257" s="114" t="str">
        <f ca="1">IF(AND(Q11="cleric",Q12&gt;=5),"x",IF(AND($Q$11="cleric",$Q$12&gt;=3),"xx"," "))</f>
        <v xml:space="preserve"> </v>
      </c>
      <c r="S257" s="114" t="str">
        <f ca="1">IF(AND(Q11="cleric",Q12&gt;=7),"x",IF(AND($Q$11="cleric",$Q$12&gt;=5),"xx"," "))</f>
        <v xml:space="preserve"> </v>
      </c>
      <c r="T257" s="114" t="str">
        <f ca="1">IF(AND(Q11="cleric",Q12&gt;=9),"x",IF(AND($Q$11="cleric",$Q$12&gt;=7),"xx"," "))</f>
        <v xml:space="preserve"> </v>
      </c>
    </row>
    <row r="258" spans="2:20" hidden="1" x14ac:dyDescent="0.3">
      <c r="B258" s="92" t="s">
        <v>1142</v>
      </c>
      <c r="C258" s="33"/>
      <c r="D258" s="33"/>
      <c r="E258" s="33"/>
      <c r="F258" s="33"/>
      <c r="G258" s="33"/>
      <c r="H258" s="33"/>
      <c r="I258" s="33"/>
      <c r="J258" s="33"/>
      <c r="K258" s="33"/>
      <c r="L258" s="33"/>
      <c r="M258" s="33"/>
      <c r="O258" s="33" t="str">
        <f ca="1">IF(Q11="cleric",Q12+N42," ")</f>
        <v xml:space="preserve"> </v>
      </c>
      <c r="P258" s="33">
        <f ca="1">IF($Q$11="cleric",INDEX('Spell Tables'!C26:C45,MATCH($Q$12,('Spell Tables'!B26:B45),0)),0)</f>
        <v>0</v>
      </c>
      <c r="Q258" s="114">
        <f ca="1">IF($Q257="x",RANDBETWEEN(1,2),IF($Q257="xx",$O$258,0))</f>
        <v>0</v>
      </c>
      <c r="R258" s="114">
        <f ca="1">IF(R257="x",RANDBETWEEN(1,2),IF(R257="xx",$O$258-Q258,0))</f>
        <v>0</v>
      </c>
      <c r="S258" s="114">
        <f ca="1">IF(S257="x",O258-SUM(Q258:R258,U185:X185),IF(S257="xx",$O$258-SUM(Q258:R258),0))</f>
        <v>0</v>
      </c>
      <c r="T258" s="114">
        <f ca="1">IF(T257="x",RANDBETWEEN(1,2),IF(T257="xx",RANDBETWEEN(2,3),0))</f>
        <v>0</v>
      </c>
    </row>
    <row r="259" spans="2:20" hidden="1" x14ac:dyDescent="0.3">
      <c r="B259" s="92" t="s">
        <v>1248</v>
      </c>
      <c r="C259" s="33"/>
      <c r="D259" s="33"/>
      <c r="E259" s="33"/>
      <c r="F259" s="33"/>
      <c r="G259" s="33"/>
      <c r="H259" s="33"/>
      <c r="I259" s="33"/>
      <c r="J259" s="33"/>
      <c r="K259" s="33"/>
      <c r="L259" s="33"/>
      <c r="M259" s="33"/>
      <c r="O259" s="33" t="s">
        <v>530</v>
      </c>
      <c r="P259" s="33" t="s">
        <v>530</v>
      </c>
      <c r="Q259" s="114" t="str">
        <f ca="1">IF(AND($Q$11="bard",$Q$12&gt;=3),"x",IF($Q$11="bard","xx"," "))</f>
        <v xml:space="preserve"> </v>
      </c>
      <c r="R259" s="114" t="str">
        <f ca="1">IF(AND($Q$11="bard",$Q$12&gt;=5),"x",IF(AND($Q$11="bard",$Q$12&gt;=3),"xx"," "))</f>
        <v xml:space="preserve"> </v>
      </c>
      <c r="S259" s="114" t="str">
        <f ca="1">IF(AND($Q$11="bard",$Q$12&gt;=7),"x",IF(AND($Q$11="bard",$Q$12&gt;=5),"xx"," "))</f>
        <v xml:space="preserve"> </v>
      </c>
      <c r="T259" s="114" t="str">
        <f ca="1">IF(AND($Q$11="bard",$Q$12&gt;=9),"x",IF(AND($Q$11="bard",$Q$12&gt;=7),"xx"," "))</f>
        <v xml:space="preserve"> </v>
      </c>
    </row>
    <row r="260" spans="2:20" hidden="1" x14ac:dyDescent="0.3">
      <c r="B260" s="92" t="s">
        <v>1141</v>
      </c>
      <c r="C260" s="33"/>
      <c r="D260" s="33"/>
      <c r="E260" s="33"/>
      <c r="F260" s="33"/>
      <c r="G260" s="33"/>
      <c r="H260" s="33"/>
      <c r="I260" s="33"/>
      <c r="J260" s="33"/>
      <c r="K260" s="33"/>
      <c r="L260" s="33"/>
      <c r="M260" s="33"/>
      <c r="O260" s="33" t="str">
        <f ca="1">IF($Q$11="bard",INDEX('Spell Tables'!C$2:C$21,MATCH($Q$12,('Spell Tables'!$A$2:$A$21),0))," ")</f>
        <v xml:space="preserve"> </v>
      </c>
      <c r="P260" s="33">
        <f ca="1">IF($Q$11="bard",INDEX('Spell Tables'!B2:B21,MATCH($Q$12,('Spell Tables'!A2:A21),0)),0)</f>
        <v>0</v>
      </c>
      <c r="Q260" s="114">
        <f ca="1">IF($Q259="x",RANDBETWEEN(1,2),IF($Q259="xx",$O$260,0))</f>
        <v>0</v>
      </c>
      <c r="R260" s="114">
        <f ca="1">IF(R259="x",RANDBETWEEN(1,2),IF(R259="xx",$O$260-Q260,0))</f>
        <v>0</v>
      </c>
      <c r="S260" s="114">
        <f ca="1">IF(S259="x",O260-SUM(Q260:R260,U187:X187),IF(S259="xx",$O$260-SUM(Q260:R260),0))</f>
        <v>0</v>
      </c>
      <c r="T260" s="114">
        <f ca="1">IF(T259="x",RANDBETWEEN(1,2),IF(T259="xx",RANDBETWEEN(2,3),0))</f>
        <v>0</v>
      </c>
    </row>
    <row r="261" spans="2:20" x14ac:dyDescent="0.3">
      <c r="B261" s="92" t="s">
        <v>1122</v>
      </c>
      <c r="C261" s="33"/>
      <c r="D261" s="33"/>
      <c r="E261" s="33"/>
      <c r="F261" s="33"/>
      <c r="G261" s="33"/>
      <c r="H261" s="33"/>
      <c r="I261" s="33"/>
      <c r="J261" s="33"/>
      <c r="K261" s="33"/>
      <c r="L261" s="33"/>
      <c r="M261" s="33"/>
      <c r="O261" s="33"/>
      <c r="P261" s="92" t="s">
        <v>1124</v>
      </c>
      <c r="Q261" s="92" t="s">
        <v>746</v>
      </c>
      <c r="R261" s="92" t="s">
        <v>747</v>
      </c>
      <c r="S261" s="92" t="s">
        <v>748</v>
      </c>
      <c r="T261" s="92" t="s">
        <v>749</v>
      </c>
    </row>
    <row r="262" spans="2:20" x14ac:dyDescent="0.3">
      <c r="B262" s="33" t="str">
        <f ca="1">IF(OR(Q11="bard",Q11="paladin",Q11="sorcerer",Q11="warlock"),8+$P$8+$N$43,IF(OR(Q11="druid",Q11="cleric",Q11="ranger"),8+P8+N42,IF(OR(R15="eldritch knight",R15="arcane trickster",Q11="wizard"),8+P8+N41," ")))</f>
        <v xml:space="preserve"> </v>
      </c>
      <c r="C262" s="33"/>
      <c r="D262" s="33"/>
      <c r="E262" s="33"/>
      <c r="F262" s="33"/>
      <c r="G262" s="33"/>
      <c r="H262" s="33"/>
      <c r="I262" s="33"/>
      <c r="J262" s="33"/>
      <c r="K262" s="33"/>
      <c r="L262" s="33"/>
      <c r="M262" s="33"/>
      <c r="O262" s="34">
        <v>1</v>
      </c>
      <c r="P262" s="33" t="str">
        <f ca="1">IF(P$242&gt;=O193,INDEX('Spell Tables'!$P$242:$P$257,MATCH(O193,('Spell Tables'!$N$242:$N$257),0)),IF(P$244&gt;=O193,INDEX('Spell Tables'!$P$194:$P$201,MATCH(O193,('Spell Tables'!$N$194:$N$201),0)),IF(P$246&gt;=O193,INDEX('Spell Tables'!$P$168:$P$183,MATCH(O193,('Spell Tables'!$N$168:$N$183),0)),IF(P$248&gt;=O193,INDEX('Spell Tables'!$P$141:$P$156,MATCH(O193,('Spell Tables'!$N$141:$N$157),0)),IF(P$254&gt;=O193,INDEX('Spell Tables'!$P$70:$P$83,MATCH(O193,('Spell Tables'!$N$70:$N$83),0)),IF(P$256&gt;=O193,INDEX('Spell Tables'!$P$48:$P$55,MATCH(O193,('Spell Tables'!$N$48:$N$55),0)),IF(P$258&gt;=O193,INDEX('Spell Tables'!$P$26:$P$32,MATCH(O193,('Spell Tables'!$N$26:$N$32),0)),IF(P$260&gt;=O193,INDEX('Spell Tables'!$P$2:$P$12,MATCH(O193,('Spell Tables'!$N$2:$N$12),0))," "))))))))</f>
        <v xml:space="preserve"> </v>
      </c>
      <c r="Q262" s="33" t="str">
        <f ca="1">IF(AND($Q$15="Otherworldly patron - great old one",Q$244&gt;=O193),INDEX('Spell Tables'!$T$226:$T$238,MATCH(O193,('Spell Tables'!$R$226:$R$238),0)),IF(AND($Q$15="Otherworldly patron - fiend",Q$244&gt;=O193),INDEX('Spell Tables'!$T$210:$T$222,MATCH(O193,('Spell Tables'!$R$210:$R$222),0)),IF(Q$242&gt;=O193,INDEX($AL$44:$AL$53,MATCH(O193,($AJ$44:$AJ$53),0)),IF(AND($Q$15="Otherworldly patron - archfey",Q$244&gt;=O193),INDEX('Spell Tables'!T$206:$T294,MATCH(O193,('Spell Tables'!$R$194:$R$206),0)),IF(Q$246&gt;=O193,INDEX('Spell Tables'!T268:T287,MATCH(O193,('Spell Tables'!$R$168:$R$187),0)),IF(Q$248&gt;=O193,INDEX('Spell Tables'!T241:T247,MATCH(O193,('Spell Tables'!$R$141:$R$147),0)),IF(Q$250&gt;=O193,INDEX('Spell Tables'!$P$119:$P$131,MATCH(O193,('Spell Tables'!$N$119:$N$131),0)),IF(Q$252&gt;=O193,INDEX('Spell Tables'!$P$97:$P$111,MATCH(O193,('Spell Tables'!$N$97:$N$111),0)),IF(Q$254&gt;=O193,INDEX('Spell Tables'!$T$70:$T$78,MATCH(O193,('Spell Tables'!$R$70:$R$78),0)),IF(Q$256&gt;=O193,INDEX('Spell Tables'!$T$48:$T$63,MATCH(O193,('Spell Tables'!$R$48:$R$63),0)),IF(Q$258&gt;=O193,INDEX('Spell Tables'!$T$26:$T$40,MATCH(O193,('Spell Tables'!$R$26:$R$40),0)),IF(Q$260&gt;=O193,INDEX('Spell Tables'!$T$2:$T$22,MATCH(O193,('Spell Tables'!$R$2:$R$22),0))," "))))))))))))</f>
        <v xml:space="preserve"> </v>
      </c>
      <c r="R262" s="33" t="str">
        <f ca="1">IF(AND($Q$15="Otherworldly patron - great old one",R$244&gt;=O193),INDEX('Spell Tables'!$X$226:$X$239,MATCH(O193,('Spell Tables'!$V$226:$V$239),0)),IF(AND($Q$15="Otherworldly patron - fiend",R$244&gt;=O193),INDEX('Spell Tables'!$X$210:$X$223,MATCH(O193,('Spell Tables'!$V$210:$V$223),0)),IF(AND($Q$15="Otherworldly patron - archfey",R$244&gt;=O193),INDEX('Spell Tables'!$X$194:$X$207,MATCH(O193,('Spell Tables'!$V$194:$V$207),0)),IF($R$242&gt;=O193,INDEX($AL$56:$AL$65,MATCH(O193,($AJ$56:$AJ$65),0)),IF($R$246&gt;=O193,INDEX('Spell Tables'!$X$168:$X$191,MATCH(O193,('Spell Tables'!$V$168:$V$191),0)),IF($R$248&gt;=O193,INDEX('Spell Tables'!$AB$141:$AB$149,MATCH(O193,('Spell Tables'!$Z$141:$Z$149),0)),IF($R$250&gt;=O193,INDEX('Spell Tables'!T219:T231,MATCH(O193,('Spell Tables'!$R$119:$R$131),0)),IF($R$252&gt;=O193,INDEX('Spell Tables'!$T$97:T204,MATCH(O193,('Spell Tables'!$R$97:$R$104),0)),IF($R$254&gt;=O193,INDEX('Spell Tables'!$AB$70:$AB$75,MATCH(O193,('Spell Tables'!$Z$70:$Z$75),0)),IF($R$256&gt;=O193,INDEX('Spell Tables'!$X$48:$X$65,MATCH(O193,('Spell Tables'!$V$48:$V$65),0)),IF($R$258&gt;=O193,INDEX('Spell Tables'!$X$26:$X$42,MATCH(O193,('Spell Tables'!$V$26:$V$42),0)),IF($R$260&gt;=O193,INDEX('Spell Tables'!$X$2:$X$23,MATCH(O193,('Spell Tables'!$V$2:$V$23),0))," "))))))))))))</f>
        <v xml:space="preserve"> </v>
      </c>
      <c r="S262" s="33" t="str">
        <f ca="1">IF(AND($Q$15="Otherworldly patron - great old one",S$244&gt;=O193),INDEX('Spell Tables'!$AB$226:$AB$238,MATCH(O193,('Spell Tables'!$Z$226:$Z$238),0)),IF(AND($Q$15="Otherworldly patron - fiend",S$244&gt;=O193),INDEX('Spell Tables'!$AB$210:$AB$222,MATCH(O193,('Spell Tables'!$Z$210:$Z$222),0)),IF(AND($Q$15="Otherworldly patron - archfey",S$244&gt;=O193),INDEX('Spell Tables'!$AB$194:$AB$206,MATCH(O193,('Spell Tables'!$Z$194:$Z$206),0)),IF($S$242&gt;=O193,INDEX($AL$68:$AL$77,MATCH(O193,($AJ$68:$AJ$77),0)),IF($S$246&gt;=O193,INDEX('Spell Tables'!$AB$168:$AB$187,MATCH(O193,('Spell Tables'!$Z$168:$Z$187),0)),IF($S$248&gt;=O193,INDEX('Spell Tables'!$AJ$141:$AJ$144,MATCH(O193,('Spell Tables'!$AH$141:$AH$144),0)),IF($S$250&gt;=O193,INDEX('Spell Tables'!$X$119:$X$129,MATCH(O193,('Spell Tables'!$V$119:$V$129),0)),IF($S$252&gt;=O193,INDEX('Spell Tables'!$X$97:$X$106,MATCH(O193,('Spell Tables'!$V$97:$V$106),0)),IF($S$254&gt;=O193,INDEX('Spell Tables'!$AJ$70:$AJ$79,MATCH(O193,('Spell Tables'!$AH$70:$AH$79),0)),IF($S$256&gt;=O193,INDEX('Spell Tables'!$AB$48:$AB$60,MATCH(O193,('Spell Tables'!$Z$48:$Z$60),0)),IF($S$258&gt;=O193,INDEX('Spell Tables'!$AB$26:$AB$45,MATCH(O193,('Spell Tables'!$Z$26:$Z$45),0)),IF($S$260&gt;=O193,INDEX('Spell Tables'!$AB$2:$AB$17,MATCH(O193,('Spell Tables'!$Z$2:$Z$17),0))," "))))))))))))</f>
        <v xml:space="preserve"> </v>
      </c>
      <c r="T262" s="33" t="str">
        <f ca="1">IF(AND($Q$15="Otherworldly patron - great old one",T$244&gt;=O193),INDEX('Spell Tables'!$AF$226:$AF$231,MATCH(O193,('Spell Tables'!$AD$226:$AD$231),0)),IF(AND($Q$15="Otherworldly patron - fiend",T$244&gt;=O193),INDEX('Spell Tables'!$AF$210:$AF$215,MATCH(O193,('Spell Tables'!$AD$210:$AD$215),0)),IF(AND($Q$15="Otherworldly patron - archfey",T$244&gt;=O193),INDEX('Spell Tables'!$AF$194:$AF$199,MATCH(O193,('Spell Tables'!$AD$194:$AD$199),0)),IF($T$242&gt;=O193,INDEX($AL$80:$AL$89,MATCH(O193,($AJ$80:$AJ$89),0)),IF($T$246&gt;=O193,INDEX('Spell Tables'!$AF$168:$AF$177,MATCH(O193,('Spell Tables'!$AD$168:$AD$177),0)),IF($T$248&gt;=O193,INDEX('Spell Tables'!$AR$141:$AR$144,MATCH(O193,('Spell Tables'!$AP$141:$AP$144),0)),IF($T$250&gt;=O193,INDEX('Spell Tables'!$AB$119:$AB$123,MATCH(O193,('Spell Tables'!$Z$119:$Z$123),0)),IF($T$252&gt;=O193,INDEX('Spell Tables'!$AB$97:$AB$102,MATCH(O193,('Spell Tables'!$Z$97:$Z$102),0)),IF($T$254&gt;=O193,INDEX('Spell Tables'!$AR$70:$AR$75,MATCH(O193,('Spell Tables'!$AP$70:$AP$75),0)),IF($T$256&gt;=O193,INDEX('Spell Tables'!$AF$48:$AF$63,MATCH(O193,('Spell Tables'!$AD$48:$AD$63),0)),IF($T$258&gt;=O193,INDEX('Spell Tables'!$AF$26:$AF$33,MATCH(O193,('Spell Tables'!$AD$26:$AD$33),0)),IF($T$260&gt;=O193,INDEX('Spell Tables'!$AF$2:$AF$9,MATCH(O193,('Spell Tables'!$AD$2:$AD$9),0))," "))))))))))))</f>
        <v xml:space="preserve"> </v>
      </c>
    </row>
    <row r="263" spans="2:20" x14ac:dyDescent="0.3">
      <c r="B263" s="92" t="s">
        <v>1123</v>
      </c>
      <c r="C263" s="33"/>
      <c r="D263" s="33"/>
      <c r="E263" s="33"/>
      <c r="F263" s="33"/>
      <c r="G263" s="33"/>
      <c r="H263" s="33"/>
      <c r="I263" s="33"/>
      <c r="J263" s="33"/>
      <c r="K263" s="33"/>
      <c r="L263" s="33"/>
      <c r="M263" s="33"/>
      <c r="O263" s="34">
        <v>2</v>
      </c>
      <c r="P263" s="33" t="str">
        <f ca="1">IF(P$242&gt;=O194,INDEX('Spell Tables'!$P$242:$P$257,MATCH(O194,('Spell Tables'!$N$242:$N$257),0)),IF(P$244&gt;=O194,INDEX('Spell Tables'!$P$194:$P$201,MATCH(O194,('Spell Tables'!$N$194:$N$201),0)),IF(P$246&gt;=O194,INDEX('Spell Tables'!$P$168:$P$183,MATCH(O194,('Spell Tables'!$N$168:$N$183),0)),IF(P$248&gt;=O194,INDEX('Spell Tables'!$P$141:$P$156,MATCH(O194,('Spell Tables'!$N$141:$N$157),0)),IF(P$254&gt;=O194,INDEX('Spell Tables'!$P$70:$P$83,MATCH(O194,('Spell Tables'!$N$70:$N$83),0)),IF(P$256&gt;=O194,INDEX('Spell Tables'!$P$48:$P$55,MATCH(O194,('Spell Tables'!$N$48:$N$55),0)),IF(P$258&gt;=O194,INDEX('Spell Tables'!$P$26:$P$32,MATCH(O194,('Spell Tables'!$N$26:$N$32),0)),IF(P$260&gt;=O194,INDEX('Spell Tables'!$P$2:$P$12,MATCH(O194,('Spell Tables'!$N$2:$N$12),0))," "))))))))</f>
        <v xml:space="preserve"> </v>
      </c>
      <c r="Q263" s="33" t="str">
        <f ca="1">IF(AND($Q$15="Otherworldly patron - great old one",Q$244&gt;=O194),INDEX('Spell Tables'!$T$226:$T$238,MATCH(O194,('Spell Tables'!$R$226:$R$238),0)),IF(AND($Q$15="Otherworldly patron - fiend",Q$244&gt;=O194),INDEX('Spell Tables'!$T$210:$T$222,MATCH(O194,('Spell Tables'!$R$210:$R$222),0)),IF(Q$242&gt;=O194,INDEX($AL$44:$AL$53,MATCH(O194,($AJ$44:$AJ$53),0)),IF(AND($Q$15="Otherworldly patron - archfey",Q$244&gt;=O194),INDEX('Spell Tables'!T$206:$T295,MATCH(O194,('Spell Tables'!$R$194:$R$206),0)),IF(Q$246&gt;=O194,INDEX('Spell Tables'!T269:T288,MATCH(O194,('Spell Tables'!$R$168:$R$187),0)),IF(Q$248&gt;=O194,INDEX('Spell Tables'!T242:T248,MATCH(O194,('Spell Tables'!$R$141:$R$147),0)),IF(Q$250&gt;=O194,INDEX('Spell Tables'!$P$119:$P$131,MATCH(O194,('Spell Tables'!$N$119:$N$131),0)),IF(Q$252&gt;=O194,INDEX('Spell Tables'!$P$97:$P$111,MATCH(O194,('Spell Tables'!$N$97:$N$111),0)),IF(Q$254&gt;=O194,INDEX('Spell Tables'!$T$70:$T$78,MATCH(O194,('Spell Tables'!$R$70:$R$78),0)),IF(Q$256&gt;=O194,INDEX('Spell Tables'!$T$48:$T$63,MATCH(O194,('Spell Tables'!$R$48:$R$63),0)),IF(Q$258&gt;=O194,INDEX('Spell Tables'!$T$26:$T$40,MATCH(O194,('Spell Tables'!$R$26:$R$40),0)),IF(Q$260&gt;=O194,INDEX('Spell Tables'!$T$2:$T$22,MATCH(O194,('Spell Tables'!$R$2:$R$22),0))," "))))))))))))</f>
        <v xml:space="preserve"> </v>
      </c>
      <c r="R263" s="33" t="str">
        <f ca="1">IF(AND($Q$15="Otherworldly patron - great old one",R$244&gt;=O194),INDEX('Spell Tables'!$X$226:$X$239,MATCH(O194,('Spell Tables'!$V$226:$V$239),0)),IF(AND($Q$15="Otherworldly patron - fiend",R$244&gt;=O194),INDEX('Spell Tables'!$X$210:$X$223,MATCH(O194,('Spell Tables'!$V$210:$V$223),0)),IF(AND($Q$15="Otherworldly patron - archfey",R$244&gt;=O194),INDEX('Spell Tables'!$X$194:$X$207,MATCH(O194,('Spell Tables'!$V$194:$V$207),0)),IF($R$242&gt;=O194,INDEX($AL$56:$AL$65,MATCH(O194,($AJ$56:$AJ$65),0)),IF($R$246&gt;=O194,INDEX('Spell Tables'!$X$168:$X$191,MATCH(O194,('Spell Tables'!$V$168:$V$191),0)),IF($R$248&gt;=O194,INDEX('Spell Tables'!$AB$141:$AB$149,MATCH(O194,('Spell Tables'!$Z$141:$Z$149),0)),IF($R$250&gt;=O194,INDEX('Spell Tables'!T220:T232,MATCH(O194,('Spell Tables'!$R$119:$R$131),0)),IF($R$252&gt;=O194,INDEX('Spell Tables'!$T$97:T205,MATCH(O194,('Spell Tables'!$R$97:$R$104),0)),IF($R$254&gt;=O194,INDEX('Spell Tables'!$AB$70:$AB$75,MATCH(O194,('Spell Tables'!$Z$70:$Z$75),0)),IF($R$256&gt;=O194,INDEX('Spell Tables'!$X$48:$X$65,MATCH(O194,('Spell Tables'!$V$48:$V$65),0)),IF($R$258&gt;=O194,INDEX('Spell Tables'!$X$26:$X$42,MATCH(O194,('Spell Tables'!$V$26:$V$42),0)),IF($R$260&gt;=O194,INDEX('Spell Tables'!$X$2:$X$23,MATCH(O194,('Spell Tables'!$V$2:$V$23),0))," "))))))))))))</f>
        <v xml:space="preserve"> </v>
      </c>
      <c r="S263" s="33" t="str">
        <f ca="1">IF(AND($Q$15="Otherworldly patron - great old one",S$244&gt;=O194),INDEX('Spell Tables'!$AB$226:$AB$238,MATCH(O194,('Spell Tables'!$Z$226:$Z$238),0)),IF(AND($Q$15="Otherworldly patron - fiend",S$244&gt;=O194),INDEX('Spell Tables'!$AB$210:$AB$222,MATCH(O194,('Spell Tables'!$Z$210:$Z$222),0)),IF(AND($Q$15="Otherworldly patron - archfey",S$244&gt;=O194),INDEX('Spell Tables'!$AB$194:$AB$206,MATCH(O194,('Spell Tables'!$Z$194:$Z$206),0)),IF($S$242&gt;=O194,INDEX($AL$68:$AL$77,MATCH(O194,($AJ$68:$AJ$77),0)),IF($S$246&gt;=O194,INDEX('Spell Tables'!$AB$168:$AB$187,MATCH(O194,('Spell Tables'!$Z$168:$Z$187),0)),IF($S$248&gt;=O194,INDEX('Spell Tables'!$AJ$141:$AJ$144,MATCH(O194,('Spell Tables'!$AH$141:$AH$144),0)),IF($S$250&gt;=O194,INDEX('Spell Tables'!$X$119:$X$129,MATCH(O194,('Spell Tables'!$V$119:$V$129),0)),IF($S$252&gt;=O194,INDEX('Spell Tables'!$X$97:$X$106,MATCH(O194,('Spell Tables'!$V$97:$V$106),0)),IF($S$254&gt;=O194,INDEX('Spell Tables'!$AJ$70:$AJ$79,MATCH(O194,('Spell Tables'!$AH$70:$AH$79),0)),IF($S$256&gt;=O194,INDEX('Spell Tables'!$AB$48:$AB$60,MATCH(O194,('Spell Tables'!$Z$48:$Z$60),0)),IF($S$258&gt;=O194,INDEX('Spell Tables'!$AB$26:$AB$45,MATCH(O194,('Spell Tables'!$Z$26:$Z$45),0)),IF($S$260&gt;=O194,INDEX('Spell Tables'!$AB$2:$AB$17,MATCH(O194,('Spell Tables'!$Z$2:$Z$17),0))," "))))))))))))</f>
        <v xml:space="preserve"> </v>
      </c>
      <c r="T263" s="33" t="str">
        <f ca="1">IF(AND($Q$15="Otherworldly patron - great old one",T$244&gt;=O194),INDEX('Spell Tables'!$AF$226:$AF$231,MATCH(O194,('Spell Tables'!$AD$226:$AD$231),0)),IF(AND($Q$15="Otherworldly patron - fiend",T$244&gt;=O194),INDEX('Spell Tables'!$AF$210:$AF$215,MATCH(O194,('Spell Tables'!$AD$210:$AD$215),0)),IF(AND($Q$15="Otherworldly patron - archfey",T$244&gt;=O194),INDEX('Spell Tables'!$AF$194:$AF$199,MATCH(O194,('Spell Tables'!$AD$194:$AD$199),0)),IF($T$242&gt;=O194,INDEX($AL$80:$AL$89,MATCH(O194,($AJ$80:$AJ$89),0)),IF($T$246&gt;=O194,INDEX('Spell Tables'!$AF$168:$AF$177,MATCH(O194,('Spell Tables'!$AD$168:$AD$177),0)),IF($T$248&gt;=O194,INDEX('Spell Tables'!$AR$141:$AR$144,MATCH(O194,('Spell Tables'!$AP$141:$AP$144),0)),IF($T$250&gt;=O194,INDEX('Spell Tables'!$AB$119:$AB$123,MATCH(O194,('Spell Tables'!$Z$119:$Z$123),0)),IF($T$252&gt;=O194,INDEX('Spell Tables'!$AB$97:$AB$102,MATCH(O194,('Spell Tables'!$Z$97:$Z$102),0)),IF($T$254&gt;=O194,INDEX('Spell Tables'!$AR$70:$AR$75,MATCH(O194,('Spell Tables'!$AP$70:$AP$75),0)),IF($T$256&gt;=O194,INDEX('Spell Tables'!$AF$48:$AF$63,MATCH(O194,('Spell Tables'!$AD$48:$AD$63),0)),IF($T$258&gt;=O194,INDEX('Spell Tables'!$AF$26:$AF$33,MATCH(O194,('Spell Tables'!$AD$26:$AD$33),0)),IF($T$260&gt;=O194,INDEX('Spell Tables'!$AF$2:$AF$9,MATCH(O194,('Spell Tables'!$AD$2:$AD$9),0))," "))))))))))))</f>
        <v xml:space="preserve"> </v>
      </c>
    </row>
    <row r="264" spans="2:20" x14ac:dyDescent="0.3">
      <c r="B264" s="33" t="str">
        <f ca="1">IF(OR(Q11="bard",Q11="paladin",Q11="sorcerer",Q11="warlock"),P8+$N$43,IF(OR(Q11="druid",Q11="cleric",Q11="ranger"),P8+N42,IF(OR(R15="eldritch knight",R15="arcane trickster",Q11="wizard"),P8+N41," ")))</f>
        <v xml:space="preserve"> </v>
      </c>
      <c r="C264" s="33"/>
      <c r="D264" s="33"/>
      <c r="E264" s="33"/>
      <c r="F264" s="33"/>
      <c r="G264" s="33"/>
      <c r="H264" s="33"/>
      <c r="I264" s="33"/>
      <c r="J264" s="33"/>
      <c r="K264" s="33"/>
      <c r="L264" s="33"/>
      <c r="M264" s="33"/>
      <c r="O264" s="34">
        <v>3</v>
      </c>
      <c r="P264" s="33" t="str">
        <f ca="1">IF(P$242&gt;=O195,INDEX('Spell Tables'!$P$242:$P$257,MATCH(O195,('Spell Tables'!$N$242:$N$257),0)),IF(P$244&gt;=O195,INDEX('Spell Tables'!$P$194:$P$201,MATCH(O195,('Spell Tables'!$N$194:$N$201),0)),IF(P$246&gt;=O195,INDEX('Spell Tables'!$P$168:$P$183,MATCH(O195,('Spell Tables'!$N$168:$N$183),0)),IF(P$248&gt;=O195,INDEX('Spell Tables'!$P$141:$P$156,MATCH(O195,('Spell Tables'!$N$141:$N$157),0)),IF(P$254&gt;=O195,INDEX('Spell Tables'!$P$70:$P$83,MATCH(O195,('Spell Tables'!$N$70:$N$83),0)),IF(P$256&gt;=O195,INDEX('Spell Tables'!$P$48:$P$55,MATCH(O195,('Spell Tables'!$N$48:$N$55),0)),IF(P$258&gt;=O195,INDEX('Spell Tables'!$P$26:$P$32,MATCH(O195,('Spell Tables'!$N$26:$N$32),0)),IF(P$260&gt;=O195,INDEX('Spell Tables'!$P$2:$P$12,MATCH(O195,('Spell Tables'!$N$2:$N$12),0))," "))))))))</f>
        <v xml:space="preserve"> </v>
      </c>
      <c r="Q264" s="33" t="str">
        <f ca="1">IF(AND($Q$15="Otherworldly patron - great old one",Q$244&gt;=O195),INDEX('Spell Tables'!$T$226:$T$238,MATCH(O195,('Spell Tables'!$R$226:$R$238),0)),IF(AND($Q$15="Otherworldly patron - fiend",Q$244&gt;=O195),INDEX('Spell Tables'!$T$210:$T$222,MATCH(O195,('Spell Tables'!$R$210:$R$222),0)),IF(Q$242&gt;=O195,INDEX($AL$44:$AL$53,MATCH(O195,($AJ$44:$AJ$53),0)),IF(AND($Q$15="Otherworldly patron - archfey",Q$244&gt;=O195),INDEX('Spell Tables'!T$206:$T296,MATCH(O195,('Spell Tables'!$R$194:$R$206),0)),IF(Q$246&gt;=O195,INDEX('Spell Tables'!T270:T289,MATCH(O195,('Spell Tables'!$R$168:$R$187),0)),IF(Q$248&gt;=O195,INDEX('Spell Tables'!T243:T249,MATCH(O195,('Spell Tables'!$R$141:$R$147),0)),IF(Q$250&gt;=O195,INDEX('Spell Tables'!$P$119:$P$131,MATCH(O195,('Spell Tables'!$N$119:$N$131),0)),IF(Q$252&gt;=O195,INDEX('Spell Tables'!$P$97:$P$111,MATCH(O195,('Spell Tables'!$N$97:$N$111),0)),IF(Q$254&gt;=O195,INDEX('Spell Tables'!$T$70:$T$78,MATCH(O195,('Spell Tables'!$R$70:$R$78),0)),IF(Q$256&gt;=O195,INDEX('Spell Tables'!$T$48:$T$63,MATCH(O195,('Spell Tables'!$R$48:$R$63),0)),IF(Q$258&gt;=O195,INDEX('Spell Tables'!$T$26:$T$40,MATCH(O195,('Spell Tables'!$R$26:$R$40),0)),IF(Q$260&gt;=O195,INDEX('Spell Tables'!$T$2:$T$22,MATCH(O195,('Spell Tables'!$R$2:$R$22),0))," "))))))))))))</f>
        <v xml:space="preserve"> </v>
      </c>
      <c r="R264" s="33" t="str">
        <f ca="1">IF(AND($Q$15="Otherworldly patron - great old one",R$244&gt;=O195),INDEX('Spell Tables'!$X$226:$X$239,MATCH(O195,('Spell Tables'!$V$226:$V$239),0)),IF(AND($Q$15="Otherworldly patron - fiend",R$244&gt;=O195),INDEX('Spell Tables'!$X$210:$X$223,MATCH(O195,('Spell Tables'!$V$210:$V$223),0)),IF(AND($Q$15="Otherworldly patron - archfey",R$244&gt;=O195),INDEX('Spell Tables'!$X$194:$X$207,MATCH(O195,('Spell Tables'!$V$194:$V$207),0)),IF($R$242&gt;=O195,INDEX($AL$56:$AL$65,MATCH(O195,($AJ$56:$AJ$65),0)),IF($R$246&gt;=O195,INDEX('Spell Tables'!$X$168:$X$191,MATCH(O195,('Spell Tables'!$V$168:$V$191),0)),IF($R$248&gt;=O195,INDEX('Spell Tables'!$AB$141:$AB$149,MATCH(O195,('Spell Tables'!$Z$141:$Z$149),0)),IF($R$250&gt;=O195,INDEX('Spell Tables'!T221:T233,MATCH(O195,('Spell Tables'!$R$119:$R$131),0)),IF($R$252&gt;=O195,INDEX('Spell Tables'!$T$97:T206,MATCH(O195,('Spell Tables'!$R$97:$R$104),0)),IF($R$254&gt;=O195,INDEX('Spell Tables'!$AB$70:$AB$75,MATCH(O195,('Spell Tables'!$Z$70:$Z$75),0)),IF($R$256&gt;=O195,INDEX('Spell Tables'!$X$48:$X$65,MATCH(O195,('Spell Tables'!$V$48:$V$65),0)),IF($R$258&gt;=O195,INDEX('Spell Tables'!$X$26:$X$42,MATCH(O195,('Spell Tables'!$V$26:$V$42),0)),IF($R$260&gt;=O195,INDEX('Spell Tables'!$X$2:$X$23,MATCH(O195,('Spell Tables'!$V$2:$V$23),0))," "))))))))))))</f>
        <v xml:space="preserve"> </v>
      </c>
      <c r="S264" s="33" t="str">
        <f ca="1">IF(AND($Q$15="Otherworldly patron - great old one",S$244&gt;=O195),INDEX('Spell Tables'!$AB$226:$AB$238,MATCH(O195,('Spell Tables'!$Z$226:$Z$238),0)),IF(AND($Q$15="Otherworldly patron - fiend",S$244&gt;=O195),INDEX('Spell Tables'!$AB$210:$AB$222,MATCH(O195,('Spell Tables'!$Z$210:$Z$222),0)),IF(AND($Q$15="Otherworldly patron - archfey",S$244&gt;=O195),INDEX('Spell Tables'!$AB$194:$AB$206,MATCH(O195,('Spell Tables'!$Z$194:$Z$206),0)),IF($S$242&gt;=O195,INDEX($AL$68:$AL$77,MATCH(O195,($AJ$68:$AJ$77),0)),IF($S$246&gt;=O195,INDEX('Spell Tables'!$AB$168:$AB$187,MATCH(O195,('Spell Tables'!$Z$168:$Z$187),0)),IF($S$248&gt;=O195,INDEX('Spell Tables'!$AJ$141:$AJ$144,MATCH(O195,('Spell Tables'!$AH$141:$AH$144),0)),IF($S$250&gt;=O195,INDEX('Spell Tables'!$X$119:$X$129,MATCH(O195,('Spell Tables'!$V$119:$V$129),0)),IF($S$252&gt;=O195,INDEX('Spell Tables'!$X$97:$X$106,MATCH(O195,('Spell Tables'!$V$97:$V$106),0)),IF($S$254&gt;=O195,INDEX('Spell Tables'!$AJ$70:$AJ$79,MATCH(O195,('Spell Tables'!$AH$70:$AH$79),0)),IF($S$256&gt;=O195,INDEX('Spell Tables'!$AB$48:$AB$60,MATCH(O195,('Spell Tables'!$Z$48:$Z$60),0)),IF($S$258&gt;=O195,INDEX('Spell Tables'!$AB$26:$AB$45,MATCH(O195,('Spell Tables'!$Z$26:$Z$45),0)),IF($S$260&gt;=O195,INDEX('Spell Tables'!$AB$2:$AB$17,MATCH(O195,('Spell Tables'!$Z$2:$Z$17),0))," "))))))))))))</f>
        <v xml:space="preserve"> </v>
      </c>
      <c r="T264" s="33" t="str">
        <f ca="1">IF(AND($Q$15="Otherworldly patron - great old one",T$244&gt;=O195),INDEX('Spell Tables'!$AF$226:$AF$231,MATCH(O195,('Spell Tables'!$AD$226:$AD$231),0)),IF(AND($Q$15="Otherworldly patron - fiend",T$244&gt;=O195),INDEX('Spell Tables'!$AF$210:$AF$215,MATCH(O195,('Spell Tables'!$AD$210:$AD$215),0)),IF(AND($Q$15="Otherworldly patron - archfey",T$244&gt;=O195),INDEX('Spell Tables'!$AF$194:$AF$199,MATCH(O195,('Spell Tables'!$AD$194:$AD$199),0)),IF($T$242&gt;=O195,INDEX($AL$80:$AL$89,MATCH(O195,($AJ$80:$AJ$89),0)),IF($T$246&gt;=O195,INDEX('Spell Tables'!$AF$168:$AF$177,MATCH(O195,('Spell Tables'!$AD$168:$AD$177),0)),IF($T$248&gt;=O195,INDEX('Spell Tables'!$AR$141:$AR$144,MATCH(O195,('Spell Tables'!$AP$141:$AP$144),0)),IF($T$250&gt;=O195,INDEX('Spell Tables'!$AB$119:$AB$123,MATCH(O195,('Spell Tables'!$Z$119:$Z$123),0)),IF($T$252&gt;=O195,INDEX('Spell Tables'!$AB$97:$AB$102,MATCH(O195,('Spell Tables'!$Z$97:$Z$102),0)),IF($T$254&gt;=O195,INDEX('Spell Tables'!$AR$70:$AR$75,MATCH(O195,('Spell Tables'!$AP$70:$AP$75),0)),IF($T$256&gt;=O195,INDEX('Spell Tables'!$AF$48:$AF$63,MATCH(O195,('Spell Tables'!$AD$48:$AD$63),0)),IF($T$258&gt;=O195,INDEX('Spell Tables'!$AF$26:$AF$33,MATCH(O195,('Spell Tables'!$AD$26:$AD$33),0)),IF($T$260&gt;=O195,INDEX('Spell Tables'!$AF$2:$AF$9,MATCH(O195,('Spell Tables'!$AD$2:$AD$9),0))," "))))))))))))</f>
        <v xml:space="preserve"> </v>
      </c>
    </row>
    <row r="265" spans="2:20" x14ac:dyDescent="0.3">
      <c r="C265" s="33"/>
      <c r="D265" s="33"/>
      <c r="E265" s="33"/>
      <c r="F265" s="33"/>
      <c r="G265" s="33"/>
      <c r="H265" s="33"/>
      <c r="I265" s="33"/>
      <c r="J265" s="33"/>
      <c r="K265" s="33"/>
      <c r="L265" s="33"/>
      <c r="M265" s="33"/>
      <c r="O265" s="34">
        <v>4</v>
      </c>
      <c r="P265" s="33" t="str">
        <f ca="1">IF(P$242&gt;=O196,INDEX('Spell Tables'!$P$242:$P$257,MATCH(O196,('Spell Tables'!$N$242:$N$257),0)),IF(P$244&gt;=O196,INDEX('Spell Tables'!$P$194:$P$201,MATCH(O196,('Spell Tables'!$N$194:$N$201),0)),IF(P$246&gt;=O196,INDEX('Spell Tables'!$P$168:$P$183,MATCH(O196,('Spell Tables'!$N$168:$N$183),0)),IF(P$248&gt;=O196,INDEX('Spell Tables'!$P$141:$P$156,MATCH(O196,('Spell Tables'!$N$141:$N$157),0)),IF(P$254&gt;=O196,INDEX('Spell Tables'!$P$70:$P$83,MATCH(O196,('Spell Tables'!$N$70:$N$83),0)),IF(P$256&gt;=O196,INDEX('Spell Tables'!$P$48:$P$55,MATCH(O196,('Spell Tables'!$N$48:$N$55),0)),IF(P$258&gt;=O196,INDEX('Spell Tables'!$P$26:$P$32,MATCH(O196,('Spell Tables'!$N$26:$N$32),0)),IF(P$260&gt;=O196,INDEX('Spell Tables'!$P$2:$P$12,MATCH(O196,('Spell Tables'!$N$2:$N$12),0))," "))))))))</f>
        <v xml:space="preserve"> </v>
      </c>
      <c r="Q265" s="33" t="str">
        <f ca="1">IF(AND($Q$15="Otherworldly patron - great old one",Q$244&gt;=O196),INDEX('Spell Tables'!$T$226:$T$238,MATCH(O196,('Spell Tables'!$R$226:$R$238),0)),IF(AND($Q$15="Otherworldly patron - fiend",Q$244&gt;=O196),INDEX('Spell Tables'!$T$210:$T$222,MATCH(O196,('Spell Tables'!$R$210:$R$222),0)),IF(Q$242&gt;=O196,INDEX($AL$44:$AL$53,MATCH(O196,($AJ$44:$AJ$53),0)),IF(AND($Q$15="Otherworldly patron - archfey",Q$244&gt;=O196),INDEX('Spell Tables'!T$206:$T297,MATCH(O196,('Spell Tables'!$R$194:$R$206),0)),IF(Q$246&gt;=O196,INDEX('Spell Tables'!T271:T290,MATCH(O196,('Spell Tables'!$R$168:$R$187),0)),IF(Q$248&gt;=O196,INDEX('Spell Tables'!T244:T250,MATCH(O196,('Spell Tables'!$R$141:$R$147),0)),IF(Q$250&gt;=O196,INDEX('Spell Tables'!$P$119:$P$131,MATCH(O196,('Spell Tables'!$N$119:$N$131),0)),IF(Q$252&gt;=O196,INDEX('Spell Tables'!$P$97:$P$111,MATCH(O196,('Spell Tables'!$N$97:$N$111),0)),IF(Q$254&gt;=O196,INDEX('Spell Tables'!$T$70:$T$78,MATCH(O196,('Spell Tables'!$R$70:$R$78),0)),IF(Q$256&gt;=O196,INDEX('Spell Tables'!$T$48:$T$63,MATCH(O196,('Spell Tables'!$R$48:$R$63),0)),IF(Q$258&gt;=O196,INDEX('Spell Tables'!$T$26:$T$40,MATCH(O196,('Spell Tables'!$R$26:$R$40),0)),IF(Q$260&gt;=O196,INDEX('Spell Tables'!$T$2:$T$22,MATCH(O196,('Spell Tables'!$R$2:$R$22),0))," "))))))))))))</f>
        <v xml:space="preserve"> </v>
      </c>
      <c r="R265" s="33" t="str">
        <f ca="1">IF(AND($Q$15="Otherworldly patron - great old one",R$244&gt;=O196),INDEX('Spell Tables'!$X$226:$X$239,MATCH(O196,('Spell Tables'!$V$226:$V$239),0)),IF(AND($Q$15="Otherworldly patron - fiend",R$244&gt;=O196),INDEX('Spell Tables'!$X$210:$X$223,MATCH(O196,('Spell Tables'!$V$210:$V$223),0)),IF(AND($Q$15="Otherworldly patron - archfey",R$244&gt;=O196),INDEX('Spell Tables'!$X$194:$X$207,MATCH(O196,('Spell Tables'!$V$194:$V$207),0)),IF($R$242&gt;=O196,INDEX($AL$56:$AL$65,MATCH(O196,($AJ$56:$AJ$65),0)),IF($R$246&gt;=O196,INDEX('Spell Tables'!$X$168:$X$191,MATCH(O196,('Spell Tables'!$V$168:$V$191),0)),IF($R$248&gt;=O196,INDEX('Spell Tables'!$AB$141:$AB$149,MATCH(O196,('Spell Tables'!$Z$141:$Z$149),0)),IF($R$250&gt;=O196,INDEX('Spell Tables'!T222:T234,MATCH(O196,('Spell Tables'!$R$119:$R$131),0)),IF($R$252&gt;=O196,INDEX('Spell Tables'!$T$97:T207,MATCH(O196,('Spell Tables'!$R$97:$R$104),0)),IF($R$254&gt;=O196,INDEX('Spell Tables'!$AB$70:$AB$75,MATCH(O196,('Spell Tables'!$Z$70:$Z$75),0)),IF($R$256&gt;=O196,INDEX('Spell Tables'!$X$48:$X$65,MATCH(O196,('Spell Tables'!$V$48:$V$65),0)),IF($R$258&gt;=O196,INDEX('Spell Tables'!$X$26:$X$42,MATCH(O196,('Spell Tables'!$V$26:$V$42),0)),IF($R$260&gt;=O196,INDEX('Spell Tables'!$X$2:$X$23,MATCH(O196,('Spell Tables'!$V$2:$V$23),0))," "))))))))))))</f>
        <v xml:space="preserve"> </v>
      </c>
      <c r="S265" s="33" t="str">
        <f ca="1">IF(AND($Q$15="Otherworldly patron - great old one",S$244&gt;=O196),INDEX('Spell Tables'!$AB$226:$AB$238,MATCH(O196,('Spell Tables'!$Z$226:$Z$238),0)),IF(AND($Q$15="Otherworldly patron - fiend",S$244&gt;=O196),INDEX('Spell Tables'!$AB$210:$AB$222,MATCH(O196,('Spell Tables'!$Z$210:$Z$222),0)),IF(AND($Q$15="Otherworldly patron - archfey",S$244&gt;=O196),INDEX('Spell Tables'!$AB$194:$AB$206,MATCH(O196,('Spell Tables'!$Z$194:$Z$206),0)),IF($S$242&gt;=O196,INDEX($AL$68:$AL$77,MATCH(O196,($AJ$68:$AJ$77),0)),IF($S$246&gt;=O196,INDEX('Spell Tables'!$AB$168:$AB$187,MATCH(O196,('Spell Tables'!$Z$168:$Z$187),0)),IF($S$248&gt;=O196,INDEX('Spell Tables'!$AJ$141:$AJ$144,MATCH(O196,('Spell Tables'!$AH$141:$AH$144),0)),IF($S$250&gt;=O196,INDEX('Spell Tables'!$X$119:$X$129,MATCH(O196,('Spell Tables'!$V$119:$V$129),0)),IF($S$252&gt;=O196,INDEX('Spell Tables'!$X$97:$X$106,MATCH(O196,('Spell Tables'!$V$97:$V$106),0)),IF($S$254&gt;=O196,INDEX('Spell Tables'!$AJ$70:$AJ$79,MATCH(O196,('Spell Tables'!$AH$70:$AH$79),0)),IF($S$256&gt;=O196,INDEX('Spell Tables'!$AB$48:$AB$60,MATCH(O196,('Spell Tables'!$Z$48:$Z$60),0)),IF($S$258&gt;=O196,INDEX('Spell Tables'!$AB$26:$AB$45,MATCH(O196,('Spell Tables'!$Z$26:$Z$45),0)),IF($S$260&gt;=O196,INDEX('Spell Tables'!$AB$2:$AB$17,MATCH(O196,('Spell Tables'!$Z$2:$Z$17),0))," "))))))))))))</f>
        <v xml:space="preserve"> </v>
      </c>
      <c r="T265" s="33" t="str">
        <f ca="1">IF(AND($Q$15="Otherworldly patron - great old one",T$244&gt;=O196),INDEX('Spell Tables'!$AF$226:$AF$231,MATCH(O196,('Spell Tables'!$AD$226:$AD$231),0)),IF(AND($Q$15="Otherworldly patron - fiend",T$244&gt;=O196),INDEX('Spell Tables'!$AF$210:$AF$215,MATCH(O196,('Spell Tables'!$AD$210:$AD$215),0)),IF(AND($Q$15="Otherworldly patron - archfey",T$244&gt;=O196),INDEX('Spell Tables'!$AF$194:$AF$199,MATCH(O196,('Spell Tables'!$AD$194:$AD$199),0)),IF($T$242&gt;=O196,INDEX($AL$80:$AL$89,MATCH(O196,($AJ$80:$AJ$89),0)),IF($T$246&gt;=O196,INDEX('Spell Tables'!$AF$168:$AF$177,MATCH(O196,('Spell Tables'!$AD$168:$AD$177),0)),IF($T$248&gt;=O196,INDEX('Spell Tables'!$AR$141:$AR$144,MATCH(O196,('Spell Tables'!$AP$141:$AP$144),0)),IF($T$250&gt;=O196,INDEX('Spell Tables'!$AB$119:$AB$123,MATCH(O196,('Spell Tables'!$Z$119:$Z$123),0)),IF($T$252&gt;=O196,INDEX('Spell Tables'!$AB$97:$AB$102,MATCH(O196,('Spell Tables'!$Z$97:$Z$102),0)),IF($T$254&gt;=O196,INDEX('Spell Tables'!$AR$70:$AR$75,MATCH(O196,('Spell Tables'!$AP$70:$AP$75),0)),IF($T$256&gt;=O196,INDEX('Spell Tables'!$AF$48:$AF$63,MATCH(O196,('Spell Tables'!$AD$48:$AD$63),0)),IF($T$258&gt;=O196,INDEX('Spell Tables'!$AF$26:$AF$33,MATCH(O196,('Spell Tables'!$AD$26:$AD$33),0)),IF($T$260&gt;=O196,INDEX('Spell Tables'!$AF$2:$AF$9,MATCH(O196,('Spell Tables'!$AD$2:$AD$9),0))," "))))))))))))</f>
        <v xml:space="preserve"> </v>
      </c>
    </row>
    <row r="266" spans="2:20" x14ac:dyDescent="0.3">
      <c r="C266" s="33"/>
      <c r="D266" s="33"/>
      <c r="E266" s="33"/>
      <c r="F266" s="33"/>
      <c r="G266" s="33"/>
      <c r="H266" s="33"/>
      <c r="I266" s="33"/>
      <c r="J266" s="33"/>
      <c r="K266" s="33"/>
      <c r="L266" s="33"/>
      <c r="M266" s="33"/>
      <c r="O266" s="34">
        <v>5</v>
      </c>
      <c r="P266" s="33" t="str">
        <f ca="1">IF(P$242&gt;=O197,INDEX('Spell Tables'!$P$242:$P$257,MATCH(O197,('Spell Tables'!$N$242:$N$257),0)),IF(P$244&gt;=O197,INDEX('Spell Tables'!$P$194:$P$201,MATCH(O197,('Spell Tables'!$N$194:$N$201),0)),IF(P$246&gt;=O197,INDEX('Spell Tables'!$P$168:$P$183,MATCH(O197,('Spell Tables'!$N$168:$N$183),0)),IF(P$248&gt;=O197,INDEX('Spell Tables'!$P$141:$P$156,MATCH(O197,('Spell Tables'!$N$141:$N$157),0)),IF(P$254&gt;=O197,INDEX('Spell Tables'!$P$70:$P$83,MATCH(O197,('Spell Tables'!$N$70:$N$83),0)),IF(P$256&gt;=O197,INDEX('Spell Tables'!$P$48:$P$55,MATCH(O197,('Spell Tables'!$N$48:$N$55),0)),IF(P$258&gt;=O197,INDEX('Spell Tables'!$P$26:$P$32,MATCH(O197,('Spell Tables'!$N$26:$N$32),0)),IF(P$260&gt;=O197,INDEX('Spell Tables'!$P$2:$P$12,MATCH(O197,('Spell Tables'!$N$2:$N$12),0))," "))))))))</f>
        <v xml:space="preserve"> </v>
      </c>
      <c r="Q266" s="33" t="str">
        <f ca="1">IF(AND($Q$15="Otherworldly patron - great old one",Q$244&gt;=O197),INDEX('Spell Tables'!$T$226:$T$238,MATCH(O197,('Spell Tables'!$R$226:$R$238),0)),IF(AND($Q$15="Otherworldly patron - fiend",Q$244&gt;=O197),INDEX('Spell Tables'!$T$210:$T$222,MATCH(O197,('Spell Tables'!$R$210:$R$222),0)),IF(Q$242&gt;=O197,INDEX($AL$44:$AL$53,MATCH(O197,($AJ$44:$AJ$53),0)),IF(AND($Q$15="Otherworldly patron - archfey",Q$244&gt;=O197),INDEX('Spell Tables'!T$206:$T298,MATCH(O197,('Spell Tables'!$R$194:$R$206),0)),IF(Q$246&gt;=O197,INDEX('Spell Tables'!T272:T291,MATCH(O197,('Spell Tables'!$R$168:$R$187),0)),IF(Q$248&gt;=O197,INDEX('Spell Tables'!T245:T251,MATCH(O197,('Spell Tables'!$R$141:$R$147),0)),IF(Q$250&gt;=O197,INDEX('Spell Tables'!$P$119:$P$131,MATCH(O197,('Spell Tables'!$N$119:$N$131),0)),IF(Q$252&gt;=O197,INDEX('Spell Tables'!$P$97:$P$111,MATCH(O197,('Spell Tables'!$N$97:$N$111),0)),IF(Q$254&gt;=O197,INDEX('Spell Tables'!$T$70:$T$78,MATCH(O197,('Spell Tables'!$R$70:$R$78),0)),IF(Q$256&gt;=O197,INDEX('Spell Tables'!$T$48:$T$63,MATCH(O197,('Spell Tables'!$R$48:$R$63),0)),IF(Q$258&gt;=O197,INDEX('Spell Tables'!$T$26:$T$40,MATCH(O197,('Spell Tables'!$R$26:$R$40),0)),IF(Q$260&gt;=O197,INDEX('Spell Tables'!$T$2:$T$22,MATCH(O197,('Spell Tables'!$R$2:$R$22),0))," "))))))))))))</f>
        <v xml:space="preserve"> </v>
      </c>
      <c r="R266" s="33" t="str">
        <f ca="1">IF(AND($Q$15="Otherworldly patron - great old one",R$244&gt;=O197),INDEX('Spell Tables'!$X$226:$X$239,MATCH(O197,('Spell Tables'!$V$226:$V$239),0)),IF(AND($Q$15="Otherworldly patron - fiend",R$244&gt;=O197),INDEX('Spell Tables'!$X$210:$X$223,MATCH(O197,('Spell Tables'!$V$210:$V$223),0)),IF(AND($Q$15="Otherworldly patron - archfey",R$244&gt;=O197),INDEX('Spell Tables'!$X$194:$X$207,MATCH(O197,('Spell Tables'!$V$194:$V$207),0)),IF($R$242&gt;=O197,INDEX($AL$56:$AL$65,MATCH(O197,($AJ$56:$AJ$65),0)),IF($R$246&gt;=O197,INDEX('Spell Tables'!$X$168:$X$191,MATCH(O197,('Spell Tables'!$V$168:$V$191),0)),IF($R$248&gt;=O197,INDEX('Spell Tables'!$AB$141:$AB$149,MATCH(O197,('Spell Tables'!$Z$141:$Z$149),0)),IF($R$250&gt;=O197,INDEX('Spell Tables'!T223:T235,MATCH(O197,('Spell Tables'!$R$119:$R$131),0)),IF($R$252&gt;=O197,INDEX('Spell Tables'!$T$97:T208,MATCH(O197,('Spell Tables'!$R$97:$R$104),0)),IF($R$254&gt;=O197,INDEX('Spell Tables'!$AB$70:$AB$75,MATCH(O197,('Spell Tables'!$Z$70:$Z$75),0)),IF($R$256&gt;=O197,INDEX('Spell Tables'!$X$48:$X$65,MATCH(O197,('Spell Tables'!$V$48:$V$65),0)),IF($R$258&gt;=O197,INDEX('Spell Tables'!$X$26:$X$42,MATCH(O197,('Spell Tables'!$V$26:$V$42),0)),IF($R$260&gt;=O197,INDEX('Spell Tables'!$X$2:$X$23,MATCH(O197,('Spell Tables'!$V$2:$V$23),0))," "))))))))))))</f>
        <v xml:space="preserve"> </v>
      </c>
      <c r="S266" s="33" t="str">
        <f ca="1">IF(AND($Q$15="Otherworldly patron - great old one",S$244&gt;=O197),INDEX('Spell Tables'!$AB$226:$AB$238,MATCH(O197,('Spell Tables'!$Z$226:$Z$238),0)),IF(AND($Q$15="Otherworldly patron - fiend",S$244&gt;=O197),INDEX('Spell Tables'!$AB$210:$AB$222,MATCH(O197,('Spell Tables'!$Z$210:$Z$222),0)),IF(AND($Q$15="Otherworldly patron - archfey",S$244&gt;=O197),INDEX('Spell Tables'!$AB$194:$AB$206,MATCH(O197,('Spell Tables'!$Z$194:$Z$206),0)),IF($S$242&gt;=O197,INDEX($AL$68:$AL$77,MATCH(O197,($AJ$68:$AJ$77),0)),IF($S$246&gt;=O197,INDEX('Spell Tables'!$AB$168:$AB$187,MATCH(O197,('Spell Tables'!$Z$168:$Z$187),0)),IF($S$248&gt;=O197,INDEX('Spell Tables'!$AJ$141:$AJ$144,MATCH(O197,('Spell Tables'!$AH$141:$AH$144),0)),IF($S$250&gt;=O197,INDEX('Spell Tables'!$X$119:$X$129,MATCH(O197,('Spell Tables'!$V$119:$V$129),0)),IF($S$252&gt;=O197,INDEX('Spell Tables'!$X$97:$X$106,MATCH(O197,('Spell Tables'!$V$97:$V$106),0)),IF($S$254&gt;=O197,INDEX('Spell Tables'!$AJ$70:$AJ$79,MATCH(O197,('Spell Tables'!$AH$70:$AH$79),0)),IF($S$256&gt;=O197,INDEX('Spell Tables'!$AB$48:$AB$60,MATCH(O197,('Spell Tables'!$Z$48:$Z$60),0)),IF($S$258&gt;=O197,INDEX('Spell Tables'!$AB$26:$AB$45,MATCH(O197,('Spell Tables'!$Z$26:$Z$45),0)),IF($S$260&gt;=O197,INDEX('Spell Tables'!$AB$2:$AB$17,MATCH(O197,('Spell Tables'!$Z$2:$Z$17),0))," "))))))))))))</f>
        <v xml:space="preserve"> </v>
      </c>
      <c r="T266" s="33" t="str">
        <f ca="1">IF(AND($Q$15="Otherworldly patron - great old one",T$244&gt;=O197),INDEX('Spell Tables'!$AF$226:$AF$231,MATCH(O197,('Spell Tables'!$AD$226:$AD$231),0)),IF(AND($Q$15="Otherworldly patron - fiend",T$244&gt;=O197),INDEX('Spell Tables'!$AF$210:$AF$215,MATCH(O197,('Spell Tables'!$AD$210:$AD$215),0)),IF(AND($Q$15="Otherworldly patron - archfey",T$244&gt;=O197),INDEX('Spell Tables'!$AF$194:$AF$199,MATCH(O197,('Spell Tables'!$AD$194:$AD$199),0)),IF($T$242&gt;=O197,INDEX($AL$80:$AL$89,MATCH(O197,($AJ$80:$AJ$89),0)),IF($T$246&gt;=O197,INDEX('Spell Tables'!$AF$168:$AF$177,MATCH(O197,('Spell Tables'!$AD$168:$AD$177),0)),IF($T$248&gt;=O197,INDEX('Spell Tables'!$AR$141:$AR$144,MATCH(O197,('Spell Tables'!$AP$141:$AP$144),0)),IF($T$250&gt;=O197,INDEX('Spell Tables'!$AB$119:$AB$123,MATCH(O197,('Spell Tables'!$Z$119:$Z$123),0)),IF($T$252&gt;=O197,INDEX('Spell Tables'!$AB$97:$AB$102,MATCH(O197,('Spell Tables'!$Z$97:$Z$102),0)),IF($T$254&gt;=O197,INDEX('Spell Tables'!$AR$70:$AR$75,MATCH(O197,('Spell Tables'!$AP$70:$AP$75),0)),IF($T$256&gt;=O197,INDEX('Spell Tables'!$AF$48:$AF$63,MATCH(O197,('Spell Tables'!$AD$48:$AD$63),0)),IF($T$258&gt;=O197,INDEX('Spell Tables'!$AF$26:$AF$33,MATCH(O197,('Spell Tables'!$AD$26:$AD$33),0)),IF($T$260&gt;=O197,INDEX('Spell Tables'!$AF$2:$AF$9,MATCH(O197,('Spell Tables'!$AD$2:$AD$9),0))," "))))))))))))</f>
        <v xml:space="preserve"> </v>
      </c>
    </row>
    <row r="267" spans="2:20" x14ac:dyDescent="0.3">
      <c r="B267" s="33"/>
      <c r="C267" s="33"/>
      <c r="D267" s="33"/>
      <c r="E267" s="33"/>
      <c r="F267" s="33"/>
      <c r="G267" s="33"/>
      <c r="H267" s="33"/>
      <c r="I267" s="33"/>
      <c r="J267" s="33"/>
      <c r="K267" s="33"/>
      <c r="L267" s="33"/>
      <c r="M267" s="33"/>
      <c r="O267" s="34">
        <v>6</v>
      </c>
      <c r="P267" s="33" t="str">
        <f ca="1">IF(P$242&gt;=O198,INDEX('Spell Tables'!$P$242:$P$257,MATCH(O198,('Spell Tables'!$N$242:$N$257),0)),IF(P$244&gt;=O198,INDEX('Spell Tables'!$P$194:$P$201,MATCH(O198,('Spell Tables'!$N$194:$N$201),0)),IF(P$246&gt;=O198,INDEX('Spell Tables'!$P$168:$P$183,MATCH(O198,('Spell Tables'!$N$168:$N$183),0)),IF(P$248&gt;=O198,INDEX('Spell Tables'!$P$141:$P$156,MATCH(O198,('Spell Tables'!$N$141:$N$157),0)),IF(P$254&gt;=O198,INDEX('Spell Tables'!$P$70:$P$83,MATCH(O198,('Spell Tables'!$N$70:$N$83),0)),IF(P$256&gt;=O198,INDEX('Spell Tables'!$P$48:$P$55,MATCH(O198,('Spell Tables'!$N$48:$N$55),0)),IF(P$258&gt;=O198,INDEX('Spell Tables'!$P$26:$P$32,MATCH(O198,('Spell Tables'!$N$26:$N$32),0)),IF(P$260&gt;=O198,INDEX('Spell Tables'!$P$2:$P$12,MATCH(O198,('Spell Tables'!$N$2:$N$12),0))," "))))))))</f>
        <v xml:space="preserve"> </v>
      </c>
      <c r="Q267" s="33" t="str">
        <f ca="1">IF(AND($Q$15="Otherworldly patron - great old one",Q$244&gt;=O198),INDEX('Spell Tables'!$T$226:$T$238,MATCH(O198,('Spell Tables'!$R$226:$R$238),0)),IF(AND($Q$15="Otherworldly patron - fiend",Q$244&gt;=O198),INDEX('Spell Tables'!$T$210:$T$222,MATCH(O198,('Spell Tables'!$R$210:$R$222),0)),IF(Q$242&gt;=O198,INDEX($AL$44:$AL$53,MATCH(O198,($AJ$44:$AJ$53),0)),IF(AND($Q$15="Otherworldly patron - archfey",Q$244&gt;=O198),INDEX('Spell Tables'!T$206:$T299,MATCH(O198,('Spell Tables'!$R$194:$R$206),0)),IF(Q$246&gt;=O198,INDEX('Spell Tables'!T273:T292,MATCH(O198,('Spell Tables'!$R$168:$R$187),0)),IF(Q$248&gt;=O198,INDEX('Spell Tables'!T246:T252,MATCH(O198,('Spell Tables'!$R$141:$R$147),0)),IF(Q$250&gt;=O198,INDEX('Spell Tables'!$P$119:$P$131,MATCH(O198,('Spell Tables'!$N$119:$N$131),0)),IF(Q$252&gt;=O198,INDEX('Spell Tables'!$P$97:$P$111,MATCH(O198,('Spell Tables'!$N$97:$N$111),0)),IF(Q$254&gt;=O198,INDEX('Spell Tables'!$T$70:$T$78,MATCH(O198,('Spell Tables'!$R$70:$R$78),0)),IF(Q$256&gt;=O198,INDEX('Spell Tables'!$T$48:$T$63,MATCH(O198,('Spell Tables'!$R$48:$R$63),0)),IF(Q$258&gt;=O198,INDEX('Spell Tables'!$T$26:$T$40,MATCH(O198,('Spell Tables'!$R$26:$R$40),0)),IF(Q$260&gt;=O198,INDEX('Spell Tables'!$T$2:$T$22,MATCH(O198,('Spell Tables'!$R$2:$R$22),0))," "))))))))))))</f>
        <v xml:space="preserve"> </v>
      </c>
      <c r="R267" s="33" t="str">
        <f ca="1">IF(AND($Q$15="Otherworldly patron - great old one",R$244&gt;=O198),INDEX('Spell Tables'!$X$226:$X$239,MATCH(O198,('Spell Tables'!$V$226:$V$239),0)),IF(AND($Q$15="Otherworldly patron - fiend",R$244&gt;=O198),INDEX('Spell Tables'!$X$210:$X$223,MATCH(O198,('Spell Tables'!$V$210:$V$223),0)),IF(AND($Q$15="Otherworldly patron - archfey",R$244&gt;=O198),INDEX('Spell Tables'!$X$194:$X$207,MATCH(O198,('Spell Tables'!$V$194:$V$207),0)),IF($R$242&gt;=O198,INDEX($AL$56:$AL$65,MATCH(O198,($AJ$56:$AJ$65),0)),IF($R$246&gt;=O198,INDEX('Spell Tables'!$X$168:$X$191,MATCH(O198,('Spell Tables'!$V$168:$V$191),0)),IF($R$248&gt;=O198,INDEX('Spell Tables'!$AB$141:$AB$149,MATCH(O198,('Spell Tables'!$Z$141:$Z$149),0)),IF($R$250&gt;=O198,INDEX('Spell Tables'!T224:T236,MATCH(O198,('Spell Tables'!$R$119:$R$131),0)),IF($R$252&gt;=O198,INDEX('Spell Tables'!$T$97:T209,MATCH(O198,('Spell Tables'!$R$97:$R$104),0)),IF($R$254&gt;=O198,INDEX('Spell Tables'!$AB$70:$AB$75,MATCH(O198,('Spell Tables'!$Z$70:$Z$75),0)),IF($R$256&gt;=O198,INDEX('Spell Tables'!$X$48:$X$65,MATCH(O198,('Spell Tables'!$V$48:$V$65),0)),IF($R$258&gt;=O198,INDEX('Spell Tables'!$X$26:$X$42,MATCH(O198,('Spell Tables'!$V$26:$V$42),0)),IF($R$260&gt;=O198,INDEX('Spell Tables'!$X$2:$X$23,MATCH(O198,('Spell Tables'!$V$2:$V$23),0))," "))))))))))))</f>
        <v xml:space="preserve"> </v>
      </c>
      <c r="S267" s="33" t="str">
        <f ca="1">IF(AND($Q$15="Otherworldly patron - great old one",S$244&gt;=O198),INDEX('Spell Tables'!$AB$226:$AB$238,MATCH(O198,('Spell Tables'!$Z$226:$Z$238),0)),IF(AND($Q$15="Otherworldly patron - fiend",S$244&gt;=O198),INDEX('Spell Tables'!$AB$210:$AB$222,MATCH(O198,('Spell Tables'!$Z$210:$Z$222),0)),IF(AND($Q$15="Otherworldly patron - archfey",S$244&gt;=O198),INDEX('Spell Tables'!$AB$194:$AB$206,MATCH(O198,('Spell Tables'!$Z$194:$Z$206),0)),IF($S$242&gt;=O198,INDEX($AL$68:$AL$77,MATCH(O198,($AJ$68:$AJ$77),0)),IF($S$246&gt;=O198,INDEX('Spell Tables'!$AB$168:$AB$187,MATCH(O198,('Spell Tables'!$Z$168:$Z$187),0)),IF($S$248&gt;=O198,INDEX('Spell Tables'!$AJ$141:$AJ$144,MATCH(O198,('Spell Tables'!$AH$141:$AH$144),0)),IF($S$250&gt;=O198,INDEX('Spell Tables'!$X$119:$X$129,MATCH(O198,('Spell Tables'!$V$119:$V$129),0)),IF($S$252&gt;=O198,INDEX('Spell Tables'!$X$97:$X$106,MATCH(O198,('Spell Tables'!$V$97:$V$106),0)),IF($S$254&gt;=O198,INDEX('Spell Tables'!$AJ$70:$AJ$79,MATCH(O198,('Spell Tables'!$AH$70:$AH$79),0)),IF($S$256&gt;=O198,INDEX('Spell Tables'!$AB$48:$AB$60,MATCH(O198,('Spell Tables'!$Z$48:$Z$60),0)),IF($S$258&gt;=O198,INDEX('Spell Tables'!$AB$26:$AB$45,MATCH(O198,('Spell Tables'!$Z$26:$Z$45),0)),IF($S$260&gt;=O198,INDEX('Spell Tables'!$AB$2:$AB$17,MATCH(O198,('Spell Tables'!$Z$2:$Z$17),0))," "))))))))))))</f>
        <v xml:space="preserve"> </v>
      </c>
      <c r="T267" s="33" t="str">
        <f ca="1">IF(AND($Q$15="Otherworldly patron - great old one",T$244&gt;=O198),INDEX('Spell Tables'!$AF$226:$AF$231,MATCH(O198,('Spell Tables'!$AD$226:$AD$231),0)),IF(AND($Q$15="Otherworldly patron - fiend",T$244&gt;=O198),INDEX('Spell Tables'!$AF$210:$AF$215,MATCH(O198,('Spell Tables'!$AD$210:$AD$215),0)),IF(AND($Q$15="Otherworldly patron - archfey",T$244&gt;=O198),INDEX('Spell Tables'!$AF$194:$AF$199,MATCH(O198,('Spell Tables'!$AD$194:$AD$199),0)),IF($T$242&gt;=O198,INDEX($AL$80:$AL$89,MATCH(O198,($AJ$80:$AJ$89),0)),IF($T$246&gt;=O198,INDEX('Spell Tables'!$AF$168:$AF$177,MATCH(O198,('Spell Tables'!$AD$168:$AD$177),0)),IF($T$248&gt;=O198,INDEX('Spell Tables'!$AR$141:$AR$144,MATCH(O198,('Spell Tables'!$AP$141:$AP$144),0)),IF($T$250&gt;=O198,INDEX('Spell Tables'!$AB$119:$AB$123,MATCH(O198,('Spell Tables'!$Z$119:$Z$123),0)),IF($T$252&gt;=O198,INDEX('Spell Tables'!$AB$97:$AB$102,MATCH(O198,('Spell Tables'!$Z$97:$Z$102),0)),IF($T$254&gt;=O198,INDEX('Spell Tables'!$AR$70:$AR$75,MATCH(O198,('Spell Tables'!$AP$70:$AP$75),0)),IF($T$256&gt;=O198,INDEX('Spell Tables'!$AF$48:$AF$63,MATCH(O198,('Spell Tables'!$AD$48:$AD$63),0)),IF($T$258&gt;=O198,INDEX('Spell Tables'!$AF$26:$AF$33,MATCH(O198,('Spell Tables'!$AD$26:$AD$33),0)),IF($T$260&gt;=O198,INDEX('Spell Tables'!$AF$2:$AF$9,MATCH(O198,('Spell Tables'!$AD$2:$AD$9),0))," "))))))))))))</f>
        <v xml:space="preserve"> </v>
      </c>
    </row>
    <row r="268" spans="2:20" x14ac:dyDescent="0.3">
      <c r="B268" s="33"/>
      <c r="C268" s="33"/>
      <c r="D268" s="33"/>
      <c r="E268" s="33"/>
      <c r="F268" s="33"/>
      <c r="G268" s="33"/>
      <c r="H268" s="33"/>
      <c r="I268" s="33"/>
      <c r="J268" s="33"/>
      <c r="K268" s="33"/>
      <c r="L268" s="33"/>
      <c r="M268" s="33"/>
      <c r="O268" s="34">
        <v>7</v>
      </c>
      <c r="P268" s="33" t="str">
        <f ca="1">IF(P$242&gt;=O199,INDEX('Spell Tables'!$P$242:$P$257,MATCH(O199,('Spell Tables'!$N$242:$N$257),0)),IF(P$244&gt;=O199,INDEX('Spell Tables'!$P$194:$P$201,MATCH(O199,('Spell Tables'!$N$194:$N$201),0)),IF(P$246&gt;=O199,INDEX('Spell Tables'!$P$168:$P$183,MATCH(O199,('Spell Tables'!$N$168:$N$183),0)),IF(P$248&gt;=O199,INDEX('Spell Tables'!$P$141:$P$156,MATCH(O199,('Spell Tables'!$N$141:$N$157),0)),IF(P$254&gt;=O199,INDEX('Spell Tables'!$P$70:$P$83,MATCH(O199,('Spell Tables'!$N$70:$N$83),0)),IF(P$256&gt;=O199,INDEX('Spell Tables'!$P$48:$P$55,MATCH(O199,('Spell Tables'!$N$48:$N$55),0)),IF(P$258&gt;=O199,INDEX('Spell Tables'!$P$26:$P$32,MATCH(O199,('Spell Tables'!$N$26:$N$32),0)),IF(P$260&gt;=O199,INDEX('Spell Tables'!$P$2:$P$12,MATCH(O199,('Spell Tables'!$N$2:$N$12),0))," "))))))))</f>
        <v xml:space="preserve"> </v>
      </c>
      <c r="Q268" s="33" t="str">
        <f ca="1">IF(AND($Q$15="Otherworldly patron - great old one",Q$244&gt;=O199),INDEX('Spell Tables'!$T$226:$T$238,MATCH(O199,('Spell Tables'!$R$226:$R$238),0)),IF(AND($Q$15="Otherworldly patron - fiend",Q$244&gt;=O199),INDEX('Spell Tables'!$T$210:$T$222,MATCH(O199,('Spell Tables'!$R$210:$R$222),0)),IF(Q$242&gt;=O199,INDEX($AL$44:$AL$53,MATCH(O199,($AJ$44:$AJ$53),0)),IF(AND($Q$15="Otherworldly patron - archfey",Q$244&gt;=O199),INDEX('Spell Tables'!T$206:$T300,MATCH(O199,('Spell Tables'!$R$194:$R$206),0)),IF(Q$246&gt;=O199,INDEX('Spell Tables'!T274:T293,MATCH(O199,('Spell Tables'!$R$168:$R$187),0)),IF(Q$248&gt;=O199,INDEX('Spell Tables'!T247:T253,MATCH(O199,('Spell Tables'!$R$141:$R$147),0)),IF(Q$250&gt;=O199,INDEX('Spell Tables'!$P$119:$P$131,MATCH(O199,('Spell Tables'!$N$119:$N$131),0)),IF(Q$252&gt;=O199,INDEX('Spell Tables'!$P$97:$P$111,MATCH(O199,('Spell Tables'!$N$97:$N$111),0)),IF(Q$254&gt;=O199,INDEX('Spell Tables'!$T$70:$T$78,MATCH(O199,('Spell Tables'!$R$70:$R$78),0)),IF(Q$256&gt;=O199,INDEX('Spell Tables'!$T$48:$T$63,MATCH(O199,('Spell Tables'!$R$48:$R$63),0)),IF(Q$258&gt;=O199,INDEX('Spell Tables'!$T$26:$T$40,MATCH(O199,('Spell Tables'!$R$26:$R$40),0)),IF(Q$260&gt;=O199,INDEX('Spell Tables'!$T$2:$T$22,MATCH(O199,('Spell Tables'!$R$2:$R$22),0))," "))))))))))))</f>
        <v xml:space="preserve"> </v>
      </c>
      <c r="R268" s="33" t="str">
        <f ca="1">IF(AND($Q$15="Otherworldly patron - great old one",R$244&gt;=O199),INDEX('Spell Tables'!$X$226:$X$239,MATCH(O199,('Spell Tables'!$V$226:$V$239),0)),IF(AND($Q$15="Otherworldly patron - fiend",R$244&gt;=O199),INDEX('Spell Tables'!$X$210:$X$223,MATCH(O199,('Spell Tables'!$V$210:$V$223),0)),IF(AND($Q$15="Otherworldly patron - archfey",R$244&gt;=O199),INDEX('Spell Tables'!$X$194:$X$207,MATCH(O199,('Spell Tables'!$V$194:$V$207),0)),IF($R$242&gt;=O199,INDEX($AL$56:$AL$65,MATCH(O199,($AJ$56:$AJ$65),0)),IF($R$246&gt;=O199,INDEX('Spell Tables'!$X$168:$X$191,MATCH(O199,('Spell Tables'!$V$168:$V$191),0)),IF($R$248&gt;=O199,INDEX('Spell Tables'!$AB$141:$AB$149,MATCH(O199,('Spell Tables'!$Z$141:$Z$149),0)),IF($R$250&gt;=O199,INDEX('Spell Tables'!T225:T237,MATCH(O199,('Spell Tables'!$R$119:$R$131),0)),IF($R$252&gt;=O199,INDEX('Spell Tables'!$T$97:T210,MATCH(O199,('Spell Tables'!$R$97:$R$104),0)),IF($R$254&gt;=O199,INDEX('Spell Tables'!$AB$70:$AB$75,MATCH(O199,('Spell Tables'!$Z$70:$Z$75),0)),IF($R$256&gt;=O199,INDEX('Spell Tables'!$X$48:$X$65,MATCH(O199,('Spell Tables'!$V$48:$V$65),0)),IF($R$258&gt;=O199,INDEX('Spell Tables'!$X$26:$X$42,MATCH(O199,('Spell Tables'!$V$26:$V$42),0)),IF($R$260&gt;=O199,INDEX('Spell Tables'!$X$2:$X$23,MATCH(O199,('Spell Tables'!$V$2:$V$23),0))," "))))))))))))</f>
        <v xml:space="preserve"> </v>
      </c>
      <c r="S268" s="33" t="str">
        <f ca="1">IF(AND($Q$15="Otherworldly patron - great old one",S$244&gt;=O199),INDEX('Spell Tables'!$AB$226:$AB$238,MATCH(O199,('Spell Tables'!$Z$226:$Z$238),0)),IF(AND($Q$15="Otherworldly patron - fiend",S$244&gt;=O199),INDEX('Spell Tables'!$AB$210:$AB$222,MATCH(O199,('Spell Tables'!$Z$210:$Z$222),0)),IF(AND($Q$15="Otherworldly patron - archfey",S$244&gt;=O199),INDEX('Spell Tables'!$AB$194:$AB$206,MATCH(O199,('Spell Tables'!$Z$194:$Z$206),0)),IF($S$242&gt;=O199,INDEX($AL$68:$AL$77,MATCH(O199,($AJ$68:$AJ$77),0)),IF($S$246&gt;=O199,INDEX('Spell Tables'!$AB$168:$AB$187,MATCH(O199,('Spell Tables'!$Z$168:$Z$187),0)),IF($S$248&gt;=O199,INDEX('Spell Tables'!$AJ$141:$AJ$144,MATCH(O199,('Spell Tables'!$AH$141:$AH$144),0)),IF($S$250&gt;=O199,INDEX('Spell Tables'!$X$119:$X$129,MATCH(O199,('Spell Tables'!$V$119:$V$129),0)),IF($S$252&gt;=O199,INDEX('Spell Tables'!$X$97:$X$106,MATCH(O199,('Spell Tables'!$V$97:$V$106),0)),IF($S$254&gt;=O199,INDEX('Spell Tables'!$AJ$70:$AJ$79,MATCH(O199,('Spell Tables'!$AH$70:$AH$79),0)),IF($S$256&gt;=O199,INDEX('Spell Tables'!$AB$48:$AB$60,MATCH(O199,('Spell Tables'!$Z$48:$Z$60),0)),IF($S$258&gt;=O199,INDEX('Spell Tables'!$AB$26:$AB$45,MATCH(O199,('Spell Tables'!$Z$26:$Z$45),0)),IF($S$260&gt;=O199,INDEX('Spell Tables'!$AB$2:$AB$17,MATCH(O199,('Spell Tables'!$Z$2:$Z$17),0))," "))))))))))))</f>
        <v xml:space="preserve"> </v>
      </c>
      <c r="T268" s="33" t="str">
        <f ca="1">IF(AND($Q$15="Otherworldly patron - great old one",T$244&gt;=O199),INDEX('Spell Tables'!$AF$226:$AF$231,MATCH(O199,('Spell Tables'!$AD$226:$AD$231),0)),IF(AND($Q$15="Otherworldly patron - fiend",T$244&gt;=O199),INDEX('Spell Tables'!$AF$210:$AF$215,MATCH(O199,('Spell Tables'!$AD$210:$AD$215),0)),IF(AND($Q$15="Otherworldly patron - archfey",T$244&gt;=O199),INDEX('Spell Tables'!$AF$194:$AF$199,MATCH(O199,('Spell Tables'!$AD$194:$AD$199),0)),IF($T$242&gt;=O199,INDEX($AL$80:$AL$89,MATCH(O199,($AJ$80:$AJ$89),0)),IF($T$246&gt;=O199,INDEX('Spell Tables'!$AF$168:$AF$177,MATCH(O199,('Spell Tables'!$AD$168:$AD$177),0)),IF($T$248&gt;=O199,INDEX('Spell Tables'!$AR$141:$AR$144,MATCH(O199,('Spell Tables'!$AP$141:$AP$144),0)),IF($T$250&gt;=O199,INDEX('Spell Tables'!$AB$119:$AB$123,MATCH(O199,('Spell Tables'!$Z$119:$Z$123),0)),IF($T$252&gt;=O199,INDEX('Spell Tables'!$AB$97:$AB$102,MATCH(O199,('Spell Tables'!$Z$97:$Z$102),0)),IF($T$254&gt;=O199,INDEX('Spell Tables'!$AR$70:$AR$75,MATCH(O199,('Spell Tables'!$AP$70:$AP$75),0)),IF($T$256&gt;=O199,INDEX('Spell Tables'!$AF$48:$AF$63,MATCH(O199,('Spell Tables'!$AD$48:$AD$63),0)),IF($T$258&gt;=O199,INDEX('Spell Tables'!$AF$26:$AF$33,MATCH(O199,('Spell Tables'!$AD$26:$AD$33),0)),IF($T$260&gt;=O199,INDEX('Spell Tables'!$AF$2:$AF$9,MATCH(O199,('Spell Tables'!$AD$2:$AD$9),0))," "))))))))))))</f>
        <v xml:space="preserve"> </v>
      </c>
    </row>
    <row r="269" spans="2:20" x14ac:dyDescent="0.3">
      <c r="B269" s="33"/>
      <c r="C269" s="33"/>
      <c r="D269" s="33"/>
      <c r="E269" s="33"/>
      <c r="F269" s="33"/>
      <c r="G269" s="33"/>
      <c r="H269" s="33"/>
      <c r="I269" s="33"/>
      <c r="J269" s="33"/>
      <c r="K269" s="33"/>
      <c r="L269" s="33"/>
      <c r="M269" s="33"/>
      <c r="O269" s="34">
        <v>8</v>
      </c>
      <c r="P269" s="33" t="str">
        <f ca="1">IF(P$242&gt;=O200,INDEX('Spell Tables'!$P$242:$P$257,MATCH(O200,('Spell Tables'!$N$242:$N$257),0)),IF(P$244&gt;=O200,INDEX('Spell Tables'!$P$194:$P$201,MATCH(O200,('Spell Tables'!$N$194:$N$201),0)),IF(P$246&gt;=O200,INDEX('Spell Tables'!$P$168:$P$183,MATCH(O200,('Spell Tables'!$N$168:$N$183),0)),IF(P$248&gt;=O200,INDEX('Spell Tables'!$P$141:$P$156,MATCH(O200,('Spell Tables'!$N$141:$N$157),0)),IF(P$254&gt;=O200,INDEX('Spell Tables'!$P$70:$P$83,MATCH(O200,('Spell Tables'!$N$70:$N$83),0)),IF(P$256&gt;=O200,INDEX('Spell Tables'!$P$48:$P$55,MATCH(O200,('Spell Tables'!$N$48:$N$55),0)),IF(P$258&gt;=O200,INDEX('Spell Tables'!$P$26:$P$32,MATCH(O200,('Spell Tables'!$N$26:$N$32),0)),IF(P$260&gt;=O200,INDEX('Spell Tables'!$P$2:$P$12,MATCH(O200,('Spell Tables'!$N$2:$N$12),0))," "))))))))</f>
        <v xml:space="preserve"> </v>
      </c>
      <c r="Q269" s="33" t="str">
        <f ca="1">IF(AND($Q$15="Otherworldly patron - great old one",Q$244&gt;=O200),INDEX('Spell Tables'!$T$226:$T$238,MATCH(O200,('Spell Tables'!$R$226:$R$238),0)),IF(AND($Q$15="Otherworldly patron - fiend",Q$244&gt;=O200),INDEX('Spell Tables'!$T$210:$T$222,MATCH(O200,('Spell Tables'!$R$210:$R$222),0)),IF(Q$242&gt;=O200,INDEX($AL$44:$AL$53,MATCH(O200,($AJ$44:$AJ$53),0)),IF(AND($Q$15="Otherworldly patron - archfey",Q$244&gt;=O200),INDEX('Spell Tables'!T$206:$T301,MATCH(O200,('Spell Tables'!$R$194:$R$206),0)),IF(Q$246&gt;=O200,INDEX('Spell Tables'!T275:T294,MATCH(O200,('Spell Tables'!$R$168:$R$187),0)),IF(Q$248&gt;=O200,INDEX('Spell Tables'!T248:T254,MATCH(O200,('Spell Tables'!$R$141:$R$147),0)),IF(Q$250&gt;=O200,INDEX('Spell Tables'!$P$119:$P$131,MATCH(O200,('Spell Tables'!$N$119:$N$131),0)),IF(Q$252&gt;=O200,INDEX('Spell Tables'!$P$97:$P$111,MATCH(O200,('Spell Tables'!$N$97:$N$111),0)),IF(Q$254&gt;=O200,INDEX('Spell Tables'!$T$70:$T$78,MATCH(O200,('Spell Tables'!$R$70:$R$78),0)),IF(Q$256&gt;=O200,INDEX('Spell Tables'!$T$48:$T$63,MATCH(O200,('Spell Tables'!$R$48:$R$63),0)),IF(Q$258&gt;=O200,INDEX('Spell Tables'!$T$26:$T$40,MATCH(O200,('Spell Tables'!$R$26:$R$40),0)),IF(Q$260&gt;=O200,INDEX('Spell Tables'!$T$2:$T$22,MATCH(O200,('Spell Tables'!$R$2:$R$22),0))," "))))))))))))</f>
        <v xml:space="preserve"> </v>
      </c>
      <c r="R269" s="33" t="str">
        <f ca="1">IF(AND($Q$15="Otherworldly patron - great old one",R$244&gt;=O200),INDEX('Spell Tables'!$X$226:$X$239,MATCH(O200,('Spell Tables'!$V$226:$V$239),0)),IF(AND($Q$15="Otherworldly patron - fiend",R$244&gt;=O200),INDEX('Spell Tables'!$X$210:$X$223,MATCH(O200,('Spell Tables'!$V$210:$V$223),0)),IF(AND($Q$15="Otherworldly patron - archfey",R$244&gt;=O200),INDEX('Spell Tables'!$X$194:$X$207,MATCH(O200,('Spell Tables'!$V$194:$V$207),0)),IF($R$242&gt;=O200,INDEX($AL$56:$AL$65,MATCH(O200,($AJ$56:$AJ$65),0)),IF($R$246&gt;=O200,INDEX('Spell Tables'!$X$168:$X$191,MATCH(O200,('Spell Tables'!$V$168:$V$191),0)),IF($R$248&gt;=O200,INDEX('Spell Tables'!$AB$141:$AB$149,MATCH(O200,('Spell Tables'!$Z$141:$Z$149),0)),IF($R$250&gt;=O200,INDEX('Spell Tables'!T226:T238,MATCH(O200,('Spell Tables'!$R$119:$R$131),0)),IF($R$252&gt;=O200,INDEX('Spell Tables'!$T$97:T211,MATCH(O200,('Spell Tables'!$R$97:$R$104),0)),IF($R$254&gt;=O200,INDEX('Spell Tables'!$AB$70:$AB$75,MATCH(O200,('Spell Tables'!$Z$70:$Z$75),0)),IF($R$256&gt;=O200,INDEX('Spell Tables'!$X$48:$X$65,MATCH(O200,('Spell Tables'!$V$48:$V$65),0)),IF($R$258&gt;=O200,INDEX('Spell Tables'!$X$26:$X$42,MATCH(O200,('Spell Tables'!$V$26:$V$42),0)),IF($R$260&gt;=O200,INDEX('Spell Tables'!$X$2:$X$23,MATCH(O200,('Spell Tables'!$V$2:$V$23),0))," "))))))))))))</f>
        <v xml:space="preserve"> </v>
      </c>
      <c r="S269" s="33" t="str">
        <f ca="1">IF(AND($Q$15="Otherworldly patron - great old one",S$244&gt;=O200),INDEX('Spell Tables'!$AB$226:$AB$238,MATCH(O200,('Spell Tables'!$Z$226:$Z$238),0)),IF(AND($Q$15="Otherworldly patron - fiend",S$244&gt;=O200),INDEX('Spell Tables'!$AB$210:$AB$222,MATCH(O200,('Spell Tables'!$Z$210:$Z$222),0)),IF(AND($Q$15="Otherworldly patron - archfey",S$244&gt;=O200),INDEX('Spell Tables'!$AB$194:$AB$206,MATCH(O200,('Spell Tables'!$Z$194:$Z$206),0)),IF($S$242&gt;=O200,INDEX($AL$68:$AL$77,MATCH(O200,($AJ$68:$AJ$77),0)),IF($S$246&gt;=O200,INDEX('Spell Tables'!$AB$168:$AB$187,MATCH(O200,('Spell Tables'!$Z$168:$Z$187),0)),IF($S$248&gt;=O200,INDEX('Spell Tables'!$AJ$141:$AJ$144,MATCH(O200,('Spell Tables'!$AH$141:$AH$144),0)),IF($S$250&gt;=O200,INDEX('Spell Tables'!$X$119:$X$129,MATCH(O200,('Spell Tables'!$V$119:$V$129),0)),IF($S$252&gt;=O200,INDEX('Spell Tables'!$X$97:$X$106,MATCH(O200,('Spell Tables'!$V$97:$V$106),0)),IF($S$254&gt;=O200,INDEX('Spell Tables'!$AJ$70:$AJ$79,MATCH(O200,('Spell Tables'!$AH$70:$AH$79),0)),IF($S$256&gt;=O200,INDEX('Spell Tables'!$AB$48:$AB$60,MATCH(O200,('Spell Tables'!$Z$48:$Z$60),0)),IF($S$258&gt;=O200,INDEX('Spell Tables'!$AB$26:$AB$45,MATCH(O200,('Spell Tables'!$Z$26:$Z$45),0)),IF($S$260&gt;=O200,INDEX('Spell Tables'!$AB$2:$AB$17,MATCH(O200,('Spell Tables'!$Z$2:$Z$17),0))," "))))))))))))</f>
        <v xml:space="preserve"> </v>
      </c>
      <c r="T269" s="33" t="str">
        <f ca="1">IF(AND($Q$15="Otherworldly patron - great old one",T$244&gt;=O200),INDEX('Spell Tables'!$AF$226:$AF$231,MATCH(O200,('Spell Tables'!$AD$226:$AD$231),0)),IF(AND($Q$15="Otherworldly patron - fiend",T$244&gt;=O200),INDEX('Spell Tables'!$AF$210:$AF$215,MATCH(O200,('Spell Tables'!$AD$210:$AD$215),0)),IF(AND($Q$15="Otherworldly patron - archfey",T$244&gt;=O200),INDEX('Spell Tables'!$AF$194:$AF$199,MATCH(O200,('Spell Tables'!$AD$194:$AD$199),0)),IF($T$242&gt;=O200,INDEX($AL$80:$AL$89,MATCH(O200,($AJ$80:$AJ$89),0)),IF($T$246&gt;=O200,INDEX('Spell Tables'!$AF$168:$AF$177,MATCH(O200,('Spell Tables'!$AD$168:$AD$177),0)),IF($T$248&gt;=O200,INDEX('Spell Tables'!$AR$141:$AR$144,MATCH(O200,('Spell Tables'!$AP$141:$AP$144),0)),IF($T$250&gt;=O200,INDEX('Spell Tables'!$AB$119:$AB$123,MATCH(O200,('Spell Tables'!$Z$119:$Z$123),0)),IF($T$252&gt;=O200,INDEX('Spell Tables'!$AB$97:$AB$102,MATCH(O200,('Spell Tables'!$Z$97:$Z$102),0)),IF($T$254&gt;=O200,INDEX('Spell Tables'!$AR$70:$AR$75,MATCH(O200,('Spell Tables'!$AP$70:$AP$75),0)),IF($T$256&gt;=O200,INDEX('Spell Tables'!$AF$48:$AF$63,MATCH(O200,('Spell Tables'!$AD$48:$AD$63),0)),IF($T$258&gt;=O200,INDEX('Spell Tables'!$AF$26:$AF$33,MATCH(O200,('Spell Tables'!$AD$26:$AD$33),0)),IF($T$260&gt;=O200,INDEX('Spell Tables'!$AF$2:$AF$9,MATCH(O200,('Spell Tables'!$AD$2:$AD$9),0))," "))))))))))))</f>
        <v xml:space="preserve"> </v>
      </c>
    </row>
    <row r="270" spans="2:20" x14ac:dyDescent="0.3">
      <c r="B270" s="33"/>
      <c r="C270" s="33"/>
      <c r="D270" s="33"/>
      <c r="E270" s="33"/>
      <c r="F270" s="33"/>
      <c r="G270" s="33"/>
      <c r="H270" s="33"/>
      <c r="I270" s="33"/>
      <c r="J270" s="33"/>
      <c r="K270" s="33"/>
      <c r="L270" s="33"/>
      <c r="M270" s="33"/>
      <c r="O270" s="34">
        <v>9</v>
      </c>
      <c r="P270" s="33" t="str">
        <f ca="1">IF(P$242&gt;=O201,INDEX('Spell Tables'!$P$242:$P$257,MATCH(O201,('Spell Tables'!$N$242:$N$257),0)),IF(P$244&gt;=O201,INDEX('Spell Tables'!$P$194:$P$201,MATCH(O201,('Spell Tables'!$N$194:$N$201),0)),IF(P$246&gt;=O201,INDEX('Spell Tables'!$P$168:$P$183,MATCH(O201,('Spell Tables'!$N$168:$N$183),0)),IF(P$248&gt;=O201,INDEX('Spell Tables'!$P$141:$P$156,MATCH(O201,('Spell Tables'!$N$141:$N$157),0)),IF(P$254&gt;=O201,INDEX('Spell Tables'!$P$70:$P$83,MATCH(O201,('Spell Tables'!$N$70:$N$83),0)),IF(P$256&gt;=O201,INDEX('Spell Tables'!$P$48:$P$55,MATCH(O201,('Spell Tables'!$N$48:$N$55),0)),IF(P$258&gt;=O201,INDEX('Spell Tables'!$P$26:$P$32,MATCH(O201,('Spell Tables'!$N$26:$N$32),0)),IF(P$260&gt;=O201,INDEX('Spell Tables'!$P$2:$P$12,MATCH(O201,('Spell Tables'!$N$2:$N$12),0))," "))))))))</f>
        <v xml:space="preserve"> </v>
      </c>
      <c r="Q270" s="33" t="str">
        <f ca="1">IF(AND($Q$15="Otherworldly patron - great old one",Q$244&gt;=O201),INDEX('Spell Tables'!$T$226:$T$238,MATCH(O201,('Spell Tables'!$R$226:$R$238),0)),IF(AND($Q$15="Otherworldly patron - fiend",Q$244&gt;=O201),INDEX('Spell Tables'!$T$210:$T$222,MATCH(O201,('Spell Tables'!$R$210:$R$222),0)),IF(Q$242&gt;=O201,INDEX($AL$44:$AL$53,MATCH(O201,($AJ$44:$AJ$53),0)),IF(AND($Q$15="Otherworldly patron - archfey",Q$244&gt;=O201),INDEX('Spell Tables'!T$206:$T302,MATCH(O201,('Spell Tables'!$R$194:$R$206),0)),IF(Q$246&gt;=O201,INDEX('Spell Tables'!T276:T295,MATCH(O201,('Spell Tables'!$R$168:$R$187),0)),IF(Q$248&gt;=O201,INDEX('Spell Tables'!T249:T255,MATCH(O201,('Spell Tables'!$R$141:$R$147),0)),IF(Q$250&gt;=O201,INDEX('Spell Tables'!$P$119:$P$131,MATCH(O201,('Spell Tables'!$N$119:$N$131),0)),IF(Q$252&gt;=O201,INDEX('Spell Tables'!$P$97:$P$111,MATCH(O201,('Spell Tables'!$N$97:$N$111),0)),IF(Q$254&gt;=O201,INDEX('Spell Tables'!$T$70:$T$78,MATCH(O201,('Spell Tables'!$R$70:$R$78),0)),IF(Q$256&gt;=O201,INDEX('Spell Tables'!$T$48:$T$63,MATCH(O201,('Spell Tables'!$R$48:$R$63),0)),IF(Q$258&gt;=O201,INDEX('Spell Tables'!$T$26:$T$40,MATCH(O201,('Spell Tables'!$R$26:$R$40),0)),IF(Q$260&gt;=O201,INDEX('Spell Tables'!$T$2:$T$22,MATCH(O201,('Spell Tables'!$R$2:$R$22),0))," "))))))))))))</f>
        <v xml:space="preserve"> </v>
      </c>
      <c r="R270" s="33" t="str">
        <f ca="1">IF(AND($Q$15="Otherworldly patron - great old one",R$244&gt;=O201),INDEX('Spell Tables'!$X$226:$X$239,MATCH(O201,('Spell Tables'!$V$226:$V$239),0)),IF(AND($Q$15="Otherworldly patron - fiend",R$244&gt;=O201),INDEX('Spell Tables'!$X$210:$X$223,MATCH(O201,('Spell Tables'!$V$210:$V$223),0)),IF(AND($Q$15="Otherworldly patron - archfey",R$244&gt;=O201),INDEX('Spell Tables'!$X$194:$X$207,MATCH(O201,('Spell Tables'!$V$194:$V$207),0)),IF($R$242&gt;=O201,INDEX($AL$56:$AL$65,MATCH(O201,($AJ$56:$AJ$65),0)),IF($R$246&gt;=O201,INDEX('Spell Tables'!$X$168:$X$191,MATCH(O201,('Spell Tables'!$V$168:$V$191),0)),IF($R$248&gt;=O201,INDEX('Spell Tables'!$AB$141:$AB$149,MATCH(O201,('Spell Tables'!$Z$141:$Z$149),0)),IF($R$250&gt;=O201,INDEX('Spell Tables'!T227:T239,MATCH(O201,('Spell Tables'!$R$119:$R$131),0)),IF($R$252&gt;=O201,INDEX('Spell Tables'!$T$97:T212,MATCH(O201,('Spell Tables'!$R$97:$R$104),0)),IF($R$254&gt;=O201,INDEX('Spell Tables'!$AB$70:$AB$75,MATCH(O201,('Spell Tables'!$Z$70:$Z$75),0)),IF($R$256&gt;=O201,INDEX('Spell Tables'!$X$48:$X$65,MATCH(O201,('Spell Tables'!$V$48:$V$65),0)),IF($R$258&gt;=O201,INDEX('Spell Tables'!$X$26:$X$42,MATCH(O201,('Spell Tables'!$V$26:$V$42),0)),IF($R$260&gt;=O201,INDEX('Spell Tables'!$X$2:$X$23,MATCH(O201,('Spell Tables'!$V$2:$V$23),0))," "))))))))))))</f>
        <v xml:space="preserve"> </v>
      </c>
      <c r="S270" s="33" t="str">
        <f ca="1">IF(AND($Q$15="Otherworldly patron - great old one",S$244&gt;=O201),INDEX('Spell Tables'!$AB$226:$AB$238,MATCH(O201,('Spell Tables'!$Z$226:$Z$238),0)),IF(AND($Q$15="Otherworldly patron - fiend",S$244&gt;=O201),INDEX('Spell Tables'!$AB$210:$AB$222,MATCH(O201,('Spell Tables'!$Z$210:$Z$222),0)),IF(AND($Q$15="Otherworldly patron - archfey",S$244&gt;=O201),INDEX('Spell Tables'!$AB$194:$AB$206,MATCH(O201,('Spell Tables'!$Z$194:$Z$206),0)),IF($S$242&gt;=O201,INDEX($AL$68:$AL$77,MATCH(O201,($AJ$68:$AJ$77),0)),IF($S$246&gt;=O201,INDEX('Spell Tables'!$AB$168:$AB$187,MATCH(O201,('Spell Tables'!$Z$168:$Z$187),0)),IF($S$248&gt;=O201,INDEX('Spell Tables'!$AJ$141:$AJ$144,MATCH(O201,('Spell Tables'!$AH$141:$AH$144),0)),IF($S$250&gt;=O201,INDEX('Spell Tables'!$X$119:$X$129,MATCH(O201,('Spell Tables'!$V$119:$V$129),0)),IF($S$252&gt;=O201,INDEX('Spell Tables'!$X$97:$X$106,MATCH(O201,('Spell Tables'!$V$97:$V$106),0)),IF($S$254&gt;=O201,INDEX('Spell Tables'!$AJ$70:$AJ$79,MATCH(O201,('Spell Tables'!$AH$70:$AH$79),0)),IF($S$256&gt;=O201,INDEX('Spell Tables'!$AB$48:$AB$60,MATCH(O201,('Spell Tables'!$Z$48:$Z$60),0)),IF($S$258&gt;=O201,INDEX('Spell Tables'!$AB$26:$AB$45,MATCH(O201,('Spell Tables'!$Z$26:$Z$45),0)),IF($S$260&gt;=O201,INDEX('Spell Tables'!$AB$2:$AB$17,MATCH(O201,('Spell Tables'!$Z$2:$Z$17),0))," "))))))))))))</f>
        <v xml:space="preserve"> </v>
      </c>
      <c r="T270" s="33" t="str">
        <f ca="1">IF(AND($Q$15="Otherworldly patron - great old one",T$244&gt;=O201),INDEX('Spell Tables'!$AF$226:$AF$231,MATCH(O201,('Spell Tables'!$AD$226:$AD$231),0)),IF(AND($Q$15="Otherworldly patron - fiend",T$244&gt;=O201),INDEX('Spell Tables'!$AF$210:$AF$215,MATCH(O201,('Spell Tables'!$AD$210:$AD$215),0)),IF(AND($Q$15="Otherworldly patron - archfey",T$244&gt;=O201),INDEX('Spell Tables'!$AF$194:$AF$199,MATCH(O201,('Spell Tables'!$AD$194:$AD$199),0)),IF($T$242&gt;=O201,INDEX($AL$80:$AL$89,MATCH(O201,($AJ$80:$AJ$89),0)),IF($T$246&gt;=O201,INDEX('Spell Tables'!$AF$168:$AF$177,MATCH(O201,('Spell Tables'!$AD$168:$AD$177),0)),IF($T$248&gt;=O201,INDEX('Spell Tables'!$AR$141:$AR$144,MATCH(O201,('Spell Tables'!$AP$141:$AP$144),0)),IF($T$250&gt;=O201,INDEX('Spell Tables'!$AB$119:$AB$123,MATCH(O201,('Spell Tables'!$Z$119:$Z$123),0)),IF($T$252&gt;=O201,INDEX('Spell Tables'!$AB$97:$AB$102,MATCH(O201,('Spell Tables'!$Z$97:$Z$102),0)),IF($T$254&gt;=O201,INDEX('Spell Tables'!$AR$70:$AR$75,MATCH(O201,('Spell Tables'!$AP$70:$AP$75),0)),IF($T$256&gt;=O201,INDEX('Spell Tables'!$AF$48:$AF$63,MATCH(O201,('Spell Tables'!$AD$48:$AD$63),0)),IF($T$258&gt;=O201,INDEX('Spell Tables'!$AF$26:$AF$33,MATCH(O201,('Spell Tables'!$AD$26:$AD$33),0)),IF($T$260&gt;=O201,INDEX('Spell Tables'!$AF$2:$AF$9,MATCH(O201,('Spell Tables'!$AD$2:$AD$9),0))," "))))))))))))</f>
        <v xml:space="preserve"> </v>
      </c>
    </row>
    <row r="271" spans="2:20" x14ac:dyDescent="0.3">
      <c r="B271" s="33"/>
      <c r="C271" s="33"/>
      <c r="D271" s="33"/>
      <c r="E271" s="33"/>
      <c r="F271" s="33"/>
      <c r="G271" s="33"/>
      <c r="H271" s="33"/>
      <c r="I271" s="33"/>
      <c r="J271" s="33"/>
      <c r="K271" s="33"/>
      <c r="L271" s="33"/>
      <c r="M271" s="33"/>
      <c r="O271" s="34">
        <v>10</v>
      </c>
      <c r="P271" s="33" t="str">
        <f ca="1">IF(P$242&gt;=O202,INDEX('Spell Tables'!$P$242:$P$257,MATCH(O202,('Spell Tables'!$N$242:$N$257),0)),IF(P$244&gt;=O202,INDEX('Spell Tables'!$P$194:$P$201,MATCH(O202,('Spell Tables'!$N$194:$N$201),0)),IF(P$246&gt;=O202,INDEX('Spell Tables'!$P$168:$P$183,MATCH(O202,('Spell Tables'!$N$168:$N$183),0)),IF(P$248&gt;=O202,INDEX('Spell Tables'!$P$141:$P$156,MATCH(O202,('Spell Tables'!$N$141:$N$157),0)),IF(P$254&gt;=O202,INDEX('Spell Tables'!$P$70:$P$83,MATCH(O202,('Spell Tables'!$N$70:$N$83),0)),IF(P$256&gt;=O202,INDEX('Spell Tables'!$P$48:$P$55,MATCH(O202,('Spell Tables'!$N$48:$N$55),0)),IF(P$258&gt;=O202,INDEX('Spell Tables'!$P$26:$P$32,MATCH(O202,('Spell Tables'!$N$26:$N$32),0)),IF(P$260&gt;=O202,INDEX('Spell Tables'!$P$2:$P$12,MATCH(O202,('Spell Tables'!$N$2:$N$12),0))," "))))))))</f>
        <v xml:space="preserve"> </v>
      </c>
      <c r="Q271" s="33" t="str">
        <f ca="1">IF(AND($Q$15="Otherworldly patron - great old one",Q$244&gt;=O202),INDEX('Spell Tables'!$T$226:$T$238,MATCH(O202,('Spell Tables'!$R$226:$R$238),0)),IF(AND($Q$15="Otherworldly patron - fiend",Q$244&gt;=O202),INDEX('Spell Tables'!$T$210:$T$222,MATCH(O202,('Spell Tables'!$R$210:$R$222),0)),IF(Q$242&gt;=O202,INDEX($AL$44:$AL$53,MATCH(O202,($AJ$44:$AJ$53),0)),IF(AND($Q$15="Otherworldly patron - archfey",Q$244&gt;=O202),INDEX('Spell Tables'!T$206:$T303,MATCH(O202,('Spell Tables'!$R$194:$R$206),0)),IF(Q$246&gt;=O202,INDEX('Spell Tables'!T277:T296,MATCH(O202,('Spell Tables'!$R$168:$R$187),0)),IF(Q$248&gt;=O202,INDEX('Spell Tables'!T250:T256,MATCH(O202,('Spell Tables'!$R$141:$R$147),0)),IF(Q$250&gt;=O202,INDEX('Spell Tables'!$P$119:$P$131,MATCH(O202,('Spell Tables'!$N$119:$N$131),0)),IF(Q$252&gt;=O202,INDEX('Spell Tables'!$P$97:$P$111,MATCH(O202,('Spell Tables'!$N$97:$N$111),0)),IF(Q$254&gt;=O202,INDEX('Spell Tables'!$T$70:$T$78,MATCH(O202,('Spell Tables'!$R$70:$R$78),0)),IF(Q$256&gt;=O202,INDEX('Spell Tables'!$T$48:$T$63,MATCH(O202,('Spell Tables'!$R$48:$R$63),0)),IF(Q$258&gt;=O202,INDEX('Spell Tables'!$T$26:$T$40,MATCH(O202,('Spell Tables'!$R$26:$R$40),0)),IF(Q$260&gt;=O202,INDEX('Spell Tables'!$T$2:$T$22,MATCH(O202,('Spell Tables'!$R$2:$R$22),0))," "))))))))))))</f>
        <v xml:space="preserve"> </v>
      </c>
      <c r="R271" s="33" t="str">
        <f ca="1">IF(AND($Q$15="Otherworldly patron - great old one",R$244&gt;=O202),INDEX('Spell Tables'!$X$226:$X$239,MATCH(O202,('Spell Tables'!$V$226:$V$239),0)),IF(AND($Q$15="Otherworldly patron - fiend",R$244&gt;=O202),INDEX('Spell Tables'!$X$210:$X$223,MATCH(O202,('Spell Tables'!$V$210:$V$223),0)),IF(AND($Q$15="Otherworldly patron - archfey",R$244&gt;=O202),INDEX('Spell Tables'!$X$194:$X$207,MATCH(O202,('Spell Tables'!$V$194:$V$207),0)),IF($R$242&gt;=O202,INDEX($AL$56:$AL$65,MATCH(O202,($AJ$56:$AJ$65),0)),IF($R$246&gt;=O202,INDEX('Spell Tables'!$X$168:$X$191,MATCH(O202,('Spell Tables'!$V$168:$V$191),0)),IF($R$248&gt;=O202,INDEX('Spell Tables'!$AB$141:$AB$149,MATCH(O202,('Spell Tables'!$Z$141:$Z$149),0)),IF($R$250&gt;=O202,INDEX('Spell Tables'!T228:T240,MATCH(O202,('Spell Tables'!$R$119:$R$131),0)),IF($R$252&gt;=O202,INDEX('Spell Tables'!$T$97:T213,MATCH(O202,('Spell Tables'!$R$97:$R$104),0)),IF($R$254&gt;=O202,INDEX('Spell Tables'!$AB$70:$AB$75,MATCH(O202,('Spell Tables'!$Z$70:$Z$75),0)),IF($R$256&gt;=O202,INDEX('Spell Tables'!$X$48:$X$65,MATCH(O202,('Spell Tables'!$V$48:$V$65),0)),IF($R$258&gt;=O202,INDEX('Spell Tables'!$X$26:$X$42,MATCH(O202,('Spell Tables'!$V$26:$V$42),0)),IF($R$260&gt;=O202,INDEX('Spell Tables'!$X$2:$X$23,MATCH(O202,('Spell Tables'!$V$2:$V$23),0))," "))))))))))))</f>
        <v xml:space="preserve"> </v>
      </c>
      <c r="S271" s="33" t="str">
        <f ca="1">IF(AND($Q$15="Otherworldly patron - great old one",S$244&gt;=O202),INDEX('Spell Tables'!$AB$226:$AB$238,MATCH(O202,('Spell Tables'!$Z$226:$Z$238),0)),IF(AND($Q$15="Otherworldly patron - fiend",S$244&gt;=O202),INDEX('Spell Tables'!$AB$210:$AB$222,MATCH(O202,('Spell Tables'!$Z$210:$Z$222),0)),IF(AND($Q$15="Otherworldly patron - archfey",S$244&gt;=O202),INDEX('Spell Tables'!$AB$194:$AB$206,MATCH(O202,('Spell Tables'!$Z$194:$Z$206),0)),IF($S$242&gt;=O202,INDEX($AL$68:$AL$77,MATCH(O202,($AJ$68:$AJ$77),0)),IF($S$246&gt;=O202,INDEX('Spell Tables'!$AB$168:$AB$187,MATCH(O202,('Spell Tables'!$Z$168:$Z$187),0)),IF($S$248&gt;=O202,INDEX('Spell Tables'!$AJ$141:$AJ$144,MATCH(O202,('Spell Tables'!$AH$141:$AH$144),0)),IF($S$250&gt;=O202,INDEX('Spell Tables'!$X$119:$X$129,MATCH(O202,('Spell Tables'!$V$119:$V$129),0)),IF($S$252&gt;=O202,INDEX('Spell Tables'!$X$97:$X$106,MATCH(O202,('Spell Tables'!$V$97:$V$106),0)),IF($S$254&gt;=O202,INDEX('Spell Tables'!$AJ$70:$AJ$79,MATCH(O202,('Spell Tables'!$AH$70:$AH$79),0)),IF($S$256&gt;=O202,INDEX('Spell Tables'!$AB$48:$AB$60,MATCH(O202,('Spell Tables'!$Z$48:$Z$60),0)),IF($S$258&gt;=O202,INDEX('Spell Tables'!$AB$26:$AB$45,MATCH(O202,('Spell Tables'!$Z$26:$Z$45),0)),IF($S$260&gt;=O202,INDEX('Spell Tables'!$AB$2:$AB$17,MATCH(O202,('Spell Tables'!$Z$2:$Z$17),0))," "))))))))))))</f>
        <v xml:space="preserve"> </v>
      </c>
      <c r="T271" s="33" t="str">
        <f ca="1">IF(AND($Q$15="Otherworldly patron - great old one",T$244&gt;=O202),INDEX('Spell Tables'!$AF$226:$AF$231,MATCH(O202,('Spell Tables'!$AD$226:$AD$231),0)),IF(AND($Q$15="Otherworldly patron - fiend",T$244&gt;=O202),INDEX('Spell Tables'!$AF$210:$AF$215,MATCH(O202,('Spell Tables'!$AD$210:$AD$215),0)),IF(AND($Q$15="Otherworldly patron - archfey",T$244&gt;=O202),INDEX('Spell Tables'!$AF$194:$AF$199,MATCH(O202,('Spell Tables'!$AD$194:$AD$199),0)),IF($T$242&gt;=O202,INDEX($AL$80:$AL$89,MATCH(O202,($AJ$80:$AJ$89),0)),IF($T$246&gt;=O202,INDEX('Spell Tables'!$AF$168:$AF$177,MATCH(O202,('Spell Tables'!$AD$168:$AD$177),0)),IF($T$248&gt;=O202,INDEX('Spell Tables'!$AR$141:$AR$144,MATCH(O202,('Spell Tables'!$AP$141:$AP$144),0)),IF($T$250&gt;=O202,INDEX('Spell Tables'!$AB$119:$AB$123,MATCH(O202,('Spell Tables'!$Z$119:$Z$123),0)),IF($T$252&gt;=O202,INDEX('Spell Tables'!$AB$97:$AB$102,MATCH(O202,('Spell Tables'!$Z$97:$Z$102),0)),IF($T$254&gt;=O202,INDEX('Spell Tables'!$AR$70:$AR$75,MATCH(O202,('Spell Tables'!$AP$70:$AP$75),0)),IF($T$256&gt;=O202,INDEX('Spell Tables'!$AF$48:$AF$63,MATCH(O202,('Spell Tables'!$AD$48:$AD$63),0)),IF($T$258&gt;=O202,INDEX('Spell Tables'!$AF$26:$AF$33,MATCH(O202,('Spell Tables'!$AD$26:$AD$33),0)),IF($T$260&gt;=O202,INDEX('Spell Tables'!$AF$2:$AF$9,MATCH(O202,('Spell Tables'!$AD$2:$AD$9),0))," "))))))))))))</f>
        <v xml:space="preserve"> </v>
      </c>
    </row>
    <row r="272" spans="2:20" ht="19.5" thickBot="1" x14ac:dyDescent="0.35">
      <c r="B272" s="33"/>
      <c r="C272" s="38"/>
      <c r="D272" s="38"/>
      <c r="E272" s="38"/>
      <c r="F272" s="38"/>
      <c r="G272" s="38"/>
      <c r="H272" s="38"/>
      <c r="I272" s="38"/>
      <c r="J272" s="38"/>
      <c r="K272" s="38"/>
      <c r="L272" s="38"/>
      <c r="M272" s="38"/>
      <c r="N272" s="38"/>
      <c r="O272" s="38"/>
      <c r="P272" s="38"/>
      <c r="Q272" s="38"/>
      <c r="R272" s="38"/>
      <c r="S272" s="38"/>
      <c r="T272" s="38"/>
    </row>
    <row r="273" spans="15:19" hidden="1" x14ac:dyDescent="0.3">
      <c r="O273" s="108"/>
      <c r="P273" s="108"/>
      <c r="Q273" s="108"/>
      <c r="R273" s="108"/>
      <c r="S273" s="109"/>
    </row>
    <row r="274" spans="15:19" hidden="1" x14ac:dyDescent="0.3">
      <c r="O274" s="60" t="str">
        <f ca="1">IF(AND(Q11="wizard",Q12&gt;=11),"x",IF(AND($Q$11="wizard",$Q$12&gt;9),"xx",IF(AND(Q11="wizard",Q12=9),"xxx"," ")))</f>
        <v xml:space="preserve"> </v>
      </c>
      <c r="P274" s="60" t="str">
        <f ca="1">IF(AND(Q11="wizard",Q12&gt;=13),"x",IF(AND($Q$11="wizard",$Q$12&gt;11),"xx",IF(AND(Q11="wizard",Q12=11),"xxx"," ")))</f>
        <v xml:space="preserve"> </v>
      </c>
      <c r="Q274" s="60" t="str">
        <f ca="1">IF(AND(Q11="wizard",Q12&gt;=15),"x",IF(AND($Q$11="wizard",$Q$12&gt;13),"xx",IF(AND(Q11="wizard",Q12=13),"xxx"," ")))</f>
        <v xml:space="preserve"> </v>
      </c>
      <c r="R274" s="60" t="str">
        <f ca="1">IF(AND(Q11="wizard",Q12&gt;=17),"x",IF(AND($Q$11="wizard",$Q$12&gt;15),"xx",IF(AND(Q11="wizard",Q12=15),"xxx"," ")))</f>
        <v xml:space="preserve"> </v>
      </c>
      <c r="S274" s="63" t="str">
        <f ca="1">IF(AND($Q$11="wizard",$Q$12&gt;17),"xx",IF(AND(Q11="wizard",Q12=17),"xxx"," "))</f>
        <v xml:space="preserve"> </v>
      </c>
    </row>
    <row r="275" spans="15:19" hidden="1" x14ac:dyDescent="0.3">
      <c r="O275" s="65">
        <f ca="1">IF(O274="x",RANDBETWEEN(2,3),IF(O274="xx",RANDBETWEEN(2,3),IF(O274="xxx",RANDBETWEEN(1,2),0)))</f>
        <v>0</v>
      </c>
      <c r="P275" s="65">
        <f ca="1">IF(P274="x",RANDBETWEEN(2,3),IF(P274="xx",RANDBETWEEN(2,3),IF(P274="xxx",RANDBETWEEN(1,2),0)))</f>
        <v>0</v>
      </c>
      <c r="Q275" s="65">
        <f ca="1">IF(Q274="x",RANDBETWEEN(1,2),IF(Q274="xx",RANDBETWEEN(1,2),IF(Q274="xxx",RANDBETWEEN(1,2),0)))</f>
        <v>0</v>
      </c>
      <c r="R275" s="65">
        <f ca="1">IF(OR(R274="x",R274="xx"),RANDBETWEEN(1,2),IF(R274="xxx",RANDBETWEEN(1,2),0))</f>
        <v>0</v>
      </c>
      <c r="S275" s="66">
        <f ca="1">IF(S274="xx",RANDBETWEEN(1,2),IF(S274="xxx",RANDBETWEEN(1,2),0))</f>
        <v>0</v>
      </c>
    </row>
    <row r="276" spans="15:19" hidden="1" x14ac:dyDescent="0.3">
      <c r="O276" s="60" t="str">
        <f ca="1">IF(AND($Q$11="warlock",$Q$12&gt;=9),"xx"," ")</f>
        <v xml:space="preserve"> </v>
      </c>
      <c r="P276" s="60"/>
      <c r="Q276" s="60"/>
      <c r="R276" s="60"/>
      <c r="S276" s="63"/>
    </row>
    <row r="277" spans="15:19" hidden="1" x14ac:dyDescent="0.3">
      <c r="O277" s="65">
        <f ca="1">IF(O276="x",RANDBETWEEN(2,3),IF(O276="xx",RANDBETWEEN(2,3),0))</f>
        <v>0</v>
      </c>
      <c r="P277" s="65"/>
      <c r="Q277" s="65"/>
      <c r="R277" s="65"/>
      <c r="S277" s="66"/>
    </row>
    <row r="278" spans="15:19" hidden="1" x14ac:dyDescent="0.3">
      <c r="O278" s="60" t="str">
        <f ca="1">IF(AND($Q$11="sorcerer",$Q$12&gt;=11),"x",IF(AND($Q$11="sorcerer",$Q$12&gt;=9),"xx"," "))</f>
        <v xml:space="preserve"> </v>
      </c>
      <c r="P278" s="60" t="str">
        <f ca="1">IF(AND($Q$11="sorcerer",$Q$12&gt;=13),"x",IF(AND($Q$11="sorcerer",$Q$12&gt;=11),"xx"," "))</f>
        <v xml:space="preserve"> </v>
      </c>
      <c r="Q278" s="60" t="str">
        <f ca="1">IF(AND($Q$11="sorcerer",$Q$12&gt;=15),"x",IF(AND($Q$11="sorcerer",$Q$12&gt;=13),"xx"," "))</f>
        <v xml:space="preserve"> </v>
      </c>
      <c r="R278" s="60" t="str">
        <f ca="1">IF(AND($Q$11="sorcerer",$Q$12&gt;=17),"x",IF(AND($Q$11="sorcerer",$Q$12&gt;15),"xx"," "))</f>
        <v xml:space="preserve"> </v>
      </c>
      <c r="S278" s="63" t="str">
        <f ca="1">IF(AND($Q$11="sorcerer",$Q$12&gt;=17),"xx"," ")</f>
        <v xml:space="preserve"> </v>
      </c>
    </row>
    <row r="279" spans="15:19" hidden="1" x14ac:dyDescent="0.3">
      <c r="O279" s="65">
        <f ca="1">IF(O278="x",RANDBETWEEN(2,3),IF(O278="xx",RANDBETWEEN(2,3),0))</f>
        <v>0</v>
      </c>
      <c r="P279" s="65">
        <f ca="1">IF(P278="x",RANDBETWEEN(2,3),IF(P278="xx",RANDBETWEEN(2,3),0))</f>
        <v>0</v>
      </c>
      <c r="Q279" s="65">
        <f ca="1">IF(Q278="x",RANDBETWEEN(1,2),IF(Q278="xx",RANDBETWEEN(1,2),0))</f>
        <v>0</v>
      </c>
      <c r="R279" s="65">
        <f ca="1">IF(OR(R278="x",R278="xx"),RANDBETWEEN(1,2),0)</f>
        <v>0</v>
      </c>
      <c r="S279" s="66">
        <f ca="1">IF(S278="xx",RANDBETWEEN(1,2),0)</f>
        <v>0</v>
      </c>
    </row>
    <row r="280" spans="15:19" hidden="1" x14ac:dyDescent="0.3">
      <c r="O280" s="60"/>
      <c r="P280" s="60"/>
      <c r="Q280" s="60"/>
      <c r="R280" s="60"/>
      <c r="S280" s="63"/>
    </row>
    <row r="281" spans="15:19" hidden="1" x14ac:dyDescent="0.3">
      <c r="O281" s="65"/>
      <c r="P281" s="65"/>
      <c r="Q281" s="65"/>
      <c r="R281" s="65"/>
      <c r="S281" s="66"/>
    </row>
    <row r="282" spans="15:19" hidden="1" x14ac:dyDescent="0.3">
      <c r="O282" s="60" t="str">
        <f ca="1">IF(AND($Q$11="ranger",$Q$12&gt;=17),"xx"," ")</f>
        <v xml:space="preserve"> </v>
      </c>
      <c r="P282" s="60"/>
      <c r="Q282" s="60"/>
      <c r="R282" s="60"/>
      <c r="S282" s="63"/>
    </row>
    <row r="283" spans="15:19" hidden="1" x14ac:dyDescent="0.3">
      <c r="O283" s="65">
        <f ca="1">IF(O282="x",RANDBETWEEN(2,3),IF(O282="xx",RANDBETWEEN(2,3),0))</f>
        <v>0</v>
      </c>
      <c r="P283" s="65"/>
      <c r="Q283" s="65"/>
      <c r="R283" s="65"/>
      <c r="S283" s="66"/>
    </row>
    <row r="284" spans="15:19" hidden="1" x14ac:dyDescent="0.3">
      <c r="O284" s="60" t="str">
        <f ca="1">IF(AND(Q11="paladin",Q12&gt;=17),"xx"," ")</f>
        <v xml:space="preserve"> </v>
      </c>
      <c r="P284" s="60"/>
      <c r="Q284" s="60"/>
      <c r="R284" s="60"/>
      <c r="S284" s="63"/>
    </row>
    <row r="285" spans="15:19" hidden="1" x14ac:dyDescent="0.3">
      <c r="O285" s="65">
        <f ca="1">IF(O284="x",RANDBETWEEN(2,3),IF(O284="xx",RANDBETWEEN(2,3),0))</f>
        <v>0</v>
      </c>
      <c r="P285" s="65"/>
      <c r="Q285" s="65"/>
      <c r="R285" s="65"/>
      <c r="S285" s="66"/>
    </row>
    <row r="286" spans="15:19" hidden="1" x14ac:dyDescent="0.3">
      <c r="O286" s="60"/>
      <c r="P286" s="60"/>
      <c r="Q286" s="60"/>
      <c r="R286" s="60"/>
      <c r="S286" s="63"/>
    </row>
    <row r="287" spans="15:19" hidden="1" x14ac:dyDescent="0.3">
      <c r="O287" s="65"/>
      <c r="P287" s="65"/>
      <c r="Q287" s="65"/>
      <c r="R287" s="65"/>
      <c r="S287" s="66"/>
    </row>
    <row r="288" spans="15:19" hidden="1" x14ac:dyDescent="0.3">
      <c r="O288" s="60" t="str">
        <f ca="1">IF(AND($Q$11="druid",$Q$12&gt;=11),"x",IF(AND($Q$11="druid",$Q$12&gt;=9),"xx"," "))</f>
        <v xml:space="preserve"> </v>
      </c>
      <c r="P288" s="60" t="str">
        <f ca="1">IF(AND($Q$11="druid",$Q$12&gt;=13),"x",IF(AND($Q$11="druid",$Q$12&gt;=11),"xx"," "))</f>
        <v xml:space="preserve"> </v>
      </c>
      <c r="Q288" s="60" t="str">
        <f ca="1">IF(AND($Q$11="druid",$Q$12&gt;=15),"x",IF(AND($Q$11="druid",$Q$12&gt;=13),"xx"," "))</f>
        <v xml:space="preserve"> </v>
      </c>
      <c r="R288" s="60" t="str">
        <f ca="1">IF(AND($Q$11="druid",$Q$12&gt;=17),"x",IF(AND($Q$11="druid",$Q$12&gt;15),"xx"," "))</f>
        <v xml:space="preserve"> </v>
      </c>
      <c r="S288" s="63" t="str">
        <f ca="1">IF(AND($Q$11="druid",$Q$12&gt;=17),"xx"," ")</f>
        <v xml:space="preserve"> </v>
      </c>
    </row>
    <row r="289" spans="14:20" hidden="1" x14ac:dyDescent="0.3">
      <c r="O289" s="65">
        <f ca="1">IF(O288="x",RANDBETWEEN(2,3),IF(O288="xx",RANDBETWEEN(2,3),0))</f>
        <v>0</v>
      </c>
      <c r="P289" s="65">
        <f ca="1">IF(P288="x",RANDBETWEEN(2,3),IF(P288="xx",RANDBETWEEN(2,3),0))</f>
        <v>0</v>
      </c>
      <c r="Q289" s="65">
        <f ca="1">IF(Q288="x",RANDBETWEEN(1,2),IF(Q288="xx",RANDBETWEEN(1,2),0))</f>
        <v>0</v>
      </c>
      <c r="R289" s="65">
        <f ca="1">IF(OR(R288="x",R288="xx"),RANDBETWEEN(1,2),0)</f>
        <v>0</v>
      </c>
      <c r="S289" s="66">
        <f ca="1">IF(S288="xx",RANDBETWEEN(1,2),0)</f>
        <v>0</v>
      </c>
    </row>
    <row r="290" spans="14:20" hidden="1" x14ac:dyDescent="0.3">
      <c r="O290" s="60" t="str">
        <f ca="1">IF(AND(Q11="cleric",Q12&gt;=11),"x",IF(AND($Q$11="cleric",$Q$12&gt;=9),"xx"," "))</f>
        <v xml:space="preserve"> </v>
      </c>
      <c r="P290" s="60" t="str">
        <f ca="1">IF(AND(Q11="cleric",Q12&gt;=13),"x",IF(AND($Q$11="cleric",$Q$12&gt;=11),"xx"," "))</f>
        <v xml:space="preserve"> </v>
      </c>
      <c r="Q290" s="60" t="str">
        <f ca="1">IF(AND(Q11="cleric",Q12&gt;=15),"x",IF(AND($Q$11="cleric",$Q$12&gt;=13),"xx"," "))</f>
        <v xml:space="preserve"> </v>
      </c>
      <c r="R290" s="60" t="str">
        <f ca="1">IF(AND(Q11="cleric",Q12&gt;=17),"x",IF(AND($Q$11="cleric",$Q$12&gt;15),"xx"," "))</f>
        <v xml:space="preserve"> </v>
      </c>
      <c r="S290" s="63" t="str">
        <f ca="1">IF(AND($Q$11="cleric",$Q$12&gt;=17),"xx"," ")</f>
        <v xml:space="preserve"> </v>
      </c>
    </row>
    <row r="291" spans="14:20" hidden="1" x14ac:dyDescent="0.3">
      <c r="O291" s="65">
        <f ca="1">IF(O290="x",RANDBETWEEN(2,3),IF(O290="xx",RANDBETWEEN(2,3),0))</f>
        <v>0</v>
      </c>
      <c r="P291" s="65">
        <f ca="1">IF(P290="x",RANDBETWEEN(2,3),IF(P290="xx",RANDBETWEEN(2,3),0))</f>
        <v>0</v>
      </c>
      <c r="Q291" s="65">
        <f ca="1">IF(Q290="x",RANDBETWEEN(1,2),IF(Q290="xx",RANDBETWEEN(1,2),0))</f>
        <v>0</v>
      </c>
      <c r="R291" s="65">
        <f ca="1">IF(OR(R290="x",R290="xx"),RANDBETWEEN(1,2),0)</f>
        <v>0</v>
      </c>
      <c r="S291" s="66">
        <f ca="1">IF(S290="xx",RANDBETWEEN(1,2),0)</f>
        <v>0</v>
      </c>
    </row>
    <row r="292" spans="14:20" hidden="1" x14ac:dyDescent="0.3">
      <c r="O292" s="60" t="str">
        <f ca="1">IF(AND($Q$11="bard",$Q$12&gt;=11),"x",IF(AND($Q$11="bard",$Q$12&gt;=9),"xx"," "))</f>
        <v xml:space="preserve"> </v>
      </c>
      <c r="P292" s="60" t="str">
        <f ca="1">IF(AND($Q$11="bard",$Q$12&gt;=13),"x",IF(AND($Q$11="bard",$Q$12&gt;=11),"xx"," "))</f>
        <v xml:space="preserve"> </v>
      </c>
      <c r="Q292" s="60" t="str">
        <f ca="1">IF(AND($Q$11="bard",$Q$12&gt;=15),"x",IF(AND($Q$11="bard",$Q$12&gt;=13),"xx"," "))</f>
        <v xml:space="preserve"> </v>
      </c>
      <c r="R292" s="60" t="str">
        <f ca="1">IF(AND($Q$11="bard",$Q$12&gt;=17),"x",IF(AND($Q$11="bard",$Q$12&gt;15),"xx"," "))</f>
        <v xml:space="preserve"> </v>
      </c>
      <c r="S292" s="63" t="str">
        <f ca="1">IF(AND($Q$11="bard",$Q$12&gt;=17),"xx"," ")</f>
        <v xml:space="preserve"> </v>
      </c>
    </row>
    <row r="293" spans="14:20" hidden="1" x14ac:dyDescent="0.3">
      <c r="O293" s="65">
        <f ca="1">IF(O292="x",RANDBETWEEN(2,3),IF(O292="xx",RANDBETWEEN(2,3),0))</f>
        <v>0</v>
      </c>
      <c r="P293" s="65">
        <f ca="1">IF(P292="x",RANDBETWEEN(2,3),IF(P292="xx",RANDBETWEEN(2,3),0))</f>
        <v>0</v>
      </c>
      <c r="Q293" s="65">
        <f ca="1">IF(Q292="x",RANDBETWEEN(1,2),IF(Q292="xx",RANDBETWEEN(1,2),0))</f>
        <v>0</v>
      </c>
      <c r="R293" s="65">
        <f ca="1">IF(OR(R292="x",R292="xx"),RANDBETWEEN(1,2),0)</f>
        <v>0</v>
      </c>
      <c r="S293" s="66">
        <f ca="1">IF(S292="xx",RANDBETWEEN(1,2),0)</f>
        <v>0</v>
      </c>
    </row>
    <row r="294" spans="14:20" x14ac:dyDescent="0.3">
      <c r="N294" s="72"/>
      <c r="O294" s="136"/>
      <c r="P294" s="96" t="s">
        <v>750</v>
      </c>
      <c r="Q294" s="96" t="s">
        <v>1125</v>
      </c>
      <c r="R294" s="96" t="s">
        <v>1126</v>
      </c>
      <c r="S294" s="96" t="s">
        <v>1127</v>
      </c>
      <c r="T294" s="97" t="s">
        <v>751</v>
      </c>
    </row>
    <row r="295" spans="14:20" x14ac:dyDescent="0.3">
      <c r="N295" s="72"/>
      <c r="O295" s="86">
        <v>1</v>
      </c>
      <c r="P295" s="65" t="str">
        <f ca="1">IF(AND($Q$15="Otherworldly patron - great old one",O$277&gt;=O193),INDEX('Spell Tables'!$AJ$226:$AJ$231,MATCH(O193,('Spell Tables'!$AH$226:$AH$231),0)),IF(AND($Q$15="Otherworldly patron - fiend",O$277&gt;=O193),INDEX('Spell Tables'!$AJ$210:$AJ$215,MATCH(O193,('Spell Tables'!$AH$210:$AH$215),0)),IF(AND($Q$15="Otherworldly patron - archfey",O$277&gt;=O193),INDEX('Spell Tables'!$AJ$194:$AJ$199,MATCH(O193,('Spell Tables'!$AH$194:$AH$199),0)),IF($O$275&gt;=O193,INDEX($AL$92:$AL$101,MATCH(O193,($AJ$92:$AJ$101),0)),IF($O$279&gt;=O193,INDEX('Spell Tables'!$AJ$168:$AJ$178,MATCH(O193,('Spell Tables'!$AH$168:$AH$178),0)),IF($O$283&gt;=O193,INDEX('Spell Tables'!$AF$119:$AF$122,MATCH(O193,('Spell Tables'!$AD$119:$AD$122),0)),IF($O$285&gt;=O193,INDEX('Spell Tables'!$AF$97:$AF$102,MATCH(O193,('Spell Tables'!$AD$97:$AD$102),0)),IF($O$289&gt;=O193,INDEX('Spell Tables'!$AJ$48:$AJ$61,MATCH(O193,('Spell Tables'!$AH$48:$AH$61),0)),IF($O$291&gt;=O193,INDEX('Spell Tables'!$AJ$26:$AJ$38,MATCH(O193,('Spell Tables'!$AH$26:$AH$38),0)),IF($O$293&gt;=O193,INDEX('Spell Tables'!$AJ$2:$AJ$17,MATCH(O193,('Spell Tables'!$AH$2:$AH$17),0))," "))))))))))</f>
        <v xml:space="preserve"> </v>
      </c>
      <c r="Q295" s="65" t="str">
        <f ca="1">IF($P$275&gt;=O262,INDEX($AL$104:$AL$113,MATCH(O262,($AJ$104:$AJ$113),0)),IF($P$279&gt;=O262,INDEX('Spell Tables'!$AN$168:$AN$177,MATCH(O262,('Spell Tables'!$AL$168:$AL$177),0)),IF($P$289&gt;=O262,INDEX('Spell Tables'!$AN$48:$AN$56,MATCH(O262,('Spell Tables'!$AL$48:$AL$56),0)),IF($P$291&gt;=O262,INDEX('Spell Tables'!$AN$26:$AN$35,MATCH(O262,('Spell Tables'!$AL$26:$AL$35),0)),IF($P$293&gt;=O262,INDEX('Spell Tables'!$AN$2:$AN$8,MATCH(O262,('Spell Tables'!$AL$2:$AL$8),0))," ")))))</f>
        <v xml:space="preserve"> </v>
      </c>
      <c r="R295" s="65" t="str">
        <f ca="1">IF($Q$275&gt;=O262,INDEX($AL$116:$AL$125,MATCH(O262,($AJ$116:$AJ$125),0)),IF($Q$279&gt;=O262,INDEX('Spell Tables'!$AR$168:$AR$175,MATCH(O262,('Spell Tables'!$AP$168:$AP$175),0)),IF($Q$289&gt;=O262,INDEX('Spell Tables'!$AR$48:$AR$52,MATCH(O262,('Spell Tables'!$AP$48:$AP$52),0)),IF($Q$291&gt;=O262,INDEX('Spell Tables'!$AR$26:$AR$33,MATCH(O262,('Spell Tables'!$AP$26:$AP$33),0)),IF($Q$293&gt;=O262,INDEX('Spell Tables'!$AR$2:$AR$11,MATCH(O262,('Spell Tables'!$AL$2:$AL$11),0))," ")))))</f>
        <v xml:space="preserve"> </v>
      </c>
      <c r="S295" s="65" t="str">
        <f ca="1">IF($R$275&gt;=O262,INDEX($AL$128:$AL$137,MATCH(O262,($AJ$128:$AJ$137),0)),IF($R$279&gt;=O262,INDEX('Spell Tables'!$AV$168:$AV$172,MATCH(O262,('Spell Tables'!$AT$168:$AT$172),0)),IF($R$289&gt;=O262,INDEX('Spell Tables'!$AV$48:$AV$54,MATCH(O262,('Spell Tables'!$AT$48:$AT$54),0)),IF($R$291&gt;=O262,INDEX('Spell Tables'!$AV$26:$AV$29,MATCH(O262,('Spell Tables'!$AT$26:$AT$29),0)),IF($R$293&gt;=O262,INDEX('Spell Tables'!$AV$2:$AV$6,MATCH(O262,('Spell Tables'!$AT$2:$AT$6),0))," ")))))</f>
        <v xml:space="preserve"> </v>
      </c>
      <c r="T295" s="66" t="str">
        <f ca="1">IF($S$289&gt;=O262,INDEX($AL$140:$AL$149,MATCH(O262,($AJ$140:$AJ$149),0)),IF($S$275&gt;=O262,INDEX('Spell Tables'!$AZ$242:$AZ$253,MATCH(O262,('Spell Tables'!$AX$242:$AX$253),0)),IF($S$279&gt;=O262,INDEX('Spell Tables'!$AZ$168:$AZ$172,MATCH(O262,('Spell Tables'!$AX$168:$AX$172),0)),IF($S$291&gt;=O262,INDEX('Spell Tables'!$AZ$26:$AZ$29,MATCH(O262,('Spell Tables'!$AX$26:$AX$29),0)),IF($S$293&gt;=O262,INDEX('Spell Tables'!$AZ$2:$AZ$5,MATCH(O262,('Spell Tables'!$AX$2:$AX$5),0))," ")))))</f>
        <v xml:space="preserve"> </v>
      </c>
    </row>
    <row r="296" spans="14:20" x14ac:dyDescent="0.3">
      <c r="N296" s="72"/>
      <c r="O296" s="133">
        <v>2</v>
      </c>
      <c r="P296" s="60" t="str">
        <f ca="1">IF(AND($Q$15="Otherworldly patron - great old one",O$277&gt;=O194),INDEX('Spell Tables'!$AJ$226:$AJ$231,MATCH(O194,('Spell Tables'!$AH$226:$AH$231),0)),IF(AND($Q$15="Otherworldly patron - fiend",O$277&gt;=O194),INDEX('Spell Tables'!$AJ$210:$AJ$215,MATCH(O194,('Spell Tables'!$AH$210:$AH$215),0)),IF(AND($Q$15="Otherworldly patron - archfey",O$277&gt;=O194),INDEX('Spell Tables'!$AJ$194:$AJ$199,MATCH(O194,('Spell Tables'!$AH$194:$AH$199),0)),IF($O$275&gt;=O194,INDEX($AL$92:$AL$101,MATCH(O194,($AJ$92:$AJ$101),0)),IF($O$279&gt;=O194,INDEX('Spell Tables'!$AJ$168:$AJ$178,MATCH(O194,('Spell Tables'!$AH$168:$AH$178),0)),IF($O$283&gt;=O194,INDEX('Spell Tables'!$AF$119:$AF$122,MATCH(O194,('Spell Tables'!$AD$119:$AD$122),0)),IF($O$285&gt;=O194,INDEX('Spell Tables'!$AF$97:$AF$102,MATCH(O194,('Spell Tables'!$AD$97:$AD$102),0)),IF($O$289&gt;=O194,INDEX('Spell Tables'!$AJ$48:$AJ$61,MATCH(O194,('Spell Tables'!$AH$48:$AH$61),0)),IF($O$291&gt;=O194,INDEX('Spell Tables'!$AJ$26:$AJ$38,MATCH(O194,('Spell Tables'!$AH$26:$AH$38),0)),IF($O$293&gt;=O194,INDEX('Spell Tables'!$AJ$2:$AJ$17,MATCH(O194,('Spell Tables'!$AH$2:$AH$17),0))," "))))))))))</f>
        <v xml:space="preserve"> </v>
      </c>
      <c r="Q296" s="60" t="str">
        <f ca="1">IF($P$275&gt;=O263,INDEX($AL$104:$AL$113,MATCH(O263,($AJ$104:$AJ$113),0)),IF($P$279&gt;=O263,INDEX('Spell Tables'!$AN$168:$AN$177,MATCH(O263,('Spell Tables'!$AL$168:$AL$177),0)),IF($P$289&gt;=O263,INDEX('Spell Tables'!$AN$48:$AN$56,MATCH(O263,('Spell Tables'!$AL$48:$AL$56),0)),IF($P$291&gt;=O263,INDEX('Spell Tables'!$AN$26:$AN$35,MATCH(O263,('Spell Tables'!$AL$26:$AL$35),0)),IF($P$293&gt;=O263,INDEX('Spell Tables'!$AN$2:$AN$8,MATCH(O263,('Spell Tables'!$AL$2:$AL$8),0))," ")))))</f>
        <v xml:space="preserve"> </v>
      </c>
      <c r="R296" s="60" t="str">
        <f ca="1">IF($Q$275&gt;=O263,INDEX($AL$116:$AL$125,MATCH(O263,($AJ$116:$AJ$125),0)),IF($Q$279&gt;=O263,INDEX('Spell Tables'!$AR$168:$AR$175,MATCH(O263,('Spell Tables'!$AP$168:$AP$175),0)),IF($Q$289&gt;=O263,INDEX('Spell Tables'!$AR$48:$AR$52,MATCH(O263,('Spell Tables'!$AP$48:$AP$52),0)),IF($Q$291&gt;=O263,INDEX('Spell Tables'!$AR$26:$AR$33,MATCH(O263,('Spell Tables'!$AP$26:$AP$33),0)),IF($Q$293&gt;=O263,INDEX('Spell Tables'!$AR$2:$AR$11,MATCH(O263,('Spell Tables'!$AL$2:$AL$11),0))," ")))))</f>
        <v xml:space="preserve"> </v>
      </c>
      <c r="S296" s="60" t="str">
        <f ca="1">IF($R$275&gt;=O263,INDEX($AL$128:$AL$137,MATCH(O263,($AJ$128:$AJ$137),0)),IF($R$279&gt;=O263,INDEX('Spell Tables'!$AV$168:$AV$172,MATCH(O263,('Spell Tables'!$AT$168:$AT$172),0)),IF($R$289&gt;=O263,INDEX('Spell Tables'!$AV$48:$AV$54,MATCH(O263,('Spell Tables'!$AT$48:$AT$54),0)),IF($R$291&gt;=O263,INDEX('Spell Tables'!$AV$26:$AV$29,MATCH(O263,('Spell Tables'!$AT$26:$AT$29),0)),IF($R$293&gt;=O263,INDEX('Spell Tables'!$AV$2:$AV$6,MATCH(O263,('Spell Tables'!$AT$2:$AT$6),0))," ")))))</f>
        <v xml:space="preserve"> </v>
      </c>
      <c r="T296" s="63" t="str">
        <f ca="1">IF($S$289&gt;=O263,INDEX($AL$140:$AL$149,MATCH(O263,($AJ$140:$AJ$149),0)),IF($S$275&gt;=O263,INDEX('Spell Tables'!$AZ$242:$AZ$253,MATCH(O263,('Spell Tables'!$AX$242:$AX$253),0)),IF($S$279&gt;=O263,INDEX('Spell Tables'!$AZ$168:$AZ$172,MATCH(O263,('Spell Tables'!$AX$168:$AX$172),0)),IF($S$291&gt;=O263,INDEX('Spell Tables'!$AZ$26:$AZ$29,MATCH(O263,('Spell Tables'!$AX$26:$AX$29),0)),IF($S$293&gt;=O263,INDEX('Spell Tables'!$AZ$2:$AZ$5,MATCH(O263,('Spell Tables'!$AX$2:$AX$5),0))," ")))))</f>
        <v xml:space="preserve"> </v>
      </c>
    </row>
    <row r="297" spans="14:20" x14ac:dyDescent="0.3">
      <c r="N297" s="72"/>
      <c r="O297" s="86">
        <v>3</v>
      </c>
      <c r="P297" s="65" t="str">
        <f ca="1">IF(AND($Q$15="Otherworldly patron - great old one",O$277&gt;=O195),INDEX('Spell Tables'!$AJ$226:$AJ$231,MATCH(O195,('Spell Tables'!$AH$226:$AH$231),0)),IF(AND($Q$15="Otherworldly patron - fiend",O$277&gt;=O195),INDEX('Spell Tables'!$AJ$210:$AJ$215,MATCH(O195,('Spell Tables'!$AH$210:$AH$215),0)),IF(AND($Q$15="Otherworldly patron - archfey",O$277&gt;=O195),INDEX('Spell Tables'!$AJ$194:$AJ$199,MATCH(O195,('Spell Tables'!$AH$194:$AH$199),0)),IF($O$275&gt;=O195,INDEX($AL$92:$AL$101,MATCH(O195,($AJ$92:$AJ$101),0)),IF($O$279&gt;=O195,INDEX('Spell Tables'!$AJ$168:$AJ$178,MATCH(O195,('Spell Tables'!$AH$168:$AH$178),0)),IF($O$283&gt;=O195,INDEX('Spell Tables'!$AF$119:$AF$122,MATCH(O195,('Spell Tables'!$AD$119:$AD$122),0)),IF($O$285&gt;=O195,INDEX('Spell Tables'!$AF$97:$AF$102,MATCH(O195,('Spell Tables'!$AD$97:$AD$102),0)),IF($O$289&gt;=O195,INDEX('Spell Tables'!$AJ$48:$AJ$61,MATCH(O195,('Spell Tables'!$AH$48:$AH$61),0)),IF($O$291&gt;=O195,INDEX('Spell Tables'!$AJ$26:$AJ$38,MATCH(O195,('Spell Tables'!$AH$26:$AH$38),0)),IF($O$293&gt;=O195,INDEX('Spell Tables'!$AJ$2:$AJ$17,MATCH(O195,('Spell Tables'!$AH$2:$AH$17),0))," "))))))))))</f>
        <v xml:space="preserve"> </v>
      </c>
      <c r="Q297" s="65" t="str">
        <f ca="1">IF($P$275&gt;=O264,INDEX($AL$104:$AL$113,MATCH(O264,($AJ$104:$AJ$113),0)),IF($P$279&gt;=O264,INDEX('Spell Tables'!$AN$168:$AN$177,MATCH(O264,('Spell Tables'!$AL$168:$AL$177),0)),IF($P$289&gt;=O264,INDEX('Spell Tables'!$AN$48:$AN$56,MATCH(O264,('Spell Tables'!$AL$48:$AL$56),0)),IF($P$291&gt;=O264,INDEX('Spell Tables'!$AN$26:$AN$35,MATCH(O264,('Spell Tables'!$AL$26:$AL$35),0)),IF($P$293&gt;=O264,INDEX('Spell Tables'!$AN$2:$AN$8,MATCH(O264,('Spell Tables'!$AL$2:$AL$8),0))," ")))))</f>
        <v xml:space="preserve"> </v>
      </c>
      <c r="R297" s="65" t="str">
        <f ca="1">IF($Q$275&gt;=O264,INDEX($AL$116:$AL$125,MATCH(O264,($AJ$116:$AJ$125),0)),IF($Q$279&gt;=O264,INDEX('Spell Tables'!$AR$168:$AR$175,MATCH(O264,('Spell Tables'!$AP$168:$AP$175),0)),IF($Q$289&gt;=O264,INDEX('Spell Tables'!$AR$48:$AR$52,MATCH(O264,('Spell Tables'!$AP$48:$AP$52),0)),IF($Q$291&gt;=O264,INDEX('Spell Tables'!$AR$26:$AR$33,MATCH(O264,('Spell Tables'!$AP$26:$AP$33),0)),IF($Q$293&gt;=O264,INDEX('Spell Tables'!$AR$2:$AR$11,MATCH(O264,('Spell Tables'!$AL$2:$AL$11),0))," ")))))</f>
        <v xml:space="preserve"> </v>
      </c>
      <c r="S297" s="65" t="str">
        <f ca="1">IF($R$275&gt;=O264,INDEX($AL$128:$AL$137,MATCH(O264,($AJ$128:$AJ$137),0)),IF($R$279&gt;=O264,INDEX('Spell Tables'!$AV$168:$AV$172,MATCH(O264,('Spell Tables'!$AT$168:$AT$172),0)),IF($R$289&gt;=O264,INDEX('Spell Tables'!$AV$48:$AV$54,MATCH(O264,('Spell Tables'!$AT$48:$AT$54),0)),IF($R$291&gt;=O264,INDEX('Spell Tables'!$AV$26:$AV$29,MATCH(O264,('Spell Tables'!$AT$26:$AT$29),0)),IF($R$293&gt;=O264,INDEX('Spell Tables'!$AV$2:$AV$6,MATCH(O264,('Spell Tables'!$AT$2:$AT$6),0))," ")))))</f>
        <v xml:space="preserve"> </v>
      </c>
      <c r="T297" s="66" t="str">
        <f ca="1">IF($S$289&gt;=O264,INDEX($AL$140:$AL$149,MATCH(O264,($AJ$140:$AJ$149),0)),IF($S$275&gt;=O264,INDEX('Spell Tables'!$AZ$242:$AZ$253,MATCH(O264,('Spell Tables'!$AX$242:$AX$253),0)),IF($S$279&gt;=O264,INDEX('Spell Tables'!$AZ$168:$AZ$172,MATCH(O264,('Spell Tables'!$AX$168:$AX$172),0)),IF($S$291&gt;=O264,INDEX('Spell Tables'!$AZ$26:$AZ$29,MATCH(O264,('Spell Tables'!$AX$26:$AX$29),0)),IF($S$293&gt;=O264,INDEX('Spell Tables'!$AZ$2:$AZ$5,MATCH(O264,('Spell Tables'!$AX$2:$AX$5),0))," ")))))</f>
        <v xml:space="preserve"> </v>
      </c>
    </row>
    <row r="298" spans="14:20" x14ac:dyDescent="0.3">
      <c r="N298" s="72"/>
      <c r="O298" s="133">
        <v>4</v>
      </c>
      <c r="P298" s="60" t="str">
        <f ca="1">IF(AND($Q$15="Otherworldly patron - great old one",O$277&gt;=O196),INDEX('Spell Tables'!$AJ$226:$AJ$231,MATCH(O196,('Spell Tables'!$AH$226:$AH$231),0)),IF(AND($Q$15="Otherworldly patron - fiend",O$277&gt;=O196),INDEX('Spell Tables'!$AJ$210:$AJ$215,MATCH(O196,('Spell Tables'!$AH$210:$AH$215),0)),IF(AND($Q$15="Otherworldly patron - archfey",O$277&gt;=O196),INDEX('Spell Tables'!$AJ$194:$AJ$199,MATCH(O196,('Spell Tables'!$AH$194:$AH$199),0)),IF($O$275&gt;=O196,INDEX($AL$92:$AL$101,MATCH(O196,($AJ$92:$AJ$101),0)),IF($O$279&gt;=O196,INDEX('Spell Tables'!$AJ$168:$AJ$178,MATCH(O196,('Spell Tables'!$AH$168:$AH$178),0)),IF($O$283&gt;=O196,INDEX('Spell Tables'!$AF$119:$AF$122,MATCH(O196,('Spell Tables'!$AD$119:$AD$122),0)),IF($O$285&gt;=O196,INDEX('Spell Tables'!$AF$97:$AF$102,MATCH(O196,('Spell Tables'!$AD$97:$AD$102),0)),IF($O$289&gt;=O196,INDEX('Spell Tables'!$AJ$48:$AJ$61,MATCH(O196,('Spell Tables'!$AH$48:$AH$61),0)),IF($O$291&gt;=O196,INDEX('Spell Tables'!$AJ$26:$AJ$38,MATCH(O196,('Spell Tables'!$AH$26:$AH$38),0)),IF($O$293&gt;=O196,INDEX('Spell Tables'!$AJ$2:$AJ$17,MATCH(O196,('Spell Tables'!$AH$2:$AH$17),0))," "))))))))))</f>
        <v xml:space="preserve"> </v>
      </c>
      <c r="Q298" s="60" t="str">
        <f ca="1">IF($P$275&gt;=O265,INDEX($AL$104:$AL$113,MATCH(O265,($AJ$104:$AJ$113),0)),IF($P$279&gt;=O265,INDEX('Spell Tables'!$AN$168:$AN$177,MATCH(O265,('Spell Tables'!$AL$168:$AL$177),0)),IF($P$289&gt;=O265,INDEX('Spell Tables'!$AN$48:$AN$56,MATCH(O265,('Spell Tables'!$AL$48:$AL$56),0)),IF($P$291&gt;=O265,INDEX('Spell Tables'!$AN$26:$AN$35,MATCH(O265,('Spell Tables'!$AL$26:$AL$35),0)),IF($P$293&gt;=O265,INDEX('Spell Tables'!$AN$2:$AN$8,MATCH(O265,('Spell Tables'!$AL$2:$AL$8),0))," ")))))</f>
        <v xml:space="preserve"> </v>
      </c>
      <c r="R298" s="60" t="str">
        <f ca="1">IF($Q$275&gt;=O265,INDEX($AL$116:$AL$125,MATCH(O265,($AJ$116:$AJ$125),0)),IF($Q$279&gt;=O265,INDEX('Spell Tables'!$AR$168:$AR$175,MATCH(O265,('Spell Tables'!$AP$168:$AP$175),0)),IF($Q$289&gt;=O265,INDEX('Spell Tables'!$AR$48:$AR$52,MATCH(O265,('Spell Tables'!$AP$48:$AP$52),0)),IF($Q$291&gt;=O265,INDEX('Spell Tables'!$AR$26:$AR$33,MATCH(O265,('Spell Tables'!$AP$26:$AP$33),0)),IF($Q$293&gt;=O265,INDEX('Spell Tables'!$AR$2:$AR$11,MATCH(O265,('Spell Tables'!$AL$2:$AL$11),0))," ")))))</f>
        <v xml:space="preserve"> </v>
      </c>
      <c r="S298" s="60" t="str">
        <f ca="1">IF($R$275&gt;=O265,INDEX($AL$128:$AL$137,MATCH(O265,($AJ$128:$AJ$137),0)),IF($R$279&gt;=O265,INDEX('Spell Tables'!$AV$168:$AV$172,MATCH(O265,('Spell Tables'!$AT$168:$AT$172),0)),IF($R$289&gt;=O265,INDEX('Spell Tables'!$AV$48:$AV$54,MATCH(O265,('Spell Tables'!$AT$48:$AT$54),0)),IF($R$291&gt;=O265,INDEX('Spell Tables'!$AV$26:$AV$29,MATCH(O265,('Spell Tables'!$AT$26:$AT$29),0)),IF($R$293&gt;=O265,INDEX('Spell Tables'!$AV$2:$AV$6,MATCH(O265,('Spell Tables'!$AT$2:$AT$6),0))," ")))))</f>
        <v xml:space="preserve"> </v>
      </c>
      <c r="T298" s="63" t="str">
        <f ca="1">IF($S$289&gt;=O265,INDEX($AL$140:$AL$149,MATCH(O265,($AJ$140:$AJ$149),0)),IF($S$275&gt;=O265,INDEX('Spell Tables'!$AZ$242:$AZ$253,MATCH(O265,('Spell Tables'!$AX$242:$AX$253),0)),IF($S$279&gt;=O265,INDEX('Spell Tables'!$AZ$168:$AZ$172,MATCH(O265,('Spell Tables'!$AX$168:$AX$172),0)),IF($S$291&gt;=O265,INDEX('Spell Tables'!$AZ$26:$AZ$29,MATCH(O265,('Spell Tables'!$AX$26:$AX$29),0)),IF($S$293&gt;=O265,INDEX('Spell Tables'!$AZ$2:$AZ$5,MATCH(O265,('Spell Tables'!$AX$2:$AX$5),0))," ")))))</f>
        <v xml:space="preserve"> </v>
      </c>
    </row>
    <row r="299" spans="14:20" x14ac:dyDescent="0.3">
      <c r="N299" s="72"/>
      <c r="O299" s="86">
        <v>5</v>
      </c>
      <c r="P299" s="65" t="str">
        <f ca="1">IF(AND($Q$15="Otherworldly patron - great old one",O$277&gt;=O197),INDEX('Spell Tables'!$AJ$226:$AJ$231,MATCH(O197,('Spell Tables'!$AH$226:$AH$231),0)),IF(AND($Q$15="Otherworldly patron - fiend",O$277&gt;=O197),INDEX('Spell Tables'!$AJ$210:$AJ$215,MATCH(O197,('Spell Tables'!$AH$210:$AH$215),0)),IF(AND($Q$15="Otherworldly patron - archfey",O$277&gt;=O197),INDEX('Spell Tables'!$AJ$194:$AJ$199,MATCH(O197,('Spell Tables'!$AH$194:$AH$199),0)),IF($O$275&gt;=O197,INDEX($AL$92:$AL$101,MATCH(O197,($AJ$92:$AJ$101),0)),IF($O$279&gt;=O197,INDEX('Spell Tables'!$AJ$168:$AJ$178,MATCH(O197,('Spell Tables'!$AH$168:$AH$178),0)),IF($O$283&gt;=O197,INDEX('Spell Tables'!$AF$119:$AF$122,MATCH(O197,('Spell Tables'!$AD$119:$AD$122),0)),IF($O$285&gt;=O197,INDEX('Spell Tables'!$AF$97:$AF$102,MATCH(O197,('Spell Tables'!$AD$97:$AD$102),0)),IF($O$289&gt;=O197,INDEX('Spell Tables'!$AJ$48:$AJ$61,MATCH(O197,('Spell Tables'!$AH$48:$AH$61),0)),IF($O$291&gt;=O197,INDEX('Spell Tables'!$AJ$26:$AJ$38,MATCH(O197,('Spell Tables'!$AH$26:$AH$38),0)),IF($O$293&gt;=O197,INDEX('Spell Tables'!$AJ$2:$AJ$17,MATCH(O197,('Spell Tables'!$AH$2:$AH$17),0))," "))))))))))</f>
        <v xml:space="preserve"> </v>
      </c>
      <c r="Q299" s="65" t="str">
        <f ca="1">IF($P$275&gt;=O266,INDEX($AL$104:$AL$113,MATCH(O266,($AJ$104:$AJ$113),0)),IF($P$279&gt;=O266,INDEX('Spell Tables'!$AN$168:$AN$177,MATCH(O266,('Spell Tables'!$AL$168:$AL$177),0)),IF($P$289&gt;=O266,INDEX('Spell Tables'!$AN$48:$AN$56,MATCH(O266,('Spell Tables'!$AL$48:$AL$56),0)),IF($P$291&gt;=O266,INDEX('Spell Tables'!$AN$26:$AN$35,MATCH(O266,('Spell Tables'!$AL$26:$AL$35),0)),IF($P$293&gt;=O266,INDEX('Spell Tables'!$AN$2:$AN$8,MATCH(O266,('Spell Tables'!$AL$2:$AL$8),0))," ")))))</f>
        <v xml:space="preserve"> </v>
      </c>
      <c r="R299" s="65" t="str">
        <f ca="1">IF($Q$275&gt;=O266,INDEX($AL$116:$AL$125,MATCH(O266,($AJ$116:$AJ$125),0)),IF($Q$279&gt;=O266,INDEX('Spell Tables'!$AR$168:$AR$175,MATCH(O266,('Spell Tables'!$AP$168:$AP$175),0)),IF($Q$289&gt;=O266,INDEX('Spell Tables'!$AR$48:$AR$52,MATCH(O266,('Spell Tables'!$AP$48:$AP$52),0)),IF($Q$291&gt;=O266,INDEX('Spell Tables'!$AR$26:$AR$33,MATCH(O266,('Spell Tables'!$AP$26:$AP$33),0)),IF($Q$293&gt;=O266,INDEX('Spell Tables'!$AR$2:$AR$11,MATCH(O266,('Spell Tables'!$AL$2:$AL$11),0))," ")))))</f>
        <v xml:space="preserve"> </v>
      </c>
      <c r="S299" s="65" t="str">
        <f ca="1">IF($R$275&gt;=O266,INDEX($AL$128:$AL$137,MATCH(O266,($AJ$128:$AJ$137),0)),IF($R$279&gt;=O266,INDEX('Spell Tables'!$AV$168:$AV$172,MATCH(O266,('Spell Tables'!$AT$168:$AT$172),0)),IF($R$289&gt;=O266,INDEX('Spell Tables'!$AV$48:$AV$54,MATCH(O266,('Spell Tables'!$AT$48:$AT$54),0)),IF($R$291&gt;=O266,INDEX('Spell Tables'!$AV$26:$AV$29,MATCH(O266,('Spell Tables'!$AT$26:$AT$29),0)),IF($R$293&gt;=O266,INDEX('Spell Tables'!$AV$2:$AV$6,MATCH(O266,('Spell Tables'!$AT$2:$AT$6),0))," ")))))</f>
        <v xml:space="preserve"> </v>
      </c>
      <c r="T299" s="66" t="str">
        <f ca="1">IF($S$289&gt;=O266,INDEX($AL$140:$AL$149,MATCH(O266,($AJ$140:$AJ$149),0)),IF($S$275&gt;=O266,INDEX('Spell Tables'!$AZ$242:$AZ$253,MATCH(O266,('Spell Tables'!$AX$242:$AX$253),0)),IF($S$279&gt;=O266,INDEX('Spell Tables'!$AZ$168:$AZ$172,MATCH(O266,('Spell Tables'!$AX$168:$AX$172),0)),IF($S$291&gt;=O266,INDEX('Spell Tables'!$AZ$26:$AZ$29,MATCH(O266,('Spell Tables'!$AX$26:$AX$29),0)),IF($S$293&gt;=O266,INDEX('Spell Tables'!$AZ$2:$AZ$5,MATCH(O266,('Spell Tables'!$AX$2:$AX$5),0))," ")))))</f>
        <v xml:space="preserve"> </v>
      </c>
    </row>
    <row r="300" spans="14:20" x14ac:dyDescent="0.3">
      <c r="N300" s="72"/>
      <c r="O300" s="133">
        <v>6</v>
      </c>
      <c r="P300" s="60" t="str">
        <f ca="1">IF(AND($Q$15="Otherworldly patron - great old one",O$277&gt;=O198),INDEX('Spell Tables'!$AJ$226:$AJ$231,MATCH(O198,('Spell Tables'!$AH$226:$AH$231),0)),IF(AND($Q$15="Otherworldly patron - fiend",O$277&gt;=O198),INDEX('Spell Tables'!$AJ$210:$AJ$215,MATCH(O198,('Spell Tables'!$AH$210:$AH$215),0)),IF(AND($Q$15="Otherworldly patron - archfey",O$277&gt;=O198),INDEX('Spell Tables'!$AJ$194:$AJ$199,MATCH(O198,('Spell Tables'!$AH$194:$AH$199),0)),IF($O$275&gt;=O198,INDEX($AL$92:$AL$101,MATCH(O198,($AJ$92:$AJ$101),0)),IF($O$279&gt;=O198,INDEX('Spell Tables'!$AJ$168:$AJ$178,MATCH(O198,('Spell Tables'!$AH$168:$AH$178),0)),IF($O$283&gt;=O198,INDEX('Spell Tables'!$AF$119:$AF$122,MATCH(O198,('Spell Tables'!$AD$119:$AD$122),0)),IF($O$285&gt;=O198,INDEX('Spell Tables'!$AF$97:$AF$102,MATCH(O198,('Spell Tables'!$AD$97:$AD$102),0)),IF($O$289&gt;=O198,INDEX('Spell Tables'!$AJ$48:$AJ$61,MATCH(O198,('Spell Tables'!$AH$48:$AH$61),0)),IF($O$291&gt;=O198,INDEX('Spell Tables'!$AJ$26:$AJ$38,MATCH(O198,('Spell Tables'!$AH$26:$AH$38),0)),IF($O$293&gt;=O198,INDEX('Spell Tables'!$AJ$2:$AJ$17,MATCH(O198,('Spell Tables'!$AH$2:$AH$17),0))," "))))))))))</f>
        <v xml:space="preserve"> </v>
      </c>
      <c r="Q300" s="60" t="str">
        <f ca="1">IF($P$275&gt;=O267,INDEX($AL$104:$AL$113,MATCH(O267,($AJ$104:$AJ$113),0)),IF($P$279&gt;=O267,INDEX('Spell Tables'!$AN$168:$AN$177,MATCH(O267,('Spell Tables'!$AL$168:$AL$177),0)),IF($P$289&gt;=O267,INDEX('Spell Tables'!$AN$48:$AN$56,MATCH(O267,('Spell Tables'!$AL$48:$AL$56),0)),IF($P$291&gt;=O267,INDEX('Spell Tables'!$AN$26:$AN$35,MATCH(O267,('Spell Tables'!$AL$26:$AL$35),0)),IF($P$293&gt;=O267,INDEX('Spell Tables'!$AN$2:$AN$8,MATCH(O267,('Spell Tables'!$AL$2:$AL$8),0))," ")))))</f>
        <v xml:space="preserve"> </v>
      </c>
      <c r="R300" s="60" t="str">
        <f ca="1">IF($Q$275&gt;=O267,INDEX($AL$116:$AL$125,MATCH(O267,($AJ$116:$AJ$125),0)),IF($Q$279&gt;=O267,INDEX('Spell Tables'!$AR$168:$AR$175,MATCH(O267,('Spell Tables'!$AP$168:$AP$175),0)),IF($Q$289&gt;=O267,INDEX('Spell Tables'!$AR$48:$AR$52,MATCH(O267,('Spell Tables'!$AP$48:$AP$52),0)),IF($Q$291&gt;=O267,INDEX('Spell Tables'!$AR$26:$AR$33,MATCH(O267,('Spell Tables'!$AP$26:$AP$33),0)),IF($Q$293&gt;=O267,INDEX('Spell Tables'!$AR$2:$AR$11,MATCH(O267,('Spell Tables'!$AL$2:$AL$11),0))," ")))))</f>
        <v xml:space="preserve"> </v>
      </c>
      <c r="S300" s="60" t="str">
        <f ca="1">IF($R$275&gt;=O267,INDEX($AL$128:$AL$137,MATCH(O267,($AJ$128:$AJ$137),0)),IF($R$279&gt;=O267,INDEX('Spell Tables'!$AV$168:$AV$172,MATCH(O267,('Spell Tables'!$AT$168:$AT$172),0)),IF($R$289&gt;=O267,INDEX('Spell Tables'!$AV$48:$AV$54,MATCH(O267,('Spell Tables'!$AT$48:$AT$54),0)),IF($R$291&gt;=O267,INDEX('Spell Tables'!$AV$26:$AV$29,MATCH(O267,('Spell Tables'!$AT$26:$AT$29),0)),IF($R$293&gt;=O267,INDEX('Spell Tables'!$AV$2:$AV$6,MATCH(O267,('Spell Tables'!$AT$2:$AT$6),0))," ")))))</f>
        <v xml:space="preserve"> </v>
      </c>
      <c r="T300" s="63" t="str">
        <f ca="1">IF($S$289&gt;=O267,INDEX($AL$140:$AL$149,MATCH(O267,($AJ$140:$AJ$149),0)),IF($S$275&gt;=O267,INDEX('Spell Tables'!$AZ$242:$AZ$253,MATCH(O267,('Spell Tables'!$AX$242:$AX$253),0)),IF($S$279&gt;=O267,INDEX('Spell Tables'!$AZ$168:$AZ$172,MATCH(O267,('Spell Tables'!$AX$168:$AX$172),0)),IF($S$291&gt;=O267,INDEX('Spell Tables'!$AZ$26:$AZ$29,MATCH(O267,('Spell Tables'!$AX$26:$AX$29),0)),IF($S$293&gt;=O267,INDEX('Spell Tables'!$AZ$2:$AZ$5,MATCH(O267,('Spell Tables'!$AX$2:$AX$5),0))," ")))))</f>
        <v xml:space="preserve"> </v>
      </c>
    </row>
    <row r="301" spans="14:20" x14ac:dyDescent="0.3">
      <c r="N301" s="72"/>
      <c r="O301" s="86">
        <v>7</v>
      </c>
      <c r="P301" s="65" t="str">
        <f ca="1">IF(AND($Q$15="Otherworldly patron - great old one",O$277&gt;=O199),INDEX('Spell Tables'!$AJ$226:$AJ$231,MATCH(O199,('Spell Tables'!$AH$226:$AH$231),0)),IF(AND($Q$15="Otherworldly patron - fiend",O$277&gt;=O199),INDEX('Spell Tables'!$AJ$210:$AJ$215,MATCH(O199,('Spell Tables'!$AH$210:$AH$215),0)),IF(AND($Q$15="Otherworldly patron - archfey",O$277&gt;=O199),INDEX('Spell Tables'!$AJ$194:$AJ$199,MATCH(O199,('Spell Tables'!$AH$194:$AH$199),0)),IF($O$275&gt;=O199,INDEX($AL$92:$AL$101,MATCH(O199,($AJ$92:$AJ$101),0)),IF($O$279&gt;=O199,INDEX('Spell Tables'!$AJ$168:$AJ$178,MATCH(O199,('Spell Tables'!$AH$168:$AH$178),0)),IF($O$283&gt;=O199,INDEX('Spell Tables'!$AF$119:$AF$122,MATCH(O199,('Spell Tables'!$AD$119:$AD$122),0)),IF($O$285&gt;=O199,INDEX('Spell Tables'!$AF$97:$AF$102,MATCH(O199,('Spell Tables'!$AD$97:$AD$102),0)),IF($O$289&gt;=O199,INDEX('Spell Tables'!$AJ$48:$AJ$61,MATCH(O199,('Spell Tables'!$AH$48:$AH$61),0)),IF($O$291&gt;=O199,INDEX('Spell Tables'!$AJ$26:$AJ$38,MATCH(O199,('Spell Tables'!$AH$26:$AH$38),0)),IF($O$293&gt;=O199,INDEX('Spell Tables'!$AJ$2:$AJ$17,MATCH(O199,('Spell Tables'!$AH$2:$AH$17),0))," "))))))))))</f>
        <v xml:space="preserve"> </v>
      </c>
      <c r="Q301" s="65" t="str">
        <f ca="1">IF($P$275&gt;=O268,INDEX($AL$104:$AL$113,MATCH(O268,($AJ$104:$AJ$113),0)),IF($P$279&gt;=O268,INDEX('Spell Tables'!$AN$168:$AN$177,MATCH(O268,('Spell Tables'!$AL$168:$AL$177),0)),IF($P$289&gt;=O268,INDEX('Spell Tables'!$AN$48:$AN$56,MATCH(O268,('Spell Tables'!$AL$48:$AL$56),0)),IF($P$291&gt;=O268,INDEX('Spell Tables'!$AN$26:$AN$35,MATCH(O268,('Spell Tables'!$AL$26:$AL$35),0)),IF($P$293&gt;=O268,INDEX('Spell Tables'!$AN$2:$AN$8,MATCH(O268,('Spell Tables'!$AL$2:$AL$8),0))," ")))))</f>
        <v xml:space="preserve"> </v>
      </c>
      <c r="R301" s="65" t="str">
        <f ca="1">IF($Q$275&gt;=O268,INDEX($AL$116:$AL$125,MATCH(O268,($AJ$116:$AJ$125),0)),IF($Q$279&gt;=O268,INDEX('Spell Tables'!$AR$168:$AR$175,MATCH(O268,('Spell Tables'!$AP$168:$AP$175),0)),IF($Q$289&gt;=O268,INDEX('Spell Tables'!$AR$48:$AR$52,MATCH(O268,('Spell Tables'!$AP$48:$AP$52),0)),IF($Q$291&gt;=O268,INDEX('Spell Tables'!$AR$26:$AR$33,MATCH(O268,('Spell Tables'!$AP$26:$AP$33),0)),IF($Q$293&gt;=O268,INDEX('Spell Tables'!$AR$2:$AR$11,MATCH(O268,('Spell Tables'!$AL$2:$AL$11),0))," ")))))</f>
        <v xml:space="preserve"> </v>
      </c>
      <c r="S301" s="65" t="str">
        <f ca="1">IF($R$275&gt;=O268,INDEX($AL$128:$AL$137,MATCH(O268,($AJ$128:$AJ$137),0)),IF($R$279&gt;=O268,INDEX('Spell Tables'!$AV$168:$AV$172,MATCH(O268,('Spell Tables'!$AT$168:$AT$172),0)),IF($R$289&gt;=O268,INDEX('Spell Tables'!$AV$48:$AV$54,MATCH(O268,('Spell Tables'!$AT$48:$AT$54),0)),IF($R$291&gt;=O268,INDEX('Spell Tables'!$AV$26:$AV$29,MATCH(O268,('Spell Tables'!$AT$26:$AT$29),0)),IF($R$293&gt;=O268,INDEX('Spell Tables'!$AV$2:$AV$6,MATCH(O268,('Spell Tables'!$AT$2:$AT$6),0))," ")))))</f>
        <v xml:space="preserve"> </v>
      </c>
      <c r="T301" s="66" t="str">
        <f ca="1">IF($S$289&gt;=O268,INDEX($AL$140:$AL$149,MATCH(O268,($AJ$140:$AJ$149),0)),IF($S$275&gt;=O268,INDEX('Spell Tables'!$AZ$242:$AZ$253,MATCH(O268,('Spell Tables'!$AX$242:$AX$253),0)),IF($S$279&gt;=O268,INDEX('Spell Tables'!$AZ$168:$AZ$172,MATCH(O268,('Spell Tables'!$AX$168:$AX$172),0)),IF($S$291&gt;=O268,INDEX('Spell Tables'!$AZ$26:$AZ$29,MATCH(O268,('Spell Tables'!$AX$26:$AX$29),0)),IF($S$293&gt;=O268,INDEX('Spell Tables'!$AZ$2:$AZ$5,MATCH(O268,('Spell Tables'!$AX$2:$AX$5),0))," ")))))</f>
        <v xml:space="preserve"> </v>
      </c>
    </row>
    <row r="302" spans="14:20" x14ac:dyDescent="0.3">
      <c r="N302" s="72"/>
      <c r="O302" s="133">
        <v>8</v>
      </c>
      <c r="P302" s="60" t="str">
        <f ca="1">IF(AND($Q$15="Otherworldly patron - great old one",O$277&gt;=O200),INDEX('Spell Tables'!$AJ$226:$AJ$231,MATCH(O200,('Spell Tables'!$AH$226:$AH$231),0)),IF(AND($Q$15="Otherworldly patron - fiend",O$277&gt;=O200),INDEX('Spell Tables'!$AJ$210:$AJ$215,MATCH(O200,('Spell Tables'!$AH$210:$AH$215),0)),IF(AND($Q$15="Otherworldly patron - archfey",O$277&gt;=O200),INDEX('Spell Tables'!$AJ$194:$AJ$199,MATCH(O200,('Spell Tables'!$AH$194:$AH$199),0)),IF($O$275&gt;=O200,INDEX($AL$92:$AL$101,MATCH(O200,($AJ$92:$AJ$101),0)),IF($O$279&gt;=O200,INDEX('Spell Tables'!$AJ$168:$AJ$178,MATCH(O200,('Spell Tables'!$AH$168:$AH$178),0)),IF($O$283&gt;=O200,INDEX('Spell Tables'!$AF$119:$AF$122,MATCH(O200,('Spell Tables'!$AD$119:$AD$122),0)),IF($O$285&gt;=O200,INDEX('Spell Tables'!$AF$97:$AF$102,MATCH(O200,('Spell Tables'!$AD$97:$AD$102),0)),IF($O$289&gt;=O200,INDEX('Spell Tables'!$AJ$48:$AJ$61,MATCH(O200,('Spell Tables'!$AH$48:$AH$61),0)),IF($O$291&gt;=O200,INDEX('Spell Tables'!$AJ$26:$AJ$38,MATCH(O200,('Spell Tables'!$AH$26:$AH$38),0)),IF($O$293&gt;=O200,INDEX('Spell Tables'!$AJ$2:$AJ$17,MATCH(O200,('Spell Tables'!$AH$2:$AH$17),0))," "))))))))))</f>
        <v xml:space="preserve"> </v>
      </c>
      <c r="Q302" s="60" t="str">
        <f ca="1">IF($P$275&gt;=O269,INDEX($AL$104:$AL$113,MATCH(O269,($AJ$104:$AJ$113),0)),IF($P$279&gt;=O269,INDEX('Spell Tables'!$AN$168:$AN$177,MATCH(O269,('Spell Tables'!$AL$168:$AL$177),0)),IF($P$289&gt;=O269,INDEX('Spell Tables'!$AN$48:$AN$56,MATCH(O269,('Spell Tables'!$AL$48:$AL$56),0)),IF($P$291&gt;=O269,INDEX('Spell Tables'!$AN$26:$AN$35,MATCH(O269,('Spell Tables'!$AL$26:$AL$35),0)),IF($P$293&gt;=O269,INDEX('Spell Tables'!$AN$2:$AN$8,MATCH(O269,('Spell Tables'!$AL$2:$AL$8),0))," ")))))</f>
        <v xml:space="preserve"> </v>
      </c>
      <c r="R302" s="60" t="str">
        <f ca="1">IF($Q$275&gt;=O269,INDEX($AL$116:$AL$125,MATCH(O269,($AJ$116:$AJ$125),0)),IF($Q$279&gt;=O269,INDEX('Spell Tables'!$AR$168:$AR$175,MATCH(O269,('Spell Tables'!$AP$168:$AP$175),0)),IF($Q$289&gt;=O269,INDEX('Spell Tables'!$AR$48:$AR$52,MATCH(O269,('Spell Tables'!$AP$48:$AP$52),0)),IF($Q$291&gt;=O269,INDEX('Spell Tables'!$AR$26:$AR$33,MATCH(O269,('Spell Tables'!$AP$26:$AP$33),0)),IF($Q$293&gt;=O269,INDEX('Spell Tables'!$AR$2:$AR$11,MATCH(O269,('Spell Tables'!$AL$2:$AL$11),0))," ")))))</f>
        <v xml:space="preserve"> </v>
      </c>
      <c r="S302" s="60" t="str">
        <f ca="1">IF($R$275&gt;=O269,INDEX($AL$128:$AL$137,MATCH(O269,($AJ$128:$AJ$137),0)),IF($R$279&gt;=O269,INDEX('Spell Tables'!$AV$168:$AV$172,MATCH(O269,('Spell Tables'!$AT$168:$AT$172),0)),IF($R$289&gt;=O269,INDEX('Spell Tables'!$AV$48:$AV$54,MATCH(O269,('Spell Tables'!$AT$48:$AT$54),0)),IF($R$291&gt;=O269,INDEX('Spell Tables'!$AV$26:$AV$29,MATCH(O269,('Spell Tables'!$AT$26:$AT$29),0)),IF($R$293&gt;=O269,INDEX('Spell Tables'!$AV$2:$AV$6,MATCH(O269,('Spell Tables'!$AT$2:$AT$6),0))," ")))))</f>
        <v xml:space="preserve"> </v>
      </c>
      <c r="T302" s="63" t="str">
        <f ca="1">IF($S$289&gt;=O269,INDEX($AL$140:$AL$149,MATCH(O269,($AJ$140:$AJ$149),0)),IF($S$275&gt;=O269,INDEX('Spell Tables'!$AZ$242:$AZ$253,MATCH(O269,('Spell Tables'!$AX$242:$AX$253),0)),IF($S$279&gt;=O269,INDEX('Spell Tables'!$AZ$168:$AZ$172,MATCH(O269,('Spell Tables'!$AX$168:$AX$172),0)),IF($S$291&gt;=O269,INDEX('Spell Tables'!$AZ$26:$AZ$29,MATCH(O269,('Spell Tables'!$AX$26:$AX$29),0)),IF($S$293&gt;=O269,INDEX('Spell Tables'!$AZ$2:$AZ$5,MATCH(O269,('Spell Tables'!$AX$2:$AX$5),0))," ")))))</f>
        <v xml:space="preserve"> </v>
      </c>
    </row>
    <row r="303" spans="14:20" x14ac:dyDescent="0.3">
      <c r="N303" s="72"/>
      <c r="O303" s="86">
        <v>9</v>
      </c>
      <c r="P303" s="65" t="str">
        <f ca="1">IF(AND($Q$15="Otherworldly patron - great old one",O$277&gt;=O201),INDEX('Spell Tables'!$AJ$226:$AJ$231,MATCH(O201,('Spell Tables'!$AH$226:$AH$231),0)),IF(AND($Q$15="Otherworldly patron - fiend",O$277&gt;=O201),INDEX('Spell Tables'!$AJ$210:$AJ$215,MATCH(O201,('Spell Tables'!$AH$210:$AH$215),0)),IF(AND($Q$15="Otherworldly patron - archfey",O$277&gt;=O201),INDEX('Spell Tables'!$AJ$194:$AJ$199,MATCH(O201,('Spell Tables'!$AH$194:$AH$199),0)),IF($O$275&gt;=O201,INDEX($AL$92:$AL$101,MATCH(O201,($AJ$92:$AJ$101),0)),IF($O$279&gt;=O201,INDEX('Spell Tables'!$AJ$168:$AJ$178,MATCH(O201,('Spell Tables'!$AH$168:$AH$178),0)),IF($O$283&gt;=O201,INDEX('Spell Tables'!$AF$119:$AF$122,MATCH(O201,('Spell Tables'!$AD$119:$AD$122),0)),IF($O$285&gt;=O201,INDEX('Spell Tables'!$AF$97:$AF$102,MATCH(O201,('Spell Tables'!$AD$97:$AD$102),0)),IF($O$289&gt;=O201,INDEX('Spell Tables'!$AJ$48:$AJ$61,MATCH(O201,('Spell Tables'!$AH$48:$AH$61),0)),IF($O$291&gt;=O201,INDEX('Spell Tables'!$AJ$26:$AJ$38,MATCH(O201,('Spell Tables'!$AH$26:$AH$38),0)),IF($O$293&gt;=O201,INDEX('Spell Tables'!$AJ$2:$AJ$17,MATCH(O201,('Spell Tables'!$AH$2:$AH$17),0))," "))))))))))</f>
        <v xml:space="preserve"> </v>
      </c>
      <c r="Q303" s="65" t="str">
        <f ca="1">IF($P$275&gt;=O270,INDEX($AL$104:$AL$113,MATCH(O270,($AJ$104:$AJ$113),0)),IF($P$279&gt;=O270,INDEX('Spell Tables'!$AN$168:$AN$177,MATCH(O270,('Spell Tables'!$AL$168:$AL$177),0)),IF($P$289&gt;=O270,INDEX('Spell Tables'!$AN$48:$AN$56,MATCH(O270,('Spell Tables'!$AL$48:$AL$56),0)),IF($P$291&gt;=O270,INDEX('Spell Tables'!$AN$26:$AN$35,MATCH(O270,('Spell Tables'!$AL$26:$AL$35),0)),IF($P$293&gt;=O270,INDEX('Spell Tables'!$AN$2:$AN$8,MATCH(O270,('Spell Tables'!$AL$2:$AL$8),0))," ")))))</f>
        <v xml:space="preserve"> </v>
      </c>
      <c r="R303" s="65" t="str">
        <f ca="1">IF($Q$275&gt;=O270,INDEX($AL$116:$AL$125,MATCH(O270,($AJ$116:$AJ$125),0)),IF($Q$279&gt;=O270,INDEX('Spell Tables'!$AR$168:$AR$175,MATCH(O270,('Spell Tables'!$AP$168:$AP$175),0)),IF($Q$289&gt;=O270,INDEX('Spell Tables'!$AR$48:$AR$52,MATCH(O270,('Spell Tables'!$AP$48:$AP$52),0)),IF($Q$291&gt;=O270,INDEX('Spell Tables'!$AR$26:$AR$33,MATCH(O270,('Spell Tables'!$AP$26:$AP$33),0)),IF($Q$293&gt;=O270,INDEX('Spell Tables'!$AR$2:$AR$11,MATCH(O270,('Spell Tables'!$AL$2:$AL$11),0))," ")))))</f>
        <v xml:space="preserve"> </v>
      </c>
      <c r="S303" s="65" t="str">
        <f ca="1">IF($R$275&gt;=O270,INDEX($AL$128:$AL$137,MATCH(O270,($AJ$128:$AJ$137),0)),IF($R$279&gt;=O270,INDEX('Spell Tables'!$AV$168:$AV$172,MATCH(O270,('Spell Tables'!$AT$168:$AT$172),0)),IF($R$289&gt;=O270,INDEX('Spell Tables'!$AV$48:$AV$54,MATCH(O270,('Spell Tables'!$AT$48:$AT$54),0)),IF($R$291&gt;=O270,INDEX('Spell Tables'!$AV$26:$AV$29,MATCH(O270,('Spell Tables'!$AT$26:$AT$29),0)),IF($R$293&gt;=O270,INDEX('Spell Tables'!$AV$2:$AV$6,MATCH(O270,('Spell Tables'!$AT$2:$AT$6),0))," ")))))</f>
        <v xml:space="preserve"> </v>
      </c>
      <c r="T303" s="66" t="str">
        <f ca="1">IF($S$289&gt;=O270,INDEX($AL$140:$AL$149,MATCH(O270,($AJ$140:$AJ$149),0)),IF($S$275&gt;=O270,INDEX('Spell Tables'!$AZ$242:$AZ$253,MATCH(O270,('Spell Tables'!$AX$242:$AX$253),0)),IF($S$279&gt;=O270,INDEX('Spell Tables'!$AZ$168:$AZ$172,MATCH(O270,('Spell Tables'!$AX$168:$AX$172),0)),IF($S$291&gt;=O270,INDEX('Spell Tables'!$AZ$26:$AZ$29,MATCH(O270,('Spell Tables'!$AX$26:$AX$29),0)),IF($S$293&gt;=O270,INDEX('Spell Tables'!$AZ$2:$AZ$5,MATCH(O270,('Spell Tables'!$AX$2:$AX$5),0))," ")))))</f>
        <v xml:space="preserve"> </v>
      </c>
    </row>
    <row r="304" spans="14:20" ht="19.5" thickBot="1" x14ac:dyDescent="0.35">
      <c r="N304" s="72"/>
      <c r="O304" s="134">
        <v>10</v>
      </c>
      <c r="P304" s="67" t="str">
        <f ca="1">IF(AND($Q$15="Otherworldly patron - great old one",O$277&gt;=O202),INDEX('Spell Tables'!$AJ$226:$AJ$231,MATCH(O202,('Spell Tables'!$AH$226:$AH$231),0)),IF(AND($Q$15="Otherworldly patron - fiend",O$277&gt;=O202),INDEX('Spell Tables'!$AJ$210:$AJ$215,MATCH(O202,('Spell Tables'!$AH$210:$AH$215),0)),IF(AND($Q$15="Otherworldly patron - archfey",O$277&gt;=O202),INDEX('Spell Tables'!$AJ$194:$AJ$199,MATCH(O202,('Spell Tables'!$AH$194:$AH$199),0)),IF($O$275&gt;=O202,INDEX($AL$92:$AL$101,MATCH(O202,($AJ$92:$AJ$101),0)),IF($O$279&gt;=O202,INDEX('Spell Tables'!$AJ$168:$AJ$178,MATCH(O202,('Spell Tables'!$AH$168:$AH$178),0)),IF($O$283&gt;=O202,INDEX('Spell Tables'!$AF$119:$AF$122,MATCH(O202,('Spell Tables'!$AD$119:$AD$122),0)),IF($O$285&gt;=O202,INDEX('Spell Tables'!$AF$97:$AF$102,MATCH(O202,('Spell Tables'!$AD$97:$AD$102),0)),IF($O$289&gt;=O202,INDEX('Spell Tables'!$AJ$48:$AJ$61,MATCH(O202,('Spell Tables'!$AH$48:$AH$61),0)),IF($O$291&gt;=O202,INDEX('Spell Tables'!$AJ$26:$AJ$38,MATCH(O202,('Spell Tables'!$AH$26:$AH$38),0)),IF($O$293&gt;=O202,INDEX('Spell Tables'!$AJ$2:$AJ$17,MATCH(O202,('Spell Tables'!$AH$2:$AH$17),0))," "))))))))))</f>
        <v xml:space="preserve"> </v>
      </c>
      <c r="Q304" s="67" t="str">
        <f ca="1">IF($P$275&gt;=O271,INDEX($AL$104:$AL$113,MATCH(O271,($AJ$104:$AJ$113),0)),IF($P$279&gt;=O271,INDEX('Spell Tables'!$AN$168:$AN$177,MATCH(O271,('Spell Tables'!$AL$168:$AL$177),0)),IF($P$289&gt;=O271,INDEX('Spell Tables'!$AN$48:$AN$56,MATCH(O271,('Spell Tables'!$AL$48:$AL$56),0)),IF($P$291&gt;=O271,INDEX('Spell Tables'!$AN$26:$AN$35,MATCH(O271,('Spell Tables'!$AL$26:$AL$35),0)),IF($P$293&gt;=O271,INDEX('Spell Tables'!$AN$2:$AN$8,MATCH(O271,('Spell Tables'!$AL$2:$AL$8),0))," ")))))</f>
        <v xml:space="preserve"> </v>
      </c>
      <c r="R304" s="67" t="str">
        <f ca="1">IF($Q$275&gt;=O271,INDEX($AL$116:$AL$125,MATCH(O271,($AJ$116:$AJ$125),0)),IF($Q$279&gt;=O271,INDEX('Spell Tables'!$AR$168:$AR$175,MATCH(O271,('Spell Tables'!$AP$168:$AP$175),0)),IF($Q$289&gt;=O271,INDEX('Spell Tables'!$AR$48:$AR$52,MATCH(O271,('Spell Tables'!$AP$48:$AP$52),0)),IF($Q$291&gt;=O271,INDEX('Spell Tables'!$AR$26:$AR$33,MATCH(O271,('Spell Tables'!$AP$26:$AP$33),0)),IF($Q$293&gt;=O271,INDEX('Spell Tables'!$AR$2:$AR$11,MATCH(O271,('Spell Tables'!$AL$2:$AL$11),0))," ")))))</f>
        <v xml:space="preserve"> </v>
      </c>
      <c r="S304" s="67" t="str">
        <f ca="1">IF($R$275&gt;=O271,INDEX($AL$128:$AL$137,MATCH(O271,($AJ$128:$AJ$137),0)),IF($R$279&gt;=O271,INDEX('Spell Tables'!$AV$168:$AV$172,MATCH(O271,('Spell Tables'!$AT$168:$AT$172),0)),IF($R$289&gt;=O271,INDEX('Spell Tables'!$AV$48:$AV$54,MATCH(O271,('Spell Tables'!$AT$48:$AT$54),0)),IF($R$291&gt;=O271,INDEX('Spell Tables'!$AV$26:$AV$29,MATCH(O271,('Spell Tables'!$AT$26:$AT$29),0)),IF($R$293&gt;=O271,INDEX('Spell Tables'!$AV$2:$AV$6,MATCH(O271,('Spell Tables'!$AT$2:$AT$6),0))," ")))))</f>
        <v xml:space="preserve"> </v>
      </c>
      <c r="T304" s="68" t="str">
        <f ca="1">IF($S$289&gt;=O271,INDEX($AL$140:$AL$149,MATCH(O271,($AJ$140:$AJ$149),0)),IF($S$275&gt;=O271,INDEX('Spell Tables'!$AZ$242:$AZ$253,MATCH(O271,('Spell Tables'!$AX$242:$AX$253),0)),IF($S$279&gt;=O271,INDEX('Spell Tables'!$AZ$168:$AZ$172,MATCH(O271,('Spell Tables'!$AX$168:$AX$172),0)),IF($S$291&gt;=O271,INDEX('Spell Tables'!$AZ$26:$AZ$29,MATCH(O271,('Spell Tables'!$AX$26:$AX$29),0)),IF($S$293&gt;=O271,INDEX('Spell Tables'!$AZ$2:$AZ$5,MATCH(O271,('Spell Tables'!$AX$2:$AX$5),0))," ")))))</f>
        <v xml:space="preserve"> </v>
      </c>
    </row>
    <row r="305" spans="2:20" ht="19.5" thickBot="1" x14ac:dyDescent="0.35"/>
    <row r="306" spans="2:20" ht="30.75" thickBot="1" x14ac:dyDescent="0.45">
      <c r="B306" s="105" t="s">
        <v>1271</v>
      </c>
    </row>
    <row r="307" spans="2:20" ht="19.5" hidden="1" thickBot="1" x14ac:dyDescent="0.35">
      <c r="P307" s="29" t="s">
        <v>1166</v>
      </c>
      <c r="Q307" s="29" t="s">
        <v>1167</v>
      </c>
      <c r="R307" s="29" t="s">
        <v>1168</v>
      </c>
      <c r="S307" s="29" t="s">
        <v>676</v>
      </c>
    </row>
    <row r="308" spans="2:20" ht="19.5" hidden="1" thickBot="1" x14ac:dyDescent="0.35">
      <c r="B308" s="29" t="s">
        <v>1270</v>
      </c>
      <c r="O308" s="29" t="s">
        <v>530</v>
      </c>
      <c r="P308" s="29" t="str">
        <f ca="1">IF(AND(O11="wizard",O12&gt;=3),"x",IF(O11="wizard","xx"," "))</f>
        <v xml:space="preserve"> </v>
      </c>
      <c r="Q308" s="29" t="str">
        <f ca="1">IF(AND(O11="wizard",O12&gt;=9),"xxxx",IF(AND(O11="wizard",O12&gt;=5),"x",IF(AND($O$11="wizard",$O$12&gt;3),"xx",IF(AND(O11="wizard",O12=3),"xxx"," "))))</f>
        <v xml:space="preserve"> </v>
      </c>
      <c r="R308" s="29" t="str">
        <f ca="1">IF(AND(O11="wizard",O12&gt;=11),"xxxx",IF(AND(O11="wizard",O12&gt;=7),"x",IF(AND($O$11="wizard",$O$12&gt;5),"xx",IF(AND(O11="wizard",O12=5),"xxx"," "))))</f>
        <v xml:space="preserve"> </v>
      </c>
      <c r="S308" s="29" t="str">
        <f ca="1">IF(AND(O11="wizard",O12&gt;=13),"xxxx",IF(AND(O11="wizard",O12&gt;=9),"x",IF(AND($O$11="wizard",$O$12&gt;7),"xx",IF(AND(O11="wizard",O12=7),"xxx"," "))))</f>
        <v xml:space="preserve"> </v>
      </c>
    </row>
    <row r="309" spans="2:20" ht="19.5" hidden="1" thickBot="1" x14ac:dyDescent="0.35">
      <c r="B309" s="29" t="s">
        <v>1271</v>
      </c>
      <c r="O309" s="29" t="str">
        <f ca="1">IF(O11="wizard",((O12-1)*2)+6," ")</f>
        <v xml:space="preserve"> </v>
      </c>
      <c r="P309" s="29">
        <f ca="1">IF(AND(O11="wizard",O12=2),O309,IF(AND(O11="wizard",O12=1),$O$309,IF(AND(O11="wizard",O12&gt;=3),MAX(8,O309-SUM(U216:X216)),0)))</f>
        <v>0</v>
      </c>
      <c r="Q309" s="29">
        <f ca="1">IF(Q$308="xxxx",MAX(R173,(RANDBETWEEN(5,6))),IF(Q308="x",MAX(R173,(RANDBETWEEN(3,6))),IF(Q308="xx",MAX(R173,(RANDBETWEEN(2,4))),IF(Q308="xxx",MAX(R173,(2)),0))))</f>
        <v>0</v>
      </c>
      <c r="R309" s="29">
        <f ca="1">IF($R308="xxxx",MAX(S173,(RANDBETWEEN(5,6))),IF(R308="x",MAX(S173,(RANDBETWEEN(3,6))),IF(R308="xx",MAX(S173,(RANDBETWEEN(2,4))),IF(R308="xxx",MAX(S173,(2)),0))))</f>
        <v>0</v>
      </c>
      <c r="S309" s="29">
        <f ca="1">IF(S$308="xxxx",MAX(T173,(RANDBETWEEN(5,6))),IF(S308="x",MAX(T173,(RANDBETWEEN(3,6))),IF(S308="xx",MAX(T173,(RANDBETWEEN(2,4))),IF(S308="xxx",MAX(T173,(2)),0))))</f>
        <v>0</v>
      </c>
    </row>
    <row r="310" spans="2:20" ht="19.5" hidden="1" thickBot="1" x14ac:dyDescent="0.35">
      <c r="P310" s="98" t="s">
        <v>1166</v>
      </c>
      <c r="Q310" s="98" t="s">
        <v>1167</v>
      </c>
      <c r="R310" s="98" t="s">
        <v>1168</v>
      </c>
      <c r="S310" s="98" t="s">
        <v>676</v>
      </c>
    </row>
    <row r="311" spans="2:20" ht="19.5" hidden="1" thickBot="1" x14ac:dyDescent="0.35">
      <c r="P311" s="98" t="str">
        <f ca="1">IF(AND(Q11="wizard",Q12&gt;=3),"x",IF(Q11="wizard","xx"," "))</f>
        <v xml:space="preserve"> </v>
      </c>
      <c r="Q311" s="98" t="str">
        <f ca="1">IF(AND(Q11="wizard",Q12&gt;=9),"xxxx",IF(AND(Q11="wizard",Q12&gt;=5),"x",IF(AND($Q$11="wizard",$Q$12&gt;3),"xx",IF(AND(Q11="wizard",Q12=3),"xxx"," "))))</f>
        <v xml:space="preserve"> </v>
      </c>
      <c r="R311" s="98" t="str">
        <f ca="1">IF(AND(Q11="wizard",Q12&gt;=11),"xxxx",IF(AND(Q11="wizard",Q12&gt;=7),"x",IF(AND($Q$11="wizard",$Q$12&gt;5),"xx",IF(AND(Q11="wizard",Q12=5),"xxx"," "))))</f>
        <v xml:space="preserve"> </v>
      </c>
      <c r="S311" s="98" t="str">
        <f ca="1">IF(AND(Q11="wizard",Q12&gt;=13),"xxxx",IF(AND(Q11="wizard",Q12&gt;=9),"x",IF(AND($Q$11="wizard",$Q$12&gt;7),"xx",IF(AND(Q11="wizard",Q12=7),"xxx"," "))))</f>
        <v xml:space="preserve"> </v>
      </c>
    </row>
    <row r="312" spans="2:20" ht="19.5" hidden="1" thickBot="1" x14ac:dyDescent="0.35">
      <c r="P312" s="98">
        <f ca="1">IF(AND(Q11="wizard",Q12=2),AK41,IF(AND(Q11="wizard",Q12=1),$AK$41,IF(AND(Q11="wizard",Q12&gt;=3),MAX(8,AK41-SUM(U219:X219)),0)))</f>
        <v>0</v>
      </c>
      <c r="Q312" s="98">
        <f ca="1">IF(Q$311="xxxx",MAX(R242,(RANDBETWEEN(5,6))),IF(Q311="x",MAX(R242,(RANDBETWEEN(3,6))),IF(Q311="xx",MAX(R242,(RANDBETWEEN(2,4))),IF(Q311="xxx",MAX(R242,(2)),0))))</f>
        <v>0</v>
      </c>
      <c r="R312" s="98">
        <f ca="1">IF($R311="xxxx",MAX(S242,(RANDBETWEEN(5,6))),IF(R311="x",MAX(S242,(RANDBETWEEN(3,6))),IF(R311="xx",MAX(S242,(RANDBETWEEN(2,4))),IF(R311="xxx",MAX(S242,(2)),0))))</f>
        <v>0</v>
      </c>
      <c r="S312" s="98">
        <f ca="1">IF(S$311="xxxx",MAX(T242,(RANDBETWEEN(5,6))),IF(S311="x",MAX(T242,(RANDBETWEEN(3,6))),IF(S311="xx",MAX(T242,(RANDBETWEEN(2,4))),IF(S311="xxx",MAX(T242,(2)),0))))</f>
        <v>0</v>
      </c>
    </row>
    <row r="313" spans="2:20" ht="19.5" hidden="1" thickBot="1" x14ac:dyDescent="0.35"/>
    <row r="314" spans="2:20" x14ac:dyDescent="0.3">
      <c r="B314" s="79"/>
      <c r="C314" s="27"/>
      <c r="D314" s="27"/>
      <c r="E314" s="27"/>
      <c r="F314" s="27"/>
      <c r="G314" s="27"/>
      <c r="H314" s="27"/>
      <c r="I314" s="27"/>
      <c r="J314" s="27"/>
      <c r="K314" s="27"/>
      <c r="L314" s="27"/>
      <c r="M314" s="27"/>
      <c r="N314" s="27"/>
      <c r="O314" s="27"/>
      <c r="P314" s="76" t="s">
        <v>1124</v>
      </c>
      <c r="Q314" s="76" t="s">
        <v>1166</v>
      </c>
      <c r="R314" s="76" t="s">
        <v>1167</v>
      </c>
      <c r="S314" s="76" t="s">
        <v>1168</v>
      </c>
      <c r="T314" s="77" t="s">
        <v>676</v>
      </c>
    </row>
    <row r="315" spans="2:20" x14ac:dyDescent="0.3">
      <c r="B315" s="79"/>
      <c r="C315" s="33"/>
      <c r="D315" s="33"/>
      <c r="E315" s="33"/>
      <c r="F315" s="33"/>
      <c r="G315" s="33"/>
      <c r="H315" s="33"/>
      <c r="I315" s="33"/>
      <c r="J315" s="33"/>
      <c r="K315" s="33"/>
      <c r="L315" s="33"/>
      <c r="M315" s="33"/>
      <c r="N315" s="33"/>
      <c r="O315" s="34">
        <v>1</v>
      </c>
      <c r="P315" s="33" t="str">
        <f t="shared" ref="P315:P324" ca="1" si="67">IF($O$11="wizard",P193,IF($Q$11="wizard",P262," "))</f>
        <v xml:space="preserve"> </v>
      </c>
      <c r="Q315" s="33" t="str">
        <f ca="1">IF(AND($O$11="wizard",$P$309&gt;=O315),INDEX('Spell Tables'!$T$242:$T$271,MATCH(1,(O315:O324),0)),IF(AND($Q$11="wizard",$P$312&gt;=O315),INDEX('Spell Tables'!$T$242:$T$271,MATCH(O315,('Spell Tables'!$R$242:$R$271),0))," "))</f>
        <v xml:space="preserve"> </v>
      </c>
      <c r="R315" s="33" t="str">
        <f ca="1">IF($Q$309&gt;=O315,INDEX('Spell Tables'!$X$242:$X$275,MATCH(O315,('Spell Tables'!$V$242:$V$275),0)),IF(AND($Q$11="wizard",$Q$312&gt;=O315),INDEX('Spell Tables'!$X$242:$X$275,MATCH(O315,('Spell Tables'!$V$242:$V$275),0))," "))</f>
        <v xml:space="preserve"> </v>
      </c>
      <c r="S315" s="33" t="str">
        <f ca="1">IF($R$309&gt;=O315,INDEX('Spell Tables'!$AB$242:$AB$270,MATCH(O315,('Spell Tables'!$Z$242:$Z$270),0)),IF(AND($Q$11="wizard",$R$312&gt;=O315),INDEX('Spell Tables'!$AB$242:$AB$270,MATCH(O315,('Spell Tables'!$Z$242:$Z$270),0))," "))</f>
        <v xml:space="preserve"> </v>
      </c>
      <c r="T315" s="72" t="str">
        <f ca="1">IF($S$309&gt;=O315,INDEX('Spell Tables'!$AF$242:$AF$264,MATCH(O315,('Spell Tables'!$AD$242:$AD$264),0)),IF(AND($Q$11="wizard",$S$312&gt;=O315),INDEX('Spell Tables'!$AF$242:$AF$264,MATCH(O315,('Spell Tables'!$AD$242:$AD$264),0))," "))</f>
        <v xml:space="preserve"> </v>
      </c>
    </row>
    <row r="316" spans="2:20" x14ac:dyDescent="0.3">
      <c r="B316" s="79"/>
      <c r="C316" s="33"/>
      <c r="D316" s="33"/>
      <c r="E316" s="33"/>
      <c r="F316" s="33"/>
      <c r="G316" s="33"/>
      <c r="H316" s="33"/>
      <c r="I316" s="33"/>
      <c r="J316" s="33"/>
      <c r="K316" s="33"/>
      <c r="L316" s="33"/>
      <c r="M316" s="33"/>
      <c r="N316" s="33"/>
      <c r="O316" s="34">
        <v>2</v>
      </c>
      <c r="P316" s="33" t="str">
        <f t="shared" ca="1" si="67"/>
        <v xml:space="preserve"> </v>
      </c>
      <c r="Q316" s="33" t="str">
        <f ca="1">IF(AND($O$11="wizard",$P$309&gt;=O316),INDEX('Spell Tables'!$T$242:$T$271,MATCH(O316,('Spell Tables'!$R$242:$R$271),0)),IF(AND($Q$11="wizard",$P$312&gt;=O316),INDEX('Spell Tables'!$T$242:$T$271,MATCH(O316,('Spell Tables'!$R$242:$R$271),0))," "))</f>
        <v xml:space="preserve"> </v>
      </c>
      <c r="R316" s="33" t="str">
        <f ca="1">IF($Q$309&gt;=O316,INDEX('Spell Tables'!$X$242:$X$275,MATCH(O316,('Spell Tables'!$V$242:$V$275),0)),IF(AND($Q$11="wizard",$Q$312&gt;=O316),INDEX('Spell Tables'!$X$242:$X$275,MATCH(O316,('Spell Tables'!$V$242:$V$275),0))," "))</f>
        <v xml:space="preserve"> </v>
      </c>
      <c r="S316" s="33" t="str">
        <f ca="1">IF($R$309&gt;=O316,INDEX('Spell Tables'!$AB$242:$AB$270,MATCH(O316,('Spell Tables'!$Z$242:$Z$270),0)),IF(AND($Q$11="wizard",$R$312&gt;=O316),INDEX('Spell Tables'!$AB$242:$AB$270,MATCH(O316,('Spell Tables'!$Z$242:$Z$270),0))," "))</f>
        <v xml:space="preserve"> </v>
      </c>
      <c r="T316" s="72" t="str">
        <f ca="1">IF($S$309&gt;=O316,INDEX('Spell Tables'!$AF$242:$AF$264,MATCH(O316,('Spell Tables'!$AD$242:$AD$264),0)),IF(AND($Q$11="wizard",$S$312&gt;=O316),INDEX('Spell Tables'!$AF$242:$AF$264,MATCH(O316,('Spell Tables'!$AD$242:$AD$264),0))," "))</f>
        <v xml:space="preserve"> </v>
      </c>
    </row>
    <row r="317" spans="2:20" x14ac:dyDescent="0.3">
      <c r="B317" s="79"/>
      <c r="C317" s="33"/>
      <c r="D317" s="33"/>
      <c r="E317" s="33"/>
      <c r="F317" s="33"/>
      <c r="G317" s="33"/>
      <c r="H317" s="33"/>
      <c r="I317" s="33"/>
      <c r="J317" s="33"/>
      <c r="K317" s="33"/>
      <c r="L317" s="33"/>
      <c r="M317" s="33"/>
      <c r="N317" s="33"/>
      <c r="O317" s="34">
        <v>3</v>
      </c>
      <c r="P317" s="33" t="str">
        <f t="shared" ca="1" si="67"/>
        <v xml:space="preserve"> </v>
      </c>
      <c r="Q317" s="33" t="str">
        <f ca="1">IF(AND($O$11="wizard",$P$309&gt;=O317),INDEX('Spell Tables'!$T$242:$T$271,MATCH(O317,('Spell Tables'!$R$242:$R$271),0)),IF(AND($Q$11="wizard",$P$312&gt;=O317),INDEX('Spell Tables'!$T$242:$T$271,MATCH(O317,('Spell Tables'!$R$242:$R$271),0))," "))</f>
        <v xml:space="preserve"> </v>
      </c>
      <c r="R317" s="33" t="str">
        <f ca="1">IF($Q$309&gt;=O317,INDEX('Spell Tables'!$X$242:$X$275,MATCH(O317,('Spell Tables'!$V$242:$V$275),0)),IF(AND($Q$11="wizard",$Q$312&gt;=O317),INDEX('Spell Tables'!$X$242:$X$275,MATCH(O317,('Spell Tables'!$V$242:$V$275),0))," "))</f>
        <v xml:space="preserve"> </v>
      </c>
      <c r="S317" s="33" t="str">
        <f ca="1">IF($R$309&gt;=O317,INDEX('Spell Tables'!$AB$242:$AB$270,MATCH(O317,('Spell Tables'!$Z$242:$Z$270),0)),IF(AND($Q$11="wizard",$R$312&gt;=O317),INDEX('Spell Tables'!$AB$242:$AB$270,MATCH(O317,('Spell Tables'!$Z$242:$Z$270),0))," "))</f>
        <v xml:space="preserve"> </v>
      </c>
      <c r="T317" s="72" t="str">
        <f ca="1">IF($S$309&gt;=O317,INDEX('Spell Tables'!$AF$242:$AF$264,MATCH(O317,('Spell Tables'!$AD$242:$AD$264),0)),IF(AND($Q$11="wizard",$S$312&gt;=O317),INDEX('Spell Tables'!$AF$242:$AF$264,MATCH(O317,('Spell Tables'!$AD$242:$AD$264),0))," "))</f>
        <v xml:space="preserve"> </v>
      </c>
    </row>
    <row r="318" spans="2:20" x14ac:dyDescent="0.3">
      <c r="B318" s="79"/>
      <c r="C318" s="33"/>
      <c r="D318" s="33"/>
      <c r="E318" s="33"/>
      <c r="F318" s="33"/>
      <c r="G318" s="33"/>
      <c r="H318" s="33"/>
      <c r="I318" s="33"/>
      <c r="J318" s="33"/>
      <c r="K318" s="33"/>
      <c r="L318" s="33"/>
      <c r="M318" s="33"/>
      <c r="N318" s="33"/>
      <c r="O318" s="34">
        <v>4</v>
      </c>
      <c r="P318" s="33" t="str">
        <f t="shared" ca="1" si="67"/>
        <v xml:space="preserve"> </v>
      </c>
      <c r="Q318" s="33" t="str">
        <f ca="1">IF(AND($O$11="wizard",$P$309&gt;=O318),INDEX('Spell Tables'!$T$242:$T$271,MATCH(O318,('Spell Tables'!$R$242:$R$271),0)),IF(AND($Q$11="wizard",$P$312&gt;=O318),INDEX('Spell Tables'!$T$242:$T$271,MATCH(O318,('Spell Tables'!$R$242:$R$271),0))," "))</f>
        <v xml:space="preserve"> </v>
      </c>
      <c r="R318" s="33" t="str">
        <f ca="1">IF($Q$309&gt;=O318,INDEX('Spell Tables'!$X$242:$X$275,MATCH(O318,('Spell Tables'!$V$242:$V$275),0)),IF(AND($Q$11="wizard",$Q$312&gt;=O318),INDEX('Spell Tables'!$X$242:$X$275,MATCH(O318,('Spell Tables'!$V$242:$V$275),0))," "))</f>
        <v xml:space="preserve"> </v>
      </c>
      <c r="S318" s="33" t="str">
        <f ca="1">IF($R$309&gt;=O318,INDEX('Spell Tables'!$AB$242:$AB$270,MATCH(O318,('Spell Tables'!$Z$242:$Z$270),0)),IF(AND($Q$11="wizard",$R$312&gt;=O318),INDEX('Spell Tables'!$AB$242:$AB$270,MATCH(O318,('Spell Tables'!$Z$242:$Z$270),0))," "))</f>
        <v xml:space="preserve"> </v>
      </c>
      <c r="T318" s="72" t="str">
        <f ca="1">IF($S$309&gt;=O318,INDEX('Spell Tables'!$AF$242:$AF$264,MATCH(O318,('Spell Tables'!$AD$242:$AD$264),0)),IF(AND($Q$11="wizard",$S$312&gt;=O318),INDEX('Spell Tables'!$AF$242:$AF$264,MATCH(O318,('Spell Tables'!$AD$242:$AD$264),0))," "))</f>
        <v xml:space="preserve"> </v>
      </c>
    </row>
    <row r="319" spans="2:20" x14ac:dyDescent="0.3">
      <c r="B319" s="79"/>
      <c r="C319" s="33"/>
      <c r="D319" s="33"/>
      <c r="E319" s="33"/>
      <c r="F319" s="33"/>
      <c r="G319" s="33"/>
      <c r="H319" s="33"/>
      <c r="I319" s="33"/>
      <c r="J319" s="33"/>
      <c r="K319" s="33"/>
      <c r="L319" s="33"/>
      <c r="M319" s="33"/>
      <c r="N319" s="33"/>
      <c r="O319" s="34">
        <v>5</v>
      </c>
      <c r="P319" s="33" t="str">
        <f t="shared" ca="1" si="67"/>
        <v xml:space="preserve"> </v>
      </c>
      <c r="Q319" s="33" t="str">
        <f ca="1">IF(AND($O$11="wizard",$P$309&gt;=O319),INDEX('Spell Tables'!$T$242:$T$271,MATCH(O319,('Spell Tables'!$R$242:$R$271),0)),IF(AND($Q$11="wizard",$P$312&gt;=O319),INDEX('Spell Tables'!$T$242:$T$271,MATCH(O319,('Spell Tables'!$R$242:$R$271),0))," "))</f>
        <v xml:space="preserve"> </v>
      </c>
      <c r="R319" s="33" t="str">
        <f ca="1">IF($Q$309&gt;=O319,INDEX('Spell Tables'!$X$242:$X$275,MATCH(O319,('Spell Tables'!$V$242:$V$275),0)),IF(AND($Q$11="wizard",$Q$312&gt;=O319),INDEX('Spell Tables'!$X$242:$X$275,MATCH(O319,('Spell Tables'!$V$242:$V$275),0))," "))</f>
        <v xml:space="preserve"> </v>
      </c>
      <c r="S319" s="33" t="str">
        <f ca="1">IF($R$309&gt;=O319,INDEX('Spell Tables'!$AB$242:$AB$270,MATCH(O319,('Spell Tables'!$Z$242:$Z$270),0)),IF(AND($Q$11="wizard",$R$312&gt;=O319),INDEX('Spell Tables'!$AB$242:$AB$270,MATCH(O319,('Spell Tables'!$Z$242:$Z$270),0))," "))</f>
        <v xml:space="preserve"> </v>
      </c>
      <c r="T319" s="72" t="str">
        <f ca="1">IF($S$309&gt;=O319,INDEX('Spell Tables'!$AF$242:$AF$264,MATCH(O319,('Spell Tables'!$AD$242:$AD$264),0)),IF(AND($Q$11="wizard",$S$312&gt;=O319),INDEX('Spell Tables'!$AF$242:$AF$264,MATCH(O319,('Spell Tables'!$AD$242:$AD$264),0))," "))</f>
        <v xml:space="preserve"> </v>
      </c>
    </row>
    <row r="320" spans="2:20" x14ac:dyDescent="0.3">
      <c r="B320" s="79"/>
      <c r="C320" s="33"/>
      <c r="D320" s="33"/>
      <c r="E320" s="33"/>
      <c r="F320" s="33"/>
      <c r="G320" s="33"/>
      <c r="H320" s="33"/>
      <c r="I320" s="33"/>
      <c r="J320" s="33"/>
      <c r="K320" s="33"/>
      <c r="L320" s="33"/>
      <c r="M320" s="33"/>
      <c r="N320" s="33"/>
      <c r="O320" s="34">
        <v>6</v>
      </c>
      <c r="P320" s="33" t="str">
        <f t="shared" ca="1" si="67"/>
        <v xml:space="preserve"> </v>
      </c>
      <c r="Q320" s="33" t="str">
        <f ca="1">IF(AND($O$11="wizard",$P$309&gt;=O320),INDEX('Spell Tables'!$T$242:$T$271,MATCH(O320,('Spell Tables'!$R$242:$R$271),0)),IF(AND($Q$11="wizard",$P$312&gt;=O320),INDEX('Spell Tables'!$T$242:$T$271,MATCH(O320,('Spell Tables'!$R$242:$R$271),0))," "))</f>
        <v xml:space="preserve"> </v>
      </c>
      <c r="R320" s="33" t="str">
        <f ca="1">IF($Q$309&gt;=O320,INDEX('Spell Tables'!$X$242:$X$275,MATCH(O320,('Spell Tables'!$V$242:$V$275),0)),IF(AND($Q$11="wizard",$Q$312&gt;=O320),INDEX('Spell Tables'!$X$242:$X$275,MATCH(O320,('Spell Tables'!$V$242:$V$275),0))," "))</f>
        <v xml:space="preserve"> </v>
      </c>
      <c r="S320" s="33" t="str">
        <f ca="1">IF($R$309&gt;=O320,INDEX('Spell Tables'!$AB$242:$AB$270,MATCH(O320,('Spell Tables'!$Z$242:$Z$270),0)),IF(AND($Q$11="wizard",$R$312&gt;=O320),INDEX('Spell Tables'!$AB$242:$AB$270,MATCH(O320,('Spell Tables'!$Z$242:$Z$270),0))," "))</f>
        <v xml:space="preserve"> </v>
      </c>
      <c r="T320" s="72" t="str">
        <f ca="1">IF($S$309&gt;=O320,INDEX('Spell Tables'!$AF$242:$AF$264,MATCH(O320,('Spell Tables'!$AD$242:$AD$264),0)),IF(AND($Q$11="wizard",$S$312&gt;=O320),INDEX('Spell Tables'!$AF$242:$AF$264,MATCH(O320,('Spell Tables'!$AD$242:$AD$264),0))," "))</f>
        <v xml:space="preserve"> </v>
      </c>
    </row>
    <row r="321" spans="1:20" x14ac:dyDescent="0.3">
      <c r="B321" s="79"/>
      <c r="C321" s="33"/>
      <c r="D321" s="33"/>
      <c r="E321" s="33"/>
      <c r="F321" s="33"/>
      <c r="G321" s="33"/>
      <c r="H321" s="33"/>
      <c r="I321" s="33"/>
      <c r="J321" s="33"/>
      <c r="K321" s="33"/>
      <c r="L321" s="33"/>
      <c r="M321" s="33"/>
      <c r="N321" s="33"/>
      <c r="O321" s="34">
        <v>7</v>
      </c>
      <c r="P321" s="33" t="str">
        <f t="shared" ca="1" si="67"/>
        <v xml:space="preserve"> </v>
      </c>
      <c r="Q321" s="33" t="str">
        <f ca="1">IF(AND($O$11="wizard",$P$309&gt;=O321),INDEX('Spell Tables'!$T$242:$T$271,MATCH(O321,('Spell Tables'!$R$242:$R$271),0)),IF(AND($Q$11="wizard",$P$312&gt;=O321),INDEX('Spell Tables'!$T$242:$T$271,MATCH(O321,('Spell Tables'!$R$242:$R$271),0))," "))</f>
        <v xml:space="preserve"> </v>
      </c>
      <c r="R321" s="33" t="str">
        <f ca="1">IF($Q$309&gt;=O321,INDEX('Spell Tables'!$X$242:$X$275,MATCH(O321,('Spell Tables'!$V$242:$V$275),0)),IF(AND($Q$11="wizard",$Q$312&gt;=O321),INDEX('Spell Tables'!$X$242:$X$275,MATCH(O321,('Spell Tables'!$V$242:$V$275),0))," "))</f>
        <v xml:space="preserve"> </v>
      </c>
      <c r="S321" s="33" t="str">
        <f ca="1">IF($R$309&gt;=O321,INDEX('Spell Tables'!$AB$242:$AB$270,MATCH(O321,('Spell Tables'!$Z$242:$Z$270),0)),IF(AND($Q$11="wizard",$R$312&gt;=O321),INDEX('Spell Tables'!$AB$242:$AB$270,MATCH(O321,('Spell Tables'!$Z$242:$Z$270),0))," "))</f>
        <v xml:space="preserve"> </v>
      </c>
      <c r="T321" s="72" t="str">
        <f ca="1">IF($S$309&gt;=O321,INDEX('Spell Tables'!$AF$242:$AF$264,MATCH(O321,('Spell Tables'!$AD$242:$AD$264),0)),IF(AND($Q$11="wizard",$S$312&gt;=O321),INDEX('Spell Tables'!$AF$242:$AF$264,MATCH(O321,('Spell Tables'!$AD$242:$AD$264),0))," "))</f>
        <v xml:space="preserve"> </v>
      </c>
    </row>
    <row r="322" spans="1:20" x14ac:dyDescent="0.3">
      <c r="B322" s="79"/>
      <c r="C322" s="33"/>
      <c r="D322" s="33"/>
      <c r="E322" s="33"/>
      <c r="F322" s="33"/>
      <c r="G322" s="33"/>
      <c r="H322" s="33"/>
      <c r="I322" s="33"/>
      <c r="J322" s="33"/>
      <c r="K322" s="33"/>
      <c r="L322" s="33"/>
      <c r="M322" s="33"/>
      <c r="N322" s="33"/>
      <c r="O322" s="34">
        <v>8</v>
      </c>
      <c r="P322" s="33" t="str">
        <f t="shared" ca="1" si="67"/>
        <v xml:space="preserve"> </v>
      </c>
      <c r="Q322" s="33" t="str">
        <f ca="1">IF(AND($O$11="wizard",$P$309&gt;=O322),INDEX('Spell Tables'!$T$242:$T$271,MATCH(O322,('Spell Tables'!$R$242:$R$271),0)),IF(AND($Q$11="wizard",$P$312&gt;=O322),INDEX('Spell Tables'!$T$242:$T$271,MATCH(O322,('Spell Tables'!$R$242:$R$271),0))," "))</f>
        <v xml:space="preserve"> </v>
      </c>
      <c r="R322" s="33" t="str">
        <f ca="1">IF($Q$309&gt;=O322,INDEX('Spell Tables'!$X$242:$X$275,MATCH(O322,('Spell Tables'!$V$242:$V$275),0)),IF(AND($Q$11="wizard",$Q$312&gt;=O322),INDEX('Spell Tables'!$X$242:$X$275,MATCH(O322,('Spell Tables'!$V$242:$V$275),0))," "))</f>
        <v xml:space="preserve"> </v>
      </c>
      <c r="S322" s="33" t="str">
        <f ca="1">IF($R$309&gt;=O322,INDEX('Spell Tables'!$AB$242:$AB$270,MATCH(O322,('Spell Tables'!$Z$242:$Z$270),0)),IF(AND($Q$11="wizard",$R$312&gt;=O322),INDEX('Spell Tables'!$AB$242:$AB$270,MATCH(O322,('Spell Tables'!$Z$242:$Z$270),0))," "))</f>
        <v xml:space="preserve"> </v>
      </c>
      <c r="T322" s="72" t="str">
        <f ca="1">IF($S$309&gt;=O322,INDEX('Spell Tables'!$AF$242:$AF$264,MATCH(O322,('Spell Tables'!$AD$242:$AD$264),0)),IF(AND($Q$11="wizard",$S$312&gt;=O322),INDEX('Spell Tables'!$AF$242:$AF$264,MATCH(O322,('Spell Tables'!$AD$242:$AD$264),0))," "))</f>
        <v xml:space="preserve"> </v>
      </c>
    </row>
    <row r="323" spans="1:20" x14ac:dyDescent="0.3">
      <c r="B323" s="79"/>
      <c r="C323" s="33"/>
      <c r="D323" s="33"/>
      <c r="E323" s="33"/>
      <c r="F323" s="33"/>
      <c r="G323" s="33"/>
      <c r="H323" s="33"/>
      <c r="I323" s="33"/>
      <c r="J323" s="33"/>
      <c r="K323" s="33"/>
      <c r="L323" s="33"/>
      <c r="M323" s="33"/>
      <c r="N323" s="33"/>
      <c r="O323" s="34">
        <v>9</v>
      </c>
      <c r="P323" s="33" t="str">
        <f t="shared" ca="1" si="67"/>
        <v xml:space="preserve"> </v>
      </c>
      <c r="Q323" s="33" t="str">
        <f ca="1">IF(AND($O$11="wizard",$P$309&gt;=O323),INDEX('Spell Tables'!$T$242:$T$271,MATCH(O323,('Spell Tables'!$R$242:$R$271),0)),IF(AND($Q$11="wizard",$P$312&gt;=O323),INDEX('Spell Tables'!$T$242:$T$271,MATCH(O323,('Spell Tables'!$R$242:$R$271),0))," "))</f>
        <v xml:space="preserve"> </v>
      </c>
      <c r="R323" s="33" t="str">
        <f ca="1">IF($Q$309&gt;=O323,INDEX('Spell Tables'!$X$242:$X$275,MATCH(O323,('Spell Tables'!$V$242:$V$275),0)),IF(AND($Q$11="wizard",$Q$312&gt;=O323),INDEX('Spell Tables'!$X$242:$X$275,MATCH(O323,('Spell Tables'!$V$242:$V$275),0))," "))</f>
        <v xml:space="preserve"> </v>
      </c>
      <c r="S323" s="33" t="str">
        <f ca="1">IF($R$309&gt;=O323,INDEX('Spell Tables'!$AB$242:$AB$270,MATCH(O323,('Spell Tables'!$Z$242:$Z$270),0)),IF(AND($Q$11="wizard",$R$312&gt;=O323),INDEX('Spell Tables'!$AB$242:$AB$270,MATCH(O323,('Spell Tables'!$Z$242:$Z$270),0))," "))</f>
        <v xml:space="preserve"> </v>
      </c>
      <c r="T323" s="72" t="str">
        <f ca="1">IF($S$309&gt;=O323,INDEX('Spell Tables'!$AF$242:$AF$264,MATCH(O323,('Spell Tables'!$AD$242:$AD$264),0)),IF(AND($Q$11="wizard",$S$312&gt;=O323),INDEX('Spell Tables'!$AF$242:$AF$264,MATCH(O323,('Spell Tables'!$AD$242:$AD$264),0))," "))</f>
        <v xml:space="preserve"> </v>
      </c>
    </row>
    <row r="324" spans="1:20" ht="19.5" thickBot="1" x14ac:dyDescent="0.35">
      <c r="B324" s="80"/>
      <c r="C324" s="38"/>
      <c r="D324" s="38"/>
      <c r="E324" s="38"/>
      <c r="F324" s="38"/>
      <c r="G324" s="38"/>
      <c r="H324" s="38"/>
      <c r="I324" s="38"/>
      <c r="J324" s="38"/>
      <c r="K324" s="38"/>
      <c r="L324" s="38"/>
      <c r="M324" s="38"/>
      <c r="N324" s="38"/>
      <c r="O324" s="82">
        <v>10</v>
      </c>
      <c r="P324" s="38" t="str">
        <f t="shared" ca="1" si="67"/>
        <v xml:space="preserve"> </v>
      </c>
      <c r="Q324" s="38" t="str">
        <f ca="1">IF(AND($O$11="wizard",$P$309&gt;=O324),INDEX('Spell Tables'!$T$242:$T$271,MATCH(O324,('Spell Tables'!$R$242:$R$271),0)),IF(AND($Q$11="wizard",$P$312&gt;=O324),INDEX('Spell Tables'!$T$242:$T$271,MATCH(O324,('Spell Tables'!$R$242:$R$271),0))," "))</f>
        <v xml:space="preserve"> </v>
      </c>
      <c r="R324" s="38" t="str">
        <f ca="1">IF($Q$309&gt;=O324,INDEX('Spell Tables'!$X$242:$X$275,MATCH(O324,('Spell Tables'!$V$242:$V$275),0)),IF(AND($Q$11="wizard",$Q$312&gt;=O324),INDEX('Spell Tables'!$X$242:$X$275,MATCH(O324,('Spell Tables'!$V$242:$V$275),0))," "))</f>
        <v xml:space="preserve"> </v>
      </c>
      <c r="S324" s="38" t="str">
        <f ca="1">IF($R$309&gt;=O324,INDEX('Spell Tables'!$AB$242:$AB$270,MATCH(O324,('Spell Tables'!$Z$242:$Z$270),0)),IF(AND($Q$11="wizard",$R$312&gt;=O324),INDEX('Spell Tables'!$AB$242:$AB$270,MATCH(O324,('Spell Tables'!$Z$242:$Z$270),0))," "))</f>
        <v xml:space="preserve"> </v>
      </c>
      <c r="T324" s="73" t="str">
        <f ca="1">IF($S$309&gt;=O324,INDEX('Spell Tables'!$AF$242:$AF$264,MATCH(O324,('Spell Tables'!$AD$242:$AD$264),0)),IF(AND($Q$11="wizard",$S$312&gt;=O324),INDEX('Spell Tables'!$AF$242:$AF$264,MATCH(O324,('Spell Tables'!$AD$242:$AD$264),0))," "))</f>
        <v xml:space="preserve"> </v>
      </c>
    </row>
    <row r="325" spans="1:20" ht="19.5" thickBot="1" x14ac:dyDescent="0.35">
      <c r="K325" s="100"/>
      <c r="L325" s="60"/>
      <c r="O325" s="99"/>
    </row>
    <row r="326" spans="1:20" ht="19.5" hidden="1" thickBot="1" x14ac:dyDescent="0.35">
      <c r="K326" s="100"/>
      <c r="L326" s="60"/>
      <c r="O326" s="65" t="s">
        <v>1169</v>
      </c>
      <c r="P326" s="65" t="s">
        <v>1170</v>
      </c>
      <c r="Q326" s="65" t="s">
        <v>1171</v>
      </c>
      <c r="R326" s="65" t="s">
        <v>677</v>
      </c>
      <c r="S326" s="101" t="s">
        <v>1172</v>
      </c>
    </row>
    <row r="327" spans="1:20" ht="19.5" hidden="1" thickBot="1" x14ac:dyDescent="0.35">
      <c r="K327" s="100"/>
      <c r="L327" s="60"/>
      <c r="O327" s="60" t="str">
        <f ca="1">IF(AND(O11="wizard",O12&gt;=15),"xxxx",IF(AND(O11="wizard",O12&gt;=11),"x",IF(AND($O$11="wizard",$O$12&gt;9),"xx",IF(AND(O11="wizard",O12=9),"xxx"," "))))</f>
        <v xml:space="preserve"> </v>
      </c>
      <c r="P327" s="60" t="str">
        <f ca="1">IF(AND(O11="wizard",O12&gt;=17),"xxxx",IF(AND(O11="wizard",O12&gt;=13),"x",IF(AND($O$11="wizard",$O$12&gt;11),"xx",IF(AND(O11="wizard",O12=11),"xxx"," "))))</f>
        <v xml:space="preserve"> </v>
      </c>
      <c r="Q327" s="60" t="str">
        <f ca="1">IF(AND(O11="wizard",O12&gt;=19),"xxxx",IF(AND(O11="wizard",O12&gt;=15),"x",IF(AND($O$11="wizard",$O$12&gt;13),"xx",IF(AND(O11="wizard",O12=13),"xxx"," "))))</f>
        <v xml:space="preserve"> </v>
      </c>
      <c r="R327" s="60" t="str">
        <f ca="1">IF(AND(O11="wizard",O12&gt;=17),"x",IF(AND($O$11="wizard",$O$12&gt;15),"xx",IF(AND(O11="wizard",O12=15),"xxx"," ")))</f>
        <v xml:space="preserve"> </v>
      </c>
      <c r="S327" s="102" t="str">
        <f ca="1">IF(AND($O$11="wizard",$O$12&gt;17),"xx",IF(AND(O11="wizard",O12=17),"xxx"," "))</f>
        <v xml:space="preserve"> </v>
      </c>
    </row>
    <row r="328" spans="1:20" ht="19.5" hidden="1" thickBot="1" x14ac:dyDescent="0.35">
      <c r="K328" s="100"/>
      <c r="L328" s="60"/>
      <c r="O328" s="65">
        <f ca="1">IF($O327="xxxx",MAX(P208,(RANDBETWEEN(5,6))),IF(O327="x",MAX(P208,(RANDBETWEEN(3,6))),IF(O327="xx",MAX(P208,(RANDBETWEEN(2,4))),IF(O327="xxx",MAX(P208,(2)),0))))</f>
        <v>0</v>
      </c>
      <c r="P328" s="65">
        <f ca="1">IF($P327="xxxx",RANDBETWEEN(5,6),IF(P327="x",RANDBETWEEN(3,6),IF(P327="xx",RANDBETWEEN(2,4),IF(P327="xxx",2,0))))</f>
        <v>0</v>
      </c>
      <c r="Q328" s="65">
        <f ca="1">IF($Q327="xxxx",RANDBETWEEN(5,6),IF(Q327="x",RANDBETWEEN(3,6),IF(Q327="xx",RANDBETWEEN(2,4),IF(Q327="xxx",2,0))))</f>
        <v>0</v>
      </c>
      <c r="R328" s="65">
        <f ca="1">IF(OR(R327="x",R327="xx"),RANDBETWEEN(2,4),IF(R327="xxx",2,0))</f>
        <v>0</v>
      </c>
      <c r="S328" s="101">
        <f ca="1">IF(S327="xx",RANDBETWEEN(2,4),IF(S327="xxx",2,0))</f>
        <v>0</v>
      </c>
    </row>
    <row r="329" spans="1:20" ht="19.5" hidden="1" thickBot="1" x14ac:dyDescent="0.35">
      <c r="K329" s="100"/>
      <c r="L329" s="60"/>
      <c r="O329" s="60" t="s">
        <v>1169</v>
      </c>
      <c r="P329" s="60" t="s">
        <v>1170</v>
      </c>
      <c r="Q329" s="60" t="s">
        <v>1171</v>
      </c>
      <c r="R329" s="60" t="s">
        <v>677</v>
      </c>
      <c r="S329" s="102" t="s">
        <v>1172</v>
      </c>
    </row>
    <row r="330" spans="1:20" ht="19.5" hidden="1" thickBot="1" x14ac:dyDescent="0.35">
      <c r="K330" s="100"/>
      <c r="L330" s="60"/>
      <c r="O330" s="65" t="str">
        <f ca="1">IF(AND(Q11="wizard",Q12&gt;=15),"xxxx",IF(AND(Q11="wizard",Q12&gt;=11),"x",IF(AND($Q$11="wizard",$Q$12&gt;9),"xx",IF(AND(Q11="wizard",Q12=9),"xxx"," "))))</f>
        <v xml:space="preserve"> </v>
      </c>
      <c r="P330" s="65" t="str">
        <f ca="1">IF(AND(Q11="wizard",Q12&gt;=17),"xxxx",IF(AND(Q11="wizard",Q12&gt;=13),"x",IF(AND($Q$11="wizard",$Q$12&gt;11),"xx",IF(AND(Q11="wizard",Q12=11),"xxx"," "))))</f>
        <v xml:space="preserve"> </v>
      </c>
      <c r="Q330" s="65" t="str">
        <f ca="1">IF(AND(Q11="wizard",Q12&gt;=19),"xxxx",IF(AND(Q11="wizard",Q12&gt;=15),"x",IF(AND($Q$11="wizard",$Q$12&gt;13),"xx",IF(AND(Q11="wizard",Q12=13),"xxx"," "))))</f>
        <v xml:space="preserve"> </v>
      </c>
      <c r="R330" s="65" t="str">
        <f ca="1">IF(AND(Q11="wizard",Q12&gt;=17),"x",IF(AND($Q$11="wizard",$Q$12&gt;15),"xx",IF(AND(Q11="wizard",Q12=15),"xxx"," ")))</f>
        <v xml:space="preserve"> </v>
      </c>
      <c r="S330" s="101" t="str">
        <f ca="1">IF(AND($Q$11="wizard",$Q$12&gt;17),"xx",IF(AND(Q11="wizard",Q12=17),"xxx"," "))</f>
        <v xml:space="preserve"> </v>
      </c>
    </row>
    <row r="331" spans="1:20" ht="19.5" hidden="1" thickBot="1" x14ac:dyDescent="0.35">
      <c r="K331" s="100"/>
      <c r="L331" s="60"/>
      <c r="O331" s="60">
        <f ca="1">IF($O330="xxxx",MAX(O275,(RANDBETWEEN(5,6))),IF(O330="x",MAX(O275,(RANDBETWEEN(3,6))),IF(O330="xx",MAX(O275,(RANDBETWEEN(2,4))),IF(O330="xxx",MAX(O275,(2)),0))))</f>
        <v>0</v>
      </c>
      <c r="P331" s="60">
        <f ca="1">IF($P330="xxxx",RANDBETWEEN(5,6),IF(P330="x",RANDBETWEEN(3,6),IF(P330="xx",RANDBETWEEN(2,4),IF(P330="xxx",2,0))))</f>
        <v>0</v>
      </c>
      <c r="Q331" s="60">
        <f ca="1">IF($Q330="xxxx",RANDBETWEEN(5,6),IF(Q330="x",RANDBETWEEN(3,6),IF(Q330="xx",RANDBETWEEN(2,4),IF(Q330="xxx",2,0))))</f>
        <v>0</v>
      </c>
      <c r="R331" s="60">
        <f ca="1">IF(OR(R330="x",R330="xx"),RANDBETWEEN(2,4),IF(R330="xxx",2,0))</f>
        <v>0</v>
      </c>
      <c r="S331" s="102">
        <f ca="1">IF(S330="xx",RANDBETWEEN(2,4),IF(S330="xxx",2,0))</f>
        <v>0</v>
      </c>
    </row>
    <row r="332" spans="1:20" ht="19.5" hidden="1" thickBot="1" x14ac:dyDescent="0.35">
      <c r="K332" s="100"/>
      <c r="L332" s="60"/>
      <c r="O332" s="65"/>
      <c r="P332" s="65"/>
      <c r="Q332" s="65"/>
      <c r="R332" s="65"/>
      <c r="S332" s="101"/>
    </row>
    <row r="333" spans="1:20" x14ac:dyDescent="0.3">
      <c r="A333" s="33"/>
      <c r="B333" s="72"/>
      <c r="K333" s="100"/>
      <c r="L333" s="60"/>
      <c r="P333" s="103" t="s">
        <v>1169</v>
      </c>
      <c r="Q333" s="103" t="s">
        <v>1170</v>
      </c>
      <c r="R333" s="103" t="s">
        <v>1171</v>
      </c>
      <c r="S333" s="103" t="s">
        <v>677</v>
      </c>
      <c r="T333" s="104" t="s">
        <v>1172</v>
      </c>
    </row>
    <row r="334" spans="1:20" x14ac:dyDescent="0.3">
      <c r="A334" s="33"/>
      <c r="B334" s="72"/>
      <c r="K334" s="100"/>
      <c r="L334" s="60"/>
      <c r="O334" s="83">
        <v>1</v>
      </c>
      <c r="P334" s="65" t="str">
        <f ca="1">IF($O$328&gt;=O315,INDEX('Spell Tables'!$AJ$242:$AJ$264,MATCH(O315,('Spell Tables'!$AH$242:$AH$264),0)),IF(AND($Q$11="wizard",$O$331&gt;=O315),INDEX('Spell Tables'!$AJ$242:$AJ$264,MATCH(O315,('Spell Tables'!$AH$242:$AH$264),0))," "))</f>
        <v xml:space="preserve"> </v>
      </c>
      <c r="Q334" s="65" t="str">
        <f ca="1">IF($P$328&gt;=O$315,INDEX('Spell Tables'!$AN$242:$AN$260,MATCH(O$315,('Spell Tables'!$AL$242:$AL$260),0))," ")</f>
        <v xml:space="preserve"> </v>
      </c>
      <c r="R334" s="65" t="str">
        <f ca="1">IF($Q$328&gt;=O$315,INDEX('Spell Tables'!$AR$242:$AR$256,MATCH(O$315,('Spell Tables'!$AP$242:$AP$256),0))," ")</f>
        <v xml:space="preserve"> </v>
      </c>
      <c r="S334" s="65" t="str">
        <f ca="1">IF($R$328&gt;=O$315,INDEX('Spell Tables'!$AV$242:$AV$255,MATCH(O$315,('Spell Tables'!$AT$242:$AT$255),0))," ")</f>
        <v xml:space="preserve"> </v>
      </c>
      <c r="T334" s="66" t="str">
        <f ca="1">IF($S$328&gt;=O$315,INDEX('Spell Tables'!$AZ$242:$AZ$253,MATCH(O$315,('Spell Tables'!$AX$242:$AX$253),0))," ")</f>
        <v xml:space="preserve"> </v>
      </c>
    </row>
    <row r="335" spans="1:20" x14ac:dyDescent="0.3">
      <c r="A335" s="33"/>
      <c r="B335" s="72"/>
      <c r="O335" s="84">
        <v>2</v>
      </c>
      <c r="P335" s="60" t="str">
        <f ca="1">IF($O$328&gt;=O316,INDEX('Spell Tables'!$AJ$242:$AJ$264,MATCH(O316,('Spell Tables'!$AH$242:$AH$264),0)),IF(AND($Q$11="wizard",$O$331&gt;=O316),INDEX('Spell Tables'!$AJ$242:$AJ$264,MATCH(O316,('Spell Tables'!$AH$242:$AH$264),0))," "))</f>
        <v xml:space="preserve"> </v>
      </c>
      <c r="Q335" s="60" t="str">
        <f ca="1">IF($P$328&gt;=O$316,INDEX('Spell Tables'!$AN$242:$AN$260,MATCH(O$316,('Spell Tables'!$AL$242:$AL$260),0))," ")</f>
        <v xml:space="preserve"> </v>
      </c>
      <c r="R335" s="60" t="str">
        <f ca="1">IF($Q$328&gt;=O$316,INDEX('Spell Tables'!$AR$242:$AR$256,MATCH(O$316,('Spell Tables'!$AP$242:$AP$256),0))," ")</f>
        <v xml:space="preserve"> </v>
      </c>
      <c r="S335" s="60" t="str">
        <f ca="1">IF($R$328&gt;=O$316,INDEX('Spell Tables'!$AV$242:$AV$255,MATCH(O$316,('Spell Tables'!$AT$242:$AT$255),0))," ")</f>
        <v xml:space="preserve"> </v>
      </c>
      <c r="T335" s="63" t="str">
        <f ca="1">IF($S$328&gt;=O$316,INDEX('Spell Tables'!$AZ$242:$AZ$253,MATCH(O$316,('Spell Tables'!$AX$242:$AX$253),0))," ")</f>
        <v xml:space="preserve"> </v>
      </c>
    </row>
    <row r="336" spans="1:20" x14ac:dyDescent="0.3">
      <c r="A336" s="33"/>
      <c r="B336" s="72"/>
      <c r="O336" s="83">
        <v>3</v>
      </c>
      <c r="P336" s="65" t="str">
        <f ca="1">IF($O$328&gt;=O317,INDEX('Spell Tables'!$AJ$242:$AJ$264,MATCH(O317,('Spell Tables'!$AH$242:$AH$264),0)),IF(AND($Q$11="wizard",$O$331&gt;=O317),INDEX('Spell Tables'!$AJ$242:$AJ$264,MATCH(O317,('Spell Tables'!$AH$242:$AH$264),0))," "))</f>
        <v xml:space="preserve"> </v>
      </c>
      <c r="Q336" s="65" t="str">
        <f ca="1">IF($P$328&gt;=O$317,INDEX('Spell Tables'!$AN$242:$AN$260,MATCH(O$317,('Spell Tables'!$AL$242:$AL$260),0))," ")</f>
        <v xml:space="preserve"> </v>
      </c>
      <c r="R336" s="65" t="str">
        <f ca="1">IF($Q$328&gt;=O$317,INDEX('Spell Tables'!$AR$242:$AR$256,MATCH(O$317,('Spell Tables'!$AP$242:$AP$256),0))," ")</f>
        <v xml:space="preserve"> </v>
      </c>
      <c r="S336" s="65" t="str">
        <f ca="1">IF($R$328&gt;=O$317,INDEX('Spell Tables'!$AV$242:$AV$255,MATCH(O$317,('Spell Tables'!$AT$242:$AT$255),0))," ")</f>
        <v xml:space="preserve"> </v>
      </c>
      <c r="T336" s="66" t="str">
        <f ca="1">IF($S$328&gt;=O$317,INDEX('Spell Tables'!$AZ$242:$AZ$253,MATCH(O$317,('Spell Tables'!$AX$242:$AX$253),0))," ")</f>
        <v xml:space="preserve"> </v>
      </c>
    </row>
    <row r="337" spans="1:20" x14ac:dyDescent="0.3">
      <c r="A337" s="33"/>
      <c r="B337" s="72"/>
      <c r="O337" s="84">
        <v>4</v>
      </c>
      <c r="P337" s="60" t="str">
        <f ca="1">IF($O$328&gt;=O318,INDEX('Spell Tables'!$AJ$242:$AJ$264,MATCH(O318,('Spell Tables'!$AH$242:$AH$264),0)),IF(AND($Q$11="wizard",$O$331&gt;=O318),INDEX('Spell Tables'!$AJ$242:$AJ$264,MATCH(O318,('Spell Tables'!$AH$242:$AH$264),0))," "))</f>
        <v xml:space="preserve"> </v>
      </c>
      <c r="Q337" s="60" t="str">
        <f ca="1">IF($P$328&gt;=O$318,INDEX('Spell Tables'!$AN$242:$AN$260,MATCH(O$318,('Spell Tables'!$AL$242:$AL$260),0))," ")</f>
        <v xml:space="preserve"> </v>
      </c>
      <c r="R337" s="60" t="str">
        <f ca="1">IF($Q$328&gt;=O$318,INDEX('Spell Tables'!$AR$242:$AR$256,MATCH(O$318,('Spell Tables'!$AP$242:$AP$256),0))," ")</f>
        <v xml:space="preserve"> </v>
      </c>
      <c r="S337" s="60" t="str">
        <f ca="1">IF($R$328&gt;=O$318,INDEX('Spell Tables'!$AV$242:$AV$255,MATCH(O$318,('Spell Tables'!$AT$242:$AT$255),0))," ")</f>
        <v xml:space="preserve"> </v>
      </c>
      <c r="T337" s="63" t="str">
        <f ca="1">IF($S$328&gt;=O$318,INDEX('Spell Tables'!$AZ$242:$AZ$253,MATCH(O$318,('Spell Tables'!$AX$242:$AX$253),0))," ")</f>
        <v xml:space="preserve"> </v>
      </c>
    </row>
    <row r="338" spans="1:20" x14ac:dyDescent="0.3">
      <c r="A338" s="33"/>
      <c r="B338" s="72"/>
      <c r="O338" s="83">
        <v>5</v>
      </c>
      <c r="P338" s="65" t="str">
        <f ca="1">IF($O$328&gt;=O319,INDEX('Spell Tables'!$AJ$242:$AJ$264,MATCH(O319,('Spell Tables'!$AH$242:$AH$264),0)),IF(AND($Q$11="wizard",$O$331&gt;=O319),INDEX('Spell Tables'!$AJ$242:$AJ$264,MATCH(O319,('Spell Tables'!$AH$242:$AH$264),0))," "))</f>
        <v xml:space="preserve"> </v>
      </c>
      <c r="Q338" s="65" t="str">
        <f ca="1">IF($P$328&gt;=O$319,INDEX('Spell Tables'!$AN$242:$AN$260,MATCH(O$319,('Spell Tables'!$AL$242:$AL$260),0))," ")</f>
        <v xml:space="preserve"> </v>
      </c>
      <c r="R338" s="65" t="str">
        <f ca="1">IF($Q$328&gt;=O$319,INDEX('Spell Tables'!$AR$242:$AR$256,MATCH(O$319,('Spell Tables'!$AP$242:$AP$256),0))," ")</f>
        <v xml:space="preserve"> </v>
      </c>
      <c r="S338" s="65" t="str">
        <f ca="1">IF($R$328&gt;=O$319,INDEX('Spell Tables'!$AV$242:$AV$255,MATCH(O$319,('Spell Tables'!$AT$242:$AT$255),0))," ")</f>
        <v xml:space="preserve"> </v>
      </c>
      <c r="T338" s="66" t="str">
        <f ca="1">IF($S$328&gt;=O$319,INDEX('Spell Tables'!$AZ$242:$AZ$253,MATCH(O$319,('Spell Tables'!$AX$242:$AX$253),0))," ")</f>
        <v xml:space="preserve"> </v>
      </c>
    </row>
    <row r="339" spans="1:20" x14ac:dyDescent="0.3">
      <c r="A339" s="33"/>
      <c r="B339" s="72"/>
      <c r="K339" s="100"/>
      <c r="L339" s="60"/>
      <c r="O339" s="84">
        <v>6</v>
      </c>
      <c r="P339" s="60" t="str">
        <f ca="1">IF($O$328&gt;=O320,INDEX('Spell Tables'!$AJ$242:$AJ$264,MATCH(O320,('Spell Tables'!$AH$242:$AH$264),0)),IF(AND($Q$11="wizard",$O$331&gt;=O320),INDEX('Spell Tables'!$AJ$242:$AJ$264,MATCH(O320,('Spell Tables'!$AH$242:$AH$264),0))," "))</f>
        <v xml:space="preserve"> </v>
      </c>
      <c r="Q339" s="60" t="str">
        <f ca="1">IF($P$328&gt;=O$320,INDEX('Spell Tables'!$AN$242:$AN$260,MATCH(O$320,('Spell Tables'!$AL$242:$AL$260),0))," ")</f>
        <v xml:space="preserve"> </v>
      </c>
      <c r="R339" s="60" t="str">
        <f ca="1">IF($Q$328&gt;=O$320,INDEX('Spell Tables'!$AR$242:$AR$256,MATCH(O$320,('Spell Tables'!$AP$242:$AP$256),0))," ")</f>
        <v xml:space="preserve"> </v>
      </c>
      <c r="S339" s="60" t="str">
        <f ca="1">IF($R$328&gt;=O$320,INDEX('Spell Tables'!$AV$242:$AV$255,MATCH(O$320,('Spell Tables'!$AT$242:$AT$255),0))," ")</f>
        <v xml:space="preserve"> </v>
      </c>
      <c r="T339" s="63" t="str">
        <f ca="1">IF($S$328&gt;=O$320,INDEX('Spell Tables'!$AZ$242:$AZ$253,MATCH(O$320,('Spell Tables'!$AX$242:$AX$253),0))," ")</f>
        <v xml:space="preserve"> </v>
      </c>
    </row>
    <row r="340" spans="1:20" x14ac:dyDescent="0.3">
      <c r="A340" s="33"/>
      <c r="B340" s="72"/>
      <c r="K340" s="100"/>
      <c r="L340" s="60"/>
      <c r="O340" s="83">
        <v>7</v>
      </c>
      <c r="P340" s="65" t="str">
        <f ca="1">IF($O$328&gt;=O321,INDEX('Spell Tables'!$AJ$242:$AJ$264,MATCH(O321,('Spell Tables'!$AH$242:$AH$264),0)),IF(AND($Q$11="wizard",$O$331&gt;=O321),INDEX('Spell Tables'!$AJ$242:$AJ$264,MATCH(O321,('Spell Tables'!$AH$242:$AH$264),0))," "))</f>
        <v xml:space="preserve"> </v>
      </c>
      <c r="Q340" s="65" t="str">
        <f ca="1">IF($P$328&gt;=O$321,INDEX('Spell Tables'!$AN$242:$AN$260,MATCH(O$321,('Spell Tables'!$AL$242:$AL$260),0))," ")</f>
        <v xml:space="preserve"> </v>
      </c>
      <c r="R340" s="65" t="str">
        <f ca="1">IF($Q$328&gt;=O$321,INDEX('Spell Tables'!$AR$242:$AR$256,MATCH(O$321,('Spell Tables'!$AP$242:$AP$256),0))," ")</f>
        <v xml:space="preserve"> </v>
      </c>
      <c r="S340" s="65" t="str">
        <f ca="1">IF($R$328&gt;=O$321,INDEX('Spell Tables'!$AV$242:$AV$255,MATCH(O$321,('Spell Tables'!$AT$242:$AT$255),0))," ")</f>
        <v xml:space="preserve"> </v>
      </c>
      <c r="T340" s="66" t="str">
        <f ca="1">IF($S$328&gt;=O$321,INDEX('Spell Tables'!$AZ$242:$AZ$253,MATCH(O$321,('Spell Tables'!$AX$242:$AX$253),0))," ")</f>
        <v xml:space="preserve"> </v>
      </c>
    </row>
    <row r="341" spans="1:20" x14ac:dyDescent="0.3">
      <c r="A341" s="33"/>
      <c r="B341" s="72"/>
      <c r="K341" s="100"/>
      <c r="L341" s="60"/>
      <c r="O341" s="84">
        <v>8</v>
      </c>
      <c r="P341" s="60" t="str">
        <f ca="1">IF($O$328&gt;=O322,INDEX('Spell Tables'!$AJ$242:$AJ$264,MATCH(O322,('Spell Tables'!$AH$242:$AH$264),0)),IF(AND($Q$11="wizard",$O$331&gt;=O322),INDEX('Spell Tables'!$AJ$242:$AJ$264,MATCH(O322,('Spell Tables'!$AH$242:$AH$264),0))," "))</f>
        <v xml:space="preserve"> </v>
      </c>
      <c r="Q341" s="60" t="str">
        <f ca="1">IF($P$328&gt;=O$322,INDEX('Spell Tables'!$AN$242:$AN$260,MATCH(O$322,('Spell Tables'!$AL$242:$AL$260),0))," ")</f>
        <v xml:space="preserve"> </v>
      </c>
      <c r="R341" s="60" t="str">
        <f ca="1">IF($Q$328&gt;=O$322,INDEX('Spell Tables'!$AR$242:$AR$256,MATCH(O$322,('Spell Tables'!$AP$242:$AP$256),0))," ")</f>
        <v xml:space="preserve"> </v>
      </c>
      <c r="S341" s="60" t="str">
        <f ca="1">IF($R$328&gt;=O$322,INDEX('Spell Tables'!$AV$242:$AV$255,MATCH(O$322,('Spell Tables'!$AT$242:$AT$255),0))," ")</f>
        <v xml:space="preserve"> </v>
      </c>
      <c r="T341" s="63" t="str">
        <f ca="1">IF($S$328&gt;=O$322,INDEX('Spell Tables'!$AZ$242:$AZ$253,MATCH(O$322,('Spell Tables'!$AX$242:$AX$253),0))," ")</f>
        <v xml:space="preserve"> </v>
      </c>
    </row>
    <row r="342" spans="1:20" x14ac:dyDescent="0.3">
      <c r="A342" s="33"/>
      <c r="B342" s="72"/>
      <c r="O342" s="83">
        <v>9</v>
      </c>
      <c r="P342" s="65" t="str">
        <f ca="1">IF($O$328&gt;=O323,INDEX('Spell Tables'!$AJ$242:$AJ$264,MATCH(O323,('Spell Tables'!$AH$242:$AH$264),0)),IF(AND($Q$11="wizard",$O$331&gt;=O323),INDEX('Spell Tables'!$AJ$242:$AJ$264,MATCH(O323,('Spell Tables'!$AH$242:$AH$264),0))," "))</f>
        <v xml:space="preserve"> </v>
      </c>
      <c r="Q342" s="65" t="str">
        <f ca="1">IF($P$328&gt;=O$323,INDEX('Spell Tables'!$AN$242:$AN$260,MATCH(O$323,('Spell Tables'!$AL$242:$AL$260),0))," ")</f>
        <v xml:space="preserve"> </v>
      </c>
      <c r="R342" s="65" t="str">
        <f ca="1">IF($Q$328&gt;=O$323,INDEX('Spell Tables'!$AR$242:$AR$256,MATCH(O$323,('Spell Tables'!$AP$242:$AP$256),0))," ")</f>
        <v xml:space="preserve"> </v>
      </c>
      <c r="S342" s="65" t="str">
        <f ca="1">IF($R$328&gt;=O$323,INDEX('Spell Tables'!$AV$242:$AV$255,MATCH(O$323,('Spell Tables'!$AT$242:$AT$255),0))," ")</f>
        <v xml:space="preserve"> </v>
      </c>
      <c r="T342" s="66" t="str">
        <f ca="1">IF($S$328&gt;=O$323,INDEX('Spell Tables'!$AZ$242:$AZ$253,MATCH(O$323,('Spell Tables'!$AX$242:$AX$253),0))," ")</f>
        <v xml:space="preserve"> </v>
      </c>
    </row>
    <row r="343" spans="1:20" ht="19.5" thickBot="1" x14ac:dyDescent="0.35">
      <c r="A343" s="33"/>
      <c r="B343" s="72"/>
      <c r="K343" s="31"/>
      <c r="O343" s="85">
        <v>10</v>
      </c>
      <c r="P343" s="67" t="str">
        <f ca="1">IF($O$328&gt;=O324,INDEX('Spell Tables'!$AJ$242:$AJ$264,MATCH(O324,('Spell Tables'!$AH$242:$AH$264),0)),IF(AND($Q$11="wizard",$O$331&gt;=O324),INDEX('Spell Tables'!$AJ$242:$AJ$264,MATCH(O324,('Spell Tables'!$AH$242:$AH$264),0))," "))</f>
        <v xml:space="preserve"> </v>
      </c>
      <c r="Q343" s="67" t="str">
        <f ca="1">IF($P$328&gt;=O$324,INDEX('Spell Tables'!$AN$242:$AN$260,MATCH(O$324,('Spell Tables'!$AL$242:$AL$260),0))," ")</f>
        <v xml:space="preserve"> </v>
      </c>
      <c r="R343" s="67" t="str">
        <f ca="1">IF($Q$328&gt;=O$324,INDEX('Spell Tables'!$AR$242:$AR$256,MATCH(O$324,('Spell Tables'!$AP$242:$AP$256),0))," ")</f>
        <v xml:space="preserve"> </v>
      </c>
      <c r="S343" s="67" t="str">
        <f ca="1">IF($R$328&gt;=O$324,INDEX('Spell Tables'!$AV$242:$AV$255,MATCH(O$324,('Spell Tables'!$AT$242:$AT$255),0))," ")</f>
        <v xml:space="preserve"> </v>
      </c>
      <c r="T343" s="68" t="str">
        <f ca="1">IF($S$328&gt;=O$324,INDEX('Spell Tables'!$AZ$242:$AZ$253,MATCH(O$324,('Spell Tables'!$AX$242:$AX$253),0))," ")</f>
        <v xml:space="preserve"> </v>
      </c>
    </row>
  </sheetData>
  <sheetProtection sheet="1" objects="1" scenarios="1"/>
  <hyperlinks>
    <hyperlink ref="A1" location="'Character Overview'!A1" display="Back to Overview" xr:uid="{B7874BDA-3767-491D-A375-6F002E372A0F}"/>
  </hyperlinks>
  <pageMargins left="0.25" right="0.25" top="0.75" bottom="0.75" header="0.3" footer="0.3"/>
  <pageSetup scale="34" orientation="landscape" horizontalDpi="4294967293" r:id="rId1"/>
  <drawing r:id="rId2"/>
  <tableParts count="56">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 r:id="rId50"/>
    <tablePart r:id="rId51"/>
    <tablePart r:id="rId52"/>
    <tablePart r:id="rId53"/>
    <tablePart r:id="rId54"/>
    <tablePart r:id="rId55"/>
    <tablePart r:id="rId56"/>
    <tablePart r:id="rId57"/>
    <tablePart r:id="rId58"/>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BF5F1-4D54-414D-A0CE-203494C85277}">
  <sheetPr codeName="Аркуш10">
    <pageSetUpPr fitToPage="1"/>
  </sheetPr>
  <dimension ref="A1:CJ343"/>
  <sheetViews>
    <sheetView showGridLines="0" showRowColHeaders="0" zoomScale="54" zoomScaleNormal="54" workbookViewId="0"/>
  </sheetViews>
  <sheetFormatPr defaultColWidth="8.85546875" defaultRowHeight="18.75" x14ac:dyDescent="0.3"/>
  <cols>
    <col min="1" max="1" width="23.140625" style="29" customWidth="1"/>
    <col min="2" max="2" width="62.7109375" style="29" customWidth="1"/>
    <col min="3" max="3" width="13.7109375" style="29" hidden="1" customWidth="1"/>
    <col min="4" max="5" width="3.85546875" style="29" hidden="1" customWidth="1"/>
    <col min="6" max="8" width="5" style="29" hidden="1" customWidth="1"/>
    <col min="9" max="9" width="11.7109375" style="29" hidden="1" customWidth="1"/>
    <col min="10" max="10" width="2.28515625" style="29" hidden="1" customWidth="1"/>
    <col min="11" max="11" width="14.7109375" style="29" hidden="1" customWidth="1"/>
    <col min="12" max="12" width="13.28515625" style="29" hidden="1" customWidth="1"/>
    <col min="13" max="13" width="7.28515625" style="29" hidden="1" customWidth="1"/>
    <col min="14" max="14" width="2.140625" style="29" hidden="1" customWidth="1"/>
    <col min="15" max="19" width="50.7109375" style="29" customWidth="1"/>
    <col min="20" max="20" width="34" style="29" customWidth="1"/>
    <col min="21" max="21" width="34.28515625" style="29" customWidth="1"/>
    <col min="22" max="22" width="34.140625" style="29" customWidth="1"/>
    <col min="23" max="23" width="29.85546875" style="29" customWidth="1"/>
    <col min="24" max="24" width="18.5703125" style="29" customWidth="1"/>
    <col min="25" max="25" width="34.28515625" style="29" bestFit="1" customWidth="1"/>
    <col min="26" max="26" width="32.7109375" style="29" customWidth="1"/>
    <col min="27" max="27" width="9.7109375" style="29" bestFit="1" customWidth="1"/>
    <col min="28" max="28" width="12.140625" style="29" bestFit="1" customWidth="1"/>
    <col min="29" max="29" width="8.85546875" style="29"/>
    <col min="30" max="30" width="0" style="29" hidden="1" customWidth="1"/>
    <col min="31" max="31" width="10.28515625" style="29" hidden="1" customWidth="1"/>
    <col min="32" max="32" width="23.5703125" style="29" hidden="1" customWidth="1"/>
    <col min="33" max="33" width="8.85546875" style="29" hidden="1" customWidth="1"/>
    <col min="34" max="34" width="17.85546875" style="29" hidden="1" customWidth="1"/>
    <col min="35" max="35" width="3.5703125" style="29" hidden="1" customWidth="1"/>
    <col min="36" max="36" width="21.85546875" style="29" hidden="1" customWidth="1"/>
    <col min="37" max="37" width="14.140625" style="29" hidden="1" customWidth="1"/>
    <col min="38" max="38" width="21.85546875" style="29" hidden="1" customWidth="1"/>
    <col min="39" max="39" width="5.7109375" style="29" hidden="1" customWidth="1"/>
    <col min="40" max="40" width="27.7109375" style="29" hidden="1" customWidth="1"/>
    <col min="41" max="41" width="10.7109375" style="29" hidden="1" customWidth="1"/>
    <col min="42" max="42" width="13.28515625" style="29" hidden="1" customWidth="1"/>
    <col min="43" max="43" width="13" style="29" hidden="1" customWidth="1"/>
    <col min="44" max="44" width="8.85546875" style="29" hidden="1" customWidth="1"/>
    <col min="45" max="45" width="11.7109375" style="29" hidden="1" customWidth="1"/>
    <col min="46" max="47" width="8.85546875" style="29" hidden="1" customWidth="1"/>
    <col min="48" max="49" width="15.28515625" style="29" hidden="1" customWidth="1"/>
    <col min="50" max="50" width="14.140625" style="29" hidden="1" customWidth="1"/>
    <col min="51" max="51" width="9.85546875" style="29" hidden="1" customWidth="1"/>
    <col min="52" max="52" width="12.140625" style="29" hidden="1" customWidth="1"/>
    <col min="53" max="53" width="15.28515625" style="29" hidden="1" customWidth="1"/>
    <col min="54" max="54" width="12.140625" style="29" hidden="1" customWidth="1"/>
    <col min="55" max="55" width="9" style="29" hidden="1" customWidth="1"/>
    <col min="56" max="57" width="10.42578125" style="29" hidden="1" customWidth="1"/>
    <col min="58" max="58" width="9.7109375" style="29" hidden="1" customWidth="1"/>
    <col min="59" max="59" width="10.42578125" style="29" hidden="1" customWidth="1"/>
    <col min="60" max="60" width="7.140625" style="29" hidden="1" customWidth="1"/>
    <col min="61" max="61" width="10.42578125" style="29" hidden="1" customWidth="1"/>
    <col min="62" max="62" width="11.7109375" style="29" hidden="1" customWidth="1"/>
    <col min="63" max="63" width="14.140625" style="29" hidden="1" customWidth="1"/>
    <col min="64" max="64" width="8.85546875" style="29" hidden="1" customWidth="1"/>
    <col min="65" max="65" width="15.7109375" style="29" hidden="1" customWidth="1"/>
    <col min="66" max="66" width="10" style="29" hidden="1" customWidth="1"/>
    <col min="67" max="67" width="13.42578125" style="29" hidden="1" customWidth="1"/>
    <col min="68" max="68" width="15.28515625" style="29" hidden="1" customWidth="1"/>
    <col min="69" max="69" width="15" style="29" hidden="1" customWidth="1"/>
    <col min="70" max="70" width="7.28515625" style="29" hidden="1" customWidth="1"/>
    <col min="71" max="71" width="17.85546875" style="29" hidden="1" customWidth="1"/>
    <col min="72" max="72" width="14.140625" style="29" hidden="1" customWidth="1"/>
    <col min="73" max="73" width="8.28515625" style="29" hidden="1" customWidth="1"/>
    <col min="74" max="74" width="15.28515625" style="29" hidden="1" customWidth="1"/>
    <col min="75" max="79" width="8.85546875" style="29" hidden="1" customWidth="1"/>
    <col min="80" max="80" width="21.140625" style="29" hidden="1" customWidth="1"/>
    <col min="81" max="81" width="12" style="29" hidden="1" customWidth="1"/>
    <col min="82" max="82" width="15.28515625" style="29" hidden="1" customWidth="1"/>
    <col min="83" max="88" width="8.85546875" style="29" hidden="1" customWidth="1"/>
    <col min="89" max="115" width="8.85546875" style="29" customWidth="1"/>
    <col min="116" max="16384" width="8.85546875" style="29"/>
  </cols>
  <sheetData>
    <row r="1" spans="1:83" ht="26.25" thickBot="1" x14ac:dyDescent="0.4">
      <c r="A1" s="153" t="s">
        <v>2755</v>
      </c>
      <c r="B1" s="30"/>
      <c r="C1" s="99"/>
      <c r="D1" s="99"/>
      <c r="E1" s="99"/>
      <c r="F1" s="99"/>
      <c r="G1" s="99"/>
      <c r="H1" s="99"/>
      <c r="I1" s="99"/>
      <c r="J1" s="99"/>
      <c r="K1" s="99"/>
      <c r="L1" s="99"/>
      <c r="M1" s="99"/>
      <c r="N1" s="99"/>
      <c r="O1" s="125" t="s">
        <v>0</v>
      </c>
      <c r="P1" s="126" t="str">
        <f ca="1">IF(AND(Q2="dwarf",O2="male"),VLOOKUP(RANDBETWEEN(1,30),Table4[],2),IF(AND(Q2="dwarf",O2="female"),VLOOKUP(RANDBETWEEN(1,23),Table13[],2),IF(AND(Q2="elf",O2="male"),VLOOKUP(RANDBETWEEN(1,38),Table6[],2),IF(AND(Q2="elf",O2="female"),VLOOKUP(RANDBETWEEN(1,36),Table15[],2),IF(AND(Q2="halfling",O2="male"),VLOOKUP(RANDBETWEEN(1,17),Table10[],2),IF(AND(Q2="halfling",O2="female"),VLOOKUP(RANDBETWEEN(1,18),Table16[],2),IF(AND(Q2="human",O2="male"),VLOOKUP(RANDBETWEEN(1,70),Table17[],2),IF(AND(Q2="human",O2="female"),VLOOKUP(RANDBETWEEN(1,67),Table19[],2),IF(AND(Q2="dragonborn",O2="male"),VLOOKUP(RANDBETWEEN(1,17),Table21[],2),IF(AND(Q2="dragonborn",O2="female"),VLOOKUP(RANDBETWEEN(1,17),Table22[],2),IF(AND(Q2="gnome",O2="male"),VLOOKUP(RANDBETWEEN(1,23),Table28[],2),IF(AND(Q2="gnome",O2="female"),VLOOKUP(RANDBETWEEN(1,22),Table29[],2),IF(AND(Q2="half-elf",O2="male"),VLOOKUP(RANDBETWEEN(1,108),Table31[],2),IF(AND(Q2="half-elf",O2="female"),VLOOKUP(RANDBETWEEN(1,103),Table32[],2),IF(AND(Q2="half-orc",O2="male"),VLOOKUP(RANDBETWEEN(1,10),Table35[],2),IF(AND(Q2="half-orc",O2="female"),VLOOKUP(RANDBETWEEN(1,13),Table36[],2),IF(AND(Q2="tiefling",O2="male"),VLOOKUP(RANDBETWEEN(1,33),Table37[],2),IF(AND(Q2="tiefling",O2="female"),VLOOKUP(RANDBETWEEN(1,34),Table38[],2)," "))))))))))))))))))</f>
        <v>Zasheir</v>
      </c>
      <c r="Q1" s="127" t="str">
        <f ca="1">IF(Q2="dwarf",VLOOKUP(RANDBETWEEN(1,53),Table5[],2),IF(Q2="elf",VLOOKUP(RANDBETWEEN(1,73),Table7[],2),IF(Q2="halfling",VLOOKUP(RANDBETWEEN(1,20),Table11[],2),IF(Q2="human",VLOOKUP(RANDBETWEEN(1,52),Table18[],2),IF(Q2="dragonborn",VLOOKUP(RANDBETWEEN(1,18),Table24[],2),IF(Q2="gnome",VLOOKUP(RANDBETWEEN(1,13),Table27[],2),IF(Q2="half-elf",VLOOKUP(RANDBETWEEN(1,62),Table33[],2)," ")))))))</f>
        <v>Mei</v>
      </c>
      <c r="R1" s="30"/>
      <c r="S1" s="30"/>
      <c r="AF1" s="29" t="s">
        <v>674</v>
      </c>
      <c r="AH1" s="29" t="s">
        <v>711</v>
      </c>
      <c r="AI1" s="29">
        <f ca="1">IF(O11="non-classed",RANDBETWEEN(1,10),IF(O11="wizard",SUM(6,4*O12,-4),IF(O11="warlock",SUM(8,5*O12,-5),IF(O11="sorcerer",SUM(6,4*O12,-6),IF(O11="rogue",SUM(8,5*O12,-5),IF(O11="ranger",SUM(10,6*O12,-6),IF(O11="paladin",SUM(10,6*O12,-6),IF(O11="barbarian",SUM(12,7*O12,-7),IF(O11="bard",SUM(8,5*O12,-5),IF(O11="cleric",SUM(8,5*O12,-5),IF(O11="druid",SUM(8,5*O12,-5),IF(O11="fighter",SUM(10,6*O12,-6),IF(O11="monk",SUM(8,5*O12,-5)," ")))))))))))))</f>
        <v>75</v>
      </c>
      <c r="AJ1" s="29" t="s">
        <v>714</v>
      </c>
      <c r="AK1" s="29">
        <f ca="1">(P40*P6)</f>
        <v>0</v>
      </c>
      <c r="CB1" s="31" t="s">
        <v>670</v>
      </c>
      <c r="CE1" s="31"/>
    </row>
    <row r="2" spans="1:83" x14ac:dyDescent="0.3">
      <c r="A2" s="30"/>
      <c r="B2" s="30"/>
      <c r="C2" s="33"/>
      <c r="D2" s="33"/>
      <c r="E2" s="33"/>
      <c r="F2" s="33"/>
      <c r="G2" s="33"/>
      <c r="H2" s="33"/>
      <c r="I2" s="33"/>
      <c r="J2" s="33"/>
      <c r="K2" s="33"/>
      <c r="L2" s="33"/>
      <c r="M2" s="33"/>
      <c r="N2" s="33"/>
      <c r="O2" s="110" t="str">
        <f ca="1">VLOOKUP(RANDBETWEEN(1,2),Table14[],2)</f>
        <v>Male</v>
      </c>
      <c r="P2" s="33" t="str">
        <f ca="1">IF(Q2="dwarf",VLOOKUP(RANDBETWEEN(1,2),Table8[],2),IF(Q2="elf",VLOOKUP(RANDBETWEEN(1,3),Table9[],2),IF(Q2="halfling",VLOOKUP(RANDBETWEEN(1,2),Table12[],2),IF(Q2="Dragonborn",VLOOKUP(RANDBETWEEN(1,10),Table25[],2),IF(Q2="Gnome",VLOOKUP(RANDBETWEEN(1,2),Table30[],2)," ")))))</f>
        <v xml:space="preserve"> </v>
      </c>
      <c r="Q2" s="72" t="str">
        <f ca="1">VLOOKUP(RANDBETWEEN(1,9),Table2[],2)</f>
        <v>Human</v>
      </c>
      <c r="R2" s="30"/>
      <c r="S2" s="30"/>
      <c r="AE2" s="29" t="s">
        <v>676</v>
      </c>
      <c r="AF2" s="29" t="str">
        <f ca="1">IF($P$6&gt;=4,VLOOKUP(RANDBETWEEN(1,6),Table41[],2)," ")</f>
        <v>Constitution</v>
      </c>
      <c r="AH2" s="29" t="s">
        <v>712</v>
      </c>
      <c r="AI2" s="29" t="str">
        <f ca="1">IF(Q11="wizard",4*Q12,IF(Q11="warlock",5*Q12,IF(Q11="sorcerer",4*Q12,IF(Q11="rogue",5*Q12,IF(Q11="ranger",6*Q12,IF(Q11="paladin",6*Q12,IF(Q11="barbarian",7*Q12,IF(Q11="bard",5*Q12,IF(Q11="cleric",5*Q12,IF(Q11="druid",5*Q12,IF(Q11="fighter",6*Q12,IF(Q11="monk",5*Q12," "))))))))))))</f>
        <v xml:space="preserve"> </v>
      </c>
      <c r="CB2" s="35">
        <f t="shared" ref="CB2:CB7" ca="1" si="0">_xlfn.RANK.EQ(CC2,$CC$2:$CC$7)</f>
        <v>1</v>
      </c>
      <c r="CC2" s="36">
        <f ca="1">IF(BM7&gt;0,0,RAND())</f>
        <v>0.7380364249700766</v>
      </c>
      <c r="CD2" s="29" t="s">
        <v>29</v>
      </c>
    </row>
    <row r="3" spans="1:83" ht="19.5" thickBot="1" x14ac:dyDescent="0.35">
      <c r="A3" s="30"/>
      <c r="B3" s="30"/>
      <c r="C3" s="38"/>
      <c r="D3" s="38"/>
      <c r="E3" s="38"/>
      <c r="F3" s="38"/>
      <c r="G3" s="38"/>
      <c r="H3" s="38"/>
      <c r="I3" s="38"/>
      <c r="J3" s="38"/>
      <c r="K3" s="38"/>
      <c r="L3" s="38"/>
      <c r="M3" s="38"/>
      <c r="N3" s="38"/>
      <c r="O3" s="37" t="str">
        <f ca="1">VLOOKUP(RANDBETWEEN(1,20),Table253[],2)</f>
        <v>Adult</v>
      </c>
      <c r="P3" s="38" t="str">
        <f ca="1">IF(AND(Q2="tiefling",O3="young adult"),SUM(17,RANDBETWEEN(1,23))&amp;" years old",IF(AND(Q2="tiefling",O3="adult"),SUM(40,RANDBETWEEN(1,30))&amp;" years old",IF(AND(Q2="tiefling",O3="elderly"),SUM(70,RANDBETWEEN(1,30))&amp;" years old",IF(AND(Q2="half-orc",O3="young adult"),SUM(13,RANDBETWEEN(1,32))&amp;" years old",IF(AND(Q2="half-orc",O3="adult"),SUM(45,RANDBETWEEN(1,15))&amp;" years old",IF(AND(Q2="half-orc",O3="elderly"),SUM(60,RANDBETWEEN(1,15))&amp;" years old",IF(AND(Q2="half-elf",O3="young adult"),SUM(19,RANDBETWEEN(1,30))&amp;" years old",IF(AND(Q2="half-elf",O3="adult"),SUM(50,RANDBETWEEN(1,100))&amp;" years old",IF(AND(Q2="half-elf",O3="elderly"),SUM(150,RANDBETWEEN(1,30))&amp;" years old",IF(AND(Q2="gnome",O3="young adult"),SUM(19,RANDBETWEEN(1,20))&amp;" years old",IF(AND(Q2="gnome",O3="adult"),SUM(40,RANDBETWEEN(1,160))&amp;" years old",IF(AND(Q2="gnome",O3="elderly"),SUM(200,RANDBETWEEN(1,200))&amp;" years old",IF(AND(Q2="dragonborn",O3="young adult"),SUM(14,RANDBETWEEN(1,5))&amp;" years old",IF(AND(Q2="dragonborn",O3="adult"),SUM(20,RANDBETWEEN(1,30))&amp;" years old",IF(AND(Q2="dragonborn",O3="elderly"),SUM(50,RANDBETWEEN(1,30))&amp;" years old",IF(AND(Q2="halfling",O3="young adult"),SUM(19,RANDBETWEEN(1,20))&amp;" years old",IF(AND(Q2="halfling",O3="adult"),SUM(40,RANDBETWEEN(1,110))&amp;" years old",IF(AND(Q2="halfling",O3="elderly"),SUM(150,RANDBETWEEN(1,100))&amp;" years old",IF(AND(Q2="elf",O3="young adult"),SUM(99,RANDBETWEEN(1,350))&amp;" years old",IF(AND(Q2="elf",O3="adult"),SUM(450,RANDBETWEEN(1,200))&amp;" years old",IF(AND(Q2="elf",O3="elderly"),SUM(650,RANDBETWEEN(1,100))&amp;" years old",IF(AND(Q2="dwarf",O3="young adult"),SUM(17,RANDBETWEEN(1,32))&amp;" years old",IF(AND(Q2="dwarf",O3="adult"),SUM(50,RANDBETWEEN(1,150))&amp;" years old",IF(AND(Q2="dwarf",O3="elderly"),SUM(200,RANDBETWEEN(1,150))&amp;" years old",IF(AND(Q2="human",O3="young adult"),SUM(17,RANDBETWEEN(1,12))&amp;" years old",IF(AND(Q2="human",O3="adult"),SUM(30,RANDBETWEEN(1,35))&amp;" years old",IF(AND(Q2="human",O3="elderly"),SUM(65,RANDBETWEEN(1,25))&amp;" years old"," ")))))))))))))))))))))))))))</f>
        <v>37 years old</v>
      </c>
      <c r="Q3" s="113"/>
      <c r="R3" s="30"/>
      <c r="AE3" s="29" t="s">
        <v>676</v>
      </c>
      <c r="AF3" s="29" t="str">
        <f ca="1">IF($P$6&gt;=4,VLOOKUP(RANDBETWEEN(1,6),Table41[],2)," ")</f>
        <v>Wisdom</v>
      </c>
      <c r="AH3" s="29" t="s">
        <v>713</v>
      </c>
      <c r="AI3" s="29" t="str">
        <f ca="1">IF(P2="hill",(P6)," ")</f>
        <v xml:space="preserve"> </v>
      </c>
      <c r="CB3" s="35">
        <f t="shared" ca="1" si="0"/>
        <v>2</v>
      </c>
      <c r="CC3" s="36">
        <f ca="1">IF(BM9&gt;0,0,RAND())</f>
        <v>0.51104528695008433</v>
      </c>
      <c r="CD3" s="29" t="s">
        <v>14</v>
      </c>
    </row>
    <row r="4" spans="1:83" ht="19.5" thickBot="1" x14ac:dyDescent="0.35">
      <c r="A4" s="33"/>
      <c r="B4" s="30"/>
      <c r="C4" s="39"/>
      <c r="D4" s="39"/>
      <c r="E4" s="39"/>
      <c r="F4" s="39"/>
      <c r="G4" s="39"/>
      <c r="H4" s="39"/>
      <c r="I4" s="39"/>
      <c r="J4" s="39"/>
      <c r="K4" s="39"/>
      <c r="L4" s="39"/>
      <c r="M4" s="39"/>
      <c r="N4" s="39"/>
      <c r="O4" s="40"/>
      <c r="Q4" s="41"/>
      <c r="R4" s="41"/>
      <c r="AE4" s="29" t="s">
        <v>677</v>
      </c>
      <c r="AF4" s="29" t="str">
        <f ca="1">IF($P$6&gt;=8,VLOOKUP(RANDBETWEEN(1,6),Table41[],2)," ")</f>
        <v>Constitution</v>
      </c>
      <c r="AH4" s="29" t="s">
        <v>1592</v>
      </c>
      <c r="AI4" s="29" t="str">
        <f ca="1">IF(OR(P15="draconic bloodline",R15="draconic bloodline"),O12," ")</f>
        <v xml:space="preserve"> </v>
      </c>
      <c r="CB4" s="35">
        <f t="shared" ca="1" si="0"/>
        <v>6</v>
      </c>
      <c r="CC4" s="36">
        <f ca="1">IF(BM13&gt;0,0,RAND())</f>
        <v>3.2970525020849184E-2</v>
      </c>
      <c r="CD4" s="29" t="s">
        <v>18</v>
      </c>
    </row>
    <row r="5" spans="1:83" ht="19.5" thickBot="1" x14ac:dyDescent="0.35">
      <c r="B5" s="42" t="s">
        <v>35</v>
      </c>
      <c r="O5" s="43" t="s">
        <v>41</v>
      </c>
      <c r="P5" s="43" t="s">
        <v>1881</v>
      </c>
      <c r="Q5" s="44" t="str">
        <f ca="1">"Max. HP: "&amp;SUM(AI1,AI2,AI3,AK1,AI4)</f>
        <v>Max. HP: 75</v>
      </c>
      <c r="R5" s="45" t="s">
        <v>33</v>
      </c>
      <c r="AE5" s="29" t="s">
        <v>677</v>
      </c>
      <c r="AF5" s="29" t="str">
        <f ca="1">IF($P$6&gt;=8,VLOOKUP(RANDBETWEEN(1,6),Table41[],2)," ")</f>
        <v>Constitution</v>
      </c>
      <c r="AV5" s="29" t="s">
        <v>744</v>
      </c>
      <c r="BM5" s="29" t="s">
        <v>1825</v>
      </c>
      <c r="BN5" s="29" t="s">
        <v>744</v>
      </c>
      <c r="BO5" s="29" t="s">
        <v>728</v>
      </c>
      <c r="BP5" s="29" t="s">
        <v>745</v>
      </c>
      <c r="BQ5" s="29" t="s">
        <v>1569</v>
      </c>
      <c r="BR5" s="29" t="s">
        <v>211</v>
      </c>
      <c r="BS5" s="29" t="s">
        <v>1343</v>
      </c>
      <c r="BT5" s="29" t="s">
        <v>1344</v>
      </c>
      <c r="BU5" s="29" t="s">
        <v>739</v>
      </c>
      <c r="CB5" s="35">
        <f t="shared" ca="1" si="0"/>
        <v>3</v>
      </c>
      <c r="CC5" s="36">
        <f ca="1">IF(BM16&gt;0,0,RAND())</f>
        <v>0.41844761839835831</v>
      </c>
      <c r="CD5" s="29" t="s">
        <v>21</v>
      </c>
    </row>
    <row r="6" spans="1:83" ht="20.25" thickTop="1" thickBot="1" x14ac:dyDescent="0.35">
      <c r="B6" s="32">
        <f ca="1">P39</f>
        <v>2</v>
      </c>
      <c r="O6" s="46" t="str">
        <f ca="1">IF(OR(Q2="dwarf",Q2="elf",Q2="human",Q2="dragonborn",Q2="half-elf",Q2="half-orc",Q2="tiefling"),"Medium",IF(OR(Q2="gnome",Q2="halfling"),"Small"," "))</f>
        <v>Medium</v>
      </c>
      <c r="P6" s="47">
        <f ca="1">IF(AF14=1,O12,IF(AF14=2,SUM(O12,Q12)))</f>
        <v>10</v>
      </c>
      <c r="Q6" s="48" t="s">
        <v>1882</v>
      </c>
      <c r="R6" s="47" t="str">
        <f ca="1">VLOOKUP(RANDBETWEEN(1,100),Table92[],2)</f>
        <v>Lawful good</v>
      </c>
      <c r="U6" s="49"/>
      <c r="AE6" s="29" t="s">
        <v>678</v>
      </c>
      <c r="AF6" s="29" t="str">
        <f ca="1">IF($P$6&gt;=12,VLOOKUP(RANDBETWEEN(1,6),Table41[],2)," ")</f>
        <v xml:space="preserve"> </v>
      </c>
      <c r="AH6" s="29" t="s">
        <v>12</v>
      </c>
      <c r="AI6" s="29">
        <f ca="1">$P$39</f>
        <v>2</v>
      </c>
      <c r="AJ6" s="29" t="str">
        <f t="shared" ref="AJ6:AU6" ca="1" si="1">IF(COUNTIF(AJ$27:AJ$33,$AH$6),$P$8," ")</f>
        <v xml:space="preserve"> </v>
      </c>
      <c r="AK6" s="29" t="str">
        <f t="shared" ca="1" si="1"/>
        <v xml:space="preserve"> </v>
      </c>
      <c r="AL6" s="29" t="str">
        <f t="shared" ca="1" si="1"/>
        <v xml:space="preserve"> </v>
      </c>
      <c r="AM6" s="29" t="str">
        <f t="shared" ca="1" si="1"/>
        <v xml:space="preserve"> </v>
      </c>
      <c r="AN6" s="29" t="str">
        <f t="shared" ca="1" si="1"/>
        <v xml:space="preserve"> </v>
      </c>
      <c r="AO6" s="29" t="str">
        <f t="shared" ca="1" si="1"/>
        <v xml:space="preserve"> </v>
      </c>
      <c r="AP6" s="29" t="str">
        <f t="shared" ca="1" si="1"/>
        <v xml:space="preserve"> </v>
      </c>
      <c r="AQ6" s="29" t="str">
        <f t="shared" ca="1" si="1"/>
        <v xml:space="preserve"> </v>
      </c>
      <c r="AR6" s="29" t="str">
        <f t="shared" ca="1" si="1"/>
        <v xml:space="preserve"> </v>
      </c>
      <c r="AS6" s="29" t="str">
        <f t="shared" ca="1" si="1"/>
        <v xml:space="preserve"> </v>
      </c>
      <c r="AT6" s="29" t="str">
        <f t="shared" ca="1" si="1"/>
        <v xml:space="preserve"> </v>
      </c>
      <c r="AU6" s="29" t="str">
        <f t="shared" ca="1" si="1"/>
        <v xml:space="preserve"> </v>
      </c>
      <c r="AV6" s="29">
        <f ca="1">SUM(AJ6:AU6)</f>
        <v>0</v>
      </c>
      <c r="AW6" s="29" t="s">
        <v>12</v>
      </c>
      <c r="BA6" s="29" t="str">
        <f ca="1">IF(S11="Entertainer",P8," ")</f>
        <v xml:space="preserve"> </v>
      </c>
      <c r="BM6" s="29">
        <f t="shared" ref="BM6:BM23" ca="1" si="2">SUM(AX6:BL6)</f>
        <v>0</v>
      </c>
      <c r="BN6" s="29">
        <f ca="1">AV6</f>
        <v>0</v>
      </c>
      <c r="BO6" s="29" t="str">
        <f t="shared" ref="BO6:BO23" ca="1" si="3">IF(AND($O$11="bard",$O$12&gt;=3,BN26=1),$P$8,IF(AND($O$11="bard",$O$12&gt;=3,BN26=2),$P$8,IF(AND($O$11="bard",$O$12&gt;=10,BN26=3,$P$15="college of lore"),$P$8,IF(AND($O$11="bard",$O$12&gt;=10,BN26=4,$P$15="college of lore"),$P$8,IF(AND($Q$11="bard",$Q$12&gt;=3,BN26=1),$P$8,IF(AND($Q$11="bard",$Q$12&gt;=3,BN26=2),$P$8,IF(AND($Q$11="bard",$Q$12&gt;=10,BN26=3,$P$15="college of lore"),$P$8,IF(AND($Q$11="bard",$Q$12&gt;=10,BN26=4,$P$15="college of lore"),$P$8," "))))))))</f>
        <v xml:space="preserve"> </v>
      </c>
      <c r="BP6" s="29" t="str">
        <f t="shared" ref="BP6:BP23" ca="1" si="4">IF(AND($O$11="bard",$O$12&gt;=2,AV6&lt;=0),ROUNDDOWN($P$8*0.5,0),IF(AND($Q$11="bard",$Q$12&gt;=2,AV6&lt;=0),ROUNDDOWN($P$8*0.5,0)," "))</f>
        <v xml:space="preserve"> </v>
      </c>
      <c r="BQ6" s="29" t="str">
        <f t="shared" ref="BQ6:BQ23" ca="1" si="5">IF(AND($O$11="rogue",BN26=1),$P$8,IF(AND($O$11="rogue",BN26=2,$AF$25=1),$P$8,IF(AND($O$11="rogue",$O$12&gt;6,BN26=3),$P$8,IF(AND($O$11="rogue",$O$12&gt;6,BN26=4),$P$8," "))))</f>
        <v xml:space="preserve"> </v>
      </c>
      <c r="BR6" s="29">
        <f t="shared" ref="BR6:BR23" ca="1" si="6">IF(AND($Q$2="half-elf",BR26=1),$P$8,IF(AND($Q$2="half-elf",BR26=2),$P$8,0))</f>
        <v>0</v>
      </c>
      <c r="BU6" s="29">
        <f ca="1">SUM(BM6:BT6,AI6)</f>
        <v>2</v>
      </c>
      <c r="BV6" s="29" t="s">
        <v>12</v>
      </c>
      <c r="CB6" s="35">
        <f t="shared" ca="1" si="0"/>
        <v>4</v>
      </c>
      <c r="CC6" s="36">
        <f ca="1">IF(BM17&gt;0,0,RAND())</f>
        <v>0.33707931450253836</v>
      </c>
      <c r="CD6" s="29" t="s">
        <v>22</v>
      </c>
      <c r="CE6" s="31"/>
    </row>
    <row r="7" spans="1:83" ht="19.5" thickBot="1" x14ac:dyDescent="0.35">
      <c r="B7" s="42" t="s">
        <v>36</v>
      </c>
      <c r="O7" s="50" t="str">
        <f ca="1">IF(Q2="Tiefling","Height: "&amp;SUM(57,AE31)&amp;" inches",IF(Q2="half-orc","Height: "&amp;SUM(58,AE32)&amp;" inches",IF(Q2="Half-elf","Height: "&amp;SUM(57,AE31)&amp;" inches",IF(Q2="Gnome","Height: "&amp;SUM(35,AE29)&amp;" inches",IF(Q2="Dragonborn","Height: "&amp;SUM(66,AE31)&amp;" inches",IF(Q2="Halfling","Height: "&amp;SUM(31,AE29)&amp;" inches",IF(P2="dark","Height: "&amp;SUM(53,AE30)&amp;" inches",IF(P2="wood","Height: "&amp;SUM(54,AE32)&amp;" inches",IF(P2="high","Height: "&amp;SUM(54,AE32)&amp;" inches",IF(P2="mountain","Height: "&amp;SUM(48,AE29)&amp;" inches",IF(P2="hill","Height: "&amp;SUM(44,AE29)&amp;" inches",IF(Q2="human","Height: "&amp;SUM(56,AE32)&amp;" inches"," "))))))))))))</f>
        <v>Height: 60 inches</v>
      </c>
      <c r="P7" s="43" t="s">
        <v>34</v>
      </c>
      <c r="AE7" s="29" t="s">
        <v>678</v>
      </c>
      <c r="AF7" s="29" t="str">
        <f ca="1">IF($P$6&gt;=12,VLOOKUP(RANDBETWEEN(1,6),Table41[],2)," ")</f>
        <v xml:space="preserve"> </v>
      </c>
      <c r="AH7" s="29" t="s">
        <v>29</v>
      </c>
      <c r="AI7" s="29">
        <f ca="1">$P$42</f>
        <v>2</v>
      </c>
      <c r="AJ7" s="29" t="str">
        <f t="shared" ref="AJ7:AU7" ca="1" si="7">IF(COUNTIF(AJ$27:AJ$33,$AH$7),$P$8," ")</f>
        <v xml:space="preserve"> </v>
      </c>
      <c r="AK7" s="29" t="str">
        <f t="shared" ca="1" si="7"/>
        <v xml:space="preserve"> </v>
      </c>
      <c r="AL7" s="29" t="str">
        <f t="shared" ca="1" si="7"/>
        <v xml:space="preserve"> </v>
      </c>
      <c r="AM7" s="29" t="str">
        <f t="shared" ca="1" si="7"/>
        <v xml:space="preserve"> </v>
      </c>
      <c r="AN7" s="29" t="str">
        <f t="shared" ca="1" si="7"/>
        <v xml:space="preserve"> </v>
      </c>
      <c r="AO7" s="29" t="str">
        <f t="shared" ca="1" si="7"/>
        <v xml:space="preserve"> </v>
      </c>
      <c r="AP7" s="29" t="str">
        <f t="shared" ca="1" si="7"/>
        <v xml:space="preserve"> </v>
      </c>
      <c r="AQ7" s="29" t="str">
        <f t="shared" ca="1" si="7"/>
        <v xml:space="preserve"> </v>
      </c>
      <c r="AR7" s="29" t="str">
        <f t="shared" ca="1" si="7"/>
        <v xml:space="preserve"> </v>
      </c>
      <c r="AS7" s="29" t="str">
        <f t="shared" ca="1" si="7"/>
        <v xml:space="preserve"> </v>
      </c>
      <c r="AT7" s="29" t="str">
        <f t="shared" ca="1" si="7"/>
        <v xml:space="preserve"> </v>
      </c>
      <c r="AU7" s="29" t="str">
        <f t="shared" ca="1" si="7"/>
        <v xml:space="preserve"> </v>
      </c>
      <c r="AV7" s="29">
        <f t="shared" ref="AV7:AV23" ca="1" si="8">SUM(AJ7:AU7)</f>
        <v>0</v>
      </c>
      <c r="AW7" s="29" t="s">
        <v>29</v>
      </c>
      <c r="BB7" s="29" t="str">
        <f ca="1">IF(S11="Folk Hero",P8," ")</f>
        <v xml:space="preserve"> </v>
      </c>
      <c r="BM7" s="29">
        <f t="shared" ca="1" si="2"/>
        <v>0</v>
      </c>
      <c r="BN7" s="29">
        <f t="shared" ref="BN7:BN23" ca="1" si="9">AV7</f>
        <v>0</v>
      </c>
      <c r="BO7" s="29" t="str">
        <f t="shared" ca="1" si="3"/>
        <v xml:space="preserve"> </v>
      </c>
      <c r="BP7" s="29" t="str">
        <f t="shared" ca="1" si="4"/>
        <v xml:space="preserve"> </v>
      </c>
      <c r="BQ7" s="29" t="str">
        <f t="shared" ca="1" si="5"/>
        <v xml:space="preserve"> </v>
      </c>
      <c r="BR7" s="29">
        <f t="shared" ca="1" si="6"/>
        <v>0</v>
      </c>
      <c r="BT7" s="29">
        <f ca="1">IF(AND(BY30=1,OR($P$15="nature",$R$15="nature")),$P$8,0)</f>
        <v>0</v>
      </c>
      <c r="BU7" s="29">
        <f t="shared" ref="BU7:BU23" ca="1" si="10">SUM(BM7:BT7)</f>
        <v>0</v>
      </c>
      <c r="BV7" s="29" t="s">
        <v>29</v>
      </c>
      <c r="CB7" s="35">
        <f t="shared" ca="1" si="0"/>
        <v>5</v>
      </c>
      <c r="CC7" s="36">
        <f ca="1">IF(BM23&gt;0,0,RAND())</f>
        <v>0.25754788789052285</v>
      </c>
      <c r="CD7" s="29" t="s">
        <v>28</v>
      </c>
    </row>
    <row r="8" spans="1:83" ht="20.25" thickTop="1" thickBot="1" x14ac:dyDescent="0.35">
      <c r="B8" s="51" t="str">
        <f ca="1">IF(AND(B89="unarmored defense",B90&lt;&gt;"shield",Q12&gt;=2,Q11="monk",OR(Q2="dwarf",Q2="halfling",Q2="gnome")),SUM(15,INDEX('Class Tables'!L98:L117,MATCH(O12,('Class Tables'!I98:I117),0)))&amp;" ft.",IF(AND(B89="unarmored defense",B90&lt;&gt;"Shield",Q12&gt;=2,Q11="monk",P2="wood"),SUM(25,INDEX('Class Tables'!L98:L117,MATCH(O12,('Class Tables'!I98:I117),0)))&amp;" ft.",IF(AND(B89="unarmored defense",B90&lt;&gt;"shield",Q12&gt;=2,Q11="monk",OR(Q2="human",Q2="elf",Q2="dragonborn",Q2="half-elf",Q2="half-orc",Q2="tiefling")),SUM(20,INDEX('Class Tables'!L98:L117,MATCH(O12,('Class Tables'!I98:I117),0)))&amp;" ft.",IF(AND(B89="unarmored defense",B90&lt;&gt;"shield",O12&gt;=2,O11="monk",OR(Q2="dwarf",Q2="halfling",Q2="gnome")),SUM(25,INDEX('Class Tables'!L98:L117,MATCH(O12,('Class Tables'!I98:I117),0)))&amp;" ft.",IF(AND(B89="unarmored defense",B90&lt;&gt;"Shield",O12&gt;=2,O11="monk",P2="wood"),SUM(35,INDEX('Class Tables'!L98:L117,MATCH(O12,('Class Tables'!I98:I117),0)))&amp;" ft.",IF(AND(B89="unarmored defense",B90&lt;&gt;"shield",O12&gt;=2,O11="monk",OR(Q2="human",Q2="elf",Q2="dragonborn",Q2="half-elf",Q2="half-orc",Q2="tiefling")),SUM(30,INDEX('Class Tables'!L98:L117,MATCH(O12,('Class Tables'!I98:I117),0)))&amp;" ft.",IF(AND(B89="unarmored defense",Q12&gt;=5,Q11="barbarian",OR(Q2="dwarf",Q2="halfling",Q2="gnome")),"35 ft.",IF(AND(B89="unarmored defense",Q12&gt;=5,Q11="barbarian",P2="wood"),"45 ft.",IF(AND(B89="unarmored defense",Q12&gt;=5,Q11="barbarian",OR(Q2="human",Q2="elf",Q2="dragonborn",Q2="half-elf",Q2="half-orc",Q2="tiefling")),"40 ft.",IF(AND(B89="unarmored defense",O12&gt;=5,O11="barbarian",OR(Q2="dwarf",Q2="halfling",Q2="gnome")),"35 ft.",IF(AND(B89="unarmored defense",O12&gt;=O11="barbarian",P2="wood"),"45 ft.",IF(AND(B89="unarmored defense",O12&gt;=5,O11="barbarian",OR(Q2="human",Q2="elf",Q2="dragonborn",Q2="half-elf",Q2="half-orc",Q2="tiefling")),"40 ft.",IF(OR(Q2="dwarf",Q2="halfling",Q2="gnome"),"25 ft.",IF(P2="wood","35 ft.",IF(OR(Q2="human",Q2="elf",Q2="dragonborn",Q2="half-elf",Q2="half-orc",Q2="tiefling"),"30 ft."," ")))))))))))))))</f>
        <v>40 ft.</v>
      </c>
      <c r="O8" s="47" t="str">
        <f ca="1">IF(P2="dark","Weight: "&amp;SUM(AE30*RANDBETWEEN(1,6),75)&amp;" lbs.",IF(P2="wood","Weight: "&amp;SUM(AE32*RANDBETWEEN(1,4),100)&amp;" lbs.",IF(P2="high","Weight: "&amp;SUM(AE32*RANDBETWEEN(1,4),90)&amp;" lbs.",IF(P2="mountain","Weight: "&amp;SUM(AE29*RANDBETWEEN(2,12),130)&amp;" lbs.",IF(P2="hill","Weight: "&amp;SUM(AE29*RANDBETWEEN(2,12),115)&amp;" lbs.",IF(Q2="tiefling","Weight: "&amp;SUM(AE31*RANDBETWEEN(2,8),110)&amp;" lbs.",IF(Q2="Half-orc","Weight: "&amp;SUM(AE32*RANDBETWEEN(2,12),140),IF(Q2="Half-elf","Weight: "&amp;SUM(AE31*RANDBETWEEN(2,8),110),IF(Q2="Gnome","Weight: "&amp;SUM(AE29,35),IF(Q2="Dragonborn","Weight: "&amp;SUM(AE31*RANDBETWEEN(2,12),175)&amp;" lbs.",IF(Q2="Halfling","Weight: "&amp;SUM(AE29,35)&amp;" lbs.",IF(Q2="Human","Weight: "&amp;SUM(AE32*RANDBETWEEN(2,8),110)&amp;" lbs."," "))))))))))))</f>
        <v>Weight: 134 lbs.</v>
      </c>
      <c r="P8" s="111">
        <f ca="1">VLOOKUP(P6,Table26[],2)</f>
        <v>4</v>
      </c>
      <c r="Q8" s="33"/>
      <c r="R8" s="33"/>
      <c r="AE8" s="29" t="s">
        <v>679</v>
      </c>
      <c r="AF8" s="29" t="str">
        <f ca="1">IF($P$6&gt;=16,VLOOKUP(RANDBETWEEN(1,6),Table41[],2)," ")</f>
        <v xml:space="preserve"> </v>
      </c>
      <c r="AH8" s="29" t="s">
        <v>13</v>
      </c>
      <c r="AI8" s="29">
        <f ca="1">$P$41</f>
        <v>0</v>
      </c>
      <c r="AJ8" s="29" t="str">
        <f t="shared" ref="AJ8:AU8" ca="1" si="11">IF(COUNTIF(AJ$27:AJ$33,$AH$8),$P$8," ")</f>
        <v xml:space="preserve"> </v>
      </c>
      <c r="AK8" s="29" t="str">
        <f t="shared" ca="1" si="11"/>
        <v xml:space="preserve"> </v>
      </c>
      <c r="AL8" s="29" t="str">
        <f t="shared" ca="1" si="11"/>
        <v xml:space="preserve"> </v>
      </c>
      <c r="AM8" s="29" t="str">
        <f t="shared" ca="1" si="11"/>
        <v xml:space="preserve"> </v>
      </c>
      <c r="AN8" s="29" t="str">
        <f t="shared" ca="1" si="11"/>
        <v xml:space="preserve"> </v>
      </c>
      <c r="AO8" s="29" t="str">
        <f t="shared" ca="1" si="11"/>
        <v xml:space="preserve"> </v>
      </c>
      <c r="AP8" s="29" t="str">
        <f t="shared" ca="1" si="11"/>
        <v xml:space="preserve"> </v>
      </c>
      <c r="AQ8" s="29" t="str">
        <f t="shared" ca="1" si="11"/>
        <v xml:space="preserve"> </v>
      </c>
      <c r="AR8" s="29" t="str">
        <f t="shared" ca="1" si="11"/>
        <v xml:space="preserve"> </v>
      </c>
      <c r="AS8" s="29" t="str">
        <f t="shared" ca="1" si="11"/>
        <v xml:space="preserve"> </v>
      </c>
      <c r="AT8" s="29" t="str">
        <f t="shared" ca="1" si="11"/>
        <v xml:space="preserve"> </v>
      </c>
      <c r="AU8" s="29" t="str">
        <f t="shared" ca="1" si="11"/>
        <v xml:space="preserve"> </v>
      </c>
      <c r="AV8" s="29">
        <f t="shared" ca="1" si="8"/>
        <v>0</v>
      </c>
      <c r="AW8" s="29" t="s">
        <v>13</v>
      </c>
      <c r="BI8" s="29" t="str">
        <f ca="1">IF(S11="Sage",P8," ")</f>
        <v xml:space="preserve"> </v>
      </c>
      <c r="BM8" s="29">
        <f t="shared" ca="1" si="2"/>
        <v>0</v>
      </c>
      <c r="BN8" s="29">
        <f t="shared" ca="1" si="9"/>
        <v>0</v>
      </c>
      <c r="BO8" s="29" t="str">
        <f t="shared" ca="1" si="3"/>
        <v xml:space="preserve"> </v>
      </c>
      <c r="BP8" s="29" t="str">
        <f t="shared" ca="1" si="4"/>
        <v xml:space="preserve"> </v>
      </c>
      <c r="BQ8" s="29" t="str">
        <f t="shared" ca="1" si="5"/>
        <v xml:space="preserve"> </v>
      </c>
      <c r="BR8" s="29">
        <f t="shared" ca="1" si="6"/>
        <v>0</v>
      </c>
      <c r="BS8" s="29">
        <f ca="1">IF(AND($BY$26=1,OR($P$15="knowledge",$R$15="knowledge")),$P$8*2,IF(AND($BY$26=2,OR($P$15="knowledge",$R$15="knowledge")),$P$8*2,0))</f>
        <v>0</v>
      </c>
      <c r="BU8" s="29">
        <f t="shared" ca="1" si="10"/>
        <v>0</v>
      </c>
      <c r="BV8" s="29" t="s">
        <v>13</v>
      </c>
      <c r="CB8" s="52"/>
      <c r="CC8" s="52"/>
    </row>
    <row r="9" spans="1:83" ht="19.5" thickBot="1" x14ac:dyDescent="0.35">
      <c r="AE9" s="29" t="s">
        <v>679</v>
      </c>
      <c r="AF9" s="29" t="str">
        <f ca="1">IF($P$6&gt;=16,VLOOKUP(RANDBETWEEN(1,6),Table41[],2)," ")</f>
        <v xml:space="preserve"> </v>
      </c>
      <c r="AH9" s="29" t="s">
        <v>14</v>
      </c>
      <c r="AI9" s="29">
        <f ca="1">$P$38</f>
        <v>2</v>
      </c>
      <c r="AJ9" s="29" t="str">
        <f t="shared" ref="AJ9:AU9" ca="1" si="12">IF(COUNTIF(AJ$27:AJ$33,$AH$9),$P$8," ")</f>
        <v xml:space="preserve"> </v>
      </c>
      <c r="AK9" s="29" t="str">
        <f t="shared" ca="1" si="12"/>
        <v xml:space="preserve"> </v>
      </c>
      <c r="AL9" s="29" t="str">
        <f t="shared" ca="1" si="12"/>
        <v xml:space="preserve"> </v>
      </c>
      <c r="AM9" s="29" t="str">
        <f t="shared" ca="1" si="12"/>
        <v xml:space="preserve"> </v>
      </c>
      <c r="AN9" s="29" t="str">
        <f t="shared" ca="1" si="12"/>
        <v xml:space="preserve"> </v>
      </c>
      <c r="AO9" s="29" t="str">
        <f t="shared" ca="1" si="12"/>
        <v xml:space="preserve"> </v>
      </c>
      <c r="AP9" s="29" t="str">
        <f t="shared" ca="1" si="12"/>
        <v xml:space="preserve"> </v>
      </c>
      <c r="AQ9" s="29" t="str">
        <f t="shared" ca="1" si="12"/>
        <v xml:space="preserve"> </v>
      </c>
      <c r="AR9" s="29" t="str">
        <f t="shared" ca="1" si="12"/>
        <v xml:space="preserve"> </v>
      </c>
      <c r="AS9" s="29" t="str">
        <f t="shared" ca="1" si="12"/>
        <v xml:space="preserve"> </v>
      </c>
      <c r="AT9" s="29" t="str">
        <f t="shared" ca="1" si="12"/>
        <v xml:space="preserve"> </v>
      </c>
      <c r="AU9" s="29" t="str">
        <f t="shared" ca="1" si="12"/>
        <v xml:space="preserve"> </v>
      </c>
      <c r="AV9" s="29">
        <f t="shared" ca="1" si="8"/>
        <v>0</v>
      </c>
      <c r="AW9" s="29" t="s">
        <v>14</v>
      </c>
      <c r="BG9" s="29" t="str">
        <f ca="1">IF(S11="Outlander",P8," ")</f>
        <v xml:space="preserve"> </v>
      </c>
      <c r="BH9" s="29" t="str">
        <f ca="1">IF(S11="Pirate",P8," ")</f>
        <v xml:space="preserve"> </v>
      </c>
      <c r="BJ9" s="29" t="str">
        <f ca="1">IF(S11="Sailor",P8," ")</f>
        <v xml:space="preserve"> </v>
      </c>
      <c r="BK9" s="29" t="str">
        <f ca="1">IF(S11="Soldier",P8," ")</f>
        <v xml:space="preserve"> </v>
      </c>
      <c r="BM9" s="29">
        <f t="shared" ca="1" si="2"/>
        <v>0</v>
      </c>
      <c r="BN9" s="29">
        <f t="shared" ca="1" si="9"/>
        <v>0</v>
      </c>
      <c r="BO9" s="29" t="str">
        <f t="shared" ca="1" si="3"/>
        <v xml:space="preserve"> </v>
      </c>
      <c r="BP9" s="29" t="str">
        <f t="shared" ca="1" si="4"/>
        <v xml:space="preserve"> </v>
      </c>
      <c r="BQ9" s="29" t="str">
        <f t="shared" ca="1" si="5"/>
        <v xml:space="preserve"> </v>
      </c>
      <c r="BR9" s="29">
        <f t="shared" ca="1" si="6"/>
        <v>0</v>
      </c>
      <c r="BU9" s="29">
        <f t="shared" ca="1" si="10"/>
        <v>0</v>
      </c>
      <c r="BV9" s="29" t="s">
        <v>14</v>
      </c>
      <c r="CB9" s="31" t="s">
        <v>740</v>
      </c>
      <c r="CC9" s="31" t="s">
        <v>742</v>
      </c>
      <c r="CD9" s="31"/>
    </row>
    <row r="10" spans="1:83" ht="26.25" thickBot="1" x14ac:dyDescent="0.4">
      <c r="O10" s="124" t="s">
        <v>681</v>
      </c>
      <c r="Q10" s="124" t="s">
        <v>682</v>
      </c>
      <c r="R10" s="49"/>
      <c r="S10" s="123" t="s">
        <v>32</v>
      </c>
      <c r="AE10" s="29" t="s">
        <v>680</v>
      </c>
      <c r="AF10" s="29" t="str">
        <f ca="1">IF($P$6&gt;=19,VLOOKUP(RANDBETWEEN(1,6),Table41[],2)," ")</f>
        <v xml:space="preserve"> </v>
      </c>
      <c r="AH10" s="29" t="s">
        <v>15</v>
      </c>
      <c r="AI10" s="29">
        <f ca="1">$P$43</f>
        <v>1</v>
      </c>
      <c r="AJ10" s="29" t="str">
        <f t="shared" ref="AJ10:AU10" ca="1" si="13">IF(COUNTIF(AJ$27:AJ$33,$AH$10),$P$8," ")</f>
        <v xml:space="preserve"> </v>
      </c>
      <c r="AK10" s="29" t="str">
        <f t="shared" ca="1" si="13"/>
        <v xml:space="preserve"> </v>
      </c>
      <c r="AL10" s="29" t="str">
        <f t="shared" ca="1" si="13"/>
        <v xml:space="preserve"> </v>
      </c>
      <c r="AM10" s="29" t="str">
        <f t="shared" ca="1" si="13"/>
        <v xml:space="preserve"> </v>
      </c>
      <c r="AN10" s="29" t="str">
        <f t="shared" ca="1" si="13"/>
        <v xml:space="preserve"> </v>
      </c>
      <c r="AO10" s="29" t="str">
        <f t="shared" ca="1" si="13"/>
        <v xml:space="preserve"> </v>
      </c>
      <c r="AP10" s="29" t="str">
        <f t="shared" ca="1" si="13"/>
        <v xml:space="preserve"> </v>
      </c>
      <c r="AQ10" s="29" t="str">
        <f t="shared" ca="1" si="13"/>
        <v xml:space="preserve"> </v>
      </c>
      <c r="AR10" s="29" t="str">
        <f t="shared" ca="1" si="13"/>
        <v xml:space="preserve"> </v>
      </c>
      <c r="AS10" s="29" t="str">
        <f t="shared" ca="1" si="13"/>
        <v xml:space="preserve"> </v>
      </c>
      <c r="AT10" s="29" t="str">
        <f t="shared" ca="1" si="13"/>
        <v xml:space="preserve"> </v>
      </c>
      <c r="AU10" s="29" t="str">
        <f t="shared" ca="1" si="13"/>
        <v xml:space="preserve"> </v>
      </c>
      <c r="AV10" s="29">
        <f t="shared" ca="1" si="8"/>
        <v>0</v>
      </c>
      <c r="AW10" s="29" t="s">
        <v>15</v>
      </c>
      <c r="AY10" s="29" t="str">
        <f ca="1">IF(S11="Charlatan",P8," ")</f>
        <v xml:space="preserve"> </v>
      </c>
      <c r="AZ10" s="29" t="str">
        <f ca="1">IF(S11="Criminal",P8," ")</f>
        <v xml:space="preserve"> </v>
      </c>
      <c r="BE10" s="29" t="str">
        <f ca="1">IF(S11="Knight",P8," ")</f>
        <v xml:space="preserve"> </v>
      </c>
      <c r="BF10" s="29" t="str">
        <f ca="1">IF(S11="Noble",P8," ")</f>
        <v xml:space="preserve"> </v>
      </c>
      <c r="BM10" s="29">
        <f t="shared" ca="1" si="2"/>
        <v>0</v>
      </c>
      <c r="BN10" s="29">
        <f t="shared" ca="1" si="9"/>
        <v>0</v>
      </c>
      <c r="BO10" s="29" t="str">
        <f t="shared" ca="1" si="3"/>
        <v xml:space="preserve"> </v>
      </c>
      <c r="BP10" s="29" t="str">
        <f t="shared" ca="1" si="4"/>
        <v xml:space="preserve"> </v>
      </c>
      <c r="BQ10" s="29" t="str">
        <f t="shared" ca="1" si="5"/>
        <v xml:space="preserve"> </v>
      </c>
      <c r="BR10" s="29">
        <f t="shared" ca="1" si="6"/>
        <v>0</v>
      </c>
      <c r="BU10" s="29">
        <f t="shared" ca="1" si="10"/>
        <v>0</v>
      </c>
      <c r="BV10" s="29" t="s">
        <v>15</v>
      </c>
      <c r="CB10" s="35">
        <f t="shared" ref="CB10:CB27" ca="1" si="14">_xlfn.RANK.EQ(CC10,$CC$10:$CC$27)</f>
        <v>6</v>
      </c>
      <c r="CC10" s="36">
        <f t="shared" ref="CC10:CC27" ca="1" si="15">IF(BM6&gt;0,0,RAND())</f>
        <v>0.44458828239284409</v>
      </c>
      <c r="CD10" s="29" t="s">
        <v>12</v>
      </c>
    </row>
    <row r="11" spans="1:83" ht="19.5" thickTop="1" x14ac:dyDescent="0.3">
      <c r="O11" s="46" t="str">
        <f ca="1">VLOOKUP(RANDBETWEEN(1,16),Table43[],2)</f>
        <v>Barbarian</v>
      </c>
      <c r="Q11" s="139" t="str">
        <f ca="1">IF(O11="non-classed",VLOOKUP(RANDBETWEEN(1,124),Table252[],2),IF(AND(O11="barbarian",AF14=2),VLOOKUP(RANDBETWEEN(1,11),Table43[],3),IF(AND(O11="bard",AF14=2),VLOOKUP(RANDBETWEEN(1,11),Table43[],4),IF(AND(O11="cleric",AF14=2),VLOOKUP(RANDBETWEEN(1,11),Table43[],5),IF(AND(O11="druid",AF14=2),VLOOKUP(RANDBETWEEN(1,11),Table43[],6),IF(AND(O11="fighter",AF14=2),VLOOKUP(RANDBETWEEN(1,11),Table43[],7),IF(AND(O11="Monk",AF14=2),VLOOKUP(RANDBETWEEN(1,11),Table43[],8),IF(AND(O11="Paladin",AF14=2),VLOOKUP(RANDBETWEEN(1,11),Table43[],9),IF(AND(O11="Ranger",AF14=2),VLOOKUP(RANDBETWEEN(1,11),Table43[],10),IF(AND(O11="Rogue",AF14=2),VLOOKUP(RANDBETWEEN(1,11),Table43[],11),IF(AND(O11="sorcerer",AF14=2),VLOOKUP(RANDBETWEEN(1,11),Table43[],12),IF(AND(O11="warlock",AF14=2),VLOOKUP(RANDBETWEEN(1,11),Table43[],13),IF(AND(O11="wizard",AF14=2),VLOOKUP(RANDBETWEEN(1,11),Table43[],14)," ")))))))))))))</f>
        <v xml:space="preserve"> </v>
      </c>
      <c r="R11" s="49"/>
      <c r="S11" s="33" t="str">
        <f ca="1">IF(O11&lt;&gt;"non-classed",VLOOKUP(RANDBETWEEN(1,15),Table254[],2)," ")</f>
        <v>Guild Artisan</v>
      </c>
      <c r="AE11" s="29" t="s">
        <v>680</v>
      </c>
      <c r="AF11" s="29" t="str">
        <f ca="1">IF($P$6&gt;=19,VLOOKUP(RANDBETWEEN(1,6),Table41[],2)," ")</f>
        <v xml:space="preserve"> </v>
      </c>
      <c r="AH11" s="29" t="s">
        <v>16</v>
      </c>
      <c r="AI11" s="29">
        <f ca="1">$P$41</f>
        <v>0</v>
      </c>
      <c r="AJ11" s="29" t="str">
        <f t="shared" ref="AJ11:AU11" ca="1" si="16">IF(COUNTIF(AJ$27:AJ$33,$AH$11),$P$8," ")</f>
        <v xml:space="preserve"> </v>
      </c>
      <c r="AK11" s="29" t="str">
        <f t="shared" ca="1" si="16"/>
        <v xml:space="preserve"> </v>
      </c>
      <c r="AL11" s="29" t="str">
        <f t="shared" ca="1" si="16"/>
        <v xml:space="preserve"> </v>
      </c>
      <c r="AM11" s="29" t="str">
        <f t="shared" ca="1" si="16"/>
        <v xml:space="preserve"> </v>
      </c>
      <c r="AN11" s="29" t="str">
        <f t="shared" ca="1" si="16"/>
        <v xml:space="preserve"> </v>
      </c>
      <c r="AO11" s="29" t="str">
        <f t="shared" ca="1" si="16"/>
        <v xml:space="preserve"> </v>
      </c>
      <c r="AP11" s="29" t="str">
        <f t="shared" ca="1" si="16"/>
        <v xml:space="preserve"> </v>
      </c>
      <c r="AQ11" s="29" t="str">
        <f t="shared" ca="1" si="16"/>
        <v xml:space="preserve"> </v>
      </c>
      <c r="AR11" s="29" t="str">
        <f t="shared" ca="1" si="16"/>
        <v xml:space="preserve"> </v>
      </c>
      <c r="AS11" s="29" t="str">
        <f t="shared" ca="1" si="16"/>
        <v xml:space="preserve"> </v>
      </c>
      <c r="AT11" s="29" t="str">
        <f t="shared" ca="1" si="16"/>
        <v xml:space="preserve"> </v>
      </c>
      <c r="AU11" s="29" t="str">
        <f t="shared" ca="1" si="16"/>
        <v xml:space="preserve"> </v>
      </c>
      <c r="AV11" s="29">
        <f t="shared" ca="1" si="8"/>
        <v>0</v>
      </c>
      <c r="AW11" s="29" t="s">
        <v>16</v>
      </c>
      <c r="BI11" s="29" t="str">
        <f ca="1">IF(S11="Sage",P8," ")</f>
        <v xml:space="preserve"> </v>
      </c>
      <c r="BM11" s="29">
        <f t="shared" ca="1" si="2"/>
        <v>0</v>
      </c>
      <c r="BN11" s="29">
        <f t="shared" ca="1" si="9"/>
        <v>0</v>
      </c>
      <c r="BO11" s="29" t="str">
        <f t="shared" ca="1" si="3"/>
        <v xml:space="preserve"> </v>
      </c>
      <c r="BP11" s="29" t="str">
        <f t="shared" ca="1" si="4"/>
        <v xml:space="preserve"> </v>
      </c>
      <c r="BQ11" s="29" t="str">
        <f t="shared" ca="1" si="5"/>
        <v xml:space="preserve"> </v>
      </c>
      <c r="BR11" s="29">
        <f t="shared" ca="1" si="6"/>
        <v>0</v>
      </c>
      <c r="BS11" s="29">
        <f ca="1">IF(AND($BY$27=1,OR($P$15="knowledge",$R$15="knowledge")),$P$8*2,IF(AND($BY$27=2,OR($P$15="knowledge",$R$15="knowledge")),$P$8*2,0))</f>
        <v>0</v>
      </c>
      <c r="BU11" s="29">
        <f t="shared" ca="1" si="10"/>
        <v>0</v>
      </c>
      <c r="BV11" s="29" t="s">
        <v>16</v>
      </c>
      <c r="CB11" s="35">
        <f t="shared" ca="1" si="14"/>
        <v>8</v>
      </c>
      <c r="CC11" s="36">
        <f t="shared" ca="1" si="15"/>
        <v>0.38570544240028526</v>
      </c>
      <c r="CD11" s="29" t="s">
        <v>29</v>
      </c>
    </row>
    <row r="12" spans="1:83" ht="19.5" thickBot="1" x14ac:dyDescent="0.35">
      <c r="O12" s="24">
        <f ca="1">IF($AF$14=1,RANDBETWEEN(1,20),IF(Q12=1,RANDBETWEEN(1,19),IF(Q12=2,RANDBETWEEN(2,18),IF(Q12=3,RANDBETWEEN(3,17),IF(Q12=4,RANDBETWEEN(4,16),IF(Q12=5,RANDBETWEEN(5,15),IF(Q12=6,RANDBETWEEN(6,14),IF(Q12=7,RANDBETWEEN(7,13),IF(Q12=8,RANDBETWEEN(8,12),IF(Q12=9,RANDBETWEEN(9,11),IF(Q12=10,10," ")))))))))))</f>
        <v>10</v>
      </c>
      <c r="Q12" s="54" t="str">
        <f ca="1">IF(O11="non-classed"," ",IF(AF14=1," ",IF(AF14=2,RANDBETWEEN(1,10))))</f>
        <v xml:space="preserve"> </v>
      </c>
      <c r="AH12" s="29" t="s">
        <v>17</v>
      </c>
      <c r="AI12" s="29">
        <f ca="1">$P$42</f>
        <v>2</v>
      </c>
      <c r="AJ12" s="29" t="str">
        <f t="shared" ref="AJ12:AU12" ca="1" si="17">IF(COUNTIF(AJ$27:AJ$33,$AH$12),$P$8," ")</f>
        <v xml:space="preserve"> </v>
      </c>
      <c r="AK12" s="29" t="str">
        <f t="shared" ca="1" si="17"/>
        <v xml:space="preserve"> </v>
      </c>
      <c r="AL12" s="29" t="str">
        <f t="shared" ca="1" si="17"/>
        <v xml:space="preserve"> </v>
      </c>
      <c r="AM12" s="29" t="str">
        <f t="shared" ca="1" si="17"/>
        <v xml:space="preserve"> </v>
      </c>
      <c r="AN12" s="29" t="str">
        <f t="shared" ca="1" si="17"/>
        <v xml:space="preserve"> </v>
      </c>
      <c r="AO12" s="29" t="str">
        <f t="shared" ca="1" si="17"/>
        <v xml:space="preserve"> </v>
      </c>
      <c r="AP12" s="29" t="str">
        <f t="shared" ca="1" si="17"/>
        <v xml:space="preserve"> </v>
      </c>
      <c r="AQ12" s="29" t="str">
        <f t="shared" ca="1" si="17"/>
        <v xml:space="preserve"> </v>
      </c>
      <c r="AR12" s="29" t="str">
        <f t="shared" ca="1" si="17"/>
        <v xml:space="preserve"> </v>
      </c>
      <c r="AS12" s="29" t="str">
        <f t="shared" ca="1" si="17"/>
        <v xml:space="preserve"> </v>
      </c>
      <c r="AT12" s="29" t="str">
        <f t="shared" ca="1" si="17"/>
        <v xml:space="preserve"> </v>
      </c>
      <c r="AU12" s="29" t="str">
        <f t="shared" ca="1" si="17"/>
        <v xml:space="preserve"> </v>
      </c>
      <c r="AV12" s="29">
        <f t="shared" ca="1" si="8"/>
        <v>0</v>
      </c>
      <c r="AW12" s="29" t="s">
        <v>17</v>
      </c>
      <c r="AX12" s="29" t="str">
        <f ca="1">IF(S11="acolyte",P8," ")</f>
        <v xml:space="preserve"> </v>
      </c>
      <c r="BC12" s="29">
        <f ca="1">IF(S11="Guild Artisan",P8," ")</f>
        <v>4</v>
      </c>
      <c r="BM12" s="29">
        <f t="shared" ca="1" si="2"/>
        <v>4</v>
      </c>
      <c r="BN12" s="29">
        <f t="shared" ca="1" si="9"/>
        <v>0</v>
      </c>
      <c r="BO12" s="29" t="str">
        <f t="shared" ca="1" si="3"/>
        <v xml:space="preserve"> </v>
      </c>
      <c r="BP12" s="29" t="str">
        <f t="shared" ca="1" si="4"/>
        <v xml:space="preserve"> </v>
      </c>
      <c r="BQ12" s="29" t="str">
        <f t="shared" ca="1" si="5"/>
        <v xml:space="preserve"> </v>
      </c>
      <c r="BR12" s="29">
        <f t="shared" ca="1" si="6"/>
        <v>0</v>
      </c>
      <c r="BU12" s="29">
        <f t="shared" ca="1" si="10"/>
        <v>4</v>
      </c>
      <c r="BV12" s="29" t="s">
        <v>17</v>
      </c>
      <c r="CB12" s="35">
        <f t="shared" ca="1" si="14"/>
        <v>9</v>
      </c>
      <c r="CC12" s="36">
        <f t="shared" ca="1" si="15"/>
        <v>0.34778372522643386</v>
      </c>
      <c r="CD12" s="29" t="s">
        <v>13</v>
      </c>
    </row>
    <row r="13" spans="1:83" x14ac:dyDescent="0.3">
      <c r="AF13" s="29" t="s">
        <v>683</v>
      </c>
      <c r="AH13" s="29" t="s">
        <v>18</v>
      </c>
      <c r="AI13" s="29">
        <f ca="1">$P$43</f>
        <v>1</v>
      </c>
      <c r="AJ13" s="29" t="str">
        <f t="shared" ref="AJ13:AU13" ca="1" si="18">IF(COUNTIF(AJ$27:AJ$33,$AH$13),$P$8," ")</f>
        <v xml:space="preserve"> </v>
      </c>
      <c r="AK13" s="29" t="str">
        <f t="shared" ca="1" si="18"/>
        <v xml:space="preserve"> </v>
      </c>
      <c r="AL13" s="29" t="str">
        <f t="shared" ca="1" si="18"/>
        <v xml:space="preserve"> </v>
      </c>
      <c r="AM13" s="29" t="str">
        <f t="shared" ca="1" si="18"/>
        <v xml:space="preserve"> </v>
      </c>
      <c r="AN13" s="29" t="str">
        <f t="shared" ca="1" si="18"/>
        <v xml:space="preserve"> </v>
      </c>
      <c r="AO13" s="29" t="str">
        <f t="shared" ca="1" si="18"/>
        <v xml:space="preserve"> </v>
      </c>
      <c r="AP13" s="29" t="str">
        <f t="shared" ca="1" si="18"/>
        <v xml:space="preserve"> </v>
      </c>
      <c r="AQ13" s="29" t="str">
        <f t="shared" ca="1" si="18"/>
        <v xml:space="preserve"> </v>
      </c>
      <c r="AR13" s="29" t="str">
        <f t="shared" ca="1" si="18"/>
        <v xml:space="preserve"> </v>
      </c>
      <c r="AS13" s="29" t="str">
        <f t="shared" ca="1" si="18"/>
        <v xml:space="preserve"> </v>
      </c>
      <c r="AT13" s="29" t="str">
        <f t="shared" ca="1" si="18"/>
        <v xml:space="preserve"> </v>
      </c>
      <c r="AU13" s="29" t="str">
        <f t="shared" ca="1" si="18"/>
        <v xml:space="preserve"> </v>
      </c>
      <c r="AV13" s="29">
        <f t="shared" ca="1" si="8"/>
        <v>0</v>
      </c>
      <c r="AW13" s="29" t="s">
        <v>18</v>
      </c>
      <c r="BK13" s="29" t="str">
        <f ca="1">IF(S11="Soldier",P8," ")</f>
        <v xml:space="preserve"> </v>
      </c>
      <c r="BM13" s="29">
        <f t="shared" ca="1" si="2"/>
        <v>0</v>
      </c>
      <c r="BN13" s="29">
        <f t="shared" ca="1" si="9"/>
        <v>0</v>
      </c>
      <c r="BO13" s="29" t="str">
        <f t="shared" ca="1" si="3"/>
        <v xml:space="preserve"> </v>
      </c>
      <c r="BP13" s="29" t="str">
        <f t="shared" ca="1" si="4"/>
        <v xml:space="preserve"> </v>
      </c>
      <c r="BQ13" s="29" t="str">
        <f t="shared" ca="1" si="5"/>
        <v xml:space="preserve"> </v>
      </c>
      <c r="BR13" s="29">
        <f t="shared" ca="1" si="6"/>
        <v>0</v>
      </c>
      <c r="BU13" s="29">
        <f t="shared" ca="1" si="10"/>
        <v>0</v>
      </c>
      <c r="BV13" s="29" t="s">
        <v>18</v>
      </c>
      <c r="CB13" s="35">
        <f t="shared" ca="1" si="14"/>
        <v>13</v>
      </c>
      <c r="CC13" s="36">
        <f t="shared" ca="1" si="15"/>
        <v>7.3373676298196466E-2</v>
      </c>
      <c r="CD13" s="29" t="s">
        <v>14</v>
      </c>
    </row>
    <row r="14" spans="1:83" ht="26.25" thickBot="1" x14ac:dyDescent="0.4">
      <c r="B14" s="123" t="s">
        <v>45</v>
      </c>
      <c r="O14" s="123" t="s">
        <v>709</v>
      </c>
      <c r="P14" s="123" t="s">
        <v>743</v>
      </c>
      <c r="Q14" s="123" t="s">
        <v>698</v>
      </c>
      <c r="R14" s="123" t="s">
        <v>743</v>
      </c>
      <c r="S14" s="123" t="s">
        <v>1826</v>
      </c>
      <c r="AF14" s="29">
        <f ca="1">IF(O11="non-classed",1,VLOOKUP(RANDBETWEEN(1,10),Table42[],2))</f>
        <v>1</v>
      </c>
      <c r="AH14" s="29" t="s">
        <v>19</v>
      </c>
      <c r="AI14" s="29">
        <f ca="1">$P$41</f>
        <v>0</v>
      </c>
      <c r="AJ14" s="29" t="str">
        <f t="shared" ref="AJ14:AU14" ca="1" si="19">IF(COUNTIF(AJ$27:AJ$33,$AH$14),$P$8," ")</f>
        <v xml:space="preserve"> </v>
      </c>
      <c r="AK14" s="29" t="str">
        <f t="shared" ca="1" si="19"/>
        <v xml:space="preserve"> </v>
      </c>
      <c r="AL14" s="29" t="str">
        <f t="shared" ca="1" si="19"/>
        <v xml:space="preserve"> </v>
      </c>
      <c r="AM14" s="29" t="str">
        <f t="shared" ca="1" si="19"/>
        <v xml:space="preserve"> </v>
      </c>
      <c r="AN14" s="29" t="str">
        <f t="shared" ca="1" si="19"/>
        <v xml:space="preserve"> </v>
      </c>
      <c r="AO14" s="29" t="str">
        <f t="shared" ca="1" si="19"/>
        <v xml:space="preserve"> </v>
      </c>
      <c r="AP14" s="29" t="str">
        <f t="shared" ca="1" si="19"/>
        <v xml:space="preserve"> </v>
      </c>
      <c r="AQ14" s="29" t="str">
        <f t="shared" ca="1" si="19"/>
        <v xml:space="preserve"> </v>
      </c>
      <c r="AR14" s="29" t="str">
        <f t="shared" ca="1" si="19"/>
        <v xml:space="preserve"> </v>
      </c>
      <c r="AS14" s="29" t="str">
        <f t="shared" ca="1" si="19"/>
        <v xml:space="preserve"> </v>
      </c>
      <c r="AT14" s="29" t="str">
        <f t="shared" ca="1" si="19"/>
        <v xml:space="preserve"> </v>
      </c>
      <c r="AU14" s="29" t="str">
        <f t="shared" ca="1" si="19"/>
        <v xml:space="preserve"> </v>
      </c>
      <c r="AV14" s="29">
        <f t="shared" ca="1" si="8"/>
        <v>0</v>
      </c>
      <c r="AW14" s="29" t="s">
        <v>19</v>
      </c>
      <c r="BM14" s="29">
        <f t="shared" si="2"/>
        <v>0</v>
      </c>
      <c r="BN14" s="29">
        <f t="shared" ca="1" si="9"/>
        <v>0</v>
      </c>
      <c r="BO14" s="29" t="str">
        <f t="shared" ca="1" si="3"/>
        <v xml:space="preserve"> </v>
      </c>
      <c r="BP14" s="29" t="str">
        <f t="shared" ca="1" si="4"/>
        <v xml:space="preserve"> </v>
      </c>
      <c r="BQ14" s="29" t="str">
        <f t="shared" ca="1" si="5"/>
        <v xml:space="preserve"> </v>
      </c>
      <c r="BR14" s="29">
        <f t="shared" ca="1" si="6"/>
        <v>0</v>
      </c>
      <c r="BU14" s="29">
        <f t="shared" ca="1" si="10"/>
        <v>0</v>
      </c>
      <c r="BV14" s="29" t="s">
        <v>19</v>
      </c>
      <c r="CB14" s="35">
        <f t="shared" ca="1" si="14"/>
        <v>1</v>
      </c>
      <c r="CC14" s="36">
        <f t="shared" ca="1" si="15"/>
        <v>0.98717924372155252</v>
      </c>
      <c r="CD14" s="29" t="s">
        <v>15</v>
      </c>
      <c r="CE14" s="31"/>
    </row>
    <row r="15" spans="1:83" ht="19.5" thickTop="1" x14ac:dyDescent="0.3">
      <c r="B15" s="33" t="str">
        <f ca="1">IF(P2="dark","Darkvision 120 ft.",IF(OR(Q2="dwarf",Q2="elf",Q2="gnome",Q2="half-elf",Q2="half-orc",Q2="tiefling"),"Darkvision 60 ft.",IF(Q2="halfling","Lucky",IF(Q2="dragonborn","Breath Weapon"," "))))</f>
        <v xml:space="preserve"> </v>
      </c>
      <c r="O15" s="33" t="str">
        <f ca="1">IF(O11="wizard","Ritual Casting",IF(O11="warlock","Otherworldly Patron - "&amp;VLOOKUP(RANDBETWEEN(1,2),Table226[],2),IF(O11="sorcerer","Spellcasting Focus",IF(O11="rogue","Sneak Attack - "&amp;INDEX('Class Tables'!E56:E75,MATCH(O12,('Class Tables'!D56:D75),0)),IF(AND(O11="ranger",AF24=2),"Favored Enemy - "&amp;INDEX('Class Tables'!S177:S220,MATCH(1,('Class Tables'!Q177:Q220),0)),IF(AND(O11="ranger",AF24=1),"Favored Enemy - "&amp;INDEX('Class Tables'!R162:R174,MATCH(1,('Class Tables'!Q162:Q174),0)),IF(O11="paladin","Divine Sense - "&amp;SUM(1,P43)&amp;" Uses",IF(O11="monk","Unarmored Defense",IF(O11="fighter",INDEX('Class Tables'!F48:F53,MATCH(1,('Class Tables'!D48:D53),0)),IF(O11="barbarian","Rage "&amp;INDEX('Class Tables'!J141:J160,MATCH(O12,('Class Tables'!I141:I160),0))&amp; " times, "&amp;INDEX('Class Tables'!K141:K160,MATCH(O12,('Class Tables'!I141:I160),0)),IF(O11="bard","Bardic Inspiration "&amp;P43&amp;" uses at "&amp;INDEX('Class Tables'!M58:M77,MATCH(O12,('Class Tables'!L58:L77),0)),IF(OR(O11="cleric",O11="druid"),"Ritual Casting"," "))))))))))))</f>
        <v>Rage 4 times, +3 damage</v>
      </c>
      <c r="P15" s="33" t="str">
        <f ca="1">IF(AND(O11="wizard",O12&gt;=2),VLOOKUP(RANDBETWEEN(1,8),Table251[],2),IF(O11="warlock",O15,IF(O11="sorcerer",VLOOKUP(RANDBETWEEN(1,2),Table224[],2),IF(AND(O11="ranger",O12&gt;=3),VLOOKUP(RANDBETWEEN(1,2),Table97[],2),IF(AND(O11="paladin",O12&gt;=3),VLOOKUP(RANDBETWEEN(1,3),Table90[],2),IF(AND(O11="monk",O12&gt;=3),VLOOKUP(RANDBETWEEN(1,3),Table82[],2),IF(AND(O11="druid",O12&gt;=2),VLOOKUP(RANDBETWEEN(1,2),Table73[],2),IF(O11="cleric",VLOOKUP(RANDBETWEEN(1,7),Table65[],2),IF(AND($O$11="barbarian",$O$12&gt;=3),VLOOKUP(RANDBETWEEN(1,2),Table40[],2),IF(AND(O11="bard",O12&gt;=3),VLOOKUP(RANDBETWEEN(1,2),Table47[],2),IF(AND(O11="fighter",O12&gt;=3),VLOOKUP(RANDBETWEEN(1,3),Table178[],2),IF(AND(O11="rogue",O12&gt;=3),VLOOKUP(RANDBETWEEN(1,3),Table189[],2)," "))))))))))))</f>
        <v>Path of the Berserker</v>
      </c>
      <c r="Q15" s="33" t="str">
        <f ca="1">IF(Q11="wizard","Ritual Casting",IF(Q11="warlock","Otherworldly Patron - "&amp;VLOOKUP(RANDBETWEEN(1,2),Table226[],2),IF(Q11="sorcerer","Spellcasting Focus",IF(Q11="rogue","Sneak Attack - "&amp;INDEX('Class Tables'!E56:E75,MATCH(Q12,('Class Tables'!D56:D75),0)),IF(AND(Q11="ranger",AF24=2),"Favored Enemy - "&amp;INDEX('Class Tables'!S177:S220,MATCH(1,('Class Tables'!Q177:Q220),0)),IF(AND(Q11="ranger",AF24=1),"Favored Enemy - "&amp;INDEX('Class Tables'!R162:R174,MATCH(1,('Class Tables'!Q162:Q174),0)),IF(Q11="paladin","Divine Sense - "&amp;SUM(1,P43)&amp;" Uses",IF(Q11="monk","Unarmored Defense",IF(Q11="fighter",INDEX('Class Tables'!F48:F53,MATCH(1,('Class Tables'!D48:D53),0)),IF(Q11="barbarian","Rage "&amp;INDEX('Class Tables'!J141:J160,MATCH(Q12,('Class Tables'!I141:I160),0))&amp; " times, "&amp;INDEX('Class Tables'!K141:K160,MATCH(Q12,('Class Tables'!I141:I160),0)),IF(Q11="bard","Bardic Inspiration - "&amp;P43&amp;" uses at "&amp;INDEX('Class Tables'!M58:M77,MATCH(Q12,('Class Tables'!L58:L77),0)),IF(OR(Q11="cleric",Q11="druid"),"Ritual Casting"," "))))))))))))</f>
        <v xml:space="preserve"> </v>
      </c>
      <c r="R15" s="33" t="str">
        <f ca="1">IF(Q11="warlock",O15,IF(Q11="sorcerer",VLOOKUP(RANDBETWEEN(1,2),Table224[],2),IF(AND(Q11="ranger",Q12&gt;=3),VLOOKUP(RANDBETWEEN(1,2),Table97[],2),IF(AND(Q11="paladin",Q12&gt;=3),VLOOKUP(RANDBETWEEN(1,3),Table90[],2),IF(AND(Q11="monk",Q12&gt;=3),VLOOKUP(RANDBETWEEN(1,3),Table82[],2),IF(AND(Q11="druid",Q12&gt;=2),VLOOKUP(RANDBETWEEN(1,2),Table73[],2),IF(Q11="cleric",VLOOKUP(RANDBETWEEN(1,7),Table65[],2),IF(AND($Q$11="barbarian",$Q$12&gt;=3),VLOOKUP(RANDBETWEEN(1,2),Table40[],2),IF(AND(Q11="bard",Q12&gt;=3),VLOOKUP(RANDBETWEEN(1,2),Table47[],2),IF(AND($Q$11="fighter",$Q$12&gt;=3),VLOOKUP(RANDBETWEEN(1,3),Table178[],2),IF(AND(Q11="rogue",Q12&gt;=3),VLOOKUP(RANDBETWEEN(1,3),Table189[],2)," ")))))))))))</f>
        <v xml:space="preserve"> </v>
      </c>
      <c r="S15" s="33" t="str">
        <f ca="1">IF(S11="urchin","City Secrets",IF(S11="soldier",VLOOKUP(RANDBETWEEN(1,8),Table263[],2),IF(S11="pirate","Bad Reputation",IF(S11="Sailor","Ship's Passage",IF(S11="sage",VLOOKUP(RANDBETWEEN(1,8),Table262[],2),IF(S11="outlander",VLOOKUP(RANDBETWEEN(1,10),Table261[],2),IF(S11="knight","Retainers",IF(S11="noble","Position of Privlege",IF(S11="hermit","Discovery",IF(S11="guild artisan",VLOOKUP(RANDBETWEEN(1,20),Table260[],2),IF(S11="folk hero","Rustic Hospitality",IF(S11="entertainer",VLOOKUP(RANDBETWEEN(1,10),Table259[],2),IF(S11="Criminal","Criminal Contact",IF(S11="Charlatan","False Identity",IF(S11="acolyte","Shelter of the Faithful"," ")))))))))))))))</f>
        <v>Brewer</v>
      </c>
      <c r="AF15" s="29" t="s">
        <v>1336</v>
      </c>
      <c r="AH15" s="29" t="s">
        <v>20</v>
      </c>
      <c r="AI15" s="29">
        <f ca="1">$P$42</f>
        <v>2</v>
      </c>
      <c r="AJ15" s="29" t="str">
        <f t="shared" ref="AJ15:AU15" ca="1" si="20">IF(COUNTIF(AJ$27:AJ$33,$AH$15),$P$8," ")</f>
        <v xml:space="preserve"> </v>
      </c>
      <c r="AK15" s="29" t="str">
        <f t="shared" ca="1" si="20"/>
        <v xml:space="preserve"> </v>
      </c>
      <c r="AL15" s="29" t="str">
        <f t="shared" ca="1" si="20"/>
        <v xml:space="preserve"> </v>
      </c>
      <c r="AM15" s="29" t="str">
        <f t="shared" ca="1" si="20"/>
        <v xml:space="preserve"> </v>
      </c>
      <c r="AN15" s="29" t="str">
        <f t="shared" ca="1" si="20"/>
        <v xml:space="preserve"> </v>
      </c>
      <c r="AO15" s="29" t="str">
        <f t="shared" ca="1" si="20"/>
        <v xml:space="preserve"> </v>
      </c>
      <c r="AP15" s="29" t="str">
        <f t="shared" ca="1" si="20"/>
        <v xml:space="preserve"> </v>
      </c>
      <c r="AQ15" s="29" t="str">
        <f t="shared" ca="1" si="20"/>
        <v xml:space="preserve"> </v>
      </c>
      <c r="AR15" s="29" t="str">
        <f t="shared" ca="1" si="20"/>
        <v xml:space="preserve"> </v>
      </c>
      <c r="AS15" s="29" t="str">
        <f t="shared" ca="1" si="20"/>
        <v xml:space="preserve"> </v>
      </c>
      <c r="AT15" s="29" t="str">
        <f t="shared" ca="1" si="20"/>
        <v xml:space="preserve"> </v>
      </c>
      <c r="AU15" s="29" t="str">
        <f t="shared" ca="1" si="20"/>
        <v xml:space="preserve"> </v>
      </c>
      <c r="AV15" s="29">
        <f t="shared" ca="1" si="8"/>
        <v>0</v>
      </c>
      <c r="AW15" s="29" t="s">
        <v>20</v>
      </c>
      <c r="BD15" s="29" t="str">
        <f ca="1">IF(S11="Hermit",P8," ")</f>
        <v xml:space="preserve"> </v>
      </c>
      <c r="BM15" s="29">
        <f t="shared" ca="1" si="2"/>
        <v>0</v>
      </c>
      <c r="BN15" s="29">
        <f t="shared" ca="1" si="9"/>
        <v>0</v>
      </c>
      <c r="BO15" s="29" t="str">
        <f t="shared" ca="1" si="3"/>
        <v xml:space="preserve"> </v>
      </c>
      <c r="BP15" s="29" t="str">
        <f t="shared" ca="1" si="4"/>
        <v xml:space="preserve"> </v>
      </c>
      <c r="BQ15" s="29" t="str">
        <f t="shared" ca="1" si="5"/>
        <v xml:space="preserve"> </v>
      </c>
      <c r="BR15" s="29">
        <f t="shared" ca="1" si="6"/>
        <v>0</v>
      </c>
      <c r="BU15" s="29">
        <f t="shared" ca="1" si="10"/>
        <v>0</v>
      </c>
      <c r="BV15" s="29" t="s">
        <v>20</v>
      </c>
      <c r="CB15" s="35">
        <f t="shared" ca="1" si="14"/>
        <v>2</v>
      </c>
      <c r="CC15" s="36">
        <f t="shared" ca="1" si="15"/>
        <v>0.90600124355979661</v>
      </c>
      <c r="CD15" s="29" t="s">
        <v>16</v>
      </c>
    </row>
    <row r="16" spans="1:83" x14ac:dyDescent="0.3">
      <c r="B16" s="33" t="str">
        <f ca="1">IF(Q2="dwarf","Dwarven Resilience",IF(OR(Q2="half-elf",Q2="elf"),"Fey Ancestry",IF(Q2="halfling","Brave",IF(Q2="dragonborn","Damage Resistance",IF(Q2="gnome","Gnome Cunning",IF(Q2="half-orc","Menacing",IF(Q2="tiefling","Hellish Resistance"," ")))))))</f>
        <v xml:space="preserve"> </v>
      </c>
      <c r="O16" s="33" t="str">
        <f ca="1">IF(O11="wizard","Spellcasting Focus",IF(AND(O11="warlock",O12&gt;=3),VLOOKUP(RANDBETWEEN(1,3),Table227[],2),IF(AND(O11="sorcerer",O12&gt;=2),"Sorcery Points - "&amp;O12,IF(AND(O11="rogue",O12&gt;=2),"Cunning Action",IF(AND(O11="ranger",AF24=2),"Favored Enemy - "&amp;INDEX('Class Tables'!S177:S220,MATCH(2,('Class Tables'!Q177:Q220),0)),IF(O11="paladin","Lay On Hands "&amp;O12*5&amp;" HP",IF(O11="monk","Martial Arts - "&amp;INDEX('Class Tables'!J98:J117,MATCH(O12,('Class Tables'!I98:I117),0)),IF(O11="fighter","Second Wind - 1d10+"&amp;O12&amp;" hp",IF(O11="barbarian","Unarmored Defense",IF(AND(O11="bard",O12&gt;=2),"Jack of All Trades",IF(OR(O11="cleric",O11="druid"),"Spellcasting Focus"," ")))))))))))</f>
        <v>Unarmored Defense</v>
      </c>
      <c r="P16" s="33" t="str">
        <f ca="1">IF(AND(P15="school of transmutation",O12&gt;=2),"Transmutation Savant",IF(AND(P15="school of necromancy",O12&gt;=2),"Necromancy Savant",IF(AND(P15="school of illusion",O12&gt;=2),"Illusion Savant",IF(AND(P15="school of evocation",O12&gt;=2),"Evocation Savant",IF(AND(P15="school of enchantment",O12&gt;=2),"Enchantment Savant",IF(AND(P15="school of divination",O12&gt;=2),"Divination Savant",IF(AND(P15="school of conjuration",O12&gt;=2),"Conjuration Savant",IF(P15="school of abjuration","Abjuration Savant",IF(AND(P15="otherworldly patron - great old one",O12&gt;=1),"Awakened Mind",IF(AND(P15="otherworldly patron - fiend",O12&gt;=3),"Dark One's Blessing - "&amp;SUM(O12,P43)&amp;" hp",IF(P15="otherworldly patron - Archfey","Fey Presence",IF(P15="wild magic","Wild Magic Surge",IF(P15="draconic bloodline",VLOOKUP(RANDBETWEEN(1,10),Table25[],2)&amp;" Dragon Ancestry",IF(P15="arcane trickster","Mage Hand Legerdemain",IF(P15="assassin","Assassinate",IF(P15="thief","Fast Hands",IF(P15="beastmaster","Companion - "&amp;VLOOKUP(RANDBETWEEN(1,39),Table218[],2),IF(P15="hunter",VLOOKUP(RANDBETWEEN(1,3),Table108[],2),IF(P15="oath of vengeance","Channel Divinity: Abjure Enemy",IF(P15="oath of the ancients","Channel Divinity: Nature's Wrath",IF(P15="Oath of Devotion","Channel Divinity: Sacred Weapon",IF(AND(P15="way of the four elements",O12&gt;=5),"Max. Ki Point for Spell - "&amp;INDEX('Class Tables'!N120:N137,MATCH(O12,('Class Tables'!M120:M137),0)),IF(AND(P15="way of the shadow",O12&gt;=6),"Shadow Step",IF(P15="way of the open hand","Open Hand Technique",IF(P15="eldritch Knight","Weapon Bond",IF(AND(P15="battle master",O12&gt;=7),"Know Your Enemy",IF(P15="champion","Improved Critical",IF(P15="moon","Combat Wild Shape",IF(P15="land","Natural Recovery - "&amp;ROUNDUP(O12*0.5,0)&amp;" slots",IF(AND(P15="war",O12&gt;=1),"War Priest",IF(AND(P15="trickery",O12&gt;=1),"Blessing of the Trickster",IF(AND(P15="tempest",O12&gt;=1),"Wrath of the Storm",IF(AND(P15="nature",O12&gt;=2),"Channel Divinity: Charm Animals and Plants",IF(AND(P15="light",O12&gt;=1),"Warding Flare",IF(P15="life","Disciple of Life",IF(AND(P15="knowledge",O12&gt;=2),"Channel Divinity: Knowledge of the Ages",IF(P15="path of the berserker","Frenzy",IF(P15="path of the totem warrior","Spirit Seeker",IF(P15="college of lore","Cutting Words",IF(P15="college of valor","Combat Inspiration"," "))))))))))))))))))))))))))))))))))))))))</f>
        <v>Frenzy</v>
      </c>
      <c r="Q16" s="33" t="str">
        <f ca="1">IF(Q11="wizard","Spellcasting Focus",IF(AND(Q11="warlock",Q12&gt;=3),VLOOKUP(RANDBETWEEN(1,3),Table227[],2),IF(AND(Q11="sorcerer",Q12&gt;=2),"Sorcery Points - "&amp;Q12,IF(AND(Q11="rogue",Q12&gt;=2),"Cunning Action",IF(AND(Q11="ranger",AF24=2),"Favored Enemy - "&amp;INDEX('Class Tables'!S177:S220,MATCH(2,('Class Tables'!Q177:Q220),0)),IF(Q11="paladin","Lay On Hands "&amp;Q12*5&amp;" HP",IF(Q11="monk","Martial Arts - "&amp;INDEX('Class Tables'!J98:J117,MATCH(Q12,('Class Tables'!I98:I117),0)),IF(Q11="fighter","Second Wind - 1d10+"&amp;Q12&amp;" hp",IF(Q11="barbarian","Unarmored Defense AC "&amp;SUM(10,P39,P40),IF(AND(Q11="bard",Q12&gt;=2),"Jack of All Trades",IF(OR(Q11="cleric",Q11="druid"),"Spellcasting Focus"," ")))))))))))</f>
        <v xml:space="preserve"> </v>
      </c>
      <c r="R16" s="33" t="str">
        <f ca="1">IF(AND(R15="otherworldly patron - great old one",Q12&gt;=1),"Awakened Mind",IF(AND(R15="otherworldly patron - fiend",Q12&gt;=3),"Dark One's Blessing - "&amp;SUM(O12,P43)&amp;" hp",IF(R15="otherworldly patron - Archfey","Fey Presence",IF(R15="wild magic","Wild Magic Surge",IF(R15="draconic bloodline",VLOOKUP(RANDBETWEEN(1,10),Table25[],2)&amp;" Dragon Ancestry",IF(R15="arcane trickster","Mage Hand Legerdemain",IF(R15="assassin","Assassinate",IF(R15="thief","Fast Hands",IF(R15="beastmaster","Companion - "&amp;VLOOKUP(RANDBETWEEN(1,39),Table218[],2),IF(R15="hunter",VLOOKUP(RANDBETWEEN(1,3),Table108[],2),IF(R15="oath of vengeance","Channel Divinity: Abjure Enemy",IF(R15="oath of the ancients","Channel Divinity: Nature's Wrath",IF(R15="Oath of Devotion","Channel Divinity: Sacred Weapon",IF(AND(R15="way of the four elements",Q12&gt;=5),"Max. Ki Point for Spell - "&amp;INDEX('Class Tables'!N120:N137,MATCH(Q12,('Class Tables'!M120:M137),0)),IF(AND(R15="way of the shadow",Q12&gt;=6),"Shadow Step",IF(R15="way of the open hand","Open Hand Technique",IF(R15="eldritch knight","Weapon Bond",IF(AND(R15="battle master",Q12&gt;=7),"Know Your Enemy",IF(R15="champion","Improved Critical",IF(R15="moon","Combat Wild Shape",IF(R15="land","Natural Recovery",IF(AND(R15="war",Q12&gt;=1),"War Priest",IF(AND(R15="trickery",Q12&gt;=1),"Blessing of the Trickster",IF(AND(R15="nature",Q12&gt;=1),"Wrath of the Storm",IF(AND(R15="Nature",Q12&gt;=2),"Channel Divinity: Charm Animals and Plants",IF(AND(R15="light",Q12&gt;=1),"Warding Flare",IF(R15="life","Disciple of Life",IF(AND(R15="knowledge",Q12&gt;=2),"Channel Divinity: Knowledge of the Ages",IF(R15="path of the berserker","Frenzy",IF(R15="path of the totem warrior","Spirit Seeker",IF(R15="college of lore","Cutting Words",IF(R15="college of valor","Combat Inspiration"," "))))))))))))))))))))))))))))))))</f>
        <v xml:space="preserve"> </v>
      </c>
      <c r="S16" s="33" t="str">
        <f ca="1">IF(S11="soldier","Military Rank",IF(S11="sage","Researcher",IF(S11="outlander","Wanderer",IF(S11="guild artisan","Guild Membership",IF(S11="entertainer","By Popular Demand",IF(S11="criminal",VLOOKUP(RANDBETWEEN(1,8),Table256[],2)," "))))))</f>
        <v>Guild Membership</v>
      </c>
      <c r="AE16" s="29" t="s">
        <v>1339</v>
      </c>
      <c r="AF16" s="29">
        <f ca="1">IF(AND(AF14=2,OR(Q11="monk",Q11="barbarian",Q11="warlock"),OR(O11="paladin",O11="ranger",P15="arcane trickster",P15="eldritch knight")),Q12,IF(AND($AF$14=2,OR(O11="bard",O11="druid",O11="cleric",O11="sorcerer",O11="wizard")),O12,IF(AND($AF$14=2,OR(O11="paladin",O11="ranger")),O12*0.5,IF(AND($AF$14=2,OR($P$15="arcane trickster",$P$15="eldritch knight")),O12*0.33,0))))</f>
        <v>0</v>
      </c>
      <c r="AH16" s="29" t="s">
        <v>21</v>
      </c>
      <c r="AI16" s="29">
        <f ca="1">$P$41</f>
        <v>0</v>
      </c>
      <c r="AJ16" s="29" t="str">
        <f t="shared" ref="AJ16:AU16" ca="1" si="21">IF(COUNTIF(AJ$27:AJ$33,$AH$16),$P$8," ")</f>
        <v xml:space="preserve"> </v>
      </c>
      <c r="AK16" s="29" t="str">
        <f t="shared" ca="1" si="21"/>
        <v xml:space="preserve"> </v>
      </c>
      <c r="AL16" s="29" t="str">
        <f t="shared" ca="1" si="21"/>
        <v xml:space="preserve"> </v>
      </c>
      <c r="AM16" s="29" t="str">
        <f t="shared" ca="1" si="21"/>
        <v xml:space="preserve"> </v>
      </c>
      <c r="AN16" s="29" t="str">
        <f t="shared" ca="1" si="21"/>
        <v xml:space="preserve"> </v>
      </c>
      <c r="AO16" s="29" t="str">
        <f t="shared" ca="1" si="21"/>
        <v xml:space="preserve"> </v>
      </c>
      <c r="AP16" s="29" t="str">
        <f t="shared" ca="1" si="21"/>
        <v xml:space="preserve"> </v>
      </c>
      <c r="AQ16" s="29" t="str">
        <f t="shared" ca="1" si="21"/>
        <v xml:space="preserve"> </v>
      </c>
      <c r="AR16" s="29" t="str">
        <f t="shared" ca="1" si="21"/>
        <v xml:space="preserve"> </v>
      </c>
      <c r="AS16" s="29" t="str">
        <f t="shared" ca="1" si="21"/>
        <v xml:space="preserve"> </v>
      </c>
      <c r="AT16" s="29" t="str">
        <f t="shared" ca="1" si="21"/>
        <v xml:space="preserve"> </v>
      </c>
      <c r="AU16" s="29" t="str">
        <f t="shared" ca="1" si="21"/>
        <v xml:space="preserve"> </v>
      </c>
      <c r="AV16" s="29">
        <f t="shared" ca="1" si="8"/>
        <v>0</v>
      </c>
      <c r="AW16" s="29" t="s">
        <v>21</v>
      </c>
      <c r="BM16" s="29">
        <f t="shared" si="2"/>
        <v>0</v>
      </c>
      <c r="BN16" s="29">
        <f t="shared" ca="1" si="9"/>
        <v>0</v>
      </c>
      <c r="BO16" s="29" t="str">
        <f t="shared" ca="1" si="3"/>
        <v xml:space="preserve"> </v>
      </c>
      <c r="BP16" s="29" t="str">
        <f t="shared" ca="1" si="4"/>
        <v xml:space="preserve"> </v>
      </c>
      <c r="BQ16" s="29" t="str">
        <f t="shared" ca="1" si="5"/>
        <v xml:space="preserve"> </v>
      </c>
      <c r="BR16" s="29">
        <f t="shared" ca="1" si="6"/>
        <v>0</v>
      </c>
      <c r="BS16" s="29">
        <f ca="1">IF(AND($BY$28=1,OR($P$15="knowledge",$R$15="knowledge")),$P$8*2,IF(AND($BY$28=2,OR($P$15="knowledge",$R$15="knowledge")),$P$8*2,0))</f>
        <v>0</v>
      </c>
      <c r="BT16" s="29">
        <f ca="1">IF(AND(BY31=1,OR($P$15="nature",$R$15="nature")),$P$8,0)</f>
        <v>0</v>
      </c>
      <c r="BU16" s="29">
        <f t="shared" ca="1" si="10"/>
        <v>0</v>
      </c>
      <c r="BV16" s="29" t="s">
        <v>21</v>
      </c>
      <c r="CB16" s="35">
        <f t="shared" ca="1" si="14"/>
        <v>17</v>
      </c>
      <c r="CC16" s="36">
        <f t="shared" ca="1" si="15"/>
        <v>0</v>
      </c>
      <c r="CD16" s="29" t="s">
        <v>17</v>
      </c>
    </row>
    <row r="17" spans="2:83" ht="26.25" thickBot="1" x14ac:dyDescent="0.4">
      <c r="B17" s="33" t="str">
        <f ca="1">IF(Q2="dwarf","Stonecunning",IF(Q2="elf","Trance",IF(Q2="halfling","Halfling Nimbleness",IF(P2="forest","Speak with Small Beasts",IF(P2="rock","Artificer's Lore",IF(Q2="half-orc","Relentless Endurance",IF(Q2="tiefling","Infernal Legacy"," ")))))))</f>
        <v xml:space="preserve"> </v>
      </c>
      <c r="O17" s="33" t="str">
        <f ca="1">IF(O11="wizard","Arcane Recovery - "&amp;ROUNDDOWN(O12*0.5,0)&amp;" slots",IF(AND(O11="warlock",O12&gt;=20),"Eldritch Master",IF(AND(O11="sorcerer",O12&gt;=2),"Flexible Casting",IF(AND(O11="rogue",O12&gt;=5),"Uncanny Dodge",IF(O11="ranger","Natural Explorer: "&amp;INDEX('Class Tables'!F212:F219,MATCH(1,('Class Tables'!D212:D219),0)),IF(AND(O11="paladin",O12&gt;=2),VLOOKUP(RANDBETWEEN(1,4),Table89[],2),IF(AND(O11="monk",O12&gt;=2),"Ki Points - "&amp;INDEX('Class Tables'!K98:K117,MATCH(O12,('Class Tables'!I98:I117),0)),IF(AND(O11="fighter",O12&gt;=2),"Action Surge",IF(AND($O$11="barbarian",$O$12&gt;=2),"Reckless Attack",IF(AND(O11="bard",O12&gt;=2),"Song of Rest - "&amp;INDEX('Class Tables'!N58:N77,MATCH(O12,('Class Tables'!L58:L77),0))&amp;" hp",IF(AND(O11="druid",O12&gt;=2),"Wild Shape - "&amp;INDEX('Class Tables'!R140:R159,MATCH(O12,('Class Tables'!Q140:Q159),0)),IF(AND(O11="cleric",O12&gt;=2),"Channel Divinity - "&amp;INDEX('Class Tables'!N140:N159,MATCH(O12,('Class Tables'!M140:M159),0))&amp;" uses"," "))))))))))))</f>
        <v>Reckless Attack</v>
      </c>
      <c r="P17" s="33" t="str">
        <f ca="1">IF(AND(P15="school of transmutation",O12&gt;=2),"Minor Alchemy",IF(AND(P15="school of necromancy",O12&gt;=2),"Grim Harvest",IF(AND(P15="school of illusion",O12&gt;=2),"Improved Minor Illusion",IF(AND(P15="school of evocation",O12&gt;=2),"Sculpt Spells",IF(AND(P15="school of enchantment",O12&gt;=2),"Hypnotic Gaze",IF(AND(P15="school of divination",O12&gt;=2),"Portent",IF(AND(P15="school of conjuration",O12&gt;=2),"Minor Conjuration",IF(P15="school of abjuration","Arcane Ward - "&amp;SUM(O12,P41)&amp;" hp",IF(AND(P15="otherworldly patron - great old one",O12&gt;=6),"Entropic Ward",IF(AND(P15="otherworldly patron - fiend",O12&gt;=10),"Fiendish Resilience",IF(AND(P15="otherworldly patron - Archfey",O12&gt;=6),"Misty Escape",IF(P15="wild magic","Tides of Chaos",IF(P15="draconic bloodline","Draconic Resilience - AC "&amp;SUM(13+P39),IF(AND(P15="arcane trickster",O12&gt;=9),"Magical Ambush",IF(AND(P15="assassin",O12&gt;=9),"Infiltration Expertise",IF(P15="thief","Second-Story Work",IF(AND(P15="beastmaster",O12&gt;=7),"Exceptional Training",IF(AND(P15="hunter",O12&gt;=7),VLOOKUP(RANDBETWEEN(1,3),Table126[],2),IF(P15="oath of vengeance","Channel Divinity: Vow of Enmity",IF(P15="oath of the ancients","Channel Divinity: Turn the Faithless",IF(P15="oath of devotion","Channel Divinity: Turn the Unholy",IF(P15="way of the four elements","Elemental Attunement",IF(AND(P15="way of the shadow",O12&gt;=11),"Cloak of Shadows",IF(AND(P15="way of the open hand",O12&gt;=6),"Wholeness of Body "&amp;O12*3&amp;" hp",IF(AND(P15="eldritch knight",O12&gt;=7),"War Magic",IF(AND(P15="battle master",O12&gt;=15),"Relentless",IF(AND(P15="champion",O12&gt;=7),"Remarkable Athlete",IF(P15="moon","Circle Forms - CR: "&amp;ROUNDDOWN(O12*0.33,0),IF(AND(P15="land",O12&gt;=6),"Land's Stride",IF(AND(P15="war",O12&gt;=2),"Channel Divinity: Guided Strike",IF(AND(P15="trickery",O12&gt;=2),"Channel Divinity: Invoke Duplicity",IF(AND(P15="tempest",O12&gt;=2),"Channel Divinity: Destructive Wrath",IF(AND(P15="nature",O12&gt;=6),"Dampen Elements",IF(AND(P15="light",O12&gt;=2),"Channel Divinity: Radiance of the Dawn",IF(AND(P15="life",O12&gt;=2),"Channel Divinity: Preserve Life - "&amp;O12*5&amp;" hp",IF(AND(P15="knowledge",O12&gt;=6),"Channel Divinity: Read Thoughts",IF($P$15="path of the totem warrior",VLOOKUP(RANDBETWEEN(1,3),Table44[],2),IF(AND(P15="college of lore",O12&gt;=14),"Peerless Skill",IF(AND(P15="college of valor",O12&gt;=6),"Extra Attack"," ")))))))))))))))))))))))))))))))))))))))</f>
        <v xml:space="preserve"> </v>
      </c>
      <c r="Q17" s="33" t="str">
        <f ca="1">IF(Q11="wizard","Arcane Recovery - "&amp;ROUNDDOWN(Q12*0.5,0)&amp;" slots",IF(AND(Q11="sorcerer",Q12&gt;=2),"Flexible Casting",IF(AND(Q11="rogue",Q12&gt;=5),"Uncanny Dodge",IF(Q11="ranger","Natural Explorer: "&amp;INDEX('Class Tables'!F212:F219,MATCH(1,('Class Tables'!D212:D219),0)),IF(AND(Q11="paladin",Q12&gt;=2),VLOOKUP(RANDBETWEEN(1,4),Table89[],2),IF(AND(Q11="monk",Q12&gt;=2),"Ki Points - "&amp;INDEX('Class Tables'!K98:K117,MATCH(Q12,('Class Tables'!I98:I117),0)),IF(AND(Q11="fighter",Q12&gt;=2),"Action Surge",IF(AND($Q$11="barbarian",$Q$12&gt;=2),"Reckless Attack",IF(AND(Q11="bard",Q12&gt;=2),"Song of Rest - "&amp;INDEX('Class Tables'!N58:N77,MATCH(Q12,('Class Tables'!L58:L77),0))&amp;" hp",IF(AND(Q11="cleric",Q12&gt;=2),"Channel Divinity - "&amp;INDEX('Class Tables'!N140:N159,MATCH(Q12,('Class Tables'!M140:M159),0))&amp;" uses",IF(AND(Q11="druid",Q12&gt;=2),"Wild Shape - "&amp;INDEX('Class Tables'!R140:R159,MATCH(Q12,('Class Tables'!Q140:Q159),0))," ")))))))))))</f>
        <v xml:space="preserve"> </v>
      </c>
      <c r="R17" s="33" t="str">
        <f ca="1">IF(AND(R15="otherworldly patron - great old one",Q12&gt;=6),"Entropic Ward",IF(AND(R15="otherworldly patron - fiend",Q12&gt;=10),"Fiendish Resilience",IF(AND(R15="otherworldly patron - Archfey",Q12&gt;=6),"Misty Escape",IF(R15="wild magic","Tides of Chaos",IF(R15="draconic bloodline","Draconic Resilience - AC "&amp;SUM(13+P39),IF(AND(R15="arcane trickster",Q12&gt;=9),"Magical Ambush",IF(AND(R15="assassin",Q12&gt;=9),"Infiltration Expertise",IF(R15="thief","Second-Story Work",IF(AND(R15="beastmaster",Q12&gt;=7),"Exceptional Training",IF(AND(R15="hunter",Q12&gt;=7),VLOOKUP(RANDBETWEEN(1,3),Table126[],2),IF(R15="oath of vengeance","Channel Divinity: Vow of Enmity",IF(R15="oath of the ancients","Channel Divinity: Turn the Faithless",IF(R15="oath of devotion","Channel Divinity: Turn the Unholy",IF(R15="way of the four elements","Elemental Attunement",IF(AND(R15="way of the open hand",Q12&gt;=6),"Wholeness of Body "&amp;Q12*3&amp;" hp",IF(AND(R15="eldritch knight",Q12&gt;=7),"War Magic",IF(AND(R15="champion",Q12&gt;=7),"Remarkable Athlete",IF(R15="moon","Circle Forms",IF(AND(R15="land",Q12&gt;=6),"Land's Stride",IF(AND(R15="war",Q12&gt;=2),"Channel Divinity: Guided Strike",IF(AND(R15="trickery",Q12&gt;=2),"Channel Divinity: Invoke Duplicity",IF(AND(R15="nature",Q12&gt;=2),"Channel Divinity: Destructive Wrath",IF(AND(R15="nature",Q12&gt;=6),"Dampen Elements",IF(AND(R15="light",Q12&gt;=2),"Channel Divinity: Radiance of the Dawn",IF(AND(R15="life",Q12&gt;=2),"Channel Divinity: Preserve Life - "&amp;Q12*5&amp;" hp",IF(AND(R15="knowledge",Q12&gt;=6),"Channel Divinity: Read Thoughts",IF($R$15="path of the totem warrior",VLOOKUP(RANDBETWEEN(1,3),Table44[],2),IF(AND(Q12&gt;=14,R15="college of lore"),"Peerless Skill",IF(AND(Q12&gt;=6,R15="College of Valor"),"Extra Attack"," ")))))))))))))))))))))))))))))</f>
        <v xml:space="preserve"> </v>
      </c>
      <c r="S17" s="123" t="s">
        <v>40</v>
      </c>
      <c r="AE17" s="29" t="s">
        <v>1337</v>
      </c>
      <c r="AF17" s="29">
        <f ca="1">IF(AND(AF14=2,OR(O11="monk",O11="barbarian",O11="warlock"),OR(Q11="paladin",Q11="ranger",R15="arcane trickster",R15="eldritch knight")),Q12,IF(AND($AF$14=2,OR(Q11="bard",Q11="druid",Q11="cleric",Q11="sorcerer",Q11="wizard")),Q12,IF(AND($AF$14=2,OR(Q11="paladin",Q11="ranger")),Q12*0.5,IF(AND($AF$14=2,OR($R$15="arcane trickster",$R$15="eldritch knight")),Q12*0.33,0))))</f>
        <v>0</v>
      </c>
      <c r="AH17" s="29" t="s">
        <v>22</v>
      </c>
      <c r="AI17" s="29">
        <f ca="1">$P$42</f>
        <v>2</v>
      </c>
      <c r="AJ17" s="29" t="str">
        <f t="shared" ref="AJ17:AU17" ca="1" si="22">IF(COUNTIF(AJ$27:AJ$33,$AH$17),$P$8," ")</f>
        <v xml:space="preserve"> </v>
      </c>
      <c r="AK17" s="29" t="str">
        <f t="shared" ca="1" si="22"/>
        <v xml:space="preserve"> </v>
      </c>
      <c r="AL17" s="29" t="str">
        <f t="shared" ca="1" si="22"/>
        <v xml:space="preserve"> </v>
      </c>
      <c r="AM17" s="29" t="str">
        <f t="shared" ca="1" si="22"/>
        <v xml:space="preserve"> </v>
      </c>
      <c r="AN17" s="29" t="str">
        <f t="shared" ca="1" si="22"/>
        <v xml:space="preserve"> </v>
      </c>
      <c r="AO17" s="29" t="str">
        <f t="shared" ca="1" si="22"/>
        <v xml:space="preserve"> </v>
      </c>
      <c r="AP17" s="29" t="str">
        <f t="shared" ca="1" si="22"/>
        <v xml:space="preserve"> </v>
      </c>
      <c r="AQ17" s="29" t="str">
        <f t="shared" ca="1" si="22"/>
        <v xml:space="preserve"> </v>
      </c>
      <c r="AR17" s="29" t="str">
        <f t="shared" ca="1" si="22"/>
        <v xml:space="preserve"> </v>
      </c>
      <c r="AS17" s="29" t="str">
        <f t="shared" ca="1" si="22"/>
        <v xml:space="preserve"> </v>
      </c>
      <c r="AT17" s="29" t="str">
        <f t="shared" ca="1" si="22"/>
        <v xml:space="preserve"> </v>
      </c>
      <c r="AU17" s="29" t="str">
        <f t="shared" ca="1" si="22"/>
        <v xml:space="preserve"> </v>
      </c>
      <c r="AV17" s="29">
        <f t="shared" ca="1" si="8"/>
        <v>0</v>
      </c>
      <c r="AW17" s="29" t="s">
        <v>22</v>
      </c>
      <c r="BH17" s="29" t="str">
        <f ca="1">IF(S11="Pirate",P8," ")</f>
        <v xml:space="preserve"> </v>
      </c>
      <c r="BJ17" s="29" t="str">
        <f ca="1">IF(S11="Sailor",P8," ")</f>
        <v xml:space="preserve"> </v>
      </c>
      <c r="BM17" s="29">
        <f t="shared" ca="1" si="2"/>
        <v>0</v>
      </c>
      <c r="BN17" s="29">
        <f t="shared" ca="1" si="9"/>
        <v>0</v>
      </c>
      <c r="BO17" s="29" t="str">
        <f t="shared" ca="1" si="3"/>
        <v xml:space="preserve"> </v>
      </c>
      <c r="BP17" s="29" t="str">
        <f t="shared" ca="1" si="4"/>
        <v xml:space="preserve"> </v>
      </c>
      <c r="BQ17" s="29" t="str">
        <f t="shared" ca="1" si="5"/>
        <v xml:space="preserve"> </v>
      </c>
      <c r="BR17" s="29">
        <f t="shared" ca="1" si="6"/>
        <v>0</v>
      </c>
      <c r="BU17" s="29">
        <f t="shared" ca="1" si="10"/>
        <v>0</v>
      </c>
      <c r="BV17" s="29" t="s">
        <v>22</v>
      </c>
      <c r="CB17" s="35">
        <f t="shared" ca="1" si="14"/>
        <v>15</v>
      </c>
      <c r="CC17" s="36">
        <f t="shared" ca="1" si="15"/>
        <v>7.1082118452876042E-2</v>
      </c>
      <c r="CD17" s="29" t="s">
        <v>18</v>
      </c>
    </row>
    <row r="18" spans="2:83" ht="19.5" thickTop="1" x14ac:dyDescent="0.3">
      <c r="B18" s="33" t="str">
        <f ca="1">IF(P2="wood","Mask of the Wild",IF(P2="dark","Sunlight Sensitivity",IF(P2="lightfoot","Naturally Stealthy",IF(P2="stout","Stout Resilience",IF(P2="rock","Tinker",IF(Q2="half-orc","Savage Attacks"," "))))))</f>
        <v xml:space="preserve"> </v>
      </c>
      <c r="O18" s="33" t="str">
        <f ca="1">IF(AND(O11="wizard",O12&gt;=18),"Spell Mastery - "&amp;INDEX(Q193:Q202,MATCH(1,(O193:O202),0)),IF(AND(AF26=2,O11="warlock",O12&gt;=2,COUNTIF(P193:P202,"*"&amp;"eldritch blast"&amp;"*")),"Invocation - Agonizing Blast",IF(AND(O11="warlock",O12&gt;=15),"Invocation - "&amp;INDEX('Class Tables'!F164:F187,MATCH(1,('Class Tables'!D164:D187),0)),IF(AND(O11="warlock",O12&gt;=9),"Invocation - "&amp;INDEX('Class Tables'!F141:F161,MATCH(1,('Class Tables'!D141:D161),0)),IF(AND(O11="warlock",O12&gt;=7),"Invocation - "&amp;INDEX('Class Tables'!F122:F138,MATCH(1,('Class Tables'!D122:D138),0)),IF(AND(O11="warlock",O12&gt;=5),"Invocation - "&amp;INDEX('Class Tables'!F106:F119,MATCH(1,('Class Tables'!D106:D119),0)),IF(AND(O11="warlock",O12&gt;=2),"Invocation - "&amp;INDEX('Class Tables'!F93:F103,MATCH(1,('Class Tables'!D93:D103),0)),IF(AND(O11="sorcerer",O12&gt;=3),"MM - "&amp;INDEX('Class Tables'!F78:F85,MATCH(1,('Class Tables'!D78:D85),0)),IF(AND(O11="rogue",O12&gt;=7),"Evasion",IF(AND(O11="ranger",O12&gt;=2),VLOOKUP(RANDBETWEEN(1,4),Table96[],2),IF(AND(O11="paladin",O12&gt;=2),"Spellcasting Focus",IF(AND(O11="monk",O12&gt;=2),"Ki DC - "&amp;SUM(8,P8,P42),IF(AND(O11="fighter",O12&gt;=5),"Extra Attack -"&amp;INDEX('Class Tables'!U140:U159,MATCH(O12,('Class Tables'!T140:T159),0)),IF(AND($O$11="barbarian",$O$12&gt;=2),"Danger Sense",IF(AND(O11="bard",O12&gt;=5),"Font of Inspiration",IF(AND(O11="druid",O12&gt;=18),"Timeless Body",IF(AND(O11="cleric",O12&gt;=2),"Channel Divinity: Turn Undead"," ")))))))))))))))))</f>
        <v>Danger Sense</v>
      </c>
      <c r="P18" s="33" t="str">
        <f ca="1">IF(AND(P15="school of transmutation",O12&gt;=6),"Transmuter's Stone",IF(AND(P15="school of necromancy",O12&gt;=6),"Undead Thralls",IF(AND(P15="school of illusion",O12&gt;=6),"Malleable Illusions",IF(AND(P15="school of evocation",O12&gt;=6),"Potent Cantrip",IF(AND(P15="school of enchantment",O12&gt;=6),"Instinctive Charm",IF(AND(P15="school of divination",O12&gt;=6),"Expert Divination",IF(AND(P15="school of conjuration",O12&gt;=6),"Benign Transposition",IF(AND(P15="school of abjuration",O12&gt;=6),"Projected Ward",IF(AND(P15="otherworldly patron - great old one",O12&gt;=10),"Thought Shield",IF(AND(P15="otherworldly patron - fiend",O12&gt;=14),"Hurl Through Hell",IF(AND(P15="otherworldly patron - Archfey",O12&gt;=10),"Beguiling Defenses",IF(AND(P15="wild magic",O12&gt;=6),"Bend Luck",IF(AND(P15="draconic bloodline",O12&gt;=6),"Elemental Affinity",IF(AND(P15="arcane trickster",O12&gt;=13),"Versatile Trickster",IF(AND(P15="assassin",O12&gt;=13),"Imposter",IF(AND(P15="thief",O12&gt;=9),"Supreme Sneak",IF(AND(P15="beastmaster",O12&gt;=11),"Beastial Fury",IF(AND(P15="hunter",O12&gt;=11),VLOOKUP(RANDBETWEEN(1,2),Table179[],2),IF(AND(P15="oath of vengeance",O12&gt;=7),"Relentless Avenger",IF(AND(P15="oath of the ancients",O12&gt;=7),"Aura of Warding",IF(AND(P15="oath of devotion",O12&gt;=7),"Aura of Devotion",IF(P15="way of the four elements",INDEX('Class Tables'!K120:K126,MATCH(1,('Class Tables'!I120:I126),0)),IF(AND(P15="way of the shadow",O12&gt;=17),"Opportunist",IF(AND(P15="way of the open hand",O12&gt;=11),"Tranquility DC "&amp;SUM(8,P42,P8),IF(AND(P15="eldritch knight",O12&gt;=10),"Eldritch Strike",IF(P15="battle Master",INDEX('Class Tables'!J58:J77,MATCH(O12,('Class Tables'!I58:I77),0)),IF(AND(P15="champion",O12&gt;=10),INDEX('Class Tables'!F48:F53,MATCH(2,('Class Tables'!D48:D53),0)),IF(AND(P15="moon",O12&gt;=6),"Primal Strike",IF(AND(P15="land",O12&gt;=10),"Nature's Ward",IF(AND(P15="war",O12&gt;=6),"Channel Divinity: War God's Blessing",IF(AND(P15="trickery",O12&gt;=6),"Channel Divinity: Cloak of Shadows",IF(AND(P15="nature",O12&gt;=6),"Thunderbolt Strike",IF(AND(P15="nature",O12&gt;=8),"Divine Strike",IF(AND(P15="light",O12&gt;=6),"Improved Flare",IF(AND(P15="life",O12&gt;=6),"Blessed Healer",IF(AND(P15="knowledge",O12&gt;=8),"Potent Spellcasting",IF(AND(P15="path of the berserker",O12&gt;=6,O11="barbarian"),"Mindless Rage",IF(AND(P15="path of the totem warrior",O12&gt;=6,O11="barbarian"),VLOOKUP(RANDBETWEEN(1,3),Table44[],3),IF(AND(P15="college of valor",O12&gt;=14),"Battle Magic"," ")))))))))))))))))))))))))))))))))))))))</f>
        <v>Mindless Rage</v>
      </c>
      <c r="Q18" s="33" t="str">
        <f ca="1">IF(AND(Q11="warlock",Q12&gt;=9),"Invocation - "&amp;INDEX('Class Tables'!F141:F161,MATCH(1,('Class Tables'!D141:D161),0)),IF(AND(Q11="warlock",Q12&gt;=7),"Invocation - "&amp;INDEX('Class Tables'!F122:F138,MATCH(1,('Class Tables'!D122:D138),0)),IF(AND(Q11="warlock",Q12&gt;=5),"Invocation - "&amp;INDEX('Class Tables'!F106:F119,MATCH(1,('Class Tables'!D106:D119),0)),IF(AND(Q11="warlock",Q12&gt;=2),"Invocation - "&amp;INDEX('Class Tables'!F93:F103,MATCH(1,('Class Tables'!D93:D103),0)),IF(AND(Q11="sorcerer",Q12&gt;=3),"MM - "&amp;INDEX('Class Tables'!F78:F85,MATCH(1,('Class Tables'!D78:D85),0)),IF(AND(Q11="rogue",Q12&gt;=7),"Evasion",IF(AND(Q11="ranger",Q12&gt;=2),VLOOKUP(RANDBETWEEN(1,4),Table96[],2),IF(AND(Q11="paladin",Q12&gt;=2),"Spellcasting Focus",IF(AND(Q11="monk",Q12&gt;=2),"Ki DC - "&amp;SUM(8,P8,P42),IF(AND(Q11="fighter",Q12&gt;=5),"Extra Attack - "&amp;INDEX('Class Tables'!U140:U159,MATCH(Q12,('Class Tables'!T140:T159),0)),IF(AND($Q$11="barbarian",$Q$12&gt;=2),"Danger Sense",IF(AND(Q11="bard",Q12&gt;=5),"Font of Inspiration",IF(AND(Q11="cleric",Q12&gt;=2),"Channel Divinity: Turn Undead",IF(AND(Q11="druid",Q12&gt;=18),"Timeless Body"," "))))))))))))))</f>
        <v xml:space="preserve"> </v>
      </c>
      <c r="R18" s="33" t="str">
        <f ca="1">IF(AND(R15="otherworldly patron - great old one",Q12&gt;=10),"Thought Shield",IF(AND(R15="otherworldly patron - Archfey",Q12&gt;=10),"Beguiling Defenses",IF(AND(R15="wild magic",Q12&gt;=6),"Bend Luck",IF(AND(R15="draconic bloodline",Q12&gt;=6),"Elemental Affinity",IF(AND(R15="thief",Q12&gt;=9),"Supreme Sneak",IF(AND(R15="oath of vengeance",Q12&gt;=7),"Relentless Avenger",IF(AND(R15="oath of the ancients",Q12&gt;=7),"Aura of Warding",IF(AND(R15="oath of devotion",Q12&gt;=7),"Aura of Devotion",IF(R15="way of the four elements",INDEX('Class Tables'!K120:K126,MATCH(1,('Class Tables'!I120:I126),0)),IF(AND(R15="eldritch knight",Q12&gt;=10),"Eldritch Strike",IF(R15="battle Master",INDEX('Class Tables'!J58:J77,MATCH(Q12,('Class Tables'!I58:I77),0)),IF(AND(R15="champion",Q12&gt;=10),INDEX('Class Tables'!F48:F53,MATCH(2,('Class Tables'!D48:D53),0)),IF(AND(R15="moon",Q12&gt;=6),"Primal Strike",IF(AND(R15="land",Q12&gt;=10),"Nature's Ward",IF(AND(R15="war",Q12&gt;=6),"War God's Blessing",IF(AND(R15="trickery",Q12&gt;=6),"Channel Divinity: Cloak of Shadows",IF(AND(R15="nature",Q12&gt;=6),"Thunderbolt Strike",IF(AND(R15="nature",Q12&gt;=8),"Divine Strike",IF(AND(R15="light",Q12&gt;=6),"Improved Flare",IF(AND(R15="life",Q12&gt;=6),"Blessed Healer",IF(AND(R15="knowledge",Q12&gt;=8),"Potent Spellcasting",IF(AND(R15="path of the berserker",Q12&gt;=6),"Mindless Rage",IF(AND(R15="path of the totem warrior",Q12&gt;=6),VLOOKUP(RANDBETWEEN(1,3),Table44[],3)," ")))))))))))))))))))))))</f>
        <v xml:space="preserve"> </v>
      </c>
      <c r="S18" s="33" t="s">
        <v>51</v>
      </c>
      <c r="AE18" s="29" t="s">
        <v>1338</v>
      </c>
      <c r="AF18" s="29">
        <f ca="1">ROUNDDOWN(SUM(AF16:AF17),0)</f>
        <v>0</v>
      </c>
      <c r="AH18" s="29" t="s">
        <v>23</v>
      </c>
      <c r="AI18" s="29">
        <f ca="1">$P$43</f>
        <v>1</v>
      </c>
      <c r="AJ18" s="29" t="str">
        <f t="shared" ref="AJ18:AU18" ca="1" si="23">IF(COUNTIF(AJ$27:AJ$33,$AH$18),$P$8," ")</f>
        <v xml:space="preserve"> </v>
      </c>
      <c r="AK18" s="29" t="str">
        <f t="shared" ca="1" si="23"/>
        <v xml:space="preserve"> </v>
      </c>
      <c r="AL18" s="29" t="str">
        <f t="shared" ca="1" si="23"/>
        <v xml:space="preserve"> </v>
      </c>
      <c r="AM18" s="29" t="str">
        <f t="shared" ca="1" si="23"/>
        <v xml:space="preserve"> </v>
      </c>
      <c r="AN18" s="29" t="str">
        <f t="shared" ca="1" si="23"/>
        <v xml:space="preserve"> </v>
      </c>
      <c r="AO18" s="29" t="str">
        <f t="shared" ca="1" si="23"/>
        <v xml:space="preserve"> </v>
      </c>
      <c r="AP18" s="29" t="str">
        <f t="shared" ca="1" si="23"/>
        <v xml:space="preserve"> </v>
      </c>
      <c r="AQ18" s="29" t="str">
        <f t="shared" ca="1" si="23"/>
        <v xml:space="preserve"> </v>
      </c>
      <c r="AR18" s="29" t="str">
        <f t="shared" ca="1" si="23"/>
        <v xml:space="preserve"> </v>
      </c>
      <c r="AS18" s="29" t="str">
        <f t="shared" ca="1" si="23"/>
        <v xml:space="preserve"> </v>
      </c>
      <c r="AT18" s="29" t="str">
        <f t="shared" ca="1" si="23"/>
        <v xml:space="preserve"> </v>
      </c>
      <c r="AU18" s="29" t="str">
        <f t="shared" ca="1" si="23"/>
        <v xml:space="preserve"> </v>
      </c>
      <c r="AV18" s="29">
        <f t="shared" ca="1" si="8"/>
        <v>0</v>
      </c>
      <c r="AW18" s="29" t="s">
        <v>23</v>
      </c>
      <c r="BA18" s="29" t="str">
        <f ca="1">IF(S11="Entertainer",P8," ")</f>
        <v xml:space="preserve"> </v>
      </c>
      <c r="BM18" s="29">
        <f t="shared" ca="1" si="2"/>
        <v>0</v>
      </c>
      <c r="BN18" s="29">
        <f t="shared" ca="1" si="9"/>
        <v>0</v>
      </c>
      <c r="BO18" s="29" t="str">
        <f t="shared" ca="1" si="3"/>
        <v xml:space="preserve"> </v>
      </c>
      <c r="BP18" s="29" t="str">
        <f t="shared" ca="1" si="4"/>
        <v xml:space="preserve"> </v>
      </c>
      <c r="BQ18" s="29" t="str">
        <f t="shared" ca="1" si="5"/>
        <v xml:space="preserve"> </v>
      </c>
      <c r="BR18" s="29">
        <f t="shared" ca="1" si="6"/>
        <v>0</v>
      </c>
      <c r="BU18" s="29">
        <f t="shared" ca="1" si="10"/>
        <v>0</v>
      </c>
      <c r="BV18" s="29" t="s">
        <v>23</v>
      </c>
      <c r="CB18" s="35">
        <f t="shared" ca="1" si="14"/>
        <v>3</v>
      </c>
      <c r="CC18" s="36">
        <f t="shared" ca="1" si="15"/>
        <v>0.8047409568738213</v>
      </c>
      <c r="CD18" s="29" t="s">
        <v>19</v>
      </c>
    </row>
    <row r="19" spans="2:83" x14ac:dyDescent="0.3">
      <c r="B19" s="33" t="str">
        <f ca="1">IF(P2="dark","Drow Magic"," ")</f>
        <v xml:space="preserve"> </v>
      </c>
      <c r="O19" s="33" t="str">
        <f ca="1">IF(AND(O11="wizard",O12&gt;=18),"Spell Mastery - "&amp;INDEX(R193:R202,MATCH(1,(O193:O202),0)),IF(AND(O12&gt;=2,O16="pact of the chain",AF26=1),"Invocation - Voice of the Chain Master",IF(AND(O12&gt;=5,O16="pact of the blade",AF26=1),"Invocation - Thirsting Blade",IF(AND(O11="warlock",O12&gt;=2,O16="pact of the tome",AF26=1),"Invocation - Book of Ancient Secrets",IF(AND(O11="warlock",O12&gt;=2,COUNTIF(P193:P202,"*"&amp;"Eldritch blast"&amp;"*")),"Invocation - Repelling Blast",IF(AND(O11="warlock",O12&gt;=15),"Invocation - "&amp;INDEX('Class Tables'!F164:F187,MATCH(2,('Class Tables'!D164:D187),0)),IF(AND(O11="warlock",O12&gt;=9),"Invocation - "&amp;INDEX('Class Tables'!F141:F161,MATCH(2,('Class Tables'!D141:D161),0)),IF(AND(O11="warlock",O12&gt;=7),"Invocation - "&amp;INDEX('Class Tables'!F122:F138,MATCH(2,('Class Tables'!D122:D138),0)),IF(AND(O11="warlock",O12&gt;=5),"Invocation - "&amp;INDEX('Class Tables'!F106:F119,MATCH(2,('Class Tables'!D106:D119),0)),IF(AND(O11="warlock",O12&gt;=2),"Invocation - "&amp;INDEX('Class Tables'!F93:F103,MATCH(2,('Class Tables'!D93:D103),0)),IF(AND(O11="sorcerer",O12&gt;=10),"MM - "&amp;INDEX('Class Tables'!F78:F85,MATCH(2,('Class Tables'!D78:D85),0)),IF(AND(O11="rogue",O12&gt;=11),"Reliable Talent",IF(AND(O11="ranger",O12&gt;=3),"Primeval Awareness",IF(AND(O11="paladin",O12&gt;=2),"Divine Smite",IF(AND(O11="monk",O12&gt;=2),"Flurry of Blows",IF(AND(O11="fighter",O12&gt;=9),"Indomitable",IF(AND($O$11="barbarian",$O$12&gt;=5),"Extra Attack",IF(AND(O11="bard",O12&gt;=6),"Countercharm",IF(AND(O11="cleric",O12&gt;=5),"Destroy Undead - "&amp;INDEX('Class Tables'!O140:O159,MATCH(O12,('Class Tables'!M140:M159),0)),IF(AND(O11="druid",O12&gt;=18),"Beast Spells"," "))))))))))))))))))))</f>
        <v>Extra Attack</v>
      </c>
      <c r="P19" s="33" t="str">
        <f ca="1">IF(AND(P15="school of transmutation",O12&gt;=10),"Shapechanger",IF(AND(P15="school of necromancy",O12&gt;=10),"Inured to Undeath",IF(AND(P15="school of illusion",O12&gt;=10),"Illusory Self",IF(AND(P15="school of evocation",O12&gt;=10),"Empowered Evocation",IF(AND(P15="school of enchantment",O12&gt;=10),"Split Enchantment",IF(AND(P15="school of divination",O12&gt;=10),"The Third Eye",IF(AND(P15="school of conjuration",O12&gt;=10),"Focused Conjuration",IF(AND(P15="school of abjuration",O12&gt;=10),"Improved Abjuration",IF(AND(P15="otherworldly patron - great old one",O12&gt;=14),"Create Thrall",IF(AND(P15="otherworldly patron - Archfey",O12&gt;=14),"Dark Delirium",IF(AND(P15="wild magic",O12&gt;=14),"Controlled Chaos",IF(AND(P15="draconic bloodline",O12&gt;=14),"Dragon Wings",IF(AND(P15="arcane trickster",O12&gt;=17),"Spell Thief",IF(AND(P15="assassin",O12&gt;=17),"Death Strike DC"&amp;SUM(8,P8,P39),IF(AND(P15="thief",O12&gt;=13),"Use Magic Device",IF(AND(P15="beastmaster",O12&gt;=15),"Share Spells",IF(AND(P15="hunter",O12&gt;=15),VLOOKUP(RANDBETWEEN(1,3),Table199[],2),IF(AND(P15="oath of vengeance",O12&gt;=15),"Soul of Vengeance",IF(AND(P15="oath of the ancients",O12&gt;=15),"Undying Sentinel",(IF(AND(P15="oath of devotion",O12&gt;=15),"Purity of Spirit",IF(P15="way of the four elements",INDEX('Class Tables'!K120:K126,MATCH(2,('Class Tables'!I120:I126),0)),IF(AND(P15="way of the open hand",O12&gt;=17),"Quivering Palm",IF(AND(P15="eldritch Knight",O12&gt;=15),"Arcane Charge",IF(P15="battle master","Maneuver DC "&amp;SUM(P8,8,AF22),IF(AND(P15="champion",O12&gt;=15),"Superior Critcial",IF(AND(P15="moon",O12&gt;=10),"Elemental Wild Strike",IF(AND(P15="land",O12&gt;=14),"Nature's Sanctuary",IF(AND(P15="war",O12&gt;=8),"Divine Strike",IF(AND(P15="trickery",O12&gt;=8),"Divine Strike",IF(AND(P15="nature",O12&gt;=8),"Divine Strike",IF(AND(P15="nature",O12&gt;=17),"Master of Nature",IF(AND(P15="light",O12&gt;=8),"Potent Spellcasting",IF(AND(P15="life",O12&gt;=8),"Divine Strike",IF(AND(P15="knowledge",O12&gt;=17),"Visions of the Past",IF(AND(O12&gt;=10,P15="path of the berserker"),"Intimidating Presence DC "&amp;SUM(8,P8,P43),IF(AND(O12&gt;=10,P15="path of the totem warrior"),"Spirit Walker"," ")))))))))))))))))))))))))))))))))))))</f>
        <v>Intimidating Presence DC 13</v>
      </c>
      <c r="Q19" s="33" t="str">
        <f ca="1">IF(AND(Q11="warlock",Q12&gt;=9),"Invocation - "&amp;INDEX('Class Tables'!F141:F161,MATCH(2,('Class Tables'!D141:D161),0)),IF(AND(Q11="warlock",Q12&gt;=7),"Invocation - "&amp;INDEX('Class Tables'!F122:F138,MATCH(2,('Class Tables'!D122:D138),0)),IF(AND(Q11="warlock",Q12&gt;=5),"Invocation - "&amp;INDEX('Class Tables'!F106:F119,MATCH(2,('Class Tables'!D106:D119),0)),IF(AND(Q11="warlock",Q12&gt;=2),"Invocation - "&amp;INDEX('Class Tables'!F93:F103,MATCH(2,('Class Tables'!D93:D103),0)),IF(AND(Q11="sorcerer",Q12&gt;=10),"MM - "&amp;INDEX('Class Tables'!F78:F85,MATCH(2,('Class Tables'!D78:D85),0)),IF(AND(Q11="ranger",Q12&gt;=3),"Primeval Awareness",IF(AND(Q11="paladin",Q12&gt;=2),"Divine Smite",IF(AND(Q11="monk",Q12&gt;=2),"Flurry of Blows",IF(AND(Q11="fighter",Q12&gt;=9),"Indomitable",IF(AND($Q$11="barbarian",$Q$12&gt;=5),"Extra Attack",IF(AND(Q11="bard",Q12&gt;=6),"Countercharm",IF(AND(Q11="cleric",Q12&gt;=5),"Destroy Undead - "&amp;INDEX('Class Tables'!O140:O159,MATCH(Q12,('Class Tables'!M140:M159),0)),IF(AND(Q11="druid",Q12&gt;=18),"Beast Spells"," ")))))))))))))</f>
        <v xml:space="preserve"> </v>
      </c>
      <c r="R19" s="33" t="str">
        <f ca="1">IF(R15="way of the four elements",INDEX('Class Tables'!K120:K126,MATCH(2,('Class Tables'!I120:I126),0)),IF(R15="battle master","Maneuver DC "&amp;SUM(P8,8,AF22),IF(AND(R15="moon",Q12&gt;=10),"Elemental Wild Shape",IF(AND(R15="war",Q12&gt;=8),"Divine Strike",IF(AND(R15="trickery",Q12&gt;=8),"Divine Strike",IF(AND(R15="nature",Q12&gt;=8),"Divine Strike",IF(AND(R15="light",Q12&gt;=8),"Potent Spellcasting",IF(AND(R15="life",Q12&gt;=8),"Divine Strike",IF(AND(R15="knowledge",Q12&gt;=17),"Visions of the Past",IF(AND(Q12&gt;=10,R15="path of the berserker"),"Intimidating Presence DC "&amp;SUM(8,P8,P43),IF(AND(Q12&gt;=10,R15="path of the totem warrior"),"Spirit Walker"," ")))))))))))</f>
        <v xml:space="preserve"> </v>
      </c>
      <c r="S19" s="33" t="str">
        <f ca="1">IF(Q2="dwarf","Dwarvish",IF(OR(Q2="half-elf",Q2="elf"),"Elvish",IF(Q2="halfling","Halfling",IF(Q2="human",VLOOKUP(RANDBETWEEN(1,8),Table20[],2),IF(Q2="gnome","Gnomish",IF(Q2="half-orc","Orc",IF(Q2="tiefling","Infernal"," ")))))))</f>
        <v>Dwarvish</v>
      </c>
      <c r="AH19" s="29" t="s">
        <v>24</v>
      </c>
      <c r="AI19" s="29">
        <f ca="1">$P$43</f>
        <v>1</v>
      </c>
      <c r="AJ19" s="29" t="str">
        <f t="shared" ref="AJ19:AU19" ca="1" si="24">IF(COUNTIF(AJ$27:AJ$33,$AH$19),$P$8," ")</f>
        <v xml:space="preserve"> </v>
      </c>
      <c r="AK19" s="29" t="str">
        <f t="shared" ca="1" si="24"/>
        <v xml:space="preserve"> </v>
      </c>
      <c r="AL19" s="29" t="str">
        <f t="shared" ca="1" si="24"/>
        <v xml:space="preserve"> </v>
      </c>
      <c r="AM19" s="29" t="str">
        <f t="shared" ca="1" si="24"/>
        <v xml:space="preserve"> </v>
      </c>
      <c r="AN19" s="29" t="str">
        <f t="shared" ca="1" si="24"/>
        <v xml:space="preserve"> </v>
      </c>
      <c r="AO19" s="29" t="str">
        <f t="shared" ca="1" si="24"/>
        <v xml:space="preserve"> </v>
      </c>
      <c r="AP19" s="29" t="str">
        <f t="shared" ca="1" si="24"/>
        <v xml:space="preserve"> </v>
      </c>
      <c r="AQ19" s="29" t="str">
        <f t="shared" ca="1" si="24"/>
        <v xml:space="preserve"> </v>
      </c>
      <c r="AR19" s="29" t="str">
        <f t="shared" ca="1" si="24"/>
        <v xml:space="preserve"> </v>
      </c>
      <c r="AS19" s="29" t="str">
        <f t="shared" ca="1" si="24"/>
        <v xml:space="preserve"> </v>
      </c>
      <c r="AT19" s="29" t="str">
        <f t="shared" ca="1" si="24"/>
        <v xml:space="preserve"> </v>
      </c>
      <c r="AU19" s="29" t="str">
        <f t="shared" ca="1" si="24"/>
        <v xml:space="preserve"> </v>
      </c>
      <c r="AV19" s="29">
        <f t="shared" ca="1" si="8"/>
        <v>0</v>
      </c>
      <c r="AW19" s="29" t="s">
        <v>24</v>
      </c>
      <c r="BE19" s="29" t="str">
        <f ca="1">IF(S11="Knight",P8," ")</f>
        <v xml:space="preserve"> </v>
      </c>
      <c r="BF19" s="29" t="str">
        <f ca="1">IF(S11="Noble",P8," ")</f>
        <v xml:space="preserve"> </v>
      </c>
      <c r="BM19" s="29">
        <f t="shared" ca="1" si="2"/>
        <v>0</v>
      </c>
      <c r="BN19" s="29">
        <f t="shared" ca="1" si="9"/>
        <v>0</v>
      </c>
      <c r="BO19" s="29" t="str">
        <f t="shared" ca="1" si="3"/>
        <v xml:space="preserve"> </v>
      </c>
      <c r="BP19" s="29" t="str">
        <f t="shared" ca="1" si="4"/>
        <v xml:space="preserve"> </v>
      </c>
      <c r="BQ19" s="29" t="str">
        <f t="shared" ca="1" si="5"/>
        <v xml:space="preserve"> </v>
      </c>
      <c r="BR19" s="29">
        <f t="shared" ca="1" si="6"/>
        <v>0</v>
      </c>
      <c r="BU19" s="29">
        <f t="shared" ca="1" si="10"/>
        <v>0</v>
      </c>
      <c r="BV19" s="29" t="s">
        <v>24</v>
      </c>
      <c r="CB19" s="35">
        <f t="shared" ca="1" si="14"/>
        <v>10</v>
      </c>
      <c r="CC19" s="36">
        <f t="shared" ca="1" si="15"/>
        <v>0.29242353929502862</v>
      </c>
      <c r="CD19" s="29" t="s">
        <v>20</v>
      </c>
      <c r="CE19" s="31"/>
    </row>
    <row r="20" spans="2:83" x14ac:dyDescent="0.3">
      <c r="O20" s="33" t="str">
        <f ca="1">IF(AND(O11="warlock",O12&gt;=2,AF26=2,COUNTIF(P193:P202,"*"&amp;"Eldritch blast"&amp;"*")),"Invocation - Eldritch Spear",IF(AND(O11="warlock",O12&gt;=15),"Invocation - "&amp;INDEX('Class Tables'!F164:F187,MATCH(3,('Class Tables'!D164:D187),0)),IF(AND(O11="warlock",O12&gt;=9),"Invocation - "&amp;INDEX('Class Tables'!F141:F161,MATCH(3,('Class Tables'!D141:D161),0)),IF(AND(O11="warlock",O12&gt;=7),"Invocation - "&amp;INDEX('Class Tables'!F122:F138,MATCH(3,('Class Tables'!D122:D138),0)),IF(AND(O11="warlock",O12&gt;=5),"Invocation - "&amp;INDEX('Class Tables'!F106:F119,MATCH(3,('Class Tables'!D106:D119),0)),IF(AND(O11="sorcerer",O12&gt;=20),"Sorcerous Restoration",IF(AND(O11="sorcerer",O12&gt;=17),"MM - "&amp;INDEX('Class Tables'!F78:F85,MATCH(3,('Class Tables'!D78:D85),0)),IF(AND(O11="rogue",O12&gt;=14),"Blindsense",IF(AND(O11="ranger",O12&gt;=5),"Extra Attack",IF(AND(O11="paladin",O12&gt;=3),"Divine Health",IF(AND(O11="monk",O12&gt;=2),"Patient Defense",IF(AND(O11="barbarian",O12&gt;=5),"Fast Movement",IF(AND(O11="bard",O12&gt;=20),"Superior Inspiration",IF(AND(O11="druid",O12&gt;=20),"Archdruid",IF(AND(O11="cleric",O12&gt;=10),"Divine Intervention"," ")))))))))))))))</f>
        <v>Fast Movement</v>
      </c>
      <c r="P20" s="33" t="str">
        <f ca="1">IF(AND(P15="school of transmutation",O12&gt;=14),"Master Transmuter",IF(AND(P15="school of necromancy",O12&gt;=14),"Command Undead",IF(AND(P15="school of illusion",O12&gt;=14),"Illusory Reality",IF(AND(P15="school of evocation",O12&gt;=14),"Overchannel",IF(AND(P15="school of enchantment",O12&gt;=14),"Alter Memories",IF(AND(P15="school of divination",O12&gt;=14),"Greater Portent",IF(AND(P15="school of conjuration",O12&gt;=14),"Durable Summons",IF(AND(P15="school of abjuration",O12&gt;=14),"Spell Resistance",IF(AND(P15="wild magic",O12&gt;=18),"Spell Bombardment",IF(AND(P15="Draconic Bloodline",O12&gt;=18),"Draconic Presence",IF(AND(P15="thief",O12&gt;=17),"Thief's Reflexes",IF(AND(P15="oath of vengeance",O12&gt;=20),"Avenging Angel",IF(AND(P15="oath of the ancients",O12&gt;=20),"Elder Champion",IF(AND(P15="Oath of Devotion",O12&gt;=20),"Holy Nimbus",IF(AND(P15="way of the four elements",O12&gt;=6),INDEX('Class Tables'!K128:K129,MATCH(1,('Class Tables'!I128:I129),0)),IF(AND(P15="eldritch knight",O12&gt;=18),"Improved War Magic",IF(P15="battle master",INDEX('Class Tables'!K40:K55,MATCH(1,('Class Tables'!I40:I55),0)),IF(AND(P15="champion",O12&gt;=18),"Survivor - "&amp;SUM(5+P48)&amp;" hp",IF(AND(P15="moon",O12&gt;=14),"Thousand Forms",IF(P15="land",VLOOKUP(RANDBETWEEN(1,8),Table74[],2),IF(AND(P15="war",O12&gt;=17),"Avatar of Battle",IF(AND(P15="trickery",O12&gt;=17),"Improved Duplicity",IF(AND(P15="nature",O12&gt;=17),"Stormborn",IF(AND(P15="light",O12&gt;=17),"Corona of Light",IF(AND(P15="life",O12&gt;=17),"Supreme Healing",IF(AND(P15="path of the totem warrior",O12&gt;=14),VLOOKUP(RANDBETWEEN(1,3),Table44[],4)," "))))))))))))))))))))))))))</f>
        <v xml:space="preserve"> </v>
      </c>
      <c r="Q20" s="33" t="str">
        <f ca="1">IF(AND(Q11="warlock",Q12&gt;=9),"Invocation - "&amp;INDEX('Class Tables'!F141:F161,MATCH(3,('Class Tables'!D141:D161),0)),IF(AND(Q11="warlock",Q12&gt;=7),"Invocation - "&amp;INDEX('Class Tables'!F122:F138,MATCH(3,('Class Tables'!D122:D138),0)),IF(AND(Q11="warlock",Q12&gt;=5),"Invocation - "&amp;INDEX('Class Tables'!F106:F119,MATCH(3,('Class Tables'!D106:D119),0)),IF(AND(Q11="ranger",Q12&gt;=5),"Extra Attack",IF(AND(Q11="paladin",Q12&gt;=3),"Divine Health",IF(AND(Q11="monk",Q12&gt;=2),"Patient Defense",IF(AND(Q11="barbarian",Q12&gt;=5),"Fast Movement",IF(AND(Q11="cleric",Q12&gt;=10),"Divine Intervention"," "))))))))</f>
        <v xml:space="preserve"> </v>
      </c>
      <c r="R20" s="33" t="str">
        <f ca="1">IF(AND(R15="way of the four elements",Q12&gt;=6),INDEX('Class Tables'!K128:K129,MATCH(1,('Class Tables'!I128:I129),0)),IF(R15="battle master",INDEX('Class Tables'!K40:K55,MATCH(1,('Class Tables'!I40:I55),0)),IF(R15="land",VLOOKUP(RANDBETWEEN(1,8),Table74[],2)," ")))</f>
        <v xml:space="preserve"> </v>
      </c>
      <c r="S20" s="33" t="str">
        <f ca="1">IF(P2="high",INDEX('Class Tables'!S177:S220,MATCH(1,('Class Tables'!Q177:Q220),0))," ")</f>
        <v xml:space="preserve"> </v>
      </c>
      <c r="AE20" s="29" t="s">
        <v>1990</v>
      </c>
      <c r="AF20" s="29">
        <f ca="1">RANDBETWEEN(1,3)</f>
        <v>2</v>
      </c>
      <c r="AH20" s="29" t="s">
        <v>25</v>
      </c>
      <c r="AI20" s="29">
        <f ca="1">$P$41</f>
        <v>0</v>
      </c>
      <c r="AJ20" s="29" t="str">
        <f t="shared" ref="AJ20:AU20" ca="1" si="25">IF(COUNTIF(AJ$27:AJ$33,$AH$20),$P$8," ")</f>
        <v xml:space="preserve"> </v>
      </c>
      <c r="AK20" s="29" t="str">
        <f t="shared" ca="1" si="25"/>
        <v xml:space="preserve"> </v>
      </c>
      <c r="AL20" s="29" t="str">
        <f t="shared" ca="1" si="25"/>
        <v xml:space="preserve"> </v>
      </c>
      <c r="AM20" s="29" t="str">
        <f t="shared" ca="1" si="25"/>
        <v xml:space="preserve"> </v>
      </c>
      <c r="AN20" s="29" t="str">
        <f t="shared" ca="1" si="25"/>
        <v xml:space="preserve"> </v>
      </c>
      <c r="AO20" s="29" t="str">
        <f t="shared" ca="1" si="25"/>
        <v xml:space="preserve"> </v>
      </c>
      <c r="AP20" s="29" t="str">
        <f t="shared" ca="1" si="25"/>
        <v xml:space="preserve"> </v>
      </c>
      <c r="AQ20" s="29" t="str">
        <f t="shared" ca="1" si="25"/>
        <v xml:space="preserve"> </v>
      </c>
      <c r="AR20" s="29" t="str">
        <f t="shared" ca="1" si="25"/>
        <v xml:space="preserve"> </v>
      </c>
      <c r="AS20" s="29" t="str">
        <f t="shared" ca="1" si="25"/>
        <v xml:space="preserve"> </v>
      </c>
      <c r="AT20" s="29" t="str">
        <f t="shared" ca="1" si="25"/>
        <v xml:space="preserve"> </v>
      </c>
      <c r="AU20" s="29" t="str">
        <f t="shared" ca="1" si="25"/>
        <v xml:space="preserve"> </v>
      </c>
      <c r="AV20" s="29">
        <f t="shared" ca="1" si="8"/>
        <v>0</v>
      </c>
      <c r="AW20" s="29" t="s">
        <v>25</v>
      </c>
      <c r="AX20" s="29" t="str">
        <f ca="1">IF(S11="acolyte",P8," ")</f>
        <v xml:space="preserve"> </v>
      </c>
      <c r="BC20" s="29">
        <f ca="1">IF(S11="Guild Artisan",P8," ")</f>
        <v>4</v>
      </c>
      <c r="BD20" s="29" t="str">
        <f ca="1">IF(S11="Hermit",P8," ")</f>
        <v xml:space="preserve"> </v>
      </c>
      <c r="BM20" s="29">
        <f t="shared" ca="1" si="2"/>
        <v>4</v>
      </c>
      <c r="BN20" s="29">
        <f t="shared" ca="1" si="9"/>
        <v>0</v>
      </c>
      <c r="BO20" s="29" t="str">
        <f t="shared" ca="1" si="3"/>
        <v xml:space="preserve"> </v>
      </c>
      <c r="BP20" s="29" t="str">
        <f t="shared" ca="1" si="4"/>
        <v xml:space="preserve"> </v>
      </c>
      <c r="BQ20" s="29" t="str">
        <f t="shared" ca="1" si="5"/>
        <v xml:space="preserve"> </v>
      </c>
      <c r="BR20" s="29">
        <f t="shared" ca="1" si="6"/>
        <v>0</v>
      </c>
      <c r="BS20" s="29">
        <f ca="1">IF(AND($BY$29=1,OR($P$15="knowledge",$R$15="knowledge")),$P$8*2,IF(AND($BY$29=2,OR($P$15="knowledge",$R$15="knowledge")),$P$8*2,0))</f>
        <v>0</v>
      </c>
      <c r="BU20" s="29">
        <f t="shared" ca="1" si="10"/>
        <v>4</v>
      </c>
      <c r="BV20" s="29" t="s">
        <v>25</v>
      </c>
      <c r="CB20" s="35">
        <f t="shared" ca="1" si="14"/>
        <v>16</v>
      </c>
      <c r="CC20" s="36">
        <f t="shared" ca="1" si="15"/>
        <v>3.8587320553515547E-2</v>
      </c>
      <c r="CD20" s="29" t="s">
        <v>21</v>
      </c>
    </row>
    <row r="21" spans="2:83" x14ac:dyDescent="0.3">
      <c r="O21" s="33" t="str">
        <f ca="1">IF(AND(O11="warlock",O12&gt;=15),"Invocation - "&amp;INDEX('Class Tables'!F164:F187,MATCH(4,('Class Tables'!D164:D187),0)),IF(AND(O11="warlock",O12&gt;=9),"Invocation - "&amp;INDEX('Class Tables'!F141:F161,MATCH(4,('Class Tables'!D141:D161),0)),IF(AND(O11="warlock",O12&gt;=7),"Invocation - "&amp;INDEX('Class Tables'!F122:F138,MATCH(4,('Class Tables'!D122:D138),0)),IF(AND(O11="rogue",O12&gt;=15),"Slippery Mind",IF(AND(O11="ranger",O12&gt;=8),"Land's Stride",IF(AND(O11="paladin",O12&gt;=5),"Extra Attack",IF(AND(O11="monk",O12&gt;=2),"Step of the Wind",IF(AND($O$11="barbarian",$O$12&gt;=7),"Feral Instinct"," "))))))))</f>
        <v>Feral Instinct</v>
      </c>
      <c r="P21" s="33" t="str">
        <f ca="1">IF(AND(P15="way of the four elements",O12&gt;=11),INDEX('Class Tables'!K131:K134,MATCH(1,('Class Tables'!I131:I134),0)),IF(P15="battle master",INDEX('Class Tables'!K40:K55,MATCH(2,('Class Tables'!I40:I55),0))," "))</f>
        <v xml:space="preserve"> </v>
      </c>
      <c r="Q21" s="33" t="str">
        <f ca="1">IF(AND(Q11="warlock",Q12&gt;=9),"Invocation - "&amp;INDEX('Class Tables'!F141:F161,MATCH(4,('Class Tables'!D141:D161),0)),IF(AND(Q11="warlock",Q12&gt;=7),"Invocation - "&amp;INDEX('Class Tables'!F122:F138,MATCH(4,('Class Tables'!D122:D138),0)),IF(AND(Q11="ranger",Q12&gt;=8),"Land's Stride",IF(AND(Q11="paladin",Q12&gt;=5),"Extra Attack",IF(AND(Q11="monk",Q12&gt;=2),"Step of the Wind",IF(AND($Q$11="barbarian",$Q$12&gt;=7),"Feral Instinct"," "))))))</f>
        <v xml:space="preserve"> </v>
      </c>
      <c r="R21" s="33" t="str">
        <f ca="1">IF(R15="battle master",INDEX('Class Tables'!K40:K55,MATCH(2,('Class Tables'!I40:I55),0))," ")</f>
        <v xml:space="preserve"> </v>
      </c>
      <c r="S21" s="33" t="str">
        <f ca="1">IF(OR(P15="knowledge",R15="knowledge"),INDEX('Class Tables'!S177:S220,MATCH(2,('Class Tables'!Q177:Q220),0))," ")</f>
        <v xml:space="preserve"> </v>
      </c>
      <c r="AE21" s="29" t="s">
        <v>1989</v>
      </c>
      <c r="AF21" s="29">
        <f ca="1">RANDBETWEEN(1,2)</f>
        <v>2</v>
      </c>
      <c r="AH21" s="29" t="s">
        <v>26</v>
      </c>
      <c r="AI21" s="29">
        <f ca="1">$P$39</f>
        <v>2</v>
      </c>
      <c r="AJ21" s="29" t="str">
        <f t="shared" ref="AJ21:AU21" ca="1" si="26">IF(COUNTIF(AJ$27:AJ$33,$AH$21),$P$8," ")</f>
        <v xml:space="preserve"> </v>
      </c>
      <c r="AK21" s="29" t="str">
        <f t="shared" ca="1" si="26"/>
        <v xml:space="preserve"> </v>
      </c>
      <c r="AL21" s="29" t="str">
        <f t="shared" ca="1" si="26"/>
        <v xml:space="preserve"> </v>
      </c>
      <c r="AM21" s="29" t="str">
        <f t="shared" ca="1" si="26"/>
        <v xml:space="preserve"> </v>
      </c>
      <c r="AN21" s="29" t="str">
        <f t="shared" ca="1" si="26"/>
        <v xml:space="preserve"> </v>
      </c>
      <c r="AO21" s="29" t="str">
        <f t="shared" ca="1" si="26"/>
        <v xml:space="preserve"> </v>
      </c>
      <c r="AP21" s="29" t="str">
        <f t="shared" ca="1" si="26"/>
        <v xml:space="preserve"> </v>
      </c>
      <c r="AQ21" s="29" t="str">
        <f t="shared" ca="1" si="26"/>
        <v xml:space="preserve"> </v>
      </c>
      <c r="AR21" s="29" t="str">
        <f t="shared" ca="1" si="26"/>
        <v xml:space="preserve"> </v>
      </c>
      <c r="AS21" s="29" t="str">
        <f t="shared" ca="1" si="26"/>
        <v xml:space="preserve"> </v>
      </c>
      <c r="AT21" s="29" t="str">
        <f t="shared" ca="1" si="26"/>
        <v xml:space="preserve"> </v>
      </c>
      <c r="AU21" s="29" t="str">
        <f t="shared" ca="1" si="26"/>
        <v xml:space="preserve"> </v>
      </c>
      <c r="AV21" s="29">
        <f t="shared" ca="1" si="8"/>
        <v>0</v>
      </c>
      <c r="AW21" s="29" t="s">
        <v>26</v>
      </c>
      <c r="AY21" s="29" t="str">
        <f ca="1">IF(S11="Charlatan",P8," ")</f>
        <v xml:space="preserve"> </v>
      </c>
      <c r="BL21" s="29" t="str">
        <f ca="1">IF(S11="urchin",P8," ")</f>
        <v xml:space="preserve"> </v>
      </c>
      <c r="BM21" s="29">
        <f t="shared" ca="1" si="2"/>
        <v>0</v>
      </c>
      <c r="BN21" s="29">
        <f t="shared" ca="1" si="9"/>
        <v>0</v>
      </c>
      <c r="BO21" s="29" t="str">
        <f t="shared" ca="1" si="3"/>
        <v xml:space="preserve"> </v>
      </c>
      <c r="BP21" s="29" t="str">
        <f t="shared" ca="1" si="4"/>
        <v xml:space="preserve"> </v>
      </c>
      <c r="BQ21" s="29" t="str">
        <f t="shared" ca="1" si="5"/>
        <v xml:space="preserve"> </v>
      </c>
      <c r="BR21" s="29">
        <f t="shared" ca="1" si="6"/>
        <v>0</v>
      </c>
      <c r="BU21" s="29">
        <f t="shared" ca="1" si="10"/>
        <v>0</v>
      </c>
      <c r="BV21" s="29" t="s">
        <v>26</v>
      </c>
      <c r="CB21" s="35">
        <f t="shared" ca="1" si="14"/>
        <v>4</v>
      </c>
      <c r="CC21" s="36">
        <f t="shared" ca="1" si="15"/>
        <v>0.64592329877973309</v>
      </c>
      <c r="CD21" s="29" t="s">
        <v>22</v>
      </c>
    </row>
    <row r="22" spans="2:83" x14ac:dyDescent="0.3">
      <c r="O22" s="33" t="str">
        <f ca="1">(IF(AND(O16="pact of the blade",O12&gt;=12,AF26=1),"Invocation - Lifedrinker",IF(AND(O11="warlock",O12&gt;=15),"Invocation - "&amp;INDEX('Class Tables'!F164:F187,MATCH(5,('Class Tables'!D164:D187),0)),IF(AND(O11="warlock",O12&gt;=9),"Invocation - "&amp;INDEX('Class Tables'!F141:F161,MATCH(5,('Class Tables'!D141:D161),0)),IF(AND(O11="rogue",O12&gt;=18),"Elusive Foe",IF(AND(O11="ranger",O12&gt;=10),"Hide in Plain Sight",IF(AND(O11="paladin",O12&gt;=6),"Aura of Protection +"&amp;MAX(P43,1),IF(AND(O11="monk",O12&gt;=2),"Unarmored Movement - "&amp;INDEX('Class Tables'!L98:L117,MATCH(O12,('Class Tables'!I98:I117),0))&amp;" ft.",IF(AND($O$11="barbarian",$O$12&gt;=9),"Brutal Critical"," ")))))))))</f>
        <v>Brutal Critical</v>
      </c>
      <c r="P22" s="33" t="str">
        <f ca="1">IF(AND(P15="way of the four elements",O12&gt;=17),INDEX('Class Tables'!K136:K138,MATCH(1,('Class Tables'!I136:I138),0)),IF(P15="battle master",INDEX('Class Tables'!K40:K55,MATCH(3,('Class Tables'!I40:I55),0))," "))</f>
        <v xml:space="preserve"> </v>
      </c>
      <c r="Q22" s="33" t="str">
        <f ca="1">IF(AND(Q11="warlock",Q12&gt;=9),"Invocation - "&amp;INDEX('Class Tables'!F141:F161,MATCH(5,('Class Tables'!D141:D161),0)),IF(AND(Q11="ranger",Q12&gt;=10),"Hide in Plain Sight",IF(AND(Q11="paladin",Q12&gt;=6),"Aura of Protection +"&amp;MAX(P43,1),IF(AND(Q11="monk",Q12&gt;=2),"Unarmored Movement - "&amp;INDEX('Class Tables'!L98:L117,MATCH(Q12,('Class Tables'!I98:I117),0))&amp;" ft.",IF(AND($Q$11="barbarian",$Q$12&gt;=9),"Brutal Critical"," ")))))</f>
        <v xml:space="preserve"> </v>
      </c>
      <c r="R22" s="33" t="str">
        <f ca="1">IF(R15="battle master",INDEX('Class Tables'!K40:K55,MATCH(3,('Class Tables'!I40:I55),0))," ")</f>
        <v xml:space="preserve"> </v>
      </c>
      <c r="S22" s="33" t="str">
        <f ca="1">IF(OR(P15="knowledge",R15="knowledge"),INDEX('Class Tables'!S177:S220,MATCH(3,('Class Tables'!Q177:Q220),0))," ")</f>
        <v xml:space="preserve"> </v>
      </c>
      <c r="AE22" s="29" t="s">
        <v>1387</v>
      </c>
      <c r="AF22" s="29">
        <f ca="1">SUM(P38:P39)-SMALL(P38:P39,1)</f>
        <v>2</v>
      </c>
      <c r="AH22" s="29" t="s">
        <v>27</v>
      </c>
      <c r="AI22" s="29">
        <f ca="1">$P$39</f>
        <v>2</v>
      </c>
      <c r="AJ22" s="29" t="str">
        <f t="shared" ref="AJ22:AU22" ca="1" si="27">IF(COUNTIF(AJ$27:AJ$33,$AH$22),$P$8," ")</f>
        <v xml:space="preserve"> </v>
      </c>
      <c r="AK22" s="29" t="str">
        <f t="shared" ca="1" si="27"/>
        <v xml:space="preserve"> </v>
      </c>
      <c r="AL22" s="29" t="str">
        <f t="shared" ca="1" si="27"/>
        <v xml:space="preserve"> </v>
      </c>
      <c r="AM22" s="29" t="str">
        <f t="shared" ca="1" si="27"/>
        <v xml:space="preserve"> </v>
      </c>
      <c r="AN22" s="29" t="str">
        <f t="shared" ca="1" si="27"/>
        <v xml:space="preserve"> </v>
      </c>
      <c r="AO22" s="29" t="str">
        <f t="shared" ca="1" si="27"/>
        <v xml:space="preserve"> </v>
      </c>
      <c r="AP22" s="29" t="str">
        <f t="shared" ca="1" si="27"/>
        <v xml:space="preserve"> </v>
      </c>
      <c r="AQ22" s="29" t="str">
        <f t="shared" ca="1" si="27"/>
        <v xml:space="preserve"> </v>
      </c>
      <c r="AR22" s="29" t="str">
        <f t="shared" ca="1" si="27"/>
        <v xml:space="preserve"> </v>
      </c>
      <c r="AS22" s="29" t="str">
        <f t="shared" ca="1" si="27"/>
        <v xml:space="preserve"> </v>
      </c>
      <c r="AT22" s="29" t="str">
        <f t="shared" ca="1" si="27"/>
        <v xml:space="preserve"> </v>
      </c>
      <c r="AU22" s="29" t="str">
        <f t="shared" ca="1" si="27"/>
        <v xml:space="preserve"> </v>
      </c>
      <c r="AV22" s="29">
        <f t="shared" ca="1" si="8"/>
        <v>0</v>
      </c>
      <c r="AW22" s="29" t="s">
        <v>27</v>
      </c>
      <c r="AZ22" s="29" t="str">
        <f ca="1">IF(S11="Criminal",P8," ")</f>
        <v xml:space="preserve"> </v>
      </c>
      <c r="BL22" s="29" t="str">
        <f ca="1">IF(S11="urchin",P8," ")</f>
        <v xml:space="preserve"> </v>
      </c>
      <c r="BM22" s="29">
        <f t="shared" ca="1" si="2"/>
        <v>0</v>
      </c>
      <c r="BN22" s="29">
        <f t="shared" ca="1" si="9"/>
        <v>0</v>
      </c>
      <c r="BO22" s="29" t="str">
        <f t="shared" ca="1" si="3"/>
        <v xml:space="preserve"> </v>
      </c>
      <c r="BP22" s="29" t="str">
        <f t="shared" ca="1" si="4"/>
        <v xml:space="preserve"> </v>
      </c>
      <c r="BQ22" s="29" t="str">
        <f t="shared" ca="1" si="5"/>
        <v xml:space="preserve"> </v>
      </c>
      <c r="BR22" s="29">
        <f t="shared" ca="1" si="6"/>
        <v>0</v>
      </c>
      <c r="BU22" s="29">
        <f t="shared" ca="1" si="10"/>
        <v>0</v>
      </c>
      <c r="BV22" s="29" t="s">
        <v>27</v>
      </c>
      <c r="CB22" s="35">
        <f t="shared" ca="1" si="14"/>
        <v>5</v>
      </c>
      <c r="CC22" s="36">
        <f t="shared" ca="1" si="15"/>
        <v>0.60398548011685571</v>
      </c>
      <c r="CD22" s="29" t="s">
        <v>23</v>
      </c>
    </row>
    <row r="23" spans="2:83" x14ac:dyDescent="0.3">
      <c r="O23" s="33" t="str">
        <f ca="1">IF(AND(O11="warlock",O12&gt;=15),"Invocation - "&amp;INDEX('Class Tables'!F164:F187,MATCH(6,('Class Tables'!D164:D187),0)),IF(AND(O11="warlock",O12&gt;=12),"Invocation - "&amp;INDEX('Class Tables'!F141:F161,MATCH(6,('Class Tables'!D141:D161),0)),IF(AND(O11="rogue",O12&gt;=20),"Stroke of Luck",IF(AND(O11="ranger",O12&gt;=14),"Vanish",IF(AND(O11="paladin",O12&gt;=10),"Aura of Courage",IF(AND(O11="monk",O12&gt;=3),"Deflect Missiles - 1d10+"&amp;SUM(P39,O12)&amp;" dmg.",IF(AND($O$11="barbarian",$O$12&gt;=11),"Relentless Rage"," ")))))))</f>
        <v xml:space="preserve"> </v>
      </c>
      <c r="P23" s="33" t="str">
        <f ca="1">IF(AND(P15="battle master",O12&gt;=7),INDEX('Class Tables'!K40:K55,MATCH(4,('Class Tables'!I40:I55),0))," ")</f>
        <v xml:space="preserve"> </v>
      </c>
      <c r="Q23" s="33" t="str">
        <f ca="1">IF(AND(Q11="paladin",Q12&gt;=10),"Aura of Courage",IF(AND(Q11="monk",Q12&gt;=3),"Deflect Missiles 1d10+"&amp;SUM(Q12,P39)&amp;" dmg."," "))</f>
        <v xml:space="preserve"> </v>
      </c>
      <c r="R23" s="33" t="str">
        <f ca="1">IF(AND(R15="battle master",Q12&gt;=7),INDEX('Class Tables'!K40:K55,MATCH(4,('Class Tables'!I40:I55),0))," ")</f>
        <v xml:space="preserve"> </v>
      </c>
      <c r="S23" s="33" t="str">
        <f ca="1">IF(O11="druid","Druidic",IF(O11="rogue","Thieves' Cant"," "))</f>
        <v xml:space="preserve"> </v>
      </c>
      <c r="AE23" s="29" t="s">
        <v>1402</v>
      </c>
      <c r="AF23" s="29">
        <f ca="1">RANDBETWEEN(1,2)</f>
        <v>1</v>
      </c>
      <c r="AH23" s="29" t="s">
        <v>28</v>
      </c>
      <c r="AI23" s="29">
        <f ca="1">$P$42</f>
        <v>2</v>
      </c>
      <c r="AJ23" s="29" t="str">
        <f t="shared" ref="AJ23:AU23" ca="1" si="28">IF(COUNTIF(AJ$27:AJ$33,$AH$23),$P$8," ")</f>
        <v xml:space="preserve"> </v>
      </c>
      <c r="AK23" s="29" t="str">
        <f t="shared" ca="1" si="28"/>
        <v xml:space="preserve"> </v>
      </c>
      <c r="AL23" s="29" t="str">
        <f t="shared" ca="1" si="28"/>
        <v xml:space="preserve"> </v>
      </c>
      <c r="AM23" s="29" t="str">
        <f t="shared" ca="1" si="28"/>
        <v xml:space="preserve"> </v>
      </c>
      <c r="AN23" s="29" t="str">
        <f t="shared" ca="1" si="28"/>
        <v xml:space="preserve"> </v>
      </c>
      <c r="AO23" s="29" t="str">
        <f t="shared" ca="1" si="28"/>
        <v xml:space="preserve"> </v>
      </c>
      <c r="AP23" s="29" t="str">
        <f t="shared" ca="1" si="28"/>
        <v xml:space="preserve"> </v>
      </c>
      <c r="AQ23" s="29" t="str">
        <f t="shared" ca="1" si="28"/>
        <v xml:space="preserve"> </v>
      </c>
      <c r="AR23" s="29" t="str">
        <f t="shared" ca="1" si="28"/>
        <v xml:space="preserve"> </v>
      </c>
      <c r="AS23" s="29" t="str">
        <f t="shared" ca="1" si="28"/>
        <v xml:space="preserve"> </v>
      </c>
      <c r="AT23" s="29" t="str">
        <f t="shared" ca="1" si="28"/>
        <v xml:space="preserve"> </v>
      </c>
      <c r="AU23" s="29" t="str">
        <f t="shared" ca="1" si="28"/>
        <v xml:space="preserve"> </v>
      </c>
      <c r="AV23" s="29">
        <f t="shared" ca="1" si="8"/>
        <v>0</v>
      </c>
      <c r="AW23" s="29" t="s">
        <v>28</v>
      </c>
      <c r="BB23" s="29" t="str">
        <f ca="1">IF(S11="Folk Hero",P8," ")</f>
        <v xml:space="preserve"> </v>
      </c>
      <c r="BG23" s="29" t="str">
        <f ca="1">IF(S11="Outlander",P8," ")</f>
        <v xml:space="preserve"> </v>
      </c>
      <c r="BM23" s="29">
        <f t="shared" ca="1" si="2"/>
        <v>0</v>
      </c>
      <c r="BN23" s="29">
        <f t="shared" ca="1" si="9"/>
        <v>0</v>
      </c>
      <c r="BO23" s="29" t="str">
        <f t="shared" ca="1" si="3"/>
        <v xml:space="preserve"> </v>
      </c>
      <c r="BP23" s="29" t="str">
        <f t="shared" ca="1" si="4"/>
        <v xml:space="preserve"> </v>
      </c>
      <c r="BQ23" s="29" t="str">
        <f t="shared" ca="1" si="5"/>
        <v xml:space="preserve"> </v>
      </c>
      <c r="BR23" s="29">
        <f t="shared" ca="1" si="6"/>
        <v>0</v>
      </c>
      <c r="BT23" s="29">
        <f ca="1">IF(AND(BY32=1,OR($P$15="nature",$R$15="nature")),$P$8,0)</f>
        <v>0</v>
      </c>
      <c r="BU23" s="29">
        <f t="shared" ca="1" si="10"/>
        <v>0</v>
      </c>
      <c r="BV23" s="29" t="s">
        <v>28</v>
      </c>
      <c r="CB23" s="35">
        <f t="shared" ca="1" si="14"/>
        <v>12</v>
      </c>
      <c r="CC23" s="36">
        <f t="shared" ca="1" si="15"/>
        <v>9.4066006704108918E-2</v>
      </c>
      <c r="CD23" s="29" t="s">
        <v>24</v>
      </c>
    </row>
    <row r="24" spans="2:83" x14ac:dyDescent="0.3">
      <c r="O24" s="33" t="str">
        <f ca="1">IF(AND(O11="warlock",O12&gt;=15,AF26=2,O16="pact of the chain"),"Chains of Carceri",IF(AND(O11="warlock",O12&gt;=15),"Invocation - "&amp;INDEX('Class Tables'!F164:F187,MATCH(7,('Class Tables'!D164:D187),0)),IF(AND(O11="ranger",O12&gt;=18),"Feral Senses",IF(AND(O11="paladin",O12&gt;=11),"Improved Divine Smite",IF(AND(O11="monk",O12&gt;=4),"Slow Fall - "&amp;O12*5&amp;" dmg.",IF(AND($O$11="barbarian",$O$12&gt;=15),"Persistent Rage"," "))))))</f>
        <v xml:space="preserve"> </v>
      </c>
      <c r="P24" s="33" t="str">
        <f ca="1">IF(AND(P15="battle master",O12&gt;=7),INDEX('Class Tables'!K40:K55,MATCH(5,('Class Tables'!I40:I55),0))," ")</f>
        <v xml:space="preserve"> </v>
      </c>
      <c r="Q24" s="33" t="str">
        <f ca="1">IF(AND(Q11="paladin",Q12&gt;=11),"Improved Divine Smite",IF(AND(Q11="monk",Q12&gt;=4),"Slow Fall -"&amp;Q12*5&amp;" dmg."," "))</f>
        <v xml:space="preserve"> </v>
      </c>
      <c r="R24" s="33" t="str">
        <f ca="1">IF(AND(R15="battle master",Q12&gt;=7),INDEX('Class Tables'!K40:K55,MATCH(5,('Class Tables'!I40:I55),0))," ")</f>
        <v xml:space="preserve"> </v>
      </c>
      <c r="S24" s="33" t="str">
        <f ca="1">IF(P15="draconic bloodline","Draconic"," ")</f>
        <v xml:space="preserve"> </v>
      </c>
      <c r="AE24" s="29" t="s">
        <v>1509</v>
      </c>
      <c r="AF24" s="29">
        <f ca="1">RANDBETWEEN(1,2)</f>
        <v>2</v>
      </c>
      <c r="CB24" s="35">
        <f t="shared" ca="1" si="14"/>
        <v>17</v>
      </c>
      <c r="CC24" s="36">
        <f t="shared" ca="1" si="15"/>
        <v>0</v>
      </c>
      <c r="CD24" s="29" t="s">
        <v>25</v>
      </c>
    </row>
    <row r="25" spans="2:83" x14ac:dyDescent="0.3">
      <c r="O25" s="33" t="str">
        <f ca="1">IF(AND(O11="warlock",O12&gt;=18),"Invocation - "&amp;INDEX('Class Tables'!F164:F187,MATCH(8,('Class Tables'!D164:D187),0)),IF(AND(O11="ranger",O12&gt;=20),"Foe Slayer",IF(AND(O11="paladin",O12&gt;=14),"Cleansing Touch - "&amp;MAX(1,(P43))&amp;" uses",IF(AND(O11="monk",O12&gt;=5),"Extra Attack",IF(AND($O$11="barbarian",$O$12&gt;=18),"Indomitable Might"," ")))))</f>
        <v xml:space="preserve"> </v>
      </c>
      <c r="P25" s="33" t="str">
        <f ca="1">IF(AND(P15="battle master",O12&gt;=10),INDEX('Class Tables'!K40:K55,MATCH(6,('Class Tables'!I40:I55),0))," ")</f>
        <v xml:space="preserve"> </v>
      </c>
      <c r="Q25" s="33" t="str">
        <f ca="1">IF(AND(Q11="paladin",Q12&gt;=14),"Cleansing Touch - "&amp;MAX(1,(P43))&amp;" uses",IF(AND(Q11="monk",Q12&gt;=5),"Extra Attack"," "))</f>
        <v xml:space="preserve"> </v>
      </c>
      <c r="R25" s="33" t="str">
        <f ca="1">IF(AND(R15="battle master",Q12&gt;=10),INDEX('Class Tables'!K40:K55,MATCH(6,('Class Tables'!I40:I55),0))," ")</f>
        <v xml:space="preserve"> </v>
      </c>
      <c r="S25" s="33" t="str">
        <f ca="1">IF(OR(S11="acolyte",S11="Guild artisan",S11="hermit",S11="noble",S11="knight",S11="outlander",S11="sage"),INDEX('Class Tables'!S177:S220,MATCH(4,('Class Tables'!Q177:Q220),0))," ")</f>
        <v>Wererat</v>
      </c>
      <c r="AE25" s="29" t="s">
        <v>1568</v>
      </c>
      <c r="AF25" s="29">
        <f ca="1">RANDBETWEEN(1,2)</f>
        <v>1</v>
      </c>
      <c r="CB25" s="35">
        <f t="shared" ca="1" si="14"/>
        <v>11</v>
      </c>
      <c r="CC25" s="36">
        <f t="shared" ca="1" si="15"/>
        <v>0.23817183250905671</v>
      </c>
      <c r="CD25" s="29" t="s">
        <v>26</v>
      </c>
      <c r="CE25" s="31"/>
    </row>
    <row r="26" spans="2:83" x14ac:dyDescent="0.3">
      <c r="O26" s="33" t="str">
        <f ca="1">IF(AND(O11="ranger",O12&gt;=6),"Natural Explorer: "&amp;INDEX('Class Tables'!F212:F219,MATCH(2,('Class Tables'!D212:D219),0)),IF(AND(O11="monk",O12&gt;=5),"Stunning Strike",IF(AND($O$11="barbarian",$O$12&gt;=20),"Primal Champion"," ")))</f>
        <v xml:space="preserve"> </v>
      </c>
      <c r="P26" s="33" t="str">
        <f ca="1">IF(AND(P15="battle master",O12&gt;=10),INDEX('Class Tables'!K40:K55,MATCH(7,('Class Tables'!I40:I55),0))," ")</f>
        <v xml:space="preserve"> </v>
      </c>
      <c r="Q26" s="33" t="str">
        <f ca="1">IF(AND(Q11="ranger",Q12&gt;=10),"Natural Explorer: "&amp;INDEX('Class Tables'!F212:F219,MATCH(2,('Class Tables'!D212:D219),0)),IF(AND(Q11="monk",Q12&gt;=5),"Stunning Strike"," "))</f>
        <v xml:space="preserve"> </v>
      </c>
      <c r="R26" s="33" t="str">
        <f ca="1">IF(AND(R15="battle master",Q12&gt;=10),INDEX('Class Tables'!K40:K55,MATCH(7,('Class Tables'!I40:I55),0))," ")</f>
        <v xml:space="preserve"> </v>
      </c>
      <c r="S26" s="33" t="str">
        <f ca="1">IF(OR(S11="acolyte",S11="sage"),INDEX('Class Tables'!S177:S220,MATCH(5,('Class Tables'!Q177:Q220),0))," ")</f>
        <v xml:space="preserve"> </v>
      </c>
      <c r="AE26" s="29" t="s">
        <v>693</v>
      </c>
      <c r="AF26" s="29">
        <f ca="1">RANDBETWEEN(1,2)</f>
        <v>2</v>
      </c>
      <c r="AJ26" s="29" t="s">
        <v>685</v>
      </c>
      <c r="AK26" s="29" t="s">
        <v>686</v>
      </c>
      <c r="AL26" s="29" t="s">
        <v>687</v>
      </c>
      <c r="AM26" s="29" t="s">
        <v>688</v>
      </c>
      <c r="AN26" s="29" t="s">
        <v>689</v>
      </c>
      <c r="AO26" s="29" t="s">
        <v>694</v>
      </c>
      <c r="AP26" s="29" t="s">
        <v>695</v>
      </c>
      <c r="AQ26" s="29" t="s">
        <v>690</v>
      </c>
      <c r="AR26" s="29" t="s">
        <v>691</v>
      </c>
      <c r="AS26" s="29" t="s">
        <v>692</v>
      </c>
      <c r="AT26" s="29" t="s">
        <v>693</v>
      </c>
      <c r="AU26" s="29" t="s">
        <v>696</v>
      </c>
      <c r="AX26" s="29" t="s">
        <v>1810</v>
      </c>
      <c r="AY26" s="29" t="s">
        <v>1811</v>
      </c>
      <c r="AZ26" s="29" t="s">
        <v>1812</v>
      </c>
      <c r="BA26" s="29" t="s">
        <v>1813</v>
      </c>
      <c r="BB26" s="29" t="s">
        <v>1814</v>
      </c>
      <c r="BC26" s="29" t="s">
        <v>1815</v>
      </c>
      <c r="BD26" s="29" t="s">
        <v>1816</v>
      </c>
      <c r="BE26" s="29" t="s">
        <v>1823</v>
      </c>
      <c r="BF26" s="29" t="s">
        <v>1821</v>
      </c>
      <c r="BG26" s="29" t="s">
        <v>1817</v>
      </c>
      <c r="BH26" s="29" t="s">
        <v>1822</v>
      </c>
      <c r="BI26" s="29" t="s">
        <v>1818</v>
      </c>
      <c r="BJ26" s="29" t="s">
        <v>1720</v>
      </c>
      <c r="BK26" s="29" t="s">
        <v>1819</v>
      </c>
      <c r="BL26" s="29" t="s">
        <v>1820</v>
      </c>
      <c r="BN26" s="29">
        <f t="shared" ref="BN26:BN43" ca="1" si="29">_xlfn.RANK.EQ(BO26,$BO$26:$BO$43)</f>
        <v>3</v>
      </c>
      <c r="BO26" s="29">
        <f ca="1">IF(BP26="Acrobatics",RAND(),0)</f>
        <v>0</v>
      </c>
      <c r="BP26" s="29" t="str">
        <f ca="1">IF(OR(BM6&gt;=1,AV6&gt;=1),AH6," ")</f>
        <v xml:space="preserve"> </v>
      </c>
      <c r="BR26" s="29">
        <f t="shared" ref="BR26:BR43" ca="1" si="30">_xlfn.RANK.EQ(BS26,$BS$26:$BS$43)</f>
        <v>3</v>
      </c>
      <c r="BS26" s="29">
        <f t="shared" ref="BS26:BS43" ca="1" si="31">IF(BO26=0,RAND(),0)</f>
        <v>0.79160997358018681</v>
      </c>
      <c r="BU26" s="29">
        <f ca="1">_xlfn.RANK.EQ(BV26,$BV$26:$BV$29)</f>
        <v>1</v>
      </c>
      <c r="BV26" s="29">
        <f ca="1">IF(BW26="Arcana",RAND(),0)</f>
        <v>0</v>
      </c>
      <c r="BW26" s="29" t="str">
        <f ca="1">IF(OR($AV$8&gt;=1,$BR$8&gt;=1,BM8&gt;=1),"Arcana"," ")</f>
        <v xml:space="preserve"> </v>
      </c>
      <c r="BY26" s="29">
        <f ca="1">_xlfn.RANK.EQ(BZ26,$BZ$26:$BZ$29)</f>
        <v>2</v>
      </c>
      <c r="BZ26" s="29">
        <f t="shared" ref="BZ26:BZ32" ca="1" si="32">IF(BV26=0,RAND(),0)</f>
        <v>0.72345515231736934</v>
      </c>
      <c r="CB26" s="35">
        <f t="shared" ca="1" si="14"/>
        <v>14</v>
      </c>
      <c r="CC26" s="36">
        <f t="shared" ca="1" si="15"/>
        <v>7.1120646103259966E-2</v>
      </c>
      <c r="CD26" s="29" t="s">
        <v>27</v>
      </c>
    </row>
    <row r="27" spans="2:83" x14ac:dyDescent="0.3">
      <c r="O27" s="33" t="str">
        <f ca="1">IF(AND(O11="ranger",O12&gt;=10),"Natural Explorer: "&amp;INDEX('Class Tables'!F212:F219,MATCH(3,('Class Tables'!D212:D219),0)),IF(AND(O11="monk",O12&gt;=6),"Ki-Empowered Strikes"," "))</f>
        <v xml:space="preserve"> </v>
      </c>
      <c r="P27" s="33" t="str">
        <f ca="1">IF(AND(P15="battle master",O12&gt;=15),INDEX('Class Tables'!K40:K55,MATCH(8,('Class Tables'!I40:I55),0))," ")</f>
        <v xml:space="preserve"> </v>
      </c>
      <c r="Q27" s="33" t="str">
        <f ca="1">IF(AND(Q11="ranger",Q12&gt;=10),"Natural Explorer: "&amp;INDEX('Class Tables'!F212:F219,MATCH(3,('Class Tables'!D212:D219),0)),IF(AND(Q11="monk",Q12&gt;=6),"Ki-Empowered Strikes"," "))</f>
        <v xml:space="preserve"> </v>
      </c>
      <c r="AI27" s="29">
        <v>1</v>
      </c>
      <c r="AJ27" s="29" t="e">
        <f ca="1">IF(O11="barbarian",INDEX(#REF!,MATCH($AI$27,(#REF!),0))," ")</f>
        <v>#REF!</v>
      </c>
      <c r="AK27" s="29" t="str">
        <f ca="1">IF(OR(O11="bard",Q11="bard"),INDEX(#REF!,MATCH($AI$27,(#REF!),0))," ")</f>
        <v xml:space="preserve"> </v>
      </c>
      <c r="AL27" s="29" t="str">
        <f ca="1">IF(O11="cleric",INDEX(#REF!,MATCH(AI27,(#REF!),0))," ")</f>
        <v xml:space="preserve"> </v>
      </c>
      <c r="AM27" s="29" t="str">
        <f ca="1">IF(O11="Druid",INDEX(#REF!,MATCH(AI27,(#REF!),0))," ")</f>
        <v xml:space="preserve"> </v>
      </c>
      <c r="AN27" s="29" t="str">
        <f ca="1">IF(O11="fighter",INDEX(#REF!,MATCH(AI27,(#REF!),0))," ")</f>
        <v xml:space="preserve"> </v>
      </c>
      <c r="AO27" s="29" t="str">
        <f ca="1">IF(O11="monk",INDEX(#REF!,MATCH(AI27,(#REF!),0))," ")</f>
        <v xml:space="preserve"> </v>
      </c>
      <c r="AP27" s="29" t="str">
        <f ca="1">IF(O11="Paladin",INDEX(#REF!,MATCH(AI27,(#REF!),0))," ")</f>
        <v xml:space="preserve"> </v>
      </c>
      <c r="AQ27" s="29" t="str">
        <f ca="1">IF(OR(O11="ranger",Q11="ranger"),INDEX(#REF!,MATCH(AI27,(#REF!),0))," ")</f>
        <v xml:space="preserve"> </v>
      </c>
      <c r="AR27" s="29" t="str">
        <f ca="1">IF(OR(O11="rogue",Q11="rogue"),INDEX(#REF!,MATCH(AI27,(#REF!),0))," ")</f>
        <v xml:space="preserve"> </v>
      </c>
      <c r="AS27" s="29" t="str">
        <f ca="1">IF(O11="sorcerer",INDEX(#REF!,MATCH(AI27,(#REF!),0))," ")</f>
        <v xml:space="preserve"> </v>
      </c>
      <c r="AT27" s="29" t="str">
        <f ca="1">IF(O11="Warlock",INDEX(#REF!,MATCH(AI27,(#REF!),0))," ")</f>
        <v xml:space="preserve"> </v>
      </c>
      <c r="AU27" s="29" t="str">
        <f ca="1">IF(O11="wizard",INDEX(#REF!,MATCH(AI27,(#REF!),0))," ")</f>
        <v xml:space="preserve"> </v>
      </c>
      <c r="AX27" s="29" t="s">
        <v>17</v>
      </c>
      <c r="AY27" s="29" t="s">
        <v>15</v>
      </c>
      <c r="AZ27" s="29" t="s">
        <v>15</v>
      </c>
      <c r="BA27" s="29" t="s">
        <v>12</v>
      </c>
      <c r="BB27" s="29" t="s">
        <v>29</v>
      </c>
      <c r="BC27" s="29" t="s">
        <v>17</v>
      </c>
      <c r="BD27" s="29" t="s">
        <v>20</v>
      </c>
      <c r="BE27" s="29" t="s">
        <v>1824</v>
      </c>
      <c r="BF27" s="29" t="s">
        <v>16</v>
      </c>
      <c r="BG27" s="29" t="s">
        <v>14</v>
      </c>
      <c r="BH27" s="29" t="s">
        <v>14</v>
      </c>
      <c r="BI27" s="29" t="s">
        <v>13</v>
      </c>
      <c r="BJ27" s="29" t="s">
        <v>14</v>
      </c>
      <c r="BK27" s="29" t="s">
        <v>14</v>
      </c>
      <c r="BL27" s="29" t="s">
        <v>26</v>
      </c>
      <c r="BN27" s="29">
        <f t="shared" ca="1" si="29"/>
        <v>3</v>
      </c>
      <c r="BO27" s="29">
        <f ca="1">IF(BP27="Animal Handling",RAND(),0)</f>
        <v>0</v>
      </c>
      <c r="BP27" s="29" t="str">
        <f t="shared" ref="BP27:BP43" ca="1" si="33">IF(OR(BM7&gt;=1,AV7&gt;=1),AH7," ")</f>
        <v xml:space="preserve"> </v>
      </c>
      <c r="BR27" s="29">
        <f t="shared" ca="1" si="30"/>
        <v>10</v>
      </c>
      <c r="BS27" s="29">
        <f t="shared" ca="1" si="31"/>
        <v>0.43741192756607228</v>
      </c>
      <c r="BU27" s="29">
        <f ca="1">_xlfn.RANK.EQ(BV27,$BV$26:$BV$29)</f>
        <v>1</v>
      </c>
      <c r="BV27" s="29">
        <f ca="1">IF(BW27="History",RAND(),0)</f>
        <v>0</v>
      </c>
      <c r="BW27" s="29" t="str">
        <f ca="1">IF(OR($AV$11&gt;=1,$BR$11&gt;=1,BM11&gt;=1),"History"," ")</f>
        <v xml:space="preserve"> </v>
      </c>
      <c r="BY27" s="29">
        <f ca="1">_xlfn.RANK.EQ(BZ27,$BZ$26:$BZ$29)</f>
        <v>3</v>
      </c>
      <c r="BZ27" s="29">
        <f t="shared" ca="1" si="32"/>
        <v>0.59876707509150773</v>
      </c>
      <c r="CB27" s="35">
        <f t="shared" ca="1" si="14"/>
        <v>7</v>
      </c>
      <c r="CC27" s="36">
        <f t="shared" ca="1" si="15"/>
        <v>0.42784795725896396</v>
      </c>
      <c r="CD27" s="29" t="s">
        <v>28</v>
      </c>
    </row>
    <row r="28" spans="2:83" x14ac:dyDescent="0.3">
      <c r="O28" s="33" t="str">
        <f ca="1">IF(AND(O11="monk",O12&gt;=7),"Evasion"," ")</f>
        <v xml:space="preserve"> </v>
      </c>
      <c r="P28" s="33" t="str">
        <f ca="1">IF(AND(P15="battle master",O12&gt;=15),INDEX('Class Tables'!K40:K55,MATCH(9,('Class Tables'!I40:I55),0))," ")</f>
        <v xml:space="preserve"> </v>
      </c>
      <c r="Q28" s="33" t="str">
        <f ca="1">IF(AND(Q11="monk",Q12&gt;=7),"Evasion"," ")</f>
        <v xml:space="preserve"> </v>
      </c>
      <c r="AE28" s="29" t="s">
        <v>1804</v>
      </c>
      <c r="AI28" s="29">
        <v>2</v>
      </c>
      <c r="AJ28" s="29" t="e">
        <f ca="1">IF(O11="barbarian",INDEX(#REF!,MATCH($AI$28,(#REF!),0))," ")</f>
        <v>#REF!</v>
      </c>
      <c r="AK28" s="29" t="str">
        <f ca="1">IF(O11="bard",INDEX(#REF!,MATCH(AI28,(#REF!),0))," ")</f>
        <v xml:space="preserve"> </v>
      </c>
      <c r="AL28" s="29" t="str">
        <f ca="1">IF(O11="cleric",INDEX(#REF!,MATCH(AI28,(#REF!),0))," ")</f>
        <v xml:space="preserve"> </v>
      </c>
      <c r="AM28" s="29" t="str">
        <f ca="1">IF(O11="druid",INDEX(#REF!,MATCH(AI28,(#REF!),0))," ")</f>
        <v xml:space="preserve"> </v>
      </c>
      <c r="AN28" s="29" t="str">
        <f ca="1">IF(O11="fighter",INDEX(#REF!,MATCH(AI28,(#REF!),0))," ")</f>
        <v xml:space="preserve"> </v>
      </c>
      <c r="AO28" s="29" t="str">
        <f ca="1">IF(O11="monk",INDEX(#REF!,MATCH(AI28,(#REF!),0))," ")</f>
        <v xml:space="preserve"> </v>
      </c>
      <c r="AP28" s="29" t="str">
        <f ca="1">IF(O11="paladin",INDEX(#REF!,MATCH(AI28,(#REF!),0))," ")</f>
        <v xml:space="preserve"> </v>
      </c>
      <c r="AQ28" s="29" t="str">
        <f ca="1">IF(O11="ranger",INDEX(#REF!,MATCH(AI28,(#REF!),0))," ")</f>
        <v xml:space="preserve"> </v>
      </c>
      <c r="AR28" s="29" t="str">
        <f ca="1">IF(O11="rogue",INDEX(#REF!,MATCH(AI28,(#REF!),0))," ")</f>
        <v xml:space="preserve"> </v>
      </c>
      <c r="AS28" s="29" t="str">
        <f ca="1">IF(O11="sorcerer",INDEX(#REF!,MATCH(AI28,(#REF!),0))," ")</f>
        <v xml:space="preserve"> </v>
      </c>
      <c r="AT28" s="29" t="str">
        <f ca="1">IF(O11="warlock",INDEX(#REF!,MATCH(AI28,(#REF!),0))," ")</f>
        <v xml:space="preserve"> </v>
      </c>
      <c r="AU28" s="29" t="str">
        <f ca="1">IF(O11="wizard",INDEX(#REF!,MATCH(AI28,(#REF!),0))," ")</f>
        <v xml:space="preserve"> </v>
      </c>
      <c r="AX28" s="29" t="s">
        <v>25</v>
      </c>
      <c r="AY28" s="29" t="s">
        <v>26</v>
      </c>
      <c r="AZ28" s="29" t="s">
        <v>27</v>
      </c>
      <c r="BA28" s="29" t="s">
        <v>23</v>
      </c>
      <c r="BB28" s="29" t="s">
        <v>28</v>
      </c>
      <c r="BC28" s="29" t="s">
        <v>24</v>
      </c>
      <c r="BD28" s="29" t="s">
        <v>25</v>
      </c>
      <c r="BE28" s="29" t="s">
        <v>24</v>
      </c>
      <c r="BF28" s="29" t="s">
        <v>24</v>
      </c>
      <c r="BG28" s="29" t="s">
        <v>28</v>
      </c>
      <c r="BH28" s="29" t="s">
        <v>22</v>
      </c>
      <c r="BI28" s="29" t="s">
        <v>16</v>
      </c>
      <c r="BJ28" s="29" t="s">
        <v>22</v>
      </c>
      <c r="BK28" s="29" t="s">
        <v>18</v>
      </c>
      <c r="BL28" s="29" t="s">
        <v>27</v>
      </c>
      <c r="BN28" s="29">
        <f t="shared" ca="1" si="29"/>
        <v>3</v>
      </c>
      <c r="BO28" s="29">
        <f ca="1">IF(BP28="Arcana",RAND(),0)</f>
        <v>0</v>
      </c>
      <c r="BP28" s="29" t="str">
        <f t="shared" ca="1" si="33"/>
        <v xml:space="preserve"> </v>
      </c>
      <c r="BR28" s="29">
        <f t="shared" ca="1" si="30"/>
        <v>1</v>
      </c>
      <c r="BS28" s="29">
        <f t="shared" ca="1" si="31"/>
        <v>0.84074554784245004</v>
      </c>
      <c r="BU28" s="29">
        <f ca="1">_xlfn.RANK.EQ(BV28,$BV$26:$BV$29)</f>
        <v>1</v>
      </c>
      <c r="BV28" s="29">
        <f ca="1">IF(BW28="Nature",RAND(),0)</f>
        <v>0</v>
      </c>
      <c r="BW28" s="29" t="str">
        <f ca="1">IF(OR($AV$16&gt;=1,$BR$16&gt;=1,BM16&gt;=1),"Nature"," ")</f>
        <v xml:space="preserve"> </v>
      </c>
      <c r="BY28" s="29">
        <f ca="1">_xlfn.RANK.EQ(BZ28,$BZ$26:$BZ$29)</f>
        <v>1</v>
      </c>
      <c r="BZ28" s="29">
        <f t="shared" ca="1" si="32"/>
        <v>0.76195015832577517</v>
      </c>
    </row>
    <row r="29" spans="2:83" x14ac:dyDescent="0.3">
      <c r="O29" s="33" t="str">
        <f ca="1">IF(AND(O11="monk",O12&gt;=7),"Stillness of Mind"," ")</f>
        <v xml:space="preserve"> </v>
      </c>
      <c r="Q29" s="33" t="str">
        <f ca="1">IF(AND(Q11="monk",Q12&gt;=7),"Stillness of Mind"," ")</f>
        <v xml:space="preserve"> </v>
      </c>
      <c r="AE29" s="29">
        <f ca="1">RANDBETWEEN(2,8)</f>
        <v>2</v>
      </c>
      <c r="BN29" s="29">
        <f t="shared" ca="1" si="29"/>
        <v>3</v>
      </c>
      <c r="BO29" s="29">
        <f ca="1">IF(BP29="Athletics",RAND(),0)</f>
        <v>0</v>
      </c>
      <c r="BP29" s="29" t="str">
        <f t="shared" ca="1" si="33"/>
        <v xml:space="preserve"> </v>
      </c>
      <c r="BR29" s="29">
        <f t="shared" ca="1" si="30"/>
        <v>13</v>
      </c>
      <c r="BS29" s="29">
        <f t="shared" ca="1" si="31"/>
        <v>0.2676750597107701</v>
      </c>
      <c r="BU29" s="29">
        <f ca="1">_xlfn.RANK.EQ(BV29,$BV$26:$BV$29)</f>
        <v>1</v>
      </c>
      <c r="BV29" s="29">
        <f ca="1">IF(BW29="Religion",RAND(),0)</f>
        <v>0</v>
      </c>
      <c r="BW29" s="29" t="str">
        <f ca="1">IF(AND($AV$20&gt;=1,$BR$20&gt;=1,BM20&gt;=1),"Religion"," ")</f>
        <v xml:space="preserve"> </v>
      </c>
      <c r="BY29" s="29">
        <f ca="1">_xlfn.RANK.EQ(BZ29,$BZ$26:$BZ$29)</f>
        <v>4</v>
      </c>
      <c r="BZ29" s="29">
        <f t="shared" ca="1" si="32"/>
        <v>0.23287909091661085</v>
      </c>
      <c r="CB29" s="31" t="s">
        <v>729</v>
      </c>
      <c r="CC29" s="36"/>
    </row>
    <row r="30" spans="2:83" x14ac:dyDescent="0.3">
      <c r="O30" s="33" t="str">
        <f ca="1">IF(AND(O11="monk",O12&gt;=10),"Purity of Body"," ")</f>
        <v xml:space="preserve"> </v>
      </c>
      <c r="Q30" s="33" t="str">
        <f ca="1">IF(AND(Q11="monk",Q12&gt;=10),"Purity of Body"," ")</f>
        <v xml:space="preserve"> </v>
      </c>
      <c r="AE30" s="29">
        <f ca="1">RANDBETWEEN(2,12)</f>
        <v>8</v>
      </c>
      <c r="AI30" s="29">
        <v>3</v>
      </c>
      <c r="AK30" s="29" t="str">
        <f ca="1">IF(O11="bard",INDEX(#REF!,MATCH(AI30,(#REF!),0))," ")</f>
        <v xml:space="preserve"> </v>
      </c>
      <c r="AP30" s="29" t="str">
        <f ca="1">IF($AG$30="druid",VLOOKUP(RANDBETWEEN(1,8),Table51350464806863920336393727[],2)," ")</f>
        <v xml:space="preserve"> </v>
      </c>
      <c r="AQ30" s="29" t="str">
        <f ca="1">IF(O11="ranger",INDEX(#REF!,MATCH(AI30,(#REF!),0))," ")</f>
        <v xml:space="preserve"> </v>
      </c>
      <c r="AR30" s="29" t="str">
        <f ca="1">IF(O11="rogue",INDEX(#REF!,MATCH(AI30,(#REF!),0))," ")</f>
        <v xml:space="preserve"> </v>
      </c>
      <c r="AT30" s="29" t="str">
        <f ca="1">IF(OR(COUNTIF(O18:O25,"*"&amp;"beguiling influence"&amp;"*"),COUNTIF(O13:O13,"*"&amp;"beguiling influence"&amp;"*")),"Deception"," ")</f>
        <v xml:space="preserve"> </v>
      </c>
      <c r="BN30" s="29">
        <f t="shared" ca="1" si="29"/>
        <v>3</v>
      </c>
      <c r="BO30" s="29">
        <f ca="1">IF(BP30="Deception",RAND(),0)</f>
        <v>0</v>
      </c>
      <c r="BP30" s="29" t="str">
        <f t="shared" ca="1" si="33"/>
        <v xml:space="preserve"> </v>
      </c>
      <c r="BR30" s="29">
        <f t="shared" ca="1" si="30"/>
        <v>14</v>
      </c>
      <c r="BS30" s="29">
        <f t="shared" ca="1" si="31"/>
        <v>0.16628877865564884</v>
      </c>
      <c r="BU30" s="29">
        <f ca="1">_xlfn.RANK.EQ(BV30,$BV$30:$BV$32)</f>
        <v>1</v>
      </c>
      <c r="BV30" s="29">
        <f ca="1">IF(BW30="Animal Handling",RAND(),0)</f>
        <v>0</v>
      </c>
      <c r="BW30" s="29" t="str">
        <f ca="1">IF(OR($AV$7&gt;=1,$BR$7&gt;=1,BM7&gt;=1),"Animal Handling"," ")</f>
        <v xml:space="preserve"> </v>
      </c>
      <c r="BY30" s="29">
        <f ca="1">_xlfn.RANK.EQ(BZ30,$BZ$30:$BZ$32)</f>
        <v>1</v>
      </c>
      <c r="BZ30" s="29">
        <f t="shared" ca="1" si="32"/>
        <v>0.78256184593997946</v>
      </c>
      <c r="CB30" s="35">
        <f ca="1">_xlfn.RANK.EQ(CC30,$CC$30:$CC$34)</f>
        <v>3</v>
      </c>
      <c r="CC30" s="36">
        <f ca="1">IF(BM11&gt;0,0,RAND())</f>
        <v>0.28874071880718855</v>
      </c>
      <c r="CD30" s="29" t="s">
        <v>16</v>
      </c>
    </row>
    <row r="31" spans="2:83" x14ac:dyDescent="0.3">
      <c r="O31" s="33" t="str">
        <f ca="1">IF(AND(O11="monk",O12&gt;=13),"Tongue of the Sun and Moon"," ")</f>
        <v xml:space="preserve"> </v>
      </c>
      <c r="AE31" s="29">
        <f ca="1">RANDBETWEEN(2,16)</f>
        <v>14</v>
      </c>
      <c r="AI31" s="29">
        <v>4</v>
      </c>
      <c r="AK31" s="29" t="str">
        <f ca="1">IF(P15="college of lore",INDEX(#REF!,MATCH(AI31,(#REF!),0))," ")</f>
        <v xml:space="preserve"> </v>
      </c>
      <c r="AR31" s="29" t="str">
        <f ca="1">IF(O11="rogue",INDEX(#REF!,MATCH(AI31,(#REF!),0))," ")</f>
        <v xml:space="preserve"> </v>
      </c>
      <c r="AT31" s="29" t="str">
        <f ca="1">IF(OR(COUNTIF(O18:O25,"*"&amp;"beguiling influence"&amp;"*"),COUNTIF(O13:O13,"*"&amp;"beguiling influence"&amp;"*")),"Persuasion"," ")</f>
        <v xml:space="preserve"> </v>
      </c>
      <c r="BN31" s="29">
        <f t="shared" ca="1" si="29"/>
        <v>3</v>
      </c>
      <c r="BO31" s="29">
        <f ca="1">IF(BP31="History",RAND(),0)</f>
        <v>0</v>
      </c>
      <c r="BP31" s="29" t="str">
        <f t="shared" ca="1" si="33"/>
        <v xml:space="preserve"> </v>
      </c>
      <c r="BR31" s="29">
        <f t="shared" ca="1" si="30"/>
        <v>4</v>
      </c>
      <c r="BS31" s="29">
        <f t="shared" ca="1" si="31"/>
        <v>0.76455733263697223</v>
      </c>
      <c r="BU31" s="29">
        <f ca="1">_xlfn.RANK.EQ(BV31,$BV$30:$BV$32)</f>
        <v>1</v>
      </c>
      <c r="BV31" s="29">
        <f ca="1">IF(BW31="Nature",RAND(),0)</f>
        <v>0</v>
      </c>
      <c r="BW31" s="29" t="str">
        <f ca="1">IF(OR($AV$16&gt;=1,$BR$16&gt;=1,BM16&gt;=1),"Nature"," ")</f>
        <v xml:space="preserve"> </v>
      </c>
      <c r="BY31" s="29">
        <f ca="1">_xlfn.RANK.EQ(BZ31,$BZ$30:$BZ$32)</f>
        <v>2</v>
      </c>
      <c r="BZ31" s="29">
        <f t="shared" ca="1" si="32"/>
        <v>0.7393377201350797</v>
      </c>
      <c r="CB31" s="35">
        <f ca="1">_xlfn.RANK.EQ(CC31,$CC$30:$CC$34)</f>
        <v>4</v>
      </c>
      <c r="CC31" s="36">
        <f ca="1">IF(BM12&gt;0,0,RAND())</f>
        <v>0</v>
      </c>
      <c r="CD31" s="29" t="s">
        <v>17</v>
      </c>
      <c r="CE31" s="31"/>
    </row>
    <row r="32" spans="2:83" x14ac:dyDescent="0.3">
      <c r="O32" s="33" t="str">
        <f ca="1">IF(AND(O11="monk",O12&gt;=14),"Diamond Soul"," ")</f>
        <v xml:space="preserve"> </v>
      </c>
      <c r="AE32" s="29">
        <f ca="1">RANDBETWEEN(2,20)</f>
        <v>4</v>
      </c>
      <c r="AI32" s="29">
        <v>5</v>
      </c>
      <c r="AK32" s="29" t="str">
        <f ca="1">IF(P15="college of lore",INDEX(#REF!,MATCH(AI32,(#REF!),0))," ")</f>
        <v xml:space="preserve"> </v>
      </c>
      <c r="BN32" s="29">
        <f t="shared" ca="1" si="29"/>
        <v>2</v>
      </c>
      <c r="BO32" s="29">
        <f ca="1">IF(BP32="Insight",RAND(),0)</f>
        <v>0.23497714893535215</v>
      </c>
      <c r="BP32" s="29" t="str">
        <f t="shared" ca="1" si="33"/>
        <v>Insight</v>
      </c>
      <c r="BR32" s="29">
        <f t="shared" ca="1" si="30"/>
        <v>17</v>
      </c>
      <c r="BS32" s="29">
        <f t="shared" ca="1" si="31"/>
        <v>0</v>
      </c>
      <c r="BU32" s="29">
        <f ca="1">_xlfn.RANK.EQ(BV32,$BV$30:$BV$32)</f>
        <v>1</v>
      </c>
      <c r="BV32" s="29">
        <f ca="1">IF(BW32="Survival",RAND(),0)</f>
        <v>0</v>
      </c>
      <c r="BW32" s="29" t="str">
        <f ca="1">IF(OR($AV$23&gt;=1,$BR$23&gt;=1,BM23&gt;=1),"Survival"," ")</f>
        <v xml:space="preserve"> </v>
      </c>
      <c r="BY32" s="29">
        <f ca="1">_xlfn.RANK.EQ(BZ32,$BZ$30:$BZ$32)</f>
        <v>3</v>
      </c>
      <c r="BZ32" s="29">
        <f t="shared" ca="1" si="32"/>
        <v>0.62686172943227825</v>
      </c>
      <c r="CB32" s="35">
        <f ca="1">_xlfn.RANK.EQ(CC32,$CC$30:$CC$34)</f>
        <v>1</v>
      </c>
      <c r="CC32" s="36">
        <f ca="1">IF(BM15&gt;0,0,RAND())</f>
        <v>0.8364961961107622</v>
      </c>
      <c r="CD32" s="29" t="s">
        <v>20</v>
      </c>
    </row>
    <row r="33" spans="1:83" x14ac:dyDescent="0.3">
      <c r="O33" s="33" t="str">
        <f ca="1">IF(AND(O11="monk",O12&gt;=15),"Timeless Body"," ")</f>
        <v xml:space="preserve"> </v>
      </c>
      <c r="AI33" s="29">
        <v>6</v>
      </c>
      <c r="AK33" s="29" t="str">
        <f ca="1">IF(P15="college of lore",INDEX(#REF!,MATCH(AI33,(#REF!),0))," ")</f>
        <v xml:space="preserve"> </v>
      </c>
      <c r="BN33" s="29">
        <f t="shared" ca="1" si="29"/>
        <v>3</v>
      </c>
      <c r="BO33" s="29">
        <f ca="1">IF(BP33="Intimidation",RAND(),0)</f>
        <v>0</v>
      </c>
      <c r="BP33" s="29" t="str">
        <f t="shared" ca="1" si="33"/>
        <v xml:space="preserve"> </v>
      </c>
      <c r="BR33" s="29">
        <f t="shared" ca="1" si="30"/>
        <v>8</v>
      </c>
      <c r="BS33" s="29">
        <f t="shared" ca="1" si="31"/>
        <v>0.51152560728003793</v>
      </c>
      <c r="CB33" s="35">
        <f ca="1">_xlfn.RANK.EQ(CC33,$CC$30:$CC$34)</f>
        <v>2</v>
      </c>
      <c r="CC33" s="36">
        <f ca="1">IF(BM19&gt;0,0,RAND())</f>
        <v>0.54582685781651319</v>
      </c>
      <c r="CD33" s="29" t="s">
        <v>24</v>
      </c>
    </row>
    <row r="34" spans="1:83" x14ac:dyDescent="0.3">
      <c r="O34" s="33" t="str">
        <f ca="1">IF(AND(O11="Monk",O12&gt;=18),"Empty Body"," ")</f>
        <v xml:space="preserve"> </v>
      </c>
      <c r="BN34" s="29">
        <f t="shared" ca="1" si="29"/>
        <v>3</v>
      </c>
      <c r="BO34" s="29">
        <f ca="1">IF(BP34="Investigation",RAND(),0)</f>
        <v>0</v>
      </c>
      <c r="BP34" s="29" t="str">
        <f t="shared" ca="1" si="33"/>
        <v xml:space="preserve"> </v>
      </c>
      <c r="BR34" s="29">
        <f t="shared" ca="1" si="30"/>
        <v>9</v>
      </c>
      <c r="BS34" s="29">
        <f t="shared" ca="1" si="31"/>
        <v>0.49556918867023214</v>
      </c>
      <c r="CB34" s="35">
        <f ca="1">_xlfn.RANK.EQ(CC34,$CC$30:$CC$34)</f>
        <v>4</v>
      </c>
      <c r="CC34" s="36">
        <f ca="1">IF(BM20&gt;0,0,RAND())</f>
        <v>0</v>
      </c>
      <c r="CD34" s="29" t="s">
        <v>25</v>
      </c>
    </row>
    <row r="35" spans="1:83" x14ac:dyDescent="0.3">
      <c r="O35" s="33" t="str">
        <f ca="1">IF(AND(O11="monk",O12&gt;=20),"Perfect Body"," ")</f>
        <v xml:space="preserve"> </v>
      </c>
      <c r="AE35" s="29" t="s">
        <v>2255</v>
      </c>
      <c r="AF35" s="29">
        <f ca="1">RANDBETWEEN(1,3)</f>
        <v>1</v>
      </c>
      <c r="BN35" s="29">
        <f t="shared" ca="1" si="29"/>
        <v>3</v>
      </c>
      <c r="BO35" s="29">
        <f ca="1">IF(BP35="Medicine",RAND(),0)</f>
        <v>0</v>
      </c>
      <c r="BP35" s="29" t="str">
        <f t="shared" ca="1" si="33"/>
        <v xml:space="preserve"> </v>
      </c>
      <c r="BR35" s="29">
        <f t="shared" ca="1" si="30"/>
        <v>12</v>
      </c>
      <c r="BS35" s="29">
        <f t="shared" ca="1" si="31"/>
        <v>0.32177130270341936</v>
      </c>
    </row>
    <row r="36" spans="1:83" ht="19.5" thickBot="1" x14ac:dyDescent="0.35">
      <c r="A36" s="33"/>
      <c r="B36" s="38"/>
      <c r="C36" s="38"/>
      <c r="D36" s="38"/>
      <c r="E36" s="38"/>
      <c r="F36" s="38"/>
      <c r="G36" s="38"/>
      <c r="H36" s="38"/>
      <c r="I36" s="38"/>
      <c r="J36" s="38"/>
      <c r="K36" s="38"/>
      <c r="L36" s="38"/>
      <c r="M36" s="38"/>
      <c r="N36" s="38"/>
      <c r="O36" s="38"/>
      <c r="P36" s="38"/>
      <c r="AE36" s="29" t="s">
        <v>2256</v>
      </c>
      <c r="AF36" s="29">
        <f ca="1">RANDBETWEEN(1,2)</f>
        <v>1</v>
      </c>
      <c r="BN36" s="29">
        <f t="shared" ca="1" si="29"/>
        <v>3</v>
      </c>
      <c r="BO36" s="29">
        <f ca="1">IF(BP36="Nature",RAND(),0)</f>
        <v>0</v>
      </c>
      <c r="BP36" s="29" t="str">
        <f t="shared" ca="1" si="33"/>
        <v xml:space="preserve"> </v>
      </c>
      <c r="BR36" s="29">
        <f t="shared" ca="1" si="30"/>
        <v>7</v>
      </c>
      <c r="BS36" s="29">
        <f t="shared" ca="1" si="31"/>
        <v>0.63846189410534337</v>
      </c>
      <c r="CB36" s="31" t="s">
        <v>730</v>
      </c>
      <c r="CE36" s="31"/>
    </row>
    <row r="37" spans="1:83" ht="30.75" thickBot="1" x14ac:dyDescent="0.45">
      <c r="A37" s="137"/>
      <c r="B37" s="122" t="s">
        <v>10</v>
      </c>
      <c r="C37" s="53" t="s">
        <v>710</v>
      </c>
      <c r="D37" s="53" t="s">
        <v>676</v>
      </c>
      <c r="E37" s="53" t="s">
        <v>677</v>
      </c>
      <c r="F37" s="53" t="s">
        <v>678</v>
      </c>
      <c r="G37" s="53" t="s">
        <v>679</v>
      </c>
      <c r="H37" s="53" t="s">
        <v>680</v>
      </c>
      <c r="I37" s="53" t="s">
        <v>675</v>
      </c>
      <c r="J37" s="53"/>
      <c r="K37" s="53"/>
      <c r="L37" s="53"/>
      <c r="M37" s="53"/>
      <c r="N37" s="53"/>
      <c r="O37" s="53" t="s">
        <v>8</v>
      </c>
      <c r="P37" s="116" t="s">
        <v>9</v>
      </c>
      <c r="BN37" s="29">
        <f t="shared" ca="1" si="29"/>
        <v>3</v>
      </c>
      <c r="BO37" s="29">
        <f ca="1">IF(BP37="Perception",RAND(),0)</f>
        <v>0</v>
      </c>
      <c r="BP37" s="29" t="str">
        <f t="shared" ca="1" si="33"/>
        <v xml:space="preserve"> </v>
      </c>
      <c r="BR37" s="29">
        <f t="shared" ca="1" si="30"/>
        <v>15</v>
      </c>
      <c r="BS37" s="29">
        <f t="shared" ca="1" si="31"/>
        <v>8.5832827283833901E-2</v>
      </c>
      <c r="CB37" s="35">
        <f t="shared" ref="CB37:CB44" ca="1" si="34">_xlfn.RANK.EQ(CC37,$CC$37:$CC$44)</f>
        <v>3</v>
      </c>
      <c r="CC37" s="36">
        <f ca="1">IF(BM8&gt;0,0,RAND())</f>
        <v>0.33038064210630125</v>
      </c>
      <c r="CD37" s="29" t="s">
        <v>13</v>
      </c>
    </row>
    <row r="38" spans="1:83" ht="19.5" thickTop="1" x14ac:dyDescent="0.3">
      <c r="A38" s="137"/>
      <c r="B38" s="33" t="s">
        <v>1</v>
      </c>
      <c r="C38" s="33" t="str">
        <f ca="1">IF(O26="Primal Champion",4," ")</f>
        <v xml:space="preserve"> </v>
      </c>
      <c r="D38" s="33" t="str">
        <f ca="1">IF(AND($AF$2="strength",$AF$3="strength"),2,IF(OR($AF$2="strength",$AF$3="strength"),1," "))</f>
        <v xml:space="preserve"> </v>
      </c>
      <c r="E38" s="33" t="str">
        <f ca="1">IF(AND($AF$4="strength",$AF$5="strength"),2,IF(OR($AF$4="strength",$AF$5="strength"),1," "))</f>
        <v xml:space="preserve"> </v>
      </c>
      <c r="F38" s="33" t="str">
        <f ca="1">IF(AND($AF$6="strength",$AF$7="strength"),2,IF(OR($AF$6="strength",$AF$7="strength"),1," "))</f>
        <v xml:space="preserve"> </v>
      </c>
      <c r="G38" s="33" t="str">
        <f ca="1">IF(AND($AF$8="strength",$AF$9="strength"),2,IF(OR($AF$8="strength",$AF$9="strength"),1," "))</f>
        <v xml:space="preserve"> </v>
      </c>
      <c r="H38" s="33" t="str">
        <f ca="1">IF(AND($AF$10="strength",$AF$11="strength"),2,IF(OR($AF$10="strength",$AF$11="strength"),1," "))</f>
        <v xml:space="preserve"> </v>
      </c>
      <c r="I38" s="33">
        <f ca="1">IF(OR(Q2="dragonborn",P2="mountain",Q2="Half-orc"),SUM(J38:M38)-SMALL(J38:M38,1)+2,IF(Q2="human",(SUM(J38:M38)-SMALL(J38:M38,1)+1),(SUM(J38:M38)-SMALL(J38:M38,1))))</f>
        <v>15</v>
      </c>
      <c r="J38" s="33">
        <f t="shared" ref="J38:M43" ca="1" si="35">RANDBETWEEN(1,6)</f>
        <v>5</v>
      </c>
      <c r="K38" s="33">
        <f t="shared" ca="1" si="35"/>
        <v>4</v>
      </c>
      <c r="L38" s="33">
        <f t="shared" ca="1" si="35"/>
        <v>4</v>
      </c>
      <c r="M38" s="33">
        <f t="shared" ca="1" si="35"/>
        <v>5</v>
      </c>
      <c r="N38" s="33"/>
      <c r="O38" s="33">
        <f ca="1">IF(OR(O11="barbarian",O11="fighter",O11="paladin"),MAX(13,(SUM(C38:I38))),IF(OR(Q11="barbarian",Q11="fighter",Q11="paladin"),MAX(13,(SUM(C38:I38))),SUM(C38:I38)))</f>
        <v>15</v>
      </c>
      <c r="P38" s="117">
        <f ca="1">VLOOKUP(O38,Table1[],2)</f>
        <v>2</v>
      </c>
      <c r="BN38" s="29">
        <f t="shared" ca="1" si="29"/>
        <v>3</v>
      </c>
      <c r="BO38" s="29">
        <f ca="1">IF(BP38="Performance",RAND(),0)</f>
        <v>0</v>
      </c>
      <c r="BP38" s="29" t="str">
        <f t="shared" ca="1" si="33"/>
        <v xml:space="preserve"> </v>
      </c>
      <c r="BR38" s="29">
        <f t="shared" ca="1" si="30"/>
        <v>16</v>
      </c>
      <c r="BS38" s="29">
        <f t="shared" ca="1" si="31"/>
        <v>1.1548261809996019E-2</v>
      </c>
      <c r="CB38" s="35">
        <f t="shared" ca="1" si="34"/>
        <v>2</v>
      </c>
      <c r="CC38" s="36">
        <f ca="1">IF(BM7&gt;0,0,RAND())</f>
        <v>0.56670807574595849</v>
      </c>
      <c r="CD38" s="29" t="s">
        <v>29</v>
      </c>
    </row>
    <row r="39" spans="1:83" x14ac:dyDescent="0.3">
      <c r="A39" s="137"/>
      <c r="B39" s="33" t="s">
        <v>2</v>
      </c>
      <c r="C39" s="33"/>
      <c r="D39" s="33" t="str">
        <f ca="1">IF(AND($AF$2="dexterity",$AF$3="dexterity"),2,IF(OR($AF$2="dexterity",$AF$3="dexterity"),1," "))</f>
        <v xml:space="preserve"> </v>
      </c>
      <c r="E39" s="33" t="str">
        <f ca="1">IF(AND($AF$4="dexterity",$AF$5="dexterity"),2,IF(OR($AF$4="dexterity",$AF$5="dexterity"),1," "))</f>
        <v xml:space="preserve"> </v>
      </c>
      <c r="F39" s="33" t="str">
        <f ca="1">IF(AND($AF$6="dexterity",$AF$7="dexterity"),2,IF(OR($AF$6="dexterity",$AF$7="dexterity"),1," "))</f>
        <v xml:space="preserve"> </v>
      </c>
      <c r="G39" s="33" t="str">
        <f ca="1">IF(AND($AF$8="dexterity",$AF$9="dexterity"),2,IF(OR($AF$8="dexterity",$AF$9="dexterity"),1," "))</f>
        <v xml:space="preserve"> </v>
      </c>
      <c r="H39" s="33" t="str">
        <f ca="1">IF(AND($AF$10="dexterity",$AF$11="dexterity"),2,IF(OR($AF$10="dexterity",$AF$11="dexterity"),1," "))</f>
        <v xml:space="preserve"> </v>
      </c>
      <c r="I39" s="33">
        <f ca="1">IF(OR(Q2="elf",Q2="halfling"),SUM(J39:M39)-SMALL(J39:M39,1)+2,IF(OR(Q2="human",P2="forest",Q2="half-elf"),SUM(J39:M39)-SMALL(J39:M39,1)+1,SUM(J39:M39)-SMALL(J39:M39,1)))</f>
        <v>15</v>
      </c>
      <c r="J39" s="33">
        <f t="shared" ca="1" si="35"/>
        <v>4</v>
      </c>
      <c r="K39" s="33">
        <f t="shared" ca="1" si="35"/>
        <v>5</v>
      </c>
      <c r="L39" s="33">
        <f t="shared" ca="1" si="35"/>
        <v>1</v>
      </c>
      <c r="M39" s="33">
        <f t="shared" ca="1" si="35"/>
        <v>5</v>
      </c>
      <c r="N39" s="33"/>
      <c r="O39" s="33">
        <f ca="1">IF(OR(O11="fighter",O11="ranger",O11="rogue"),MAX(13,(SUM(C39:I39))),IF(OR(Q11="fighter",Q11="ranger",Q11="rogue"),MAX(13,(SUM(C39:I39))),SUM(C39:I39)))</f>
        <v>15</v>
      </c>
      <c r="P39" s="117">
        <f ca="1">VLOOKUP(O39,Table1[],2)</f>
        <v>2</v>
      </c>
      <c r="BN39" s="29">
        <f t="shared" ca="1" si="29"/>
        <v>3</v>
      </c>
      <c r="BO39" s="29">
        <f ca="1">IF(BP39="Persuasion",RAND(),0)</f>
        <v>0</v>
      </c>
      <c r="BP39" s="29" t="str">
        <f t="shared" ca="1" si="33"/>
        <v xml:space="preserve"> </v>
      </c>
      <c r="BR39" s="29">
        <f t="shared" ca="1" si="30"/>
        <v>6</v>
      </c>
      <c r="BS39" s="29">
        <f t="shared" ca="1" si="31"/>
        <v>0.69171847719119173</v>
      </c>
      <c r="CB39" s="35">
        <f t="shared" ca="1" si="34"/>
        <v>7</v>
      </c>
      <c r="CC39" s="36">
        <f ca="1">IF(BM12&gt;0,0,RAND())</f>
        <v>0</v>
      </c>
      <c r="CD39" s="29" t="s">
        <v>17</v>
      </c>
    </row>
    <row r="40" spans="1:83" x14ac:dyDescent="0.3">
      <c r="A40" s="137"/>
      <c r="B40" s="33" t="s">
        <v>3</v>
      </c>
      <c r="C40" s="33" t="str">
        <f ca="1">IF(O26="primal Champion",4," ")</f>
        <v xml:space="preserve"> </v>
      </c>
      <c r="D40" s="33">
        <f ca="1">IF(AND($AF$2="constitution",$AF$3="constitution"),2,IF(OR($AF$2="constitution",$AF$3="constitution"),1," "))</f>
        <v>1</v>
      </c>
      <c r="E40" s="33">
        <f ca="1">IF(AND($AF$4="constitution",$AF$5="constitution"),2,IF(OR($AF$4="constitution",$AF$5="constitution"),1," "))</f>
        <v>2</v>
      </c>
      <c r="F40" s="33" t="str">
        <f ca="1">IF(AND($AF$6="constitution",$AF$7="constitution"),2,IF(OR($AF$6="constitution",$AF$7="constitution"),1," "))</f>
        <v xml:space="preserve"> </v>
      </c>
      <c r="G40" s="33" t="str">
        <f ca="1">IF(AND($AF$8="constitution",$AF$9="constitution"),2,IF(OR($AF$8="constitution",$AF$9="constitution"),1," "))</f>
        <v xml:space="preserve"> </v>
      </c>
      <c r="H40" s="33" t="str">
        <f ca="1">IF(AND($AF$10="constitution",$AF$11="constitution"),2,IF(OR($AF$10="constitution",$AF$11="constitution"),1," "))</f>
        <v xml:space="preserve"> </v>
      </c>
      <c r="I40" s="33">
        <f ca="1">IF(Q2="dwarf",SUM(J40:M40)-SMALL(J40:M40,1)+2,IF(OR(P2="stout",Q2="human",P2="rock",Q2="half-elf",Q2="half-orc"),SUM(J40:M40)-SMALL(J40:M40,1)+1,SUM(J40:M40)-SMALL(J40:M40,1)))</f>
        <v>7</v>
      </c>
      <c r="J40" s="33">
        <f t="shared" ca="1" si="35"/>
        <v>2</v>
      </c>
      <c r="K40" s="33">
        <f t="shared" ca="1" si="35"/>
        <v>1</v>
      </c>
      <c r="L40" s="33">
        <f t="shared" ca="1" si="35"/>
        <v>2</v>
      </c>
      <c r="M40" s="33">
        <f t="shared" ca="1" si="35"/>
        <v>2</v>
      </c>
      <c r="N40" s="33"/>
      <c r="O40" s="33">
        <f ca="1">SUM(C40:I40)</f>
        <v>10</v>
      </c>
      <c r="P40" s="117">
        <f ca="1">IF(P2="hill",VLOOKUP(O40,Table1[],2)+1,VLOOKUP(O40,Table1[],2))</f>
        <v>0</v>
      </c>
      <c r="AJ40" s="29" t="s">
        <v>1650</v>
      </c>
      <c r="AK40" s="29" t="s">
        <v>530</v>
      </c>
      <c r="BN40" s="29">
        <f t="shared" ca="1" si="29"/>
        <v>1</v>
      </c>
      <c r="BO40" s="29">
        <f ca="1">IF(BP40="Religion",RAND(),0)</f>
        <v>0.91980885416786207</v>
      </c>
      <c r="BP40" s="29" t="str">
        <f t="shared" ca="1" si="33"/>
        <v>Religion</v>
      </c>
      <c r="BR40" s="29">
        <f t="shared" ca="1" si="30"/>
        <v>17</v>
      </c>
      <c r="BS40" s="29">
        <f t="shared" ca="1" si="31"/>
        <v>0</v>
      </c>
      <c r="CB40" s="35">
        <f t="shared" ca="1" si="34"/>
        <v>6</v>
      </c>
      <c r="CC40" s="36">
        <f ca="1">IF(BM15&gt;0,0,RAND())</f>
        <v>0.22077672760352551</v>
      </c>
      <c r="CD40" s="29" t="s">
        <v>20</v>
      </c>
    </row>
    <row r="41" spans="1:83" x14ac:dyDescent="0.3">
      <c r="A41" s="137"/>
      <c r="B41" s="33" t="s">
        <v>4</v>
      </c>
      <c r="C41" s="33"/>
      <c r="D41" s="33" t="str">
        <f ca="1">IF(AND($AF$2="intelligence",$AF$3="intelligence"),2,IF(OR($AF$2="Intelligence",$AF$3="intelligence"),1," "))</f>
        <v xml:space="preserve"> </v>
      </c>
      <c r="E41" s="33" t="str">
        <f ca="1">IF(AND($AF$4="intelligence",$AF$5="intelligence"),2,IF(OR($AF$4="Intelligence",$AF$5="intelligence"),1," "))</f>
        <v xml:space="preserve"> </v>
      </c>
      <c r="F41" s="33" t="str">
        <f ca="1">IF(AND($AF$6="intelligence",$AF$7="intelligence"),2,IF(OR($AF$6="Intelligence",$AF$7="intelligence"),1," "))</f>
        <v xml:space="preserve"> </v>
      </c>
      <c r="G41" s="33" t="str">
        <f ca="1">IF(AND($AF$8="intelligence",$AF$9="intelligence"),2,IF(OR($AF$8="Intelligence",$AF$9="intelligence"),1," "))</f>
        <v xml:space="preserve"> </v>
      </c>
      <c r="H41" s="33" t="str">
        <f ca="1">IF(AND($AF$10="intelligence",$AF$11="intelligence"),2,IF(OR($AF$10="Intelligence",$AF$11="intelligence"),1," "))</f>
        <v xml:space="preserve"> </v>
      </c>
      <c r="I41" s="33">
        <f ca="1">IF(OR(P2="high",Q2="human",Q2="tiefling"),SUM(J41:M41)-SMALL(J41:M41,1)+1,IF(Q2="gnome",SUM(J41:M41)-SMALL(J41:M41,1)+2,SUM(J41:M41)-SMALL(J41:M41,1)))</f>
        <v>10</v>
      </c>
      <c r="J41" s="33">
        <f t="shared" ca="1" si="35"/>
        <v>1</v>
      </c>
      <c r="K41" s="33">
        <f t="shared" ca="1" si="35"/>
        <v>5</v>
      </c>
      <c r="L41" s="33">
        <f t="shared" ca="1" si="35"/>
        <v>1</v>
      </c>
      <c r="M41" s="33">
        <f t="shared" ca="1" si="35"/>
        <v>3</v>
      </c>
      <c r="N41" s="33"/>
      <c r="O41" s="33">
        <f ca="1">IF(O11="wizard",MAX(13,(SUM(C41:I41))),IF(Q11="wizard",MAX(13,(SUM(C41:I41))),SUM(C41:I41)))</f>
        <v>10</v>
      </c>
      <c r="P41" s="117">
        <f ca="1">VLOOKUP(O41,Table1[],2)</f>
        <v>0</v>
      </c>
      <c r="AJ41" s="29" t="s">
        <v>1649</v>
      </c>
      <c r="AK41" s="29" t="str">
        <f ca="1">IF(Q11="wizard",((Q12-1)*2)+6," ")</f>
        <v xml:space="preserve"> </v>
      </c>
      <c r="BN41" s="29">
        <f t="shared" ca="1" si="29"/>
        <v>3</v>
      </c>
      <c r="BO41" s="29">
        <f ca="1">IF(BP41="Sleight of Hand",RAND(),0)</f>
        <v>0</v>
      </c>
      <c r="BP41" s="29" t="str">
        <f t="shared" ca="1" si="33"/>
        <v xml:space="preserve"> </v>
      </c>
      <c r="BR41" s="29">
        <f t="shared" ca="1" si="30"/>
        <v>2</v>
      </c>
      <c r="BS41" s="29">
        <f t="shared" ca="1" si="31"/>
        <v>0.83478975382270371</v>
      </c>
      <c r="CB41" s="35">
        <f t="shared" ca="1" si="34"/>
        <v>5</v>
      </c>
      <c r="CC41" s="36">
        <f ca="1">IF(BM16&gt;0,0,RAND())</f>
        <v>0.22279291120233191</v>
      </c>
      <c r="CD41" s="29" t="s">
        <v>21</v>
      </c>
      <c r="CE41" s="31"/>
    </row>
    <row r="42" spans="1:83" x14ac:dyDescent="0.3">
      <c r="A42" s="137"/>
      <c r="B42" s="33" t="s">
        <v>5</v>
      </c>
      <c r="C42" s="33"/>
      <c r="D42" s="33">
        <f ca="1">IF(AND($AF$2="wisdom",$AF$3="wisdom"),2,IF(OR($AF$2="wisdom",$AF$3="wisdom"),1," "))</f>
        <v>1</v>
      </c>
      <c r="E42" s="33" t="str">
        <f ca="1">IF(AND($AF$4="wisdom",$AF$5="wisdom"),2,IF(OR($AF$4="wisdom",$AF$5="wisdom"),1," "))</f>
        <v xml:space="preserve"> </v>
      </c>
      <c r="F42" s="33" t="str">
        <f ca="1">IF(AND($AF$6="wisdom",$AF$7="wisdom"),2,IF(OR($AF$6="wisdom",$AF$7="wisdom"),1," "))</f>
        <v xml:space="preserve"> </v>
      </c>
      <c r="G42" s="33" t="str">
        <f ca="1">IF(AND($AF$8="wisdom",$AF$9="wisdom"),2,IF(OR($AF$8="wisdom",$AF$9="wisdom"),1," "))</f>
        <v xml:space="preserve"> </v>
      </c>
      <c r="H42" s="33" t="str">
        <f ca="1">IF(AND($AF$10="wisdom",$AF$11="wisdom"),2,IF(OR($AF$10="wisdom",$AF$11="wisdom"),1," "))</f>
        <v xml:space="preserve"> </v>
      </c>
      <c r="I42" s="33">
        <f ca="1">IF(OR(P2="hill",P2="wood",Q2="human"),SUM(J42:M42)-SMALL(J42:M42,1)+1,SUM(J42:M42)-SMALL(J42:M42,1))</f>
        <v>13</v>
      </c>
      <c r="J42" s="33">
        <f t="shared" ca="1" si="35"/>
        <v>4</v>
      </c>
      <c r="K42" s="33">
        <f t="shared" ca="1" si="35"/>
        <v>6</v>
      </c>
      <c r="L42" s="33">
        <f t="shared" ca="1" si="35"/>
        <v>1</v>
      </c>
      <c r="M42" s="33">
        <f t="shared" ca="1" si="35"/>
        <v>2</v>
      </c>
      <c r="N42" s="33"/>
      <c r="O42" s="33">
        <f ca="1">IF(OR(O11="cleric",O11="druid",O11="monk",O11="ranger"),MAX(13,(SUM(C42:I42))),IF(OR(Q11="cleric",Q11="druid",Q11="monk",Q11="ranger"),MAX(13,(SUM(C42:I42))),SUM(C42:I42)))</f>
        <v>14</v>
      </c>
      <c r="P42" s="117">
        <f ca="1">VLOOKUP(O42,Table1[],2)</f>
        <v>2</v>
      </c>
      <c r="BN42" s="29">
        <f t="shared" ca="1" si="29"/>
        <v>3</v>
      </c>
      <c r="BO42" s="29">
        <f ca="1">IF(BP42="Stealth",RAND(),0)</f>
        <v>0</v>
      </c>
      <c r="BP42" s="29" t="str">
        <f t="shared" ca="1" si="33"/>
        <v xml:space="preserve"> </v>
      </c>
      <c r="BR42" s="29">
        <f t="shared" ca="1" si="30"/>
        <v>11</v>
      </c>
      <c r="BS42" s="29">
        <f t="shared" ca="1" si="31"/>
        <v>0.4032286048422089</v>
      </c>
      <c r="CB42" s="35">
        <f t="shared" ca="1" si="34"/>
        <v>1</v>
      </c>
      <c r="CC42" s="36">
        <f ca="1">IF(BM17&gt;0,0,RAND())</f>
        <v>0.87369193746350371</v>
      </c>
      <c r="CD42" s="29" t="s">
        <v>22</v>
      </c>
    </row>
    <row r="43" spans="1:83" ht="19.5" thickBot="1" x14ac:dyDescent="0.35">
      <c r="A43" s="137"/>
      <c r="B43" s="38" t="s">
        <v>6</v>
      </c>
      <c r="C43" s="38"/>
      <c r="D43" s="38" t="str">
        <f ca="1">IF(AND($AF$2="charisma",$AF$3="charisma"),2,IF(OR($AF$2="charisma",$AF$3="charisma"),1," "))</f>
        <v xml:space="preserve"> </v>
      </c>
      <c r="E43" s="38" t="str">
        <f ca="1">IF(AND($AF$4="charisma",$AF$5="charisma"),2,IF(OR($AF$4="charisma",$AF$5="charisma"),1," "))</f>
        <v xml:space="preserve"> </v>
      </c>
      <c r="F43" s="38" t="str">
        <f ca="1">IF(AND($AF$6="charisma",$AF$7="charisma"),2,IF(OR($AF$6="charisma",$AF$7="charisma"),1," "))</f>
        <v xml:space="preserve"> </v>
      </c>
      <c r="G43" s="38" t="str">
        <f ca="1">IF(AND($AF$8="charisma",$AF$9="charisma"),2,IF(OR($AF$8="charisma",$AF$9="charisma"),1," "))</f>
        <v xml:space="preserve"> </v>
      </c>
      <c r="H43" s="38" t="str">
        <f ca="1">IF(AND($AF$10="charisma",$AF$11="charisma"),2,IF(OR($AF$10="charisma",$AF$11="charisma"),1," "))</f>
        <v xml:space="preserve"> </v>
      </c>
      <c r="I43" s="38">
        <f ca="1">IF(OR(P2="dark",P2="lightfoot",Q2="human",Q2="dragonborn"),SUM(J43:M43)-SMALL(J43:M43,1)+1,IF(OR(Q2="half-elf",Q2="tiefling"),SUM(J43:M43)-SMALL(J43:M43,1)+2,SUM(J43:M43)-SMALL(J43:M43,1)))</f>
        <v>13</v>
      </c>
      <c r="J43" s="38">
        <f t="shared" ca="1" si="35"/>
        <v>4</v>
      </c>
      <c r="K43" s="38">
        <f t="shared" ca="1" si="35"/>
        <v>5</v>
      </c>
      <c r="L43" s="38">
        <f t="shared" ca="1" si="35"/>
        <v>3</v>
      </c>
      <c r="M43" s="38">
        <f t="shared" ca="1" si="35"/>
        <v>3</v>
      </c>
      <c r="N43" s="38"/>
      <c r="O43" s="38">
        <f ca="1">IF(OR(O11="bard",O11="paladin",O11="sorcerer",O11="warlock"),MAX(13,(SUM(C43:I43))),IF(OR(Q11="bard",Q11="paladin",Q11="sorcerer",Q11="warlock"),MAX(13,(SUM(C43:I43))),SUM(C43:I43)))</f>
        <v>13</v>
      </c>
      <c r="P43" s="118">
        <f ca="1">VLOOKUP(O43,Table1[],2)</f>
        <v>1</v>
      </c>
      <c r="AJ43" s="31" t="s">
        <v>1166</v>
      </c>
      <c r="AO43" s="57"/>
      <c r="AP43" s="57"/>
      <c r="AQ43" s="57"/>
      <c r="BN43" s="29">
        <f t="shared" ca="1" si="29"/>
        <v>3</v>
      </c>
      <c r="BO43" s="29">
        <f ca="1">IF(BP43="Survival",RAND(),0)</f>
        <v>0</v>
      </c>
      <c r="BP43" s="29" t="str">
        <f t="shared" ca="1" si="33"/>
        <v xml:space="preserve"> </v>
      </c>
      <c r="BR43" s="29">
        <f t="shared" ca="1" si="30"/>
        <v>5</v>
      </c>
      <c r="BS43" s="29">
        <f t="shared" ca="1" si="31"/>
        <v>0.69640258975146463</v>
      </c>
      <c r="CB43" s="35">
        <f t="shared" ca="1" si="34"/>
        <v>7</v>
      </c>
      <c r="CC43" s="36">
        <f ca="1">IF(BM20&gt;0,0,RAND())</f>
        <v>0</v>
      </c>
      <c r="CD43" s="29" t="s">
        <v>25</v>
      </c>
    </row>
    <row r="44" spans="1:83" ht="19.5" thickBot="1" x14ac:dyDescent="0.35">
      <c r="A44" s="33"/>
      <c r="B44" s="38"/>
      <c r="C44" s="38"/>
      <c r="D44" s="38"/>
      <c r="E44" s="38"/>
      <c r="F44" s="38"/>
      <c r="G44" s="38"/>
      <c r="H44" s="38"/>
      <c r="I44" s="38"/>
      <c r="J44" s="38"/>
      <c r="K44" s="38"/>
      <c r="L44" s="38"/>
      <c r="M44" s="38"/>
      <c r="N44" s="38"/>
      <c r="O44" s="38"/>
      <c r="P44" s="38"/>
      <c r="AJ44" s="58" t="str">
        <f ca="1">IF(Table200335449791848905314378712[[#This Row],[Column2]]=0," ",_xlfn.RANK.EQ(AK44,$AK$44:$AK$53))</f>
        <v xml:space="preserve"> </v>
      </c>
      <c r="AK44" s="29">
        <f ca="1">IF(Table200335449791848905314378712[[#This Row],[Column3]]=" ", 0,RAND())</f>
        <v>0</v>
      </c>
      <c r="AL44" s="29" t="str">
        <f t="shared" ref="AL44:AL53" ca="1" si="36">Q315</f>
        <v xml:space="preserve"> </v>
      </c>
      <c r="AO44" s="29" t="s">
        <v>1962</v>
      </c>
      <c r="CB44" s="35">
        <f t="shared" ca="1" si="34"/>
        <v>4</v>
      </c>
      <c r="CC44" s="36">
        <f ca="1">IF(BM23&gt;0,0,RAND())</f>
        <v>0.23237727868623881</v>
      </c>
      <c r="CD44" s="29" t="s">
        <v>28</v>
      </c>
    </row>
    <row r="45" spans="1:83" ht="30.75" thickBot="1" x14ac:dyDescent="0.45">
      <c r="A45" s="115"/>
      <c r="B45" s="122" t="s">
        <v>37</v>
      </c>
      <c r="C45" s="53"/>
      <c r="D45" s="53"/>
      <c r="E45" s="53"/>
      <c r="F45" s="53"/>
      <c r="G45" s="53"/>
      <c r="H45" s="53"/>
      <c r="I45" s="53"/>
      <c r="J45" s="53"/>
      <c r="K45" s="53"/>
      <c r="L45" s="53"/>
      <c r="M45" s="53"/>
      <c r="N45" s="53"/>
      <c r="O45" s="53" t="s">
        <v>30</v>
      </c>
      <c r="P45" s="116" t="s">
        <v>38</v>
      </c>
      <c r="AJ45" s="58" t="str">
        <f ca="1">IF(Table200335449791848905314378712[[#This Row],[Column2]]=0," ",_xlfn.RANK.EQ(AK45,$AK$44:$AK$53))</f>
        <v xml:space="preserve"> </v>
      </c>
      <c r="AK45" s="29">
        <f ca="1">IF(Table200335449791848905314378712[[#This Row],[Column3]]=" ", 0,RAND())</f>
        <v>0</v>
      </c>
      <c r="AL45" s="29" t="str">
        <f t="shared" ca="1" si="36"/>
        <v xml:space="preserve"> </v>
      </c>
      <c r="AO45" s="29" t="str">
        <f ca="1">IF(Table293375489831888945361417751[[#This Row],[Column2]]=0," ",_xlfn.RANK.EQ(Table293375489831888945361417751[[#This Row],[Column2]],$AP$45:$AP$59))</f>
        <v xml:space="preserve"> </v>
      </c>
      <c r="AP45" s="29">
        <f ca="1">IF(OR(Table293375489831888945361417751[[#This Row],[Column3]]=" ",Table293375489831888945361417751[[#This Row],[Column3]]="simple weapons"), 0,RAND())</f>
        <v>0</v>
      </c>
      <c r="AQ45" s="29" t="str">
        <f ca="1">P76</f>
        <v>Simple Weapons</v>
      </c>
    </row>
    <row r="46" spans="1:83" ht="19.5" thickTop="1" x14ac:dyDescent="0.3">
      <c r="A46" s="137"/>
      <c r="B46" s="33" t="s">
        <v>1</v>
      </c>
      <c r="C46" s="33"/>
      <c r="D46" s="33"/>
      <c r="E46" s="33"/>
      <c r="F46" s="33"/>
      <c r="G46" s="33"/>
      <c r="H46" s="33"/>
      <c r="I46" s="33"/>
      <c r="J46" s="33"/>
      <c r="K46" s="33"/>
      <c r="L46" s="33"/>
      <c r="M46" s="33"/>
      <c r="N46" s="33"/>
      <c r="O46" s="33" t="str">
        <f ca="1">IF(OR($O$11="barbarian",O11="fighter",O11="monk",O11="ranger"),"x"," ")</f>
        <v>x</v>
      </c>
      <c r="P46" s="72">
        <f t="shared" ref="P46:P51" ca="1" si="37">IF(O46="x",SUM(P38,$P$8),P38)</f>
        <v>6</v>
      </c>
      <c r="T46" s="49"/>
      <c r="U46" s="49"/>
      <c r="AJ46" s="58" t="str">
        <f ca="1">IF(Table200335449791848905314378712[[#This Row],[Column2]]=0," ",_xlfn.RANK.EQ(AK46,$AK$44:$AK$53))</f>
        <v xml:space="preserve"> </v>
      </c>
      <c r="AK46" s="29">
        <f ca="1">IF(Table200335449791848905314378712[[#This Row],[Column3]]=" ", 0,RAND())</f>
        <v>0</v>
      </c>
      <c r="AL46" s="29" t="str">
        <f t="shared" ca="1" si="36"/>
        <v xml:space="preserve"> </v>
      </c>
      <c r="AO46" s="29" t="str">
        <f ca="1">IF(Table293375489831888945361417751[[#This Row],[Column2]]=0," ",_xlfn.RANK.EQ(Table293375489831888945361417751[[#This Row],[Column2]],$AP$45:$AP$59))</f>
        <v xml:space="preserve"> </v>
      </c>
      <c r="AP46" s="29">
        <f ca="1">IF(OR(Table293375489831888945361417751[[#This Row],[Column3]]=" ",Table293375489831888945361417751[[#This Row],[Column3]]="martial weapons"), 0,RAND())</f>
        <v>0</v>
      </c>
      <c r="AQ46" s="29" t="str">
        <f ca="1">P77</f>
        <v>Martial Weapons</v>
      </c>
      <c r="CB46" s="31" t="s">
        <v>731</v>
      </c>
      <c r="CE46" s="31"/>
    </row>
    <row r="47" spans="1:83" x14ac:dyDescent="0.3">
      <c r="A47" s="137"/>
      <c r="B47" s="33" t="s">
        <v>2</v>
      </c>
      <c r="C47" s="33"/>
      <c r="D47" s="33"/>
      <c r="E47" s="33"/>
      <c r="F47" s="33"/>
      <c r="G47" s="33"/>
      <c r="H47" s="33"/>
      <c r="I47" s="33"/>
      <c r="J47" s="33"/>
      <c r="K47" s="33"/>
      <c r="L47" s="33"/>
      <c r="M47" s="33"/>
      <c r="N47" s="33"/>
      <c r="O47" s="33" t="str">
        <f ca="1">IF(OR($O$11="bard",O11="monk",O11="ranger",O11="rogue"),"x"," ")</f>
        <v xml:space="preserve"> </v>
      </c>
      <c r="P47" s="72">
        <f t="shared" ca="1" si="37"/>
        <v>2</v>
      </c>
      <c r="T47" s="49"/>
      <c r="U47" s="49"/>
      <c r="AJ47" s="58" t="str">
        <f ca="1">IF(Table200335449791848905314378712[[#This Row],[Column2]]=0," ",_xlfn.RANK.EQ(AK47,$AK$44:$AK$53))</f>
        <v xml:space="preserve"> </v>
      </c>
      <c r="AK47" s="29">
        <f ca="1">IF(Table200335449791848905314378712[[#This Row],[Column3]]=" ", 0,RAND())</f>
        <v>0</v>
      </c>
      <c r="AL47" s="29" t="str">
        <f t="shared" ca="1" si="36"/>
        <v xml:space="preserve"> </v>
      </c>
      <c r="AO47" s="29" t="str">
        <f ca="1">IF(Table293375489831888945361417751[[#This Row],[Column2]]=0," ",_xlfn.RANK.EQ(Table293375489831888945361417751[[#This Row],[Column2]],$AP$45:$AP$59))</f>
        <v xml:space="preserve"> </v>
      </c>
      <c r="AP47" s="29">
        <f ca="1">IF(Table293375489831888945361417751[[#This Row],[Column3]]=" ", 0,RAND())</f>
        <v>0</v>
      </c>
      <c r="AQ47" s="29" t="str">
        <f ca="1">P78</f>
        <v xml:space="preserve"> </v>
      </c>
      <c r="CB47" s="35">
        <f t="shared" ref="CB47:CB54" ca="1" si="38">_xlfn.RANK.EQ(CC47,$CC$47:$CC$54)</f>
        <v>4</v>
      </c>
      <c r="CC47" s="36">
        <f ca="1">IF(BM6&gt;0,0,RAND())</f>
        <v>0.42692295310346629</v>
      </c>
      <c r="CD47" s="29" t="s">
        <v>12</v>
      </c>
    </row>
    <row r="48" spans="1:83" x14ac:dyDescent="0.3">
      <c r="A48" s="137"/>
      <c r="B48" s="33" t="s">
        <v>3</v>
      </c>
      <c r="C48" s="33"/>
      <c r="D48" s="33"/>
      <c r="E48" s="33"/>
      <c r="F48" s="33"/>
      <c r="G48" s="33"/>
      <c r="H48" s="33"/>
      <c r="I48" s="33"/>
      <c r="J48" s="33"/>
      <c r="K48" s="33"/>
      <c r="L48" s="33"/>
      <c r="M48" s="33"/>
      <c r="N48" s="33"/>
      <c r="O48" s="33" t="str">
        <f ca="1">IF(OR(O11="barbarian",O11="fighter",O11="sorcerer"),"x"," ")</f>
        <v>x</v>
      </c>
      <c r="P48" s="72">
        <f t="shared" ca="1" si="37"/>
        <v>4</v>
      </c>
      <c r="T48" s="49"/>
      <c r="U48" s="49"/>
      <c r="AJ48" s="58" t="str">
        <f ca="1">IF(Table200335449791848905314378712[[#This Row],[Column2]]=0," ",_xlfn.RANK.EQ(AK48,$AK$44:$AK$53))</f>
        <v xml:space="preserve"> </v>
      </c>
      <c r="AK48" s="29">
        <f ca="1">IF(Table200335449791848905314378712[[#This Row],[Column3]]=" ", 0,RAND())</f>
        <v>0</v>
      </c>
      <c r="AL48" s="29" t="str">
        <f t="shared" ca="1" si="36"/>
        <v xml:space="preserve"> </v>
      </c>
      <c r="AO48" s="29" t="str">
        <f ca="1">IF(Table293375489831888945361417751[[#This Row],[Column2]]=0," ",_xlfn.RANK.EQ(Table293375489831888945361417751[[#This Row],[Column2]],$AP$45:$AP$59))</f>
        <v xml:space="preserve"> </v>
      </c>
      <c r="AP48" s="29">
        <f ca="1">IF(Table293375489831888945361417751[[#This Row],[Column3]]=" ", 0,RAND())</f>
        <v>0</v>
      </c>
      <c r="AQ48" s="29" t="str">
        <f ca="1">P79</f>
        <v xml:space="preserve"> </v>
      </c>
      <c r="CB48" s="35">
        <f t="shared" ca="1" si="38"/>
        <v>6</v>
      </c>
      <c r="CC48" s="36">
        <f ca="1">IF(BM7&gt;0,0,RAND())</f>
        <v>0.21133484695628579</v>
      </c>
      <c r="CD48" s="29" t="s">
        <v>29</v>
      </c>
    </row>
    <row r="49" spans="1:83" x14ac:dyDescent="0.3">
      <c r="A49" s="137"/>
      <c r="B49" s="33" t="s">
        <v>4</v>
      </c>
      <c r="C49" s="33"/>
      <c r="D49" s="33"/>
      <c r="E49" s="33"/>
      <c r="F49" s="33"/>
      <c r="G49" s="33"/>
      <c r="H49" s="33"/>
      <c r="I49" s="33"/>
      <c r="J49" s="33"/>
      <c r="K49" s="33"/>
      <c r="L49" s="33"/>
      <c r="M49" s="33"/>
      <c r="N49" s="33"/>
      <c r="O49" s="33" t="str">
        <f ca="1">IF(OR(O11="rogue",O11="druid",O11="wizard"),"x"," ")</f>
        <v xml:space="preserve"> </v>
      </c>
      <c r="P49" s="72">
        <f t="shared" ca="1" si="37"/>
        <v>0</v>
      </c>
      <c r="T49" s="49"/>
      <c r="U49" s="49"/>
      <c r="AJ49" s="58" t="str">
        <f ca="1">IF(Table200335449791848905314378712[[#This Row],[Column2]]=0," ",_xlfn.RANK.EQ(AK49,$AK$44:$AK$53))</f>
        <v xml:space="preserve"> </v>
      </c>
      <c r="AK49" s="29">
        <f ca="1">IF(Table200335449791848905314378712[[#This Row],[Column3]]=" ", 0,RAND())</f>
        <v>0</v>
      </c>
      <c r="AL49" s="29" t="str">
        <f t="shared" ca="1" si="36"/>
        <v xml:space="preserve"> </v>
      </c>
      <c r="AO49" s="29" t="str">
        <f ca="1">IF(Table293375489831888945361417751[[#This Row],[Column2]]=0," ",_xlfn.RANK.EQ(Table293375489831888945361417751[[#This Row],[Column2]],$AP$45:$AP$59))</f>
        <v xml:space="preserve"> </v>
      </c>
      <c r="AP49" s="29">
        <f ca="1">IF(Table293375489831888945361417751[[#This Row],[Column3]]=" ", 0,RAND())</f>
        <v>0</v>
      </c>
      <c r="AQ49" s="29" t="str">
        <f ca="1">P80</f>
        <v xml:space="preserve"> </v>
      </c>
      <c r="CB49" s="35">
        <f t="shared" ca="1" si="38"/>
        <v>5</v>
      </c>
      <c r="CC49" s="36">
        <f ca="1">IF(BM9&gt;0,0,RAND())</f>
        <v>0.26880660139707924</v>
      </c>
      <c r="CD49" s="29" t="s">
        <v>14</v>
      </c>
    </row>
    <row r="50" spans="1:83" x14ac:dyDescent="0.3">
      <c r="A50" s="137"/>
      <c r="B50" s="33" t="s">
        <v>39</v>
      </c>
      <c r="C50" s="33"/>
      <c r="D50" s="33"/>
      <c r="E50" s="33"/>
      <c r="F50" s="33"/>
      <c r="G50" s="33"/>
      <c r="H50" s="33"/>
      <c r="I50" s="33"/>
      <c r="J50" s="33"/>
      <c r="K50" s="33"/>
      <c r="L50" s="33"/>
      <c r="M50" s="33"/>
      <c r="N50" s="33"/>
      <c r="O50" s="33" t="str">
        <f ca="1">IF(OR(O11="cleric",O11="druid",O11="paladin",O11="warlock",O11="wizard"),"x",IF(AND(O11="rogue",O12&gt;=15),"x"," "))</f>
        <v xml:space="preserve"> </v>
      </c>
      <c r="P50" s="72">
        <f t="shared" ca="1" si="37"/>
        <v>2</v>
      </c>
      <c r="T50" s="49"/>
      <c r="U50" s="49"/>
      <c r="AJ50" s="58" t="str">
        <f ca="1">IF(Table200335449791848905314378712[[#This Row],[Column2]]=0," ",_xlfn.RANK.EQ(AK50,$AK$44:$AK$53))</f>
        <v xml:space="preserve"> </v>
      </c>
      <c r="AK50" s="29">
        <f ca="1">IF(Table200335449791848905314378712[[#This Row],[Column3]]=" ", 0,RAND())</f>
        <v>0</v>
      </c>
      <c r="AL50" s="29" t="str">
        <f t="shared" ca="1" si="36"/>
        <v xml:space="preserve"> </v>
      </c>
      <c r="AO50" s="29" t="str">
        <f ca="1">IF(Table293375489831888945361417751[[#This Row],[Column2]]=0," ",_xlfn.RANK.EQ(Table293375489831888945361417751[[#This Row],[Column2]],$AP$45:$AP$59))</f>
        <v xml:space="preserve"> </v>
      </c>
      <c r="AP50" s="29">
        <f ca="1">IF(Table293375489831888945361417751[[#This Row],[Column3]]=" ", 0,RAND())</f>
        <v>0</v>
      </c>
      <c r="AQ50" s="29" t="str">
        <f ca="1">Q76</f>
        <v xml:space="preserve"> </v>
      </c>
      <c r="CB50" s="35">
        <f t="shared" ca="1" si="38"/>
        <v>2</v>
      </c>
      <c r="CC50" s="36">
        <f ca="1">IF(BM11&gt;0,0,RAND())</f>
        <v>0.9390035522460467</v>
      </c>
      <c r="CD50" s="29" t="s">
        <v>16</v>
      </c>
    </row>
    <row r="51" spans="1:83" ht="19.5" thickBot="1" x14ac:dyDescent="0.35">
      <c r="A51" s="137"/>
      <c r="B51" s="38" t="s">
        <v>6</v>
      </c>
      <c r="C51" s="38"/>
      <c r="D51" s="38"/>
      <c r="E51" s="38"/>
      <c r="F51" s="38"/>
      <c r="G51" s="38"/>
      <c r="H51" s="38"/>
      <c r="I51" s="38"/>
      <c r="J51" s="38"/>
      <c r="K51" s="38"/>
      <c r="L51" s="38"/>
      <c r="M51" s="38"/>
      <c r="N51" s="38"/>
      <c r="O51" s="38" t="str">
        <f ca="1">IF(OR($O$11="bard",O11="cleric",O11="paladin",O11="sorcerer",O11="warlock"),"x"," ")</f>
        <v xml:space="preserve"> </v>
      </c>
      <c r="P51" s="73">
        <f t="shared" ca="1" si="37"/>
        <v>1</v>
      </c>
      <c r="AJ51" s="58" t="str">
        <f ca="1">IF(Table200335449791848905314378712[[#This Row],[Column2]]=0," ",_xlfn.RANK.EQ(AK51,$AK$44:$AK$53))</f>
        <v xml:space="preserve"> </v>
      </c>
      <c r="AK51" s="29">
        <f ca="1">IF(Table200335449791848905314378712[[#This Row],[Column3]]=" ", 0,RAND())</f>
        <v>0</v>
      </c>
      <c r="AL51" s="29" t="str">
        <f t="shared" ca="1" si="36"/>
        <v xml:space="preserve"> </v>
      </c>
      <c r="AO51" s="29" t="str">
        <f ca="1">IF(Table293375489831888945361417751[[#This Row],[Column2]]=0," ",_xlfn.RANK.EQ(Table293375489831888945361417751[[#This Row],[Column2]],$AP$45:$AP$59))</f>
        <v xml:space="preserve"> </v>
      </c>
      <c r="AP51" s="29">
        <f ca="1">IF(Table293375489831888945361417751[[#This Row],[Column3]]=" ", 0,RAND())</f>
        <v>0</v>
      </c>
      <c r="AQ51" s="29" t="str">
        <f ca="1">Q77</f>
        <v xml:space="preserve"> </v>
      </c>
      <c r="CB51" s="35">
        <f t="shared" ca="1" si="38"/>
        <v>8</v>
      </c>
      <c r="CC51" s="36">
        <f ca="1">IF(BM12&gt;0,0,RAND())</f>
        <v>0</v>
      </c>
      <c r="CD51" s="29" t="s">
        <v>17</v>
      </c>
      <c r="CE51" s="31"/>
    </row>
    <row r="52" spans="1:83" ht="19.5" thickBot="1" x14ac:dyDescent="0.35">
      <c r="A52" s="138"/>
      <c r="B52" s="99"/>
      <c r="C52" s="99"/>
      <c r="D52" s="99"/>
      <c r="E52" s="99"/>
      <c r="F52" s="99"/>
      <c r="G52" s="99"/>
      <c r="H52" s="99"/>
      <c r="I52" s="99"/>
      <c r="J52" s="99"/>
      <c r="K52" s="99"/>
      <c r="L52" s="99"/>
      <c r="M52" s="99"/>
      <c r="N52" s="99"/>
      <c r="O52" s="99"/>
      <c r="P52" s="99"/>
      <c r="AJ52" s="58" t="str">
        <f ca="1">IF(Table200335449791848905314378712[[#This Row],[Column2]]=0," ",_xlfn.RANK.EQ(AK52,$AK$44:$AK$53))</f>
        <v xml:space="preserve"> </v>
      </c>
      <c r="AK52" s="29">
        <f ca="1">IF(Table200335449791848905314378712[[#This Row],[Column3]]=" ", 0,RAND())</f>
        <v>0</v>
      </c>
      <c r="AL52" s="29" t="str">
        <f t="shared" ca="1" si="36"/>
        <v xml:space="preserve"> </v>
      </c>
      <c r="AO52" s="29" t="str">
        <f ca="1">IF(Table293375489831888945361417751[[#This Row],[Column2]]=0," ",_xlfn.RANK.EQ(Table293375489831888945361417751[[#This Row],[Column2]],$AP$45:$AP$59))</f>
        <v xml:space="preserve"> </v>
      </c>
      <c r="AP52" s="29">
        <f ca="1">IF(Table293375489831888945361417751[[#This Row],[Column3]]=" ", 0,RAND())</f>
        <v>0</v>
      </c>
      <c r="AQ52" s="29" t="str">
        <f ca="1">Q78</f>
        <v xml:space="preserve"> </v>
      </c>
      <c r="CB52" s="35">
        <f t="shared" ca="1" si="38"/>
        <v>7</v>
      </c>
      <c r="CC52" s="36">
        <f ca="1">IF(BM13&gt;0,0,RAND())</f>
        <v>0.18609913735043171</v>
      </c>
      <c r="CD52" s="29" t="s">
        <v>18</v>
      </c>
    </row>
    <row r="53" spans="1:83" ht="30.75" thickBot="1" x14ac:dyDescent="0.45">
      <c r="A53" s="137"/>
      <c r="B53" s="122" t="s">
        <v>11</v>
      </c>
      <c r="C53" s="33"/>
      <c r="D53" s="33"/>
      <c r="E53" s="33"/>
      <c r="F53" s="33"/>
      <c r="G53" s="33"/>
      <c r="H53" s="33"/>
      <c r="I53" s="33"/>
      <c r="J53" s="33"/>
      <c r="K53" s="33"/>
      <c r="L53" s="33"/>
      <c r="M53" s="33"/>
      <c r="N53" s="33"/>
      <c r="O53" s="53" t="s">
        <v>30</v>
      </c>
      <c r="P53" s="119" t="s">
        <v>529</v>
      </c>
      <c r="AJ53" s="58" t="str">
        <f ca="1">IF(Table200335449791848905314378712[[#This Row],[Column2]]=0," ",_xlfn.RANK.EQ(AK53,$AK$44:$AK$53))</f>
        <v xml:space="preserve"> </v>
      </c>
      <c r="AK53" s="29">
        <f ca="1">IF(Table200335449791848905314378712[[#This Row],[Column3]]=" ", 0,RAND())</f>
        <v>0</v>
      </c>
      <c r="AL53" s="29" t="str">
        <f t="shared" ca="1" si="36"/>
        <v xml:space="preserve"> </v>
      </c>
      <c r="AO53" s="29" t="str">
        <f ca="1">IF(Table293375489831888945361417751[[#This Row],[Column2]]=0," ",_xlfn.RANK.EQ(Table293375489831888945361417751[[#This Row],[Column2]],$AP$45:$AP$59))</f>
        <v xml:space="preserve"> </v>
      </c>
      <c r="AP53" s="29">
        <f ca="1">IF(Table293375489831888945361417751[[#This Row],[Column3]]=" ", 0,RAND())</f>
        <v>0</v>
      </c>
      <c r="AQ53" s="29" t="str">
        <f ca="1">Q79</f>
        <v xml:space="preserve"> </v>
      </c>
      <c r="CB53" s="35">
        <f t="shared" ca="1" si="38"/>
        <v>1</v>
      </c>
      <c r="CC53" s="36">
        <f ca="1">IF(BM17&gt;0,0,RAND())</f>
        <v>0.991093661273454</v>
      </c>
      <c r="CD53" s="29" t="s">
        <v>22</v>
      </c>
    </row>
    <row r="54" spans="1:83" ht="19.5" thickTop="1" x14ac:dyDescent="0.3">
      <c r="A54" s="137"/>
      <c r="B54" s="33" t="s">
        <v>12</v>
      </c>
      <c r="C54" s="59"/>
      <c r="D54" s="33"/>
      <c r="E54" s="33"/>
      <c r="F54" s="33"/>
      <c r="G54" s="33"/>
      <c r="H54" s="33"/>
      <c r="I54" s="33"/>
      <c r="J54" s="33"/>
      <c r="K54" s="33"/>
      <c r="L54" s="33"/>
      <c r="M54" s="33"/>
      <c r="N54" s="33"/>
      <c r="O54" s="33" t="str">
        <f t="shared" ref="O54:O71" ca="1" si="39">IF(BU6&gt;0,"x"," ")</f>
        <v>x</v>
      </c>
      <c r="P54" s="120">
        <f ca="1">SUM(BU6,P39)</f>
        <v>4</v>
      </c>
      <c r="AO54" s="29" t="str">
        <f ca="1">IF(Table293375489831888945361417751[[#This Row],[Column2]]=0," ",_xlfn.RANK.EQ(Table293375489831888945361417751[[#This Row],[Column2]],$AP$45:$AP$59))</f>
        <v xml:space="preserve"> </v>
      </c>
      <c r="AP54" s="29">
        <f ca="1">IF(Table293375489831888945361417751[[#This Row],[Column3]]=" ", 0,RAND())</f>
        <v>0</v>
      </c>
      <c r="AQ54" s="29" t="str">
        <f ca="1">Q80</f>
        <v xml:space="preserve"> </v>
      </c>
      <c r="CB54" s="35">
        <f t="shared" ca="1" si="38"/>
        <v>3</v>
      </c>
      <c r="CC54" s="36">
        <f ca="1">IF(BM23&gt;0,0,RAND())</f>
        <v>0.79835986712731022</v>
      </c>
      <c r="CD54" s="29" t="s">
        <v>28</v>
      </c>
    </row>
    <row r="55" spans="1:83" x14ac:dyDescent="0.3">
      <c r="A55" s="137"/>
      <c r="B55" s="33" t="s">
        <v>29</v>
      </c>
      <c r="C55" s="59"/>
      <c r="D55" s="33"/>
      <c r="E55" s="33"/>
      <c r="F55" s="33"/>
      <c r="G55" s="33"/>
      <c r="H55" s="33"/>
      <c r="I55" s="33"/>
      <c r="J55" s="33"/>
      <c r="K55" s="33"/>
      <c r="L55" s="33"/>
      <c r="M55" s="33"/>
      <c r="N55" s="33"/>
      <c r="O55" s="33" t="str">
        <f t="shared" ca="1" si="39"/>
        <v xml:space="preserve"> </v>
      </c>
      <c r="P55" s="120">
        <f ca="1">SUM(BU7,P42)</f>
        <v>2</v>
      </c>
      <c r="AJ55" s="31" t="s">
        <v>1167</v>
      </c>
      <c r="AO55" s="29" t="str">
        <f ca="1">IF(Table293375489831888945361417751[[#This Row],[Column2]]=0," ",_xlfn.RANK.EQ(Table293375489831888945361417751[[#This Row],[Column2]],$AP$45:$AP$59))</f>
        <v xml:space="preserve"> </v>
      </c>
      <c r="AP55" s="29">
        <f ca="1">IF(Table293375489831888945361417751[[#This Row],[Column3]]=" ", 0,RAND())</f>
        <v>0</v>
      </c>
      <c r="AQ55" s="29" t="str">
        <f ca="1">R76</f>
        <v xml:space="preserve"> </v>
      </c>
    </row>
    <row r="56" spans="1:83" x14ac:dyDescent="0.3">
      <c r="A56" s="137"/>
      <c r="B56" s="33" t="s">
        <v>13</v>
      </c>
      <c r="C56" s="33"/>
      <c r="D56" s="33"/>
      <c r="E56" s="33"/>
      <c r="F56" s="33"/>
      <c r="G56" s="33"/>
      <c r="H56" s="33"/>
      <c r="I56" s="33"/>
      <c r="J56" s="33"/>
      <c r="K56" s="33"/>
      <c r="L56" s="33"/>
      <c r="M56" s="33"/>
      <c r="N56" s="33"/>
      <c r="O56" s="33" t="str">
        <f t="shared" ca="1" si="39"/>
        <v xml:space="preserve"> </v>
      </c>
      <c r="P56" s="120">
        <f ca="1">SUM(BU8,P41)</f>
        <v>0</v>
      </c>
      <c r="AJ56" s="58" t="str">
        <f ca="1">IF(Table201336450792849906315379713[[#This Row],[Column2]]=0," ",_xlfn.RANK.EQ(AK56,$AK$56:$AK$65))</f>
        <v xml:space="preserve"> </v>
      </c>
      <c r="AK56" s="29">
        <f ca="1">IF(AL56=" ", 0,RAND())</f>
        <v>0</v>
      </c>
      <c r="AL56" s="29" t="str">
        <f t="shared" ref="AL56:AL65" ca="1" si="40">R315</f>
        <v xml:space="preserve"> </v>
      </c>
      <c r="AO56" s="29" t="str">
        <f ca="1">IF(Table293375489831888945361417751[[#This Row],[Column2]]=0," ",_xlfn.RANK.EQ(Table293375489831888945361417751[[#This Row],[Column2]],$AP$45:$AP$59))</f>
        <v xml:space="preserve"> </v>
      </c>
      <c r="AP56" s="29">
        <f ca="1">IF(Table293375489831888945361417751[[#This Row],[Column3]]=" ", 0,RAND())</f>
        <v>0</v>
      </c>
      <c r="AQ56" s="29" t="str">
        <f ca="1">R77</f>
        <v xml:space="preserve"> </v>
      </c>
      <c r="CB56" s="31" t="s">
        <v>732</v>
      </c>
      <c r="CE56" s="31"/>
    </row>
    <row r="57" spans="1:83" x14ac:dyDescent="0.3">
      <c r="A57" s="137"/>
      <c r="B57" s="33" t="s">
        <v>14</v>
      </c>
      <c r="C57" s="33"/>
      <c r="D57" s="33"/>
      <c r="E57" s="33"/>
      <c r="F57" s="33"/>
      <c r="G57" s="33"/>
      <c r="H57" s="33"/>
      <c r="I57" s="33"/>
      <c r="J57" s="33"/>
      <c r="K57" s="33"/>
      <c r="L57" s="33"/>
      <c r="M57" s="33"/>
      <c r="N57" s="33"/>
      <c r="O57" s="33" t="str">
        <f t="shared" ca="1" si="39"/>
        <v xml:space="preserve"> </v>
      </c>
      <c r="P57" s="120">
        <f ca="1">SUM(BU9,P38)</f>
        <v>2</v>
      </c>
      <c r="AJ57" s="58" t="str">
        <f ca="1">IF(Table201336450792849906315379713[[#This Row],[Column2]]=0," ",_xlfn.RANK.EQ(AK57,$AK$56:$AK$65))</f>
        <v xml:space="preserve"> </v>
      </c>
      <c r="AK57" s="29">
        <f t="shared" ref="AK57:AK65" ca="1" si="41">IF(AL57=" ", 0,RAND())</f>
        <v>0</v>
      </c>
      <c r="AL57" s="29" t="str">
        <f t="shared" ca="1" si="40"/>
        <v xml:space="preserve"> </v>
      </c>
      <c r="AO57" s="29" t="str">
        <f ca="1">IF(Table293375489831888945361417751[[#This Row],[Column2]]=0," ",_xlfn.RANK.EQ(Table293375489831888945361417751[[#This Row],[Column2]],$AP$45:$AP$59))</f>
        <v xml:space="preserve"> </v>
      </c>
      <c r="AP57" s="29">
        <f ca="1">IF(Table293375489831888945361417751[[#This Row],[Column3]]=" ", 0,RAND())</f>
        <v>0</v>
      </c>
      <c r="AQ57" s="29" t="str">
        <f ca="1">R78</f>
        <v xml:space="preserve"> </v>
      </c>
      <c r="CB57" s="35">
        <f t="shared" ref="CB57:CB62" ca="1" si="42">_xlfn.RANK.EQ(CC57,$CC$57:$CC$62)</f>
        <v>4</v>
      </c>
      <c r="CC57" s="36">
        <f ca="1">IF(BM6&gt;0,0,RAND())</f>
        <v>0.32579520125333417</v>
      </c>
      <c r="CD57" s="29" t="s">
        <v>12</v>
      </c>
    </row>
    <row r="58" spans="1:83" x14ac:dyDescent="0.3">
      <c r="A58" s="137"/>
      <c r="B58" s="33" t="s">
        <v>15</v>
      </c>
      <c r="C58" s="33"/>
      <c r="D58" s="33"/>
      <c r="E58" s="33"/>
      <c r="F58" s="33"/>
      <c r="G58" s="33"/>
      <c r="H58" s="33"/>
      <c r="I58" s="33"/>
      <c r="J58" s="33"/>
      <c r="K58" s="33"/>
      <c r="L58" s="33"/>
      <c r="M58" s="33"/>
      <c r="N58" s="33"/>
      <c r="O58" s="33" t="str">
        <f t="shared" ca="1" si="39"/>
        <v xml:space="preserve"> </v>
      </c>
      <c r="P58" s="120">
        <f ca="1">SUM(BU10,P43)</f>
        <v>1</v>
      </c>
      <c r="AJ58" s="58" t="str">
        <f ca="1">IF(Table201336450792849906315379713[[#This Row],[Column2]]=0," ",_xlfn.RANK.EQ(AK58,$AK$56:$AK$65))</f>
        <v xml:space="preserve"> </v>
      </c>
      <c r="AK58" s="29">
        <f t="shared" ca="1" si="41"/>
        <v>0</v>
      </c>
      <c r="AL58" s="29" t="str">
        <f t="shared" ca="1" si="40"/>
        <v xml:space="preserve"> </v>
      </c>
      <c r="AO58" s="29" t="str">
        <f ca="1">IF(Table293375489831888945361417751[[#This Row],[Column2]]=0," ",_xlfn.RANK.EQ(Table293375489831888945361417751[[#This Row],[Column2]],$AP$45:$AP$59))</f>
        <v xml:space="preserve"> </v>
      </c>
      <c r="AP58" s="29">
        <f ca="1">IF(Table293375489831888945361417751[[#This Row],[Column3]]=" ", 0,RAND())</f>
        <v>0</v>
      </c>
      <c r="AQ58" s="29" t="str">
        <f ca="1">R79</f>
        <v xml:space="preserve"> </v>
      </c>
      <c r="CB58" s="35">
        <f t="shared" ca="1" si="42"/>
        <v>3</v>
      </c>
      <c r="CC58" s="36">
        <f ca="1">IF(BM9&gt;0,0,RAND())</f>
        <v>0.51898921514897356</v>
      </c>
      <c r="CD58" s="29" t="s">
        <v>14</v>
      </c>
    </row>
    <row r="59" spans="1:83" x14ac:dyDescent="0.3">
      <c r="A59" s="137"/>
      <c r="B59" s="33" t="s">
        <v>16</v>
      </c>
      <c r="C59" s="33"/>
      <c r="D59" s="33"/>
      <c r="E59" s="33"/>
      <c r="F59" s="33"/>
      <c r="G59" s="33"/>
      <c r="H59" s="33"/>
      <c r="I59" s="33"/>
      <c r="J59" s="33"/>
      <c r="K59" s="33"/>
      <c r="L59" s="33"/>
      <c r="M59" s="33"/>
      <c r="N59" s="33"/>
      <c r="O59" s="33" t="str">
        <f t="shared" ca="1" si="39"/>
        <v xml:space="preserve"> </v>
      </c>
      <c r="P59" s="120">
        <f ca="1">SUM(P41,BU11)</f>
        <v>0</v>
      </c>
      <c r="AJ59" s="58" t="str">
        <f ca="1">IF(Table201336450792849906315379713[[#This Row],[Column2]]=0," ",_xlfn.RANK.EQ(AK59,$AK$56:$AK$65))</f>
        <v xml:space="preserve"> </v>
      </c>
      <c r="AK59" s="29">
        <f t="shared" ca="1" si="41"/>
        <v>0</v>
      </c>
      <c r="AL59" s="29" t="str">
        <f t="shared" ca="1" si="40"/>
        <v xml:space="preserve"> </v>
      </c>
      <c r="AO59" s="29" t="str">
        <f ca="1">IF(Table293375489831888945361417751[[#This Row],[Column2]]=0," ",_xlfn.RANK.EQ(Table293375489831888945361417751[[#This Row],[Column2]],$AP$45:$AP$59))</f>
        <v xml:space="preserve"> </v>
      </c>
      <c r="AP59" s="29">
        <f ca="1">IF(Table293375489831888945361417751[[#This Row],[Column3]]=" ", 0,RAND())</f>
        <v>0</v>
      </c>
      <c r="AQ59" s="29" t="str">
        <f ca="1">R80</f>
        <v xml:space="preserve"> </v>
      </c>
      <c r="CB59" s="35">
        <f t="shared" ca="1" si="42"/>
        <v>1</v>
      </c>
      <c r="CC59" s="36">
        <f ca="1">IF(BM11&gt;0,0,RAND())</f>
        <v>0.83257856419839693</v>
      </c>
      <c r="CD59" s="29" t="s">
        <v>16</v>
      </c>
    </row>
    <row r="60" spans="1:83" x14ac:dyDescent="0.3">
      <c r="A60" s="137"/>
      <c r="B60" s="33" t="s">
        <v>17</v>
      </c>
      <c r="C60" s="33"/>
      <c r="D60" s="33"/>
      <c r="E60" s="33"/>
      <c r="F60" s="33"/>
      <c r="G60" s="33"/>
      <c r="H60" s="33"/>
      <c r="I60" s="33"/>
      <c r="J60" s="33"/>
      <c r="K60" s="33"/>
      <c r="L60" s="33"/>
      <c r="M60" s="33"/>
      <c r="N60" s="33"/>
      <c r="O60" s="33" t="str">
        <f t="shared" ca="1" si="39"/>
        <v>x</v>
      </c>
      <c r="P60" s="120">
        <f ca="1">SUM(BU12,P42)</f>
        <v>6</v>
      </c>
      <c r="AJ60" s="58" t="str">
        <f ca="1">IF(Table201336450792849906315379713[[#This Row],[Column2]]=0," ",_xlfn.RANK.EQ(AK60,$AK$56:$AK$65))</f>
        <v xml:space="preserve"> </v>
      </c>
      <c r="AK60" s="29">
        <f t="shared" ca="1" si="41"/>
        <v>0</v>
      </c>
      <c r="AL60" s="29" t="str">
        <f t="shared" ca="1" si="40"/>
        <v xml:space="preserve"> </v>
      </c>
      <c r="CB60" s="35">
        <f t="shared" ca="1" si="42"/>
        <v>5</v>
      </c>
      <c r="CC60" s="36">
        <f ca="1">IF(BM12&gt;0,0,RAND())</f>
        <v>0</v>
      </c>
      <c r="CD60" s="29" t="s">
        <v>17</v>
      </c>
    </row>
    <row r="61" spans="1:83" x14ac:dyDescent="0.3">
      <c r="A61" s="137"/>
      <c r="B61" s="33" t="s">
        <v>18</v>
      </c>
      <c r="C61" s="33"/>
      <c r="D61" s="33"/>
      <c r="E61" s="33"/>
      <c r="F61" s="33"/>
      <c r="G61" s="33"/>
      <c r="H61" s="33"/>
      <c r="I61" s="33"/>
      <c r="J61" s="33"/>
      <c r="K61" s="33"/>
      <c r="L61" s="33"/>
      <c r="M61" s="33"/>
      <c r="N61" s="33"/>
      <c r="O61" s="33" t="str">
        <f t="shared" ca="1" si="39"/>
        <v xml:space="preserve"> </v>
      </c>
      <c r="P61" s="120">
        <f ca="1">SUM(BU13,P43)</f>
        <v>1</v>
      </c>
      <c r="AJ61" s="58" t="str">
        <f ca="1">IF(Table201336450792849906315379713[[#This Row],[Column2]]=0," ",_xlfn.RANK.EQ(AK61,$AK$56:$AK$65))</f>
        <v xml:space="preserve"> </v>
      </c>
      <c r="AK61" s="29">
        <f t="shared" ca="1" si="41"/>
        <v>0</v>
      </c>
      <c r="AL61" s="29" t="str">
        <f t="shared" ca="1" si="40"/>
        <v xml:space="preserve"> </v>
      </c>
      <c r="CB61" s="35">
        <f t="shared" ca="1" si="42"/>
        <v>5</v>
      </c>
      <c r="CC61" s="36">
        <f ca="1">IF(BM20&gt;0,0,RAND())</f>
        <v>0</v>
      </c>
      <c r="CD61" s="29" t="s">
        <v>25</v>
      </c>
    </row>
    <row r="62" spans="1:83" x14ac:dyDescent="0.3">
      <c r="A62" s="137"/>
      <c r="B62" s="33" t="s">
        <v>19</v>
      </c>
      <c r="C62" s="33"/>
      <c r="D62" s="33"/>
      <c r="E62" s="33"/>
      <c r="F62" s="33"/>
      <c r="G62" s="33"/>
      <c r="H62" s="33"/>
      <c r="I62" s="33"/>
      <c r="J62" s="33"/>
      <c r="K62" s="33"/>
      <c r="L62" s="33"/>
      <c r="M62" s="33"/>
      <c r="N62" s="33"/>
      <c r="O62" s="33" t="str">
        <f t="shared" ca="1" si="39"/>
        <v xml:space="preserve"> </v>
      </c>
      <c r="P62" s="120">
        <f ca="1">SUM(BU14,P41)</f>
        <v>0</v>
      </c>
      <c r="AJ62" s="58" t="str">
        <f ca="1">IF(Table201336450792849906315379713[[#This Row],[Column2]]=0," ",_xlfn.RANK.EQ(AK62,$AK$56:$AK$65))</f>
        <v xml:space="preserve"> </v>
      </c>
      <c r="AK62" s="29">
        <f t="shared" ca="1" si="41"/>
        <v>0</v>
      </c>
      <c r="AL62" s="29" t="str">
        <f t="shared" ca="1" si="40"/>
        <v xml:space="preserve"> </v>
      </c>
      <c r="CB62" s="35">
        <f t="shared" ca="1" si="42"/>
        <v>2</v>
      </c>
      <c r="CC62" s="36">
        <f ca="1">IF(BM22&gt;0,0,RAND())</f>
        <v>0.7747325383127337</v>
      </c>
      <c r="CD62" s="29" t="s">
        <v>27</v>
      </c>
      <c r="CE62" s="31"/>
    </row>
    <row r="63" spans="1:83" x14ac:dyDescent="0.3">
      <c r="A63" s="137"/>
      <c r="B63" s="33" t="s">
        <v>20</v>
      </c>
      <c r="C63" s="33"/>
      <c r="D63" s="33"/>
      <c r="E63" s="33"/>
      <c r="F63" s="33"/>
      <c r="G63" s="33"/>
      <c r="H63" s="33"/>
      <c r="I63" s="33"/>
      <c r="J63" s="33"/>
      <c r="K63" s="33"/>
      <c r="L63" s="33"/>
      <c r="M63" s="33"/>
      <c r="N63" s="33"/>
      <c r="O63" s="33" t="str">
        <f t="shared" ca="1" si="39"/>
        <v xml:space="preserve"> </v>
      </c>
      <c r="P63" s="120">
        <f ca="1">SUM(BU15,P42)</f>
        <v>2</v>
      </c>
      <c r="AJ63" s="58" t="str">
        <f ca="1">IF(Table201336450792849906315379713[[#This Row],[Column2]]=0," ",_xlfn.RANK.EQ(AK63,$AK$56:$AK$65))</f>
        <v xml:space="preserve"> </v>
      </c>
      <c r="AK63" s="29">
        <f t="shared" ca="1" si="41"/>
        <v>0</v>
      </c>
      <c r="AL63" s="29" t="str">
        <f t="shared" ca="1" si="40"/>
        <v xml:space="preserve"> </v>
      </c>
    </row>
    <row r="64" spans="1:83" x14ac:dyDescent="0.3">
      <c r="A64" s="137"/>
      <c r="B64" s="33" t="s">
        <v>21</v>
      </c>
      <c r="C64" s="33"/>
      <c r="D64" s="33"/>
      <c r="E64" s="33"/>
      <c r="F64" s="33"/>
      <c r="G64" s="33"/>
      <c r="H64" s="33"/>
      <c r="I64" s="33"/>
      <c r="J64" s="33"/>
      <c r="K64" s="33"/>
      <c r="L64" s="33"/>
      <c r="M64" s="33"/>
      <c r="N64" s="33"/>
      <c r="O64" s="33" t="str">
        <f t="shared" ca="1" si="39"/>
        <v xml:space="preserve"> </v>
      </c>
      <c r="P64" s="120">
        <f ca="1">SUM(BU16,P41)</f>
        <v>0</v>
      </c>
      <c r="AJ64" s="58" t="str">
        <f ca="1">IF(Table201336450792849906315379713[[#This Row],[Column2]]=0," ",_xlfn.RANK.EQ(AK64,$AK$56:$AK$65))</f>
        <v xml:space="preserve"> </v>
      </c>
      <c r="AK64" s="29">
        <f t="shared" ca="1" si="41"/>
        <v>0</v>
      </c>
      <c r="AL64" s="29" t="str">
        <f t="shared" ca="1" si="40"/>
        <v xml:space="preserve"> </v>
      </c>
      <c r="CB64" s="31" t="s">
        <v>733</v>
      </c>
    </row>
    <row r="65" spans="1:82" x14ac:dyDescent="0.3">
      <c r="A65" s="137"/>
      <c r="B65" s="33" t="s">
        <v>22</v>
      </c>
      <c r="C65" s="33"/>
      <c r="D65" s="33"/>
      <c r="E65" s="33"/>
      <c r="F65" s="33"/>
      <c r="G65" s="33"/>
      <c r="H65" s="33"/>
      <c r="I65" s="33"/>
      <c r="J65" s="33"/>
      <c r="K65" s="33"/>
      <c r="L65" s="33"/>
      <c r="M65" s="33"/>
      <c r="N65" s="33"/>
      <c r="O65" s="33" t="str">
        <f t="shared" ca="1" si="39"/>
        <v xml:space="preserve"> </v>
      </c>
      <c r="P65" s="120">
        <f ca="1">SUM(BU17,P42)</f>
        <v>2</v>
      </c>
      <c r="AJ65" s="58" t="str">
        <f ca="1">IF(Table201336450792849906315379713[[#This Row],[Column2]]=0," ",_xlfn.RANK.EQ(AK65,$AK$56:$AK$65))</f>
        <v xml:space="preserve"> </v>
      </c>
      <c r="AK65" s="29">
        <f t="shared" ca="1" si="41"/>
        <v>0</v>
      </c>
      <c r="AL65" s="29" t="str">
        <f t="shared" ca="1" si="40"/>
        <v xml:space="preserve"> </v>
      </c>
      <c r="CB65" s="35">
        <f t="shared" ref="CB65:CB70" ca="1" si="43">_xlfn.RANK.EQ(CC65,$CC$65:$CC$70)</f>
        <v>1</v>
      </c>
      <c r="CC65" s="36">
        <f ca="1">IF(BM9&gt;0,0,RAND())</f>
        <v>0.78010928980031391</v>
      </c>
      <c r="CD65" s="29" t="s">
        <v>14</v>
      </c>
    </row>
    <row r="66" spans="1:82" x14ac:dyDescent="0.3">
      <c r="A66" s="137"/>
      <c r="B66" s="33" t="s">
        <v>23</v>
      </c>
      <c r="C66" s="33"/>
      <c r="D66" s="33"/>
      <c r="E66" s="33"/>
      <c r="F66" s="33"/>
      <c r="G66" s="33"/>
      <c r="H66" s="33"/>
      <c r="I66" s="33"/>
      <c r="J66" s="33"/>
      <c r="K66" s="33"/>
      <c r="L66" s="33"/>
      <c r="M66" s="33"/>
      <c r="N66" s="33"/>
      <c r="O66" s="33" t="str">
        <f t="shared" ca="1" si="39"/>
        <v xml:space="preserve"> </v>
      </c>
      <c r="P66" s="120">
        <f ca="1">SUM(BU18,P43)</f>
        <v>1</v>
      </c>
      <c r="CB66" s="35">
        <f t="shared" ca="1" si="43"/>
        <v>5</v>
      </c>
      <c r="CC66" s="36">
        <f ca="1">IF(BM12&gt;0,0,RAND())</f>
        <v>0</v>
      </c>
      <c r="CD66" s="29" t="s">
        <v>17</v>
      </c>
    </row>
    <row r="67" spans="1:82" x14ac:dyDescent="0.3">
      <c r="A67" s="137"/>
      <c r="B67" s="33" t="s">
        <v>24</v>
      </c>
      <c r="C67" s="33"/>
      <c r="D67" s="33"/>
      <c r="E67" s="33"/>
      <c r="F67" s="33"/>
      <c r="G67" s="33"/>
      <c r="H67" s="33"/>
      <c r="I67" s="33"/>
      <c r="J67" s="33"/>
      <c r="K67" s="33"/>
      <c r="L67" s="33"/>
      <c r="M67" s="33"/>
      <c r="N67" s="33"/>
      <c r="O67" s="33" t="str">
        <f t="shared" ca="1" si="39"/>
        <v xml:space="preserve"> </v>
      </c>
      <c r="P67" s="120">
        <f ca="1">SUM(BU19,P43)</f>
        <v>1</v>
      </c>
      <c r="AJ67" s="31" t="s">
        <v>1168</v>
      </c>
      <c r="CB67" s="35">
        <f t="shared" ca="1" si="43"/>
        <v>2</v>
      </c>
      <c r="CC67" s="36">
        <f ca="1">IF(BM13&gt;0,0,RAND())</f>
        <v>0.49234806797318942</v>
      </c>
      <c r="CD67" s="29" t="s">
        <v>18</v>
      </c>
    </row>
    <row r="68" spans="1:82" x14ac:dyDescent="0.3">
      <c r="A68" s="137"/>
      <c r="B68" s="33" t="s">
        <v>25</v>
      </c>
      <c r="C68" s="33"/>
      <c r="D68" s="33"/>
      <c r="E68" s="33"/>
      <c r="F68" s="33"/>
      <c r="G68" s="33"/>
      <c r="H68" s="33"/>
      <c r="I68" s="33"/>
      <c r="J68" s="33"/>
      <c r="K68" s="33"/>
      <c r="L68" s="33"/>
      <c r="M68" s="33"/>
      <c r="N68" s="33"/>
      <c r="O68" s="33" t="str">
        <f t="shared" ca="1" si="39"/>
        <v>x</v>
      </c>
      <c r="P68" s="120">
        <f ca="1">SUM(BU20,P41)</f>
        <v>4</v>
      </c>
      <c r="AJ68" s="58" t="str">
        <f ca="1">IF(Table202337451793850907320380714[[#This Row],[Column2]]=0," ",_xlfn.RANK.EQ(AK68,$AK$68:$AK$77))</f>
        <v xml:space="preserve"> </v>
      </c>
      <c r="AK68" s="60">
        <f t="shared" ref="AK68:AK77" ca="1" si="44">IF(AL68=" ", 0,RAND())</f>
        <v>0</v>
      </c>
      <c r="AL68" s="29" t="str">
        <f t="shared" ref="AL68:AL77" ca="1" si="45">S315</f>
        <v xml:space="preserve"> </v>
      </c>
      <c r="CB68" s="35">
        <f t="shared" ca="1" si="43"/>
        <v>4</v>
      </c>
      <c r="CC68" s="36">
        <f ca="1">IF(BM15&gt;0,0,RAND())</f>
        <v>7.2073856029457373E-2</v>
      </c>
      <c r="CD68" s="29" t="s">
        <v>20</v>
      </c>
    </row>
    <row r="69" spans="1:82" x14ac:dyDescent="0.3">
      <c r="A69" s="137"/>
      <c r="B69" s="33" t="s">
        <v>26</v>
      </c>
      <c r="C69" s="33"/>
      <c r="D69" s="33"/>
      <c r="E69" s="33"/>
      <c r="F69" s="33"/>
      <c r="G69" s="33"/>
      <c r="H69" s="33"/>
      <c r="I69" s="33"/>
      <c r="J69" s="33"/>
      <c r="K69" s="33"/>
      <c r="L69" s="33"/>
      <c r="M69" s="33"/>
      <c r="N69" s="33"/>
      <c r="O69" s="33" t="str">
        <f t="shared" ca="1" si="39"/>
        <v xml:space="preserve"> </v>
      </c>
      <c r="P69" s="120">
        <f ca="1">SUM(BU21,P39)</f>
        <v>2</v>
      </c>
      <c r="AJ69" s="58" t="str">
        <f ca="1">IF(Table202337451793850907320380714[[#This Row],[Column2]]=0," ",_xlfn.RANK.EQ(AK69,$AK$68:$AK$77))</f>
        <v xml:space="preserve"> </v>
      </c>
      <c r="AK69" s="60">
        <f t="shared" ca="1" si="44"/>
        <v>0</v>
      </c>
      <c r="AL69" s="29" t="str">
        <f t="shared" ca="1" si="45"/>
        <v xml:space="preserve"> </v>
      </c>
      <c r="CB69" s="35">
        <f t="shared" ca="1" si="43"/>
        <v>3</v>
      </c>
      <c r="CC69" s="36">
        <f ca="1">IF(BM19&gt;0,0,RAND())</f>
        <v>0.17372467776121336</v>
      </c>
      <c r="CD69" s="29" t="s">
        <v>24</v>
      </c>
    </row>
    <row r="70" spans="1:82" x14ac:dyDescent="0.3">
      <c r="A70" s="137"/>
      <c r="B70" s="33" t="s">
        <v>27</v>
      </c>
      <c r="C70" s="33"/>
      <c r="D70" s="33"/>
      <c r="E70" s="33"/>
      <c r="F70" s="33"/>
      <c r="G70" s="33"/>
      <c r="H70" s="33"/>
      <c r="I70" s="33"/>
      <c r="J70" s="33"/>
      <c r="K70" s="33"/>
      <c r="L70" s="33"/>
      <c r="M70" s="33"/>
      <c r="N70" s="33"/>
      <c r="O70" s="33" t="str">
        <f t="shared" ca="1" si="39"/>
        <v xml:space="preserve"> </v>
      </c>
      <c r="P70" s="120">
        <f ca="1">SUM(BU22,P39)</f>
        <v>2</v>
      </c>
      <c r="AJ70" s="58" t="str">
        <f ca="1">IF(Table202337451793850907320380714[[#This Row],[Column2]]=0," ",_xlfn.RANK.EQ(AK70,$AK$68:$AK$77))</f>
        <v xml:space="preserve"> </v>
      </c>
      <c r="AK70" s="60">
        <f t="shared" ca="1" si="44"/>
        <v>0</v>
      </c>
      <c r="AL70" s="29" t="str">
        <f t="shared" ca="1" si="45"/>
        <v xml:space="preserve"> </v>
      </c>
      <c r="CB70" s="35">
        <f t="shared" ca="1" si="43"/>
        <v>5</v>
      </c>
      <c r="CC70" s="36">
        <f ca="1">IF(BM20&gt;0,0,RAND())</f>
        <v>0</v>
      </c>
      <c r="CD70" s="29" t="s">
        <v>25</v>
      </c>
    </row>
    <row r="71" spans="1:82" x14ac:dyDescent="0.3">
      <c r="A71" s="137"/>
      <c r="B71" s="33" t="s">
        <v>28</v>
      </c>
      <c r="C71" s="33"/>
      <c r="D71" s="33"/>
      <c r="E71" s="33"/>
      <c r="F71" s="33"/>
      <c r="G71" s="33"/>
      <c r="H71" s="33"/>
      <c r="I71" s="33"/>
      <c r="J71" s="33"/>
      <c r="K71" s="33"/>
      <c r="L71" s="33"/>
      <c r="M71" s="33"/>
      <c r="N71" s="33"/>
      <c r="O71" s="33" t="str">
        <f t="shared" ca="1" si="39"/>
        <v xml:space="preserve"> </v>
      </c>
      <c r="P71" s="120">
        <f ca="1">SUM(BU23,P42)</f>
        <v>2</v>
      </c>
      <c r="AJ71" s="58" t="str">
        <f ca="1">IF(Table202337451793850907320380714[[#This Row],[Column2]]=0," ",_xlfn.RANK.EQ(AK71,$AK$68:$AK$77))</f>
        <v xml:space="preserve"> </v>
      </c>
      <c r="AK71" s="60">
        <f t="shared" ca="1" si="44"/>
        <v>0</v>
      </c>
      <c r="AL71" s="29" t="str">
        <f t="shared" ca="1" si="45"/>
        <v xml:space="preserve"> </v>
      </c>
    </row>
    <row r="72" spans="1:82" ht="19.5" thickBot="1" x14ac:dyDescent="0.35">
      <c r="A72" s="137"/>
      <c r="B72" s="38" t="str">
        <f ca="1">IF(O11="non-classed","Profession"," ")</f>
        <v xml:space="preserve"> </v>
      </c>
      <c r="C72" s="38"/>
      <c r="D72" s="38"/>
      <c r="E72" s="38"/>
      <c r="F72" s="38"/>
      <c r="G72" s="38"/>
      <c r="H72" s="38"/>
      <c r="I72" s="38"/>
      <c r="J72" s="38"/>
      <c r="K72" s="38"/>
      <c r="L72" s="38"/>
      <c r="M72" s="38"/>
      <c r="N72" s="38"/>
      <c r="O72" s="38" t="str">
        <f ca="1">IF(O11="non-classed","x"," ")</f>
        <v xml:space="preserve"> </v>
      </c>
      <c r="P72" s="121" t="str">
        <f ca="1">IF(O11="non-classed",P8*2," ")</f>
        <v xml:space="preserve"> </v>
      </c>
      <c r="AJ72" s="58" t="str">
        <f ca="1">IF(Table202337451793850907320380714[[#This Row],[Column2]]=0," ",_xlfn.RANK.EQ(AK72,$AK$68:$AK$77))</f>
        <v xml:space="preserve"> </v>
      </c>
      <c r="AK72" s="60">
        <f t="shared" ca="1" si="44"/>
        <v>0</v>
      </c>
      <c r="AL72" s="29" t="str">
        <f t="shared" ca="1" si="45"/>
        <v xml:space="preserve"> </v>
      </c>
      <c r="CB72" s="31" t="s">
        <v>734</v>
      </c>
    </row>
    <row r="73" spans="1:82" ht="19.5" thickBot="1" x14ac:dyDescent="0.35">
      <c r="AJ73" s="58" t="str">
        <f ca="1">IF(Table202337451793850907320380714[[#This Row],[Column2]]=0," ",_xlfn.RANK.EQ(AK73,$AK$68:$AK$77))</f>
        <v xml:space="preserve"> </v>
      </c>
      <c r="AK73" s="60">
        <f t="shared" ca="1" si="44"/>
        <v>0</v>
      </c>
      <c r="AL73" s="29" t="str">
        <f t="shared" ca="1" si="45"/>
        <v xml:space="preserve"> </v>
      </c>
      <c r="CB73" s="35">
        <f t="shared" ref="CB73:CB81" ca="1" si="46">_xlfn.RANK.EQ(CC73,$CC$73:$CC$81)</f>
        <v>7</v>
      </c>
      <c r="CC73" s="36">
        <f ca="1">IF(BM7&gt;0,0,RAND())</f>
        <v>0.29613449634420086</v>
      </c>
      <c r="CD73" s="29" t="s">
        <v>29</v>
      </c>
    </row>
    <row r="74" spans="1:82" ht="30.75" thickBot="1" x14ac:dyDescent="0.45">
      <c r="B74" s="106" t="s">
        <v>2716</v>
      </c>
      <c r="AJ74" s="58" t="str">
        <f ca="1">IF(Table202337451793850907320380714[[#This Row],[Column2]]=0," ",_xlfn.RANK.EQ(AK74,$AK$68:$AK$77))</f>
        <v xml:space="preserve"> </v>
      </c>
      <c r="AK74" s="60">
        <f t="shared" ca="1" si="44"/>
        <v>0</v>
      </c>
      <c r="AL74" s="29" t="str">
        <f t="shared" ca="1" si="45"/>
        <v xml:space="preserve"> </v>
      </c>
      <c r="CB74" s="35">
        <f t="shared" ca="1" si="46"/>
        <v>4</v>
      </c>
      <c r="CC74" s="36">
        <f ca="1">IF(BM9&gt;0,0,RAND())</f>
        <v>0.64075678101508038</v>
      </c>
      <c r="CD74" s="29" t="s">
        <v>14</v>
      </c>
    </row>
    <row r="75" spans="1:82" ht="19.5" thickBot="1" x14ac:dyDescent="0.35">
      <c r="B75" s="55" t="s">
        <v>52</v>
      </c>
      <c r="O75" s="53" t="s">
        <v>121</v>
      </c>
      <c r="P75" s="26" t="s">
        <v>46</v>
      </c>
      <c r="Q75" s="61"/>
      <c r="R75" s="28"/>
      <c r="AJ75" s="58" t="str">
        <f ca="1">IF(Table202337451793850907320380714[[#This Row],[Column2]]=0," ",_xlfn.RANK.EQ(AK75,$AK$68:$AK$77))</f>
        <v xml:space="preserve"> </v>
      </c>
      <c r="AK75" s="60">
        <f t="shared" ca="1" si="44"/>
        <v>0</v>
      </c>
      <c r="AL75" s="29" t="str">
        <f t="shared" ca="1" si="45"/>
        <v xml:space="preserve"> </v>
      </c>
      <c r="CB75" s="35">
        <f t="shared" ca="1" si="46"/>
        <v>9</v>
      </c>
      <c r="CC75" s="36">
        <f ca="1">IF(BM12&gt;0,0,RAND())</f>
        <v>0</v>
      </c>
      <c r="CD75" s="29" t="s">
        <v>17</v>
      </c>
    </row>
    <row r="76" spans="1:82" ht="19.5" thickTop="1" x14ac:dyDescent="0.3">
      <c r="B76" s="56" t="str">
        <f ca="1">IF(OR(O11="warlock",Q11="warlock",P2="mountain",O11="barbarian",O11="bard",Q11="barbarian",O11="cleric",Q11="bard",Q11="cleric",O11="druid",Q11="druid",O11="fighter",Q11="fighter",O11="paladin",Q11="paladin",O11="ranger",Q11="ranger",O11="rogue",Q11="rogue"),"Light Armor"," ")</f>
        <v>Light Armor</v>
      </c>
      <c r="O76" s="33" t="str">
        <f ca="1">IF(Q2="dwarf",VLOOKUP(RANDBETWEEN(1,3),Table3[],2),IF(P2="rock","Artisan's Tools"," "))</f>
        <v xml:space="preserve"> </v>
      </c>
      <c r="P76" s="62" t="str">
        <f ca="1">IF(OR(O11="warlock",Q11="warlock",O11="barbarian",O11="bard",Q11="barbarian",Q11="bard",O11="cleric",O11="fighter",Q11="fighter",O11="monk",Q11="monk",O11="paladin",Q11="paladin",O11="ranger",Q11="ranger",O11="rogue"),"Simple Weapons",IF(Q2="dwarf","Handaxe"," "))</f>
        <v>Simple Weapons</v>
      </c>
      <c r="Q76" s="60" t="str">
        <f ca="1">IF(AND(P76&lt;&gt;"simple weapons",OR($O$11="druid",O11="non-classed")),"Club",IF(P80="shortsword"," ",IF(AND(P77&lt;&gt;"martial weapons",OR(O11="monk",O11="bard",Q11="monk",O11="rogue")),"Shortsword"," ")))</f>
        <v xml:space="preserve"> </v>
      </c>
      <c r="R76" s="63" t="str">
        <f ca="1">IF(AND(P76&lt;&gt;"simple weapons",OR($O$11="druid",O11="sorcerer",O11="wizard",O11="non-classed")),"Quarterstaff"," ")</f>
        <v xml:space="preserve"> </v>
      </c>
      <c r="AJ76" s="58" t="str">
        <f ca="1">IF(Table202337451793850907320380714[[#This Row],[Column2]]=0," ",_xlfn.RANK.EQ(AK76,$AK$68:$AK$77))</f>
        <v xml:space="preserve"> </v>
      </c>
      <c r="AK76" s="60">
        <f t="shared" ca="1" si="44"/>
        <v>0</v>
      </c>
      <c r="AL76" s="29" t="str">
        <f t="shared" ca="1" si="45"/>
        <v xml:space="preserve"> </v>
      </c>
      <c r="CB76" s="35">
        <f t="shared" ca="1" si="46"/>
        <v>8</v>
      </c>
      <c r="CC76" s="36">
        <f ca="1">IF(BM13&gt;0,0,RAND())</f>
        <v>0.21919177261730671</v>
      </c>
      <c r="CD76" s="29" t="s">
        <v>18</v>
      </c>
    </row>
    <row r="77" spans="1:82" x14ac:dyDescent="0.3">
      <c r="B77" s="56" t="str">
        <f ca="1">IF(OR(P2="mountain",O11="barbarian",Q11="barbarian",P15="college of valor",R15="college of valor",O11="cleric",Q11="cleric",O11="druid",Q11="druid",O11="fighter",Q11="fighter",O11="paladin",Q11="paladin",O11="ranger",Q11="ranger"),"Medium Armor"," ")</f>
        <v>Medium Armor</v>
      </c>
      <c r="O77" s="33" t="str">
        <f ca="1">IF(AND(O11="monk",AF23=2),INDEX('Class Tables'!F25:F34,MATCH(1,('Class Tables'!D25:D34),0)),IF(AND(O11="monk",AF23=1),INDEX('Class Tables'!J80:J95,MATCH(1,('Class Tables'!I80:I95),0)),IF(P15="battle master",VLOOKUP(RANDBETWEEN(1,16),Table79[],2),IF(OR($O$11="bard"),INDEX('Class Tables'!$F$25:$F$34,MATCH(1,('Class Tables'!$D$25:$D$34),0))," "))))</f>
        <v xml:space="preserve"> </v>
      </c>
      <c r="P77" s="64" t="str">
        <f ca="1">IF(OR($O$11="barbarian",Q11="barbarian",P15="college of valor",R15="college of valor",R15="tempest",P15="tempest",P15="war",R15="war",O11="fighter",Q11="fighter",O11="paladin",Q11="paladin",O11="ranger",Q11="ranger"),"Martial Weapons",IF($Q$2="dwarf","Battleaxe",IF(OR($P$2="high",$P$2="wood"),"Longsword",IF($P$2="dark","Rapier"," "))))</f>
        <v>Martial Weapons</v>
      </c>
      <c r="Q77" s="65" t="str">
        <f ca="1">IF(AND(OR($O$11="druid",O11="sorcerer",O11="wizard",O11="non-classed"),P76&lt;&gt;"Simple weapons"),"Dagger",IF(AND(O11="bard",P77&lt;&gt;"Martial Weapons"),"Hand Crossbow",IF(AND(O11="rogue",P77&lt;&gt;"martial weapons"),"Hand Crossbow"," ")))</f>
        <v xml:space="preserve"> </v>
      </c>
      <c r="R77" s="66" t="str">
        <f ca="1">IF(AND(P77&lt;&gt;"martial weapons",$O$11="druid"),"Scimitar"," ")</f>
        <v xml:space="preserve"> </v>
      </c>
      <c r="AJ77" s="58" t="str">
        <f ca="1">IF(Table202337451793850907320380714[[#This Row],[Column2]]=0," ",_xlfn.RANK.EQ(AK77,$AK$68:$AK$77))</f>
        <v xml:space="preserve"> </v>
      </c>
      <c r="AK77" s="60">
        <f t="shared" ca="1" si="44"/>
        <v>0</v>
      </c>
      <c r="AL77" s="29" t="str">
        <f t="shared" ca="1" si="45"/>
        <v xml:space="preserve"> </v>
      </c>
      <c r="CB77" s="35">
        <f t="shared" ca="1" si="46"/>
        <v>2</v>
      </c>
      <c r="CC77" s="36">
        <f ca="1">IF(BM14&gt;0,0,RAND())</f>
        <v>0.69902108014803532</v>
      </c>
      <c r="CD77" s="29" t="s">
        <v>19</v>
      </c>
    </row>
    <row r="78" spans="1:82" x14ac:dyDescent="0.3">
      <c r="B78" s="56" t="str">
        <f ca="1">IF(OR(O11="barbarian",Q11="barbarian",R15="college of valor",P15="college of valor",O11="cleric",Q11="cleric",O11="druid",Q11="Druid",O11="fighter",Q11="fighter",O11="paladin",Q11="paladin",O11="ranger",Q11="ranger"),"Shields"," ")</f>
        <v>Shields</v>
      </c>
      <c r="O78" s="33" t="str">
        <f ca="1">IF(OR($O$11="bard"),INDEX('Class Tables'!$F$25:$F$34,MATCH(2,('Class Tables'!$D$25:$D$34),0))," ")</f>
        <v xml:space="preserve"> </v>
      </c>
      <c r="P78" s="62" t="str">
        <f ca="1">IF(AND(P76&lt;&gt;"Simple Weapons",Q2="dwarf"),"Light Hammer",IF(AND(P2="high",P76&lt;&gt;"Simple Weapons"),"Shortbow",IF(AND(P76&lt;&gt;"Simple Weapons",P2="wood"),"Shortbow",IF(AND(P2="dark",P77&lt;&gt;"Martial Weapons"),"Hand Crossbow"," "))))</f>
        <v xml:space="preserve"> </v>
      </c>
      <c r="Q78" s="60" t="str">
        <f ca="1">IF(AND(OR($O$11="druid",O11="sorcerer",O11="wizard"),P76&lt;&gt;"Simple weapons"),"Dart",IF(AND(P77&lt;&gt;"martial weapons",OR(O11="bard",O11="rogue")),"Longsword"," "))</f>
        <v xml:space="preserve"> </v>
      </c>
      <c r="R78" s="63" t="str">
        <f ca="1">IF(AND(P76&lt;&gt;"simple weapons",$O$11="druid"),"Sickle"," ")</f>
        <v xml:space="preserve"> </v>
      </c>
      <c r="CB78" s="35">
        <f t="shared" ca="1" si="46"/>
        <v>3</v>
      </c>
      <c r="CC78" s="36">
        <f ca="1">IF(BM16&gt;0,0,RAND())</f>
        <v>0.65533729679426878</v>
      </c>
      <c r="CD78" s="29" t="s">
        <v>21</v>
      </c>
    </row>
    <row r="79" spans="1:82" x14ac:dyDescent="0.3">
      <c r="B79" s="33" t="str">
        <f ca="1">IF(OR(P15="life",R15="life",P15="nature",R15="nature",P15="tempest",R15="tempest",P15="war",R15="war",O11="fighter",Q11="fighter",O11="paladin"),"Heavy Armor"," ")</f>
        <v xml:space="preserve"> </v>
      </c>
      <c r="O79" s="33" t="str">
        <f ca="1">IF(OR($O$11="bard",$Q$11="bard"),INDEX('Class Tables'!$F$25:$F$34,MATCH(3,('Class Tables'!$D$25:$D$34),0))," ")</f>
        <v xml:space="preserve"> </v>
      </c>
      <c r="P79" s="64" t="str">
        <f ca="1">IF(P77="martial weapons"," ",IF(Q2="dwarf","Warhammer",IF(OR(P2="high",P2="wood"),"Longbow"," ")))</f>
        <v xml:space="preserve"> </v>
      </c>
      <c r="Q79" s="65" t="str">
        <f ca="1">IF(AND($O$11="druid",P76&lt;&gt;"simple weapons"),"Javelin",IF(AND(O11="sorcerer",P76&lt;&gt;"simple weapons"),"Light Crossbow",IF(AND(O11="wizard",P76&lt;&gt;"simple weapons"),"Light Crossbow",IF(AND(OR(O11="bard",O11="rogue"),P77&lt;&gt;"martial weapons"),"Rapier"," "))))</f>
        <v xml:space="preserve"> </v>
      </c>
      <c r="R79" s="66" t="str">
        <f ca="1">IF(AND(P76&lt;&gt;"simple weapons",OR($O$11="druid",O11="sorcerer",O11="wizard")),"Sling"," ")</f>
        <v xml:space="preserve"> </v>
      </c>
      <c r="AJ79" s="31" t="s">
        <v>676</v>
      </c>
      <c r="CB79" s="35">
        <f t="shared" ca="1" si="46"/>
        <v>6</v>
      </c>
      <c r="CC79" s="36">
        <f ca="1">IF(BM17&gt;0,0,RAND())</f>
        <v>0.43480901958047069</v>
      </c>
      <c r="CD79" s="29" t="s">
        <v>22</v>
      </c>
    </row>
    <row r="80" spans="1:82" ht="19.5" thickBot="1" x14ac:dyDescent="0.35">
      <c r="O80" s="33" t="str">
        <f ca="1">IF(OR(O11="druid",S11="hermit"),"Herbalism Kit"," ")</f>
        <v xml:space="preserve"> </v>
      </c>
      <c r="P80" s="51" t="str">
        <f ca="1">IF(AND(P77&lt;&gt;"martial weapons",OR(P2="high",P2="wood",P2="dark")),"Shortsword"," ")</f>
        <v xml:space="preserve"> </v>
      </c>
      <c r="Q80" s="67" t="str">
        <f ca="1">IF(AND(P76&lt;&gt;"simple weapons",$O$11="druid"),"Mace"," ")</f>
        <v xml:space="preserve"> </v>
      </c>
      <c r="R80" s="68" t="str">
        <f ca="1">IF(AND(P76&lt;&gt;"simple weapons",$O$11="druid"),"Spear"," ")</f>
        <v xml:space="preserve"> </v>
      </c>
      <c r="AJ80" s="58" t="str">
        <f ca="1">IF(Table203338452794851908321381715[[#This Row],[Column2]]=0," ",_xlfn.RANK.EQ(AK80,$AK$80:$AK$89))</f>
        <v xml:space="preserve"> </v>
      </c>
      <c r="AK80" s="60">
        <f t="shared" ref="AK80:AK89" ca="1" si="47">IF(AL80=" ", 0,RAND())</f>
        <v>0</v>
      </c>
      <c r="AL80" s="29" t="str">
        <f t="shared" ref="AL80:AL89" ca="1" si="48">T315</f>
        <v xml:space="preserve"> </v>
      </c>
      <c r="CB80" s="35">
        <f t="shared" ca="1" si="46"/>
        <v>1</v>
      </c>
      <c r="CC80" s="36">
        <f ca="1">IF(BM22&gt;0,0,RAND())</f>
        <v>0.74154682758649515</v>
      </c>
      <c r="CD80" s="29" t="s">
        <v>27</v>
      </c>
    </row>
    <row r="81" spans="1:82" x14ac:dyDescent="0.3">
      <c r="O81" s="33" t="str">
        <f ca="1">IF(AND(AF25=2,OR(O11="rogue",Q11="rogue")),"Thieves' Tools - Expert",IF(OR(O11="rogue",Q11="rogue"),"Thieves' Tools"," "))</f>
        <v xml:space="preserve"> </v>
      </c>
      <c r="AJ81" s="58" t="str">
        <f ca="1">IF(Table203338452794851908321381715[[#This Row],[Column2]]=0," ",_xlfn.RANK.EQ(AK81,$AK$80:$AK$89))</f>
        <v xml:space="preserve"> </v>
      </c>
      <c r="AK81" s="60">
        <f t="shared" ca="1" si="47"/>
        <v>0</v>
      </c>
      <c r="AL81" s="29" t="str">
        <f t="shared" ca="1" si="48"/>
        <v xml:space="preserve"> </v>
      </c>
      <c r="CB81" s="35">
        <f t="shared" ca="1" si="46"/>
        <v>5</v>
      </c>
      <c r="CC81" s="36">
        <f ca="1">IF(BM23&gt;0,0,RAND())</f>
        <v>0.62570198366654128</v>
      </c>
      <c r="CD81" s="29" t="s">
        <v>28</v>
      </c>
    </row>
    <row r="82" spans="1:82" x14ac:dyDescent="0.3">
      <c r="O82" s="33" t="str">
        <f ca="1">IF(P15="assassin","Disguise Kit"," ")</f>
        <v xml:space="preserve"> </v>
      </c>
      <c r="AJ82" s="58" t="str">
        <f ca="1">IF(Table203338452794851908321381715[[#This Row],[Column2]]=0," ",_xlfn.RANK.EQ(AK82,$AK$80:$AK$89))</f>
        <v xml:space="preserve"> </v>
      </c>
      <c r="AK82" s="60">
        <f t="shared" ca="1" si="47"/>
        <v>0</v>
      </c>
      <c r="AL82" s="29" t="str">
        <f t="shared" ca="1" si="48"/>
        <v xml:space="preserve"> </v>
      </c>
    </row>
    <row r="83" spans="1:82" x14ac:dyDescent="0.3">
      <c r="O83" s="33" t="str">
        <f ca="1">IF(P15="assassin","Poisoner's Kit"," ")</f>
        <v xml:space="preserve"> </v>
      </c>
      <c r="AJ83" s="58" t="str">
        <f ca="1">IF(Table203338452794851908321381715[[#This Row],[Column2]]=0," ",_xlfn.RANK.EQ(AK83,$AK$80:$AK$89))</f>
        <v xml:space="preserve"> </v>
      </c>
      <c r="AK83" s="60">
        <f t="shared" ca="1" si="47"/>
        <v>0</v>
      </c>
      <c r="AL83" s="29" t="str">
        <f t="shared" ca="1" si="48"/>
        <v xml:space="preserve"> </v>
      </c>
      <c r="CB83" s="31" t="s">
        <v>735</v>
      </c>
    </row>
    <row r="84" spans="1:82" x14ac:dyDescent="0.3">
      <c r="O84" s="33" t="str">
        <f ca="1">IF(S11="soldier",VLOOKUP(RANDBETWEEN(1,4),Table258[],2),IF(OR(S11="sailor",S11="pirate"),"Navigator's Tools",IF(OR(S11="folk hero",S11="Guild Artisan"),VLOOKUP(RANDBETWEEN(1,16),Table79[],2),IF(AND(OR(S11="criminal",S11="urchin"),OR(O81&lt;&gt;"Thieves' Tools",O81&lt;&gt;"Thieves' Tools - Expert")),"Thieves' Tools",IF(AND(OR(S11="charlatan",S11="entertainer"),O82&lt;&gt;"Disguise Kit"),"Disguise Kit"," ")))))</f>
        <v>Jeweler's Tools</v>
      </c>
      <c r="AJ84" s="58" t="str">
        <f ca="1">IF(Table203338452794851908321381715[[#This Row],[Column2]]=0," ",_xlfn.RANK.EQ(AK84,$AK$80:$AK$89))</f>
        <v xml:space="preserve"> </v>
      </c>
      <c r="AK84" s="60">
        <f t="shared" ca="1" si="47"/>
        <v>0</v>
      </c>
      <c r="AL84" s="29" t="str">
        <f t="shared" ca="1" si="48"/>
        <v xml:space="preserve"> </v>
      </c>
      <c r="CB84" s="35">
        <f t="shared" ref="CB84:CB94" ca="1" si="49">_xlfn.RANK.EQ(CC84,$CC$84:$CC$94)</f>
        <v>5</v>
      </c>
      <c r="CC84" s="36">
        <f ca="1">IF(BM6&gt;0,0,RAND())</f>
        <v>0.39419439545471968</v>
      </c>
      <c r="CD84" s="29" t="s">
        <v>12</v>
      </c>
    </row>
    <row r="85" spans="1:82" x14ac:dyDescent="0.3">
      <c r="O85" s="33" t="str">
        <f ca="1">IF(AND(S11="urchin",O82&lt;&gt;"Disguise Kit"),"Disguise Kit",IF(OR(S11="Sailor",S11="pirate"),"Vehicles (Water)",IF(OR(S11="folk hero",S11="Soldier"),"Vehicles (Land)",IF(OR(S11="entertainer",S11="outlander"),INDEX('Class Tables'!$F$25:$F$34,MATCH(4,('Class Tables'!$D$25:$D$34),0)),IF(OR(S11="criminal",S11="noble",S11="knight"),VLOOKUP(RANDBETWEEN(1,4),Table258[],2),IF(S11="charlatan","Forgery Kit"," "))))))</f>
        <v xml:space="preserve"> </v>
      </c>
      <c r="AJ85" s="58" t="str">
        <f ca="1">IF(Table203338452794851908321381715[[#This Row],[Column2]]=0," ",_xlfn.RANK.EQ(AK85,$AK$80:$AK$89))</f>
        <v xml:space="preserve"> </v>
      </c>
      <c r="AK85" s="60">
        <f t="shared" ca="1" si="47"/>
        <v>0</v>
      </c>
      <c r="AL85" s="29" t="str">
        <f t="shared" ca="1" si="48"/>
        <v xml:space="preserve"> </v>
      </c>
      <c r="CB85" s="35">
        <f t="shared" ca="1" si="49"/>
        <v>1</v>
      </c>
      <c r="CC85" s="36">
        <f ca="1">IF(BM9&gt;0,0,RAND())</f>
        <v>0.90068735360912433</v>
      </c>
      <c r="CD85" s="29" t="s">
        <v>14</v>
      </c>
    </row>
    <row r="86" spans="1:82" ht="19.5" thickBot="1" x14ac:dyDescent="0.35">
      <c r="AJ86" s="58" t="str">
        <f ca="1">IF(Table203338452794851908321381715[[#This Row],[Column2]]=0," ",_xlfn.RANK.EQ(AK86,$AK$80:$AK$89))</f>
        <v xml:space="preserve"> </v>
      </c>
      <c r="AK86" s="60">
        <f t="shared" ca="1" si="47"/>
        <v>0</v>
      </c>
      <c r="AL86" s="29" t="str">
        <f t="shared" ca="1" si="48"/>
        <v xml:space="preserve"> </v>
      </c>
      <c r="CB86" s="35">
        <f t="shared" ca="1" si="49"/>
        <v>8</v>
      </c>
      <c r="CC86" s="36">
        <f ca="1">IF(BM10&gt;0,0,RAND())</f>
        <v>0.20539123437470441</v>
      </c>
      <c r="CD86" s="29" t="s">
        <v>15</v>
      </c>
    </row>
    <row r="87" spans="1:82" ht="30.75" thickBot="1" x14ac:dyDescent="0.45">
      <c r="A87" s="72"/>
      <c r="B87" s="128" t="s">
        <v>1953</v>
      </c>
      <c r="AJ87" s="58" t="str">
        <f ca="1">IF(Table203338452794851908321381715[[#This Row],[Column2]]=0," ",_xlfn.RANK.EQ(AK87,$AK$80:$AK$89))</f>
        <v xml:space="preserve"> </v>
      </c>
      <c r="AK87" s="60">
        <f t="shared" ca="1" si="47"/>
        <v>0</v>
      </c>
      <c r="AL87" s="29" t="str">
        <f t="shared" ca="1" si="48"/>
        <v xml:space="preserve"> </v>
      </c>
      <c r="CB87" s="35">
        <f t="shared" ca="1" si="49"/>
        <v>11</v>
      </c>
      <c r="CC87" s="36">
        <f ca="1">IF(BM12&gt;0,0,RAND())</f>
        <v>0</v>
      </c>
      <c r="CD87" s="29" t="s">
        <v>17</v>
      </c>
    </row>
    <row r="88" spans="1:82" x14ac:dyDescent="0.3">
      <c r="A88" s="115"/>
      <c r="B88" s="130" t="s">
        <v>1952</v>
      </c>
      <c r="C88" s="130"/>
      <c r="D88" s="130"/>
      <c r="E88" s="130"/>
      <c r="F88" s="130"/>
      <c r="G88" s="130"/>
      <c r="H88" s="130"/>
      <c r="I88" s="130"/>
      <c r="J88" s="130"/>
      <c r="K88" s="130"/>
      <c r="L88" s="130"/>
      <c r="M88" s="130"/>
      <c r="N88" s="130"/>
      <c r="O88" s="130" t="s">
        <v>1954</v>
      </c>
      <c r="P88" s="130" t="s">
        <v>1955</v>
      </c>
      <c r="Q88" s="130" t="s">
        <v>1956</v>
      </c>
      <c r="R88" s="130" t="s">
        <v>1088</v>
      </c>
      <c r="S88" s="130" t="s">
        <v>2480</v>
      </c>
      <c r="T88" s="130" t="s">
        <v>1957</v>
      </c>
      <c r="AJ88" s="58" t="str">
        <f ca="1">IF(Table203338452794851908321381715[[#This Row],[Column2]]=0," ",_xlfn.RANK.EQ(AK88,$AK$80:$AK$89))</f>
        <v xml:space="preserve"> </v>
      </c>
      <c r="AK88" s="60">
        <f t="shared" ca="1" si="47"/>
        <v>0</v>
      </c>
      <c r="AL88" s="29" t="str">
        <f t="shared" ca="1" si="48"/>
        <v xml:space="preserve"> </v>
      </c>
      <c r="CB88" s="35">
        <f t="shared" ca="1" si="49"/>
        <v>3</v>
      </c>
      <c r="CC88" s="36">
        <f ca="1">IF(BM13&gt;0,0,RAND())</f>
        <v>0.52699258495139545</v>
      </c>
      <c r="CD88" s="29" t="s">
        <v>18</v>
      </c>
    </row>
    <row r="89" spans="1:82" x14ac:dyDescent="0.3">
      <c r="A89" s="137"/>
      <c r="B89" s="33" t="str">
        <f ca="1">IF(OR(O15="unarmored defense",O16="unarmored defense",Q15="unarmored defense",Q16="unarmored defense"),"Unarmored Defense",IF(B79="heavy armor",VLOOKUP(RANDBETWEEN(1,4),Table286[],2),IF(B77="medium armor",VLOOKUP(RANDBETWEEN(1,5),Table285[],2),IF(B76="light armor",VLOOKUP(RANDBETWEEN(1,3),Table284[],2),VLOOKUP(RANDBETWEEN(1,3),Table291[],2)))))</f>
        <v>Unarmored Defense</v>
      </c>
      <c r="C89" s="33"/>
      <c r="D89" s="33"/>
      <c r="E89" s="33"/>
      <c r="F89" s="33"/>
      <c r="G89" s="33"/>
      <c r="H89" s="33"/>
      <c r="I89" s="33"/>
      <c r="J89" s="33"/>
      <c r="K89" s="33"/>
      <c r="L89" s="33"/>
      <c r="M89" s="33"/>
      <c r="N89" s="33"/>
      <c r="O89" s="33">
        <f ca="1">IF(B89="unarmored Defense",10,INDEX(Items!C2:C22,MATCH(B89,(Items!B2:B22),0)))</f>
        <v>10</v>
      </c>
      <c r="P89" s="33">
        <f ca="1">IF(OR(B89="ring mail",B89="chain mail",B89="splint",B89="plate"),0,IF(B89="fine clothes",P39,IF(B89="common clothes",P39,IF(B89="traveler's clothes",P39,IF(B89="unarmored defense",P39,IF(B89="padded",P39,IF(B89="leather",P39,IF(B89="Studded Leather",P39,IF(B89="Hide",MIN(2,(P39)),IF(B89="chain shirt",MIN(2,(P39)),IF(B89="scale mail",MIN(2,(P39)),IF(B89="breastplate",MIN(2,(P39)),IF(B89="half plate",MIN(2,(Q2)),0)))))))))))))</f>
        <v>2</v>
      </c>
      <c r="Q89" s="33">
        <f ca="1">IF(AND(B89="unarmored defense",OR(O11="barbarian",Q11="barbarian")),P40,IF(AND(B89="unarmored defense",OR(O11="monk",Q11="monk")),P42,IF(AND(OR(O17="defense style",Q17="defense style",P18="defense style",O15="defense style",S18="defense style",Q15="defense style"),B89&lt;&gt;"unarmored defense"),2,0)))</f>
        <v>0</v>
      </c>
      <c r="R89" s="33">
        <f ca="1">IF(AND(B90="shield",COUNTIF(B109:P109,"*"&amp;"Shield +3"&amp;"*")),5,IF(AND(B90="shield",COUNTIF(B109:P109,"*"&amp;"Shield +2"&amp;"*")),4,IF(AND(B90="shield",COUNTIF(B109:P109,"*"&amp;"Shield +1"&amp;"*")),3,IF(B90="shield",2,0))))</f>
        <v>2</v>
      </c>
      <c r="S89" s="29" t="str">
        <f ca="1">IF(COUNTIF(B109:P109,"*"&amp;"Armor +3"&amp;"*"),3,IF(COUNTIF(B109:P109,"*"&amp;"Armor +2"&amp;"*"),2,IF(COUNTIF(B109:P109,"*"&amp;"Armor +1"&amp;"*"),1," ")))</f>
        <v xml:space="preserve"> </v>
      </c>
      <c r="T89" s="33">
        <f ca="1">SUM(C89:S89)</f>
        <v>14</v>
      </c>
      <c r="AJ89" s="58" t="str">
        <f ca="1">IF(Table203338452794851908321381715[[#This Row],[Column2]]=0," ",_xlfn.RANK.EQ(AK89,$AK$80:$AK$89))</f>
        <v xml:space="preserve"> </v>
      </c>
      <c r="AK89" s="60">
        <f t="shared" ca="1" si="47"/>
        <v>0</v>
      </c>
      <c r="AL89" s="29" t="str">
        <f t="shared" ca="1" si="48"/>
        <v xml:space="preserve"> </v>
      </c>
      <c r="CB89" s="35">
        <f t="shared" ca="1" si="49"/>
        <v>2</v>
      </c>
      <c r="CC89" s="36">
        <f ca="1">IF(BM14&gt;0,0,RAND())</f>
        <v>0.89679844208022019</v>
      </c>
      <c r="CD89" s="29" t="s">
        <v>19</v>
      </c>
    </row>
    <row r="90" spans="1:82" x14ac:dyDescent="0.3">
      <c r="A90" s="137"/>
      <c r="B90" s="33" t="str">
        <f ca="1">IF(B78="shields","Shield"," ")</f>
        <v>Shield</v>
      </c>
      <c r="C90" s="33"/>
      <c r="D90" s="33"/>
      <c r="E90" s="33"/>
      <c r="F90" s="33"/>
      <c r="G90" s="33"/>
      <c r="H90" s="33"/>
      <c r="I90" s="33"/>
      <c r="J90" s="33"/>
      <c r="K90" s="33"/>
      <c r="L90" s="33"/>
      <c r="M90" s="33"/>
      <c r="N90" s="33"/>
      <c r="O90" s="33"/>
      <c r="P90" s="33"/>
      <c r="Q90" s="33"/>
      <c r="R90" s="33"/>
      <c r="S90" s="33"/>
      <c r="CB90" s="35">
        <f t="shared" ca="1" si="49"/>
        <v>10</v>
      </c>
      <c r="CC90" s="36">
        <f ca="1">IF(BM17&gt;0,0,RAND())</f>
        <v>5.984464773947773E-2</v>
      </c>
      <c r="CD90" s="29" t="s">
        <v>22</v>
      </c>
    </row>
    <row r="91" spans="1:82" x14ac:dyDescent="0.3">
      <c r="A91" s="137"/>
      <c r="B91" s="69" t="s">
        <v>1962</v>
      </c>
      <c r="C91" s="69"/>
      <c r="D91" s="69"/>
      <c r="E91" s="69"/>
      <c r="F91" s="69"/>
      <c r="G91" s="69"/>
      <c r="H91" s="69"/>
      <c r="I91" s="69"/>
      <c r="J91" s="69"/>
      <c r="K91" s="69"/>
      <c r="L91" s="69"/>
      <c r="M91" s="69"/>
      <c r="N91" s="69"/>
      <c r="O91" s="69" t="s">
        <v>1963</v>
      </c>
      <c r="P91" s="69" t="s">
        <v>1982</v>
      </c>
      <c r="Q91" s="70" t="s">
        <v>1983</v>
      </c>
      <c r="R91" s="71" t="s">
        <v>2715</v>
      </c>
      <c r="S91" s="30"/>
      <c r="AJ91" s="31" t="s">
        <v>1169</v>
      </c>
      <c r="CB91" s="35">
        <f t="shared" ca="1" si="49"/>
        <v>6</v>
      </c>
      <c r="CC91" s="36">
        <f ca="1">IF(BM18&gt;0,0,RAND())</f>
        <v>0.33829679042738914</v>
      </c>
      <c r="CD91" s="29" t="s">
        <v>23</v>
      </c>
    </row>
    <row r="92" spans="1:82" x14ac:dyDescent="0.3">
      <c r="A92" s="137"/>
      <c r="B92" s="33" t="str">
        <f ca="1">IF(P77="martial weapons",VLOOKUP(RANDBETWEEN(1,18),Table289[],2),IF(P76="simple weapons",VLOOKUP(RANDBETWEEN(1,10),Table287[],2),INDEX(AQ45:AQ59,MATCH(1,(AO45:AO59),0))))</f>
        <v>Longsword</v>
      </c>
      <c r="C92" s="33"/>
      <c r="D92" s="33"/>
      <c r="E92" s="33"/>
      <c r="F92" s="33"/>
      <c r="G92" s="33"/>
      <c r="H92" s="33"/>
      <c r="I92" s="33"/>
      <c r="J92" s="33"/>
      <c r="K92" s="33"/>
      <c r="L92" s="33"/>
      <c r="M92" s="33"/>
      <c r="N92" s="33"/>
      <c r="O92" s="33" t="str">
        <f ca="1">INDEX(Items!$G$2:$G$44,MATCH(B92,(Items!$F$2:$F$44),0))</f>
        <v>1d8s</v>
      </c>
      <c r="P92" s="33" t="str">
        <f ca="1">INDEX(Items!$I$2:$I$44,MATCH(B92,(Items!$F$2:$F$44),0))</f>
        <v>1d10s</v>
      </c>
      <c r="Q92" s="72" t="str">
        <f ca="1">INDEX(Items!$H$2:$H$44,MATCH(B92,(Items!$F$2:$F$44),0))</f>
        <v>n/a</v>
      </c>
      <c r="R92" s="30"/>
      <c r="S92" s="30"/>
      <c r="AJ92" s="58" t="str">
        <f ca="1">IF(Table204339453795852909322382716[[#This Row],[Column2]]=0," ",_xlfn.RANK.EQ(AK92,$AK$92:$AK$101))</f>
        <v xml:space="preserve"> </v>
      </c>
      <c r="AK92" s="60">
        <f t="shared" ref="AK92:AK101" ca="1" si="50">IF(AL92=" ", 0,RAND())</f>
        <v>0</v>
      </c>
      <c r="AL92" s="29" t="str">
        <f t="shared" ref="AL92:AL101" ca="1" si="51">P334</f>
        <v xml:space="preserve"> </v>
      </c>
      <c r="CB92" s="35">
        <f t="shared" ca="1" si="49"/>
        <v>4</v>
      </c>
      <c r="CC92" s="36">
        <f ca="1">IF(BM19&gt;0,0,RAND())</f>
        <v>0.41169886458990157</v>
      </c>
      <c r="CD92" s="29" t="s">
        <v>24</v>
      </c>
    </row>
    <row r="93" spans="1:82" x14ac:dyDescent="0.3">
      <c r="A93" s="137"/>
      <c r="B93" s="33" t="str">
        <f ca="1">IF(P77="martial weapons",VLOOKUP(RANDBETWEEN(1,18),Table289[],2),IF(P76="simple weapons",VLOOKUP(RANDBETWEEN(1,10),Table287[],2),INDEX(AQ45:AQ59,MATCH(2,(AO45:AO59),0))))</f>
        <v>Warhammer</v>
      </c>
      <c r="C93" s="33"/>
      <c r="D93" s="33"/>
      <c r="E93" s="33"/>
      <c r="F93" s="33"/>
      <c r="G93" s="33"/>
      <c r="H93" s="33"/>
      <c r="I93" s="33"/>
      <c r="J93" s="33"/>
      <c r="K93" s="33"/>
      <c r="L93" s="33"/>
      <c r="M93" s="33"/>
      <c r="N93" s="33"/>
      <c r="O93" s="33" t="str">
        <f ca="1">INDEX(Items!$G$2:$G$44,MATCH(B93,(Items!$F$2:$F$44),0))</f>
        <v>1d8b</v>
      </c>
      <c r="P93" s="33" t="str">
        <f ca="1">INDEX(Items!$I$2:$I$44,MATCH(B93,(Items!$F$2:$F$44),0))</f>
        <v>1d10b</v>
      </c>
      <c r="Q93" s="72" t="str">
        <f ca="1">INDEX(Items!$H$2:$H$44,MATCH(B93,(Items!$F$2:$F$44),0))</f>
        <v>n/a</v>
      </c>
      <c r="R93" s="30"/>
      <c r="S93" s="30"/>
      <c r="AJ93" s="58" t="str">
        <f ca="1">IF(Table204339453795852909322382716[[#This Row],[Column2]]=0," ",_xlfn.RANK.EQ(AK93,$AK$92:$AK$101))</f>
        <v xml:space="preserve"> </v>
      </c>
      <c r="AK93" s="60">
        <f t="shared" ca="1" si="50"/>
        <v>0</v>
      </c>
      <c r="AL93" s="29" t="str">
        <f t="shared" ca="1" si="51"/>
        <v xml:space="preserve"> </v>
      </c>
      <c r="CB93" s="35">
        <f t="shared" ca="1" si="49"/>
        <v>7</v>
      </c>
      <c r="CC93" s="36">
        <f ca="1">IF(BM21&gt;0,0,RAND())</f>
        <v>0.31638489151186322</v>
      </c>
      <c r="CD93" s="29" t="s">
        <v>26</v>
      </c>
    </row>
    <row r="94" spans="1:82" x14ac:dyDescent="0.3">
      <c r="A94" s="137"/>
      <c r="B94" s="33" t="str">
        <f ca="1">IF(P77="martial weapons",VLOOKUP(RANDBETWEEN(1,5),Table290[],2),IF(P76="simple weapons",VLOOKUP(RANDBETWEEN(1,4),Table288[],2,),INDEX(AQ45:AQ59,MATCH(3,(AO45:AO59),0))))</f>
        <v>Net</v>
      </c>
      <c r="C94" s="33"/>
      <c r="D94" s="33"/>
      <c r="E94" s="33"/>
      <c r="F94" s="33"/>
      <c r="G94" s="33"/>
      <c r="H94" s="33"/>
      <c r="I94" s="33"/>
      <c r="J94" s="33"/>
      <c r="K94" s="33"/>
      <c r="L94" s="33"/>
      <c r="M94" s="33"/>
      <c r="N94" s="33"/>
      <c r="O94" s="33" t="str">
        <f ca="1">IF(B94=" "," ",INDEX(Items!$G$2:$G$44,MATCH(B94,(Items!$F$2:$F$44),0)))</f>
        <v>n/a</v>
      </c>
      <c r="P94" s="33" t="str">
        <f ca="1">IF(B94=" "," ",INDEX(Items!$I$2:$I$44,MATCH(B94,(Items!$F$2:$F$44),0)))</f>
        <v>n/a</v>
      </c>
      <c r="Q94" s="72" t="str">
        <f ca="1">IF(B94=" "," ",INDEX(Items!$H$2:$H$44,MATCH(B94,(Items!$F$2:$F$44),0)))</f>
        <v>Special,Thrown (5/15)</v>
      </c>
      <c r="R94" s="30"/>
      <c r="S94" s="30"/>
      <c r="AJ94" s="58" t="str">
        <f ca="1">IF(Table204339453795852909322382716[[#This Row],[Column2]]=0," ",_xlfn.RANK.EQ(AK94,$AK$92:$AK$101))</f>
        <v xml:space="preserve"> </v>
      </c>
      <c r="AK94" s="60">
        <f t="shared" ca="1" si="50"/>
        <v>0</v>
      </c>
      <c r="AL94" s="29" t="str">
        <f t="shared" ca="1" si="51"/>
        <v xml:space="preserve"> </v>
      </c>
      <c r="CB94" s="35">
        <f t="shared" ca="1" si="49"/>
        <v>9</v>
      </c>
      <c r="CC94" s="36">
        <f ca="1">IF(BM22&gt;0,0,RAND())</f>
        <v>0.15971423708004884</v>
      </c>
      <c r="CD94" s="29" t="s">
        <v>27</v>
      </c>
    </row>
    <row r="95" spans="1:82" ht="19.5" thickBot="1" x14ac:dyDescent="0.35">
      <c r="A95" s="137"/>
      <c r="B95" s="38" t="str">
        <f ca="1">IF(O11="monk","Martial Arts"," ")</f>
        <v xml:space="preserve"> </v>
      </c>
      <c r="C95" s="33"/>
      <c r="D95" s="33"/>
      <c r="E95" s="33"/>
      <c r="F95" s="33"/>
      <c r="G95" s="33"/>
      <c r="H95" s="33"/>
      <c r="I95" s="33"/>
      <c r="J95" s="33"/>
      <c r="K95" s="33"/>
      <c r="L95" s="33"/>
      <c r="M95" s="33"/>
      <c r="N95" s="33"/>
      <c r="O95" s="38" t="str">
        <f ca="1">IF(B95="martial arts",INDEX('Class Tables'!J98:J117,MATCH(O12,('Class Tables'!I98:I117),0))," ")</f>
        <v xml:space="preserve"> </v>
      </c>
      <c r="P95" s="38" t="str">
        <f ca="1">IF(B95=" "," ",IF(B95="martial arts", " ",INDEX(Items!$I$2:$I$44,MATCH(B95,(Items!$F$2:$F$44),0))))</f>
        <v xml:space="preserve"> </v>
      </c>
      <c r="Q95" s="73" t="str">
        <f ca="1">IF(B95=" "," ",IF(B95="martial arts"," ",INDEX(Items!$H$2:$H$44,MATCH(B95,(Items!$F$2:$F$44),0))))</f>
        <v xml:space="preserve"> </v>
      </c>
      <c r="R95" s="41"/>
      <c r="S95" s="41"/>
      <c r="AJ95" s="58" t="str">
        <f ca="1">IF(Table204339453795852909322382716[[#This Row],[Column2]]=0," ",_xlfn.RANK.EQ(AK95,$AK$92:$AK$101))</f>
        <v xml:space="preserve"> </v>
      </c>
      <c r="AK95" s="60">
        <f t="shared" ca="1" si="50"/>
        <v>0</v>
      </c>
      <c r="AL95" s="29" t="str">
        <f t="shared" ca="1" si="51"/>
        <v xml:space="preserve"> </v>
      </c>
    </row>
    <row r="96" spans="1:82" x14ac:dyDescent="0.3">
      <c r="A96" s="137"/>
      <c r="O96" s="69" t="s">
        <v>1964</v>
      </c>
      <c r="P96" s="69" t="s">
        <v>34</v>
      </c>
      <c r="Q96" s="69" t="s">
        <v>1986</v>
      </c>
      <c r="R96" s="69" t="s">
        <v>2753</v>
      </c>
      <c r="S96" s="70" t="s">
        <v>2480</v>
      </c>
      <c r="AJ96" s="58" t="str">
        <f ca="1">IF(Table204339453795852909322382716[[#This Row],[Column2]]=0," ",_xlfn.RANK.EQ(AK96,$AK$92:$AK$101))</f>
        <v xml:space="preserve"> </v>
      </c>
      <c r="AK96" s="60">
        <f t="shared" ca="1" si="50"/>
        <v>0</v>
      </c>
      <c r="AL96" s="29" t="str">
        <f t="shared" ca="1" si="51"/>
        <v xml:space="preserve"> </v>
      </c>
      <c r="CB96" s="31" t="s">
        <v>736</v>
      </c>
    </row>
    <row r="97" spans="1:82" x14ac:dyDescent="0.3">
      <c r="A97" s="137"/>
      <c r="B97" s="29" t="str">
        <f ca="1">B92</f>
        <v>Longsword</v>
      </c>
      <c r="O97" s="33">
        <f ca="1">IF(VLOOKUP(B92,Items!$F$2:$J$44,5,FALSE)="fin",SUM($P$38:$P$39)-SMALL($P$38:$P$39,1),IF(VLOOKUP(B92,(Items!$F$2:$J$44),5,FALSE)="str",$P$38,IF(VLOOKUP(B92,(Items!$F$2:$J$44),5,FALSE)="dex",$P$39,0)))</f>
        <v>2</v>
      </c>
      <c r="P97" s="33">
        <f ca="1">P8</f>
        <v>4</v>
      </c>
      <c r="Q97" s="33">
        <f ca="1">IF(AND(OR(B92&lt;&gt;"light crossbow",B92&lt;&gt;"dart",B92="shortbow",B92&lt;&gt;"Sling",B92&lt;&gt;"blowgun",B92&lt;&gt;"hand crossbow",B92&lt;&gt;"heavy crossbow",B92&lt;&gt;"longbow",B92&lt;&gt;"net",B92&lt;&gt;"greatclub",B92&lt;&gt;"glaive",B92&lt;&gt;"Greataxe",B92&lt;&gt;"Greatsword",B92&lt;&gt;"halbard",B92&lt;&gt;"maul",B92&lt;&gt;"pike"),OR($O$18="dueling style",$Q$18="dueling style",$P$18="dueling style",$S$18="dueling style",$O$15="dueling style",$Q$15="dueling style")),2,0)</f>
        <v>0</v>
      </c>
      <c r="R97" s="33">
        <f ca="1">IF(AND(OR(B92="light crossbow",B92="dart",B92="shortbow",B92="Sling",B92="blowgun",B92="hand crossbow",B92="heavy crossbow",B92="longbow",B92="net"),OR($P$18="archery style",$S$18="archery style",$O$15="archery style",$Q$15="archery style")),2,0)</f>
        <v>0</v>
      </c>
      <c r="S97" s="72" t="str">
        <f ca="1">IF(COUNTIF(B109:P109,"*"&amp;"Weapon +3"&amp;"*"),3,IF(COUNTIF(B109:P109,"*"&amp;"Weapon +2"&amp;"*"),2,IF(COUNTIF(B109:P109,"*"&amp;"Weapon +1"&amp;"*"),1," ")))</f>
        <v xml:space="preserve"> </v>
      </c>
      <c r="AJ97" s="58" t="str">
        <f ca="1">IF(Table204339453795852909322382716[[#This Row],[Column2]]=0," ",_xlfn.RANK.EQ(AK97,$AK$92:$AK$101))</f>
        <v xml:space="preserve"> </v>
      </c>
      <c r="AK97" s="60">
        <f t="shared" ca="1" si="50"/>
        <v>0</v>
      </c>
      <c r="AL97" s="29" t="str">
        <f t="shared" ca="1" si="51"/>
        <v xml:space="preserve"> </v>
      </c>
      <c r="CB97" s="35">
        <f t="shared" ref="CB97:CB102" ca="1" si="52">_xlfn.RANK.EQ(CC97,$CC$97:$CC$102)</f>
        <v>4</v>
      </c>
      <c r="CC97" s="36">
        <f ca="1">IF(BM8&gt;0,0,RAND())</f>
        <v>0.42411338030867674</v>
      </c>
      <c r="CD97" s="29" t="s">
        <v>13</v>
      </c>
    </row>
    <row r="98" spans="1:82" x14ac:dyDescent="0.3">
      <c r="A98" s="137"/>
      <c r="B98" s="29" t="str">
        <f ca="1">B93</f>
        <v>Warhammer</v>
      </c>
      <c r="O98" s="33">
        <f ca="1">IF(VLOOKUP(B93,Items!$F$2:$J$44,5,FALSE)="fin",SUM($P$38:$P$39)-SMALL($P$38:$P$39,1),IF(VLOOKUP(B93,(Items!$F$2:$J$44),5,FALSE)="str",$P$38,IF(VLOOKUP(B93,(Items!$F$2:$J$44),5,FALSE)="dex",$P$39,0)))</f>
        <v>2</v>
      </c>
      <c r="P98" s="33">
        <f ca="1">P8</f>
        <v>4</v>
      </c>
      <c r="Q98" s="33">
        <f ca="1">IF(AND(OR(B93&lt;&gt;"light crossbow",B93&lt;&gt;"dart",B93="shortbow",B93&lt;&gt;"Sling",B93&lt;&gt;"blowgun",B93&lt;&gt;"hand crossbow",B93&lt;&gt;"heavy crossbow",B93&lt;&gt;"longbow",B93&lt;&gt;"net",B93&lt;&gt;"greatclub",B93&lt;&gt;"glaive",B93&lt;&gt;"Greataxe",B93&lt;&gt;"Greatsword",B93&lt;&gt;"halbard",B93&lt;&gt;"maul",B93&lt;&gt;"pike"),OR($O$18="dueling style",$Q$18="dueling style",$P$18="dueling style",$S$18="dueling style",$O$15="dueling style",$Q$15="dueling style")),2,0)</f>
        <v>0</v>
      </c>
      <c r="R98" s="33">
        <f ca="1">IF(AND(OR(B93="light crossbow",B93="dart",B93="shortbow",B93="Sling",B93="blowgun",B93="hand crossbow",B93="heavy crossbow",B93="longbow",B93="net"),OR($P$18="archery style",$S$18="archery style",$O$15="archery style",$Q$15="archery style")),2,0)</f>
        <v>0</v>
      </c>
      <c r="S98" s="72" t="str">
        <f ca="1">IF(AND(S97&lt;&gt;2,COUNTIF(B109:P109,"*"&amp;"Weapon +2"&amp;"*")),2,IF(AND(S97&lt;&gt;1,COUNTIF(B109:P109,"*"&amp;"Weapon +1"&amp;"*")),1," "))</f>
        <v xml:space="preserve"> </v>
      </c>
      <c r="AJ98" s="58" t="str">
        <f ca="1">IF(Table204339453795852909322382716[[#This Row],[Column2]]=0," ",_xlfn.RANK.EQ(AK98,$AK$92:$AK$101))</f>
        <v xml:space="preserve"> </v>
      </c>
      <c r="AK98" s="60">
        <f t="shared" ca="1" si="50"/>
        <v>0</v>
      </c>
      <c r="AL98" s="29" t="str">
        <f t="shared" ca="1" si="51"/>
        <v xml:space="preserve"> </v>
      </c>
      <c r="CB98" s="35">
        <f t="shared" ca="1" si="52"/>
        <v>1</v>
      </c>
      <c r="CC98" s="36">
        <f ca="1">IF(BM10&gt;0,0,RAND())</f>
        <v>0.64748721342426518</v>
      </c>
      <c r="CD98" s="29" t="s">
        <v>15</v>
      </c>
    </row>
    <row r="99" spans="1:82" x14ac:dyDescent="0.3">
      <c r="A99" s="137"/>
      <c r="B99" s="29" t="str">
        <f ca="1">B94</f>
        <v>Net</v>
      </c>
      <c r="O99" s="33">
        <f ca="1">IF(VLOOKUP(B94,Items!$F$2:$J$44,5,FALSE)="fin",SUM($P$38:$P$39)-SMALL($P$38:$P$39,1),IF(VLOOKUP(B94,(Items!$F$2:$J$44),5,FALSE)="str",$P$38,IF(VLOOKUP(B94,(Items!$F$2:$J$44),5,FALSE)="dex",$P$39,0)))</f>
        <v>2</v>
      </c>
      <c r="P99" s="33">
        <f ca="1">IF(B94=" "," ",P8)</f>
        <v>4</v>
      </c>
      <c r="Q99" s="33">
        <f ca="1">IF(AND(OR(B94&lt;&gt;"light crossbow",B94&lt;&gt;"dart",B94="shortbow",B94&lt;&gt;"Sling",B94&lt;&gt;"blowgun",B94&lt;&gt;"hand crossbow",B94&lt;&gt;"heavy crossbow",B94&lt;&gt;"longbow",B94&lt;&gt;"net",B94&lt;&gt;"greatclub",B94&lt;&gt;"glaive",B94&lt;&gt;"Greataxe",B94&lt;&gt;"Greatsword",B94&lt;&gt;"halbard",B94&lt;&gt;"maul",B94&lt;&gt;"pike"),OR($O$18="dueling style",$Q$18="dueling style",$P$18="dueling style",$S$18="dueling style",$O$15="dueling style",$Q$15="dueling style")),2,0)</f>
        <v>0</v>
      </c>
      <c r="R99" s="33">
        <f ca="1">IF(AND(OR(B94="light crossbow",B94="dart",B94="shortbow",B94="Sling",B94="blowgun",B94="hand crossbow",B94="heavy crossbow",B94="longbow",B94="net"),OR($P$18="archery style",$S$18="archery style",$O$15="archery style",$Q$15="archery style")),2,0)</f>
        <v>0</v>
      </c>
      <c r="S99" s="72" t="str">
        <f ca="1">IF(AND(S97&lt;&gt;1,S98&lt;&gt;1,COUNTIF(B109:P109,"*"&amp;"Weapon +1"&amp;"*")),1," ")</f>
        <v xml:space="preserve"> </v>
      </c>
      <c r="AJ99" s="58" t="str">
        <f ca="1">IF(Table204339453795852909322382716[[#This Row],[Column2]]=0," ",_xlfn.RANK.EQ(AK99,$AK$92:$AK$101))</f>
        <v xml:space="preserve"> </v>
      </c>
      <c r="AK99" s="60">
        <f t="shared" ca="1" si="50"/>
        <v>0</v>
      </c>
      <c r="AL99" s="29" t="str">
        <f t="shared" ca="1" si="51"/>
        <v xml:space="preserve"> </v>
      </c>
      <c r="CB99" s="35">
        <f t="shared" ca="1" si="52"/>
        <v>5</v>
      </c>
      <c r="CC99" s="36">
        <f ca="1">IF(BM12&gt;0,0,RAND())</f>
        <v>0</v>
      </c>
      <c r="CD99" s="29" t="s">
        <v>17</v>
      </c>
    </row>
    <row r="100" spans="1:82" x14ac:dyDescent="0.3">
      <c r="A100" s="138"/>
      <c r="B100" s="29" t="str">
        <f ca="1">B95</f>
        <v xml:space="preserve"> </v>
      </c>
      <c r="O100" s="33" t="str">
        <f ca="1">IF(B95="martial arts",SUM($P$38:$P$39)-SMALL($P$38:$P$39,1)," ")</f>
        <v xml:space="preserve"> </v>
      </c>
      <c r="P100" s="33" t="str">
        <f ca="1">IF(B95=" "," ",P8)</f>
        <v xml:space="preserve"> </v>
      </c>
      <c r="Q100" s="33">
        <f ca="1">IF(AND(OR(B95&lt;&gt;"light crossbow",B95&lt;&gt;"dart",B95="shortbow",B95&lt;&gt;"Sling",B95&lt;&gt;"blowgun",B95&lt;&gt;"hand crossbow",B95&lt;&gt;"heavy crossbow",B95&lt;&gt;"longbow",B95&lt;&gt;"net",B95&lt;&gt;"greatclub",B95&lt;&gt;"glaive",B95&lt;&gt;"Greataxe",B95&lt;&gt;"Greatsword",B95&lt;&gt;"halbard",B95&lt;&gt;"maul",B95&lt;&gt;"pike"),OR($O$18="dueling style",$Q$18="dueling style",$P$18="dueling style",$S$18="dueling style",$O$15="dueling style",$Q$15="dueling style")),2,0)</f>
        <v>0</v>
      </c>
      <c r="R100" s="33">
        <f ca="1">IF(AND(OR(B95="light crossbow",B95="dart",B95="shortbow",B95="Sling",B95="blowgun",B95="hand crossbow",B95="heavy crossbow",B95="longbow",B95="net"),OR($P$18="archery style",$S$18="archery style",$O$15="archery style",$Q$15="archery style")),2,0)</f>
        <v>0</v>
      </c>
      <c r="S100" s="72" t="str">
        <f ca="1">IF(AND(S98&lt;&gt;1,S99&lt;&gt;1,COUNTIF(B110:P110,"*"&amp;"Weapon +1"&amp;"*")),1," ")</f>
        <v xml:space="preserve"> </v>
      </c>
      <c r="AJ100" s="58" t="str">
        <f ca="1">IF(Table204339453795852909322382716[[#This Row],[Column2]]=0," ",_xlfn.RANK.EQ(AK100,$AK$92:$AK$101))</f>
        <v xml:space="preserve"> </v>
      </c>
      <c r="AK100" s="60">
        <f t="shared" ca="1" si="50"/>
        <v>0</v>
      </c>
      <c r="AL100" s="29" t="str">
        <f t="shared" ca="1" si="51"/>
        <v xml:space="preserve"> </v>
      </c>
      <c r="CB100" s="35">
        <f t="shared" ca="1" si="52"/>
        <v>2</v>
      </c>
      <c r="CC100" s="36">
        <f ca="1">IF(BM13&gt;0,0,RAND())</f>
        <v>0.60692768519535023</v>
      </c>
      <c r="CD100" s="29" t="s">
        <v>18</v>
      </c>
    </row>
    <row r="101" spans="1:82" x14ac:dyDescent="0.3">
      <c r="A101" s="138"/>
      <c r="AJ101" s="58" t="str">
        <f ca="1">IF(Table204339453795852909322382716[[#This Row],[Column2]]=0," ",_xlfn.RANK.EQ(AK101,$AK$92:$AK$101))</f>
        <v xml:space="preserve"> </v>
      </c>
      <c r="AK101" s="60">
        <f t="shared" ca="1" si="50"/>
        <v>0</v>
      </c>
      <c r="AL101" s="29" t="str">
        <f t="shared" ca="1" si="51"/>
        <v xml:space="preserve"> </v>
      </c>
      <c r="CB101" s="35">
        <f t="shared" ca="1" si="52"/>
        <v>3</v>
      </c>
      <c r="CC101" s="36">
        <f ca="1">IF(BM19&gt;0,0,RAND())</f>
        <v>0.45441548211439731</v>
      </c>
      <c r="CD101" s="29" t="s">
        <v>24</v>
      </c>
    </row>
    <row r="102" spans="1:82" x14ac:dyDescent="0.3">
      <c r="A102" s="137"/>
      <c r="B102" s="69" t="str">
        <f ca="1">IF(B40="non-classed","Shoulder Bag",IF(B103="diplomat's pack","Small Chest","Backpack"))</f>
        <v>Backpack</v>
      </c>
      <c r="C102" s="33"/>
      <c r="D102" s="33"/>
      <c r="E102" s="33"/>
      <c r="F102" s="33"/>
      <c r="G102" s="33"/>
      <c r="H102" s="33"/>
      <c r="I102" s="33"/>
      <c r="J102" s="33"/>
      <c r="K102" s="33"/>
      <c r="L102" s="33"/>
      <c r="M102" s="33"/>
      <c r="N102" s="33"/>
      <c r="O102" s="33"/>
      <c r="P102" s="33"/>
      <c r="Q102" s="69" t="s">
        <v>1988</v>
      </c>
      <c r="R102" s="69" t="str">
        <f ca="1">IF(OR(P15="eldritch knight",R15="eldritch knight",P15="arcane trickster",R15="arcane trickster",O11="ranger",Q11="ranger",O11="bard",Q11="bard",O11="cleric",Q11="cleric",O11="druid",Q11="druid",O11="paladin",Q11="paladin",O11="sorcerer",Q11="sorcerer",O11="warlock",Q11="warlock",O11="wizard",Q11="wizard"),"Component Pouch"," ")</f>
        <v xml:space="preserve"> </v>
      </c>
      <c r="CB102" s="35">
        <f t="shared" ca="1" si="52"/>
        <v>5</v>
      </c>
      <c r="CC102" s="36">
        <f ca="1">IF(BM20&gt;0,0,RAND())</f>
        <v>0</v>
      </c>
      <c r="CD102" s="29" t="s">
        <v>25</v>
      </c>
    </row>
    <row r="103" spans="1:82" x14ac:dyDescent="0.3">
      <c r="A103" s="137"/>
      <c r="B103" s="33" t="str">
        <f ca="1">IF(AND(AF21=2,O11="wizard"),"Explorer's Pack",IF(AND(AF21=1,OR(O11="sorcerer",O11="wizard",O11="warlock")),"Scholar's Pack",IF(AND(AF20=1,O11="rogue"),"Dungeoneer's Pack",IF(AND(AF20=2,O11="rogue"),"Explorer's Pack",IF(AND(AF20=3,O11="rogue"),"Burglar's Pack",IF(AND(AF21=1,OR(O11="monk",O11="Fighter",O11="ranger",O11="Sorcerer")),"Explorer's Pack",IF(AND(AF21=2,OR(O11="fighter",O11="monk",O11="ranger",O11="sorcerer",O11="warlock")),"Dungeoneer's Pack",IF(O11="druid","Explorer's Pack",IF(AND(AF21=2,OR(O11="cleric",O11="paladin")),"Explorer's Pack",IF(AND(AF21=1,OR(O11="cleric",O11="paladin")),"Priest's Pack",IF(AND(AF21=1,O11="bard"),"Diplomat's Pack",IF(AND(AF21=2,O11="bard"),"Entertainer's Pack",IF(O11="barbarian","Explorer's Pack"," ")))))))))))))</f>
        <v>Explorer's Pack</v>
      </c>
      <c r="C103" s="33"/>
      <c r="D103" s="33"/>
      <c r="E103" s="33"/>
      <c r="F103" s="33"/>
      <c r="G103" s="33"/>
      <c r="H103" s="33"/>
      <c r="I103" s="33"/>
      <c r="J103" s="33"/>
      <c r="K103" s="33"/>
      <c r="L103" s="33"/>
      <c r="M103" s="33"/>
      <c r="N103" s="33"/>
      <c r="O103" s="33" t="str">
        <f ca="1">IF(B103="Scholar's Pack","SP - Little Bag of Sand",IF(B103="Priest's Pack","PP - 2 Blocks of Incense",IF(B103="Entertainer's Pack","EP - Waterskin",IF(B103="Dungeoneer's Pack","DP - Tinderbox",IF(B103="Diplomat's Pack","DP - Lamp",IF(B103="Burglar's Pack","BP - Hammer",IF(B103="explorer's pack","EP - 10 Days Rations"," ")))))))</f>
        <v>EP - 10 Days Rations</v>
      </c>
      <c r="P103" s="33" t="str">
        <f ca="1">IF(B103="Diplomat's Pack","DP - Soap",IF(B103="Burglar's Pack","BP - Tinderbox"," "))</f>
        <v xml:space="preserve"> </v>
      </c>
      <c r="Q103" s="33" t="str">
        <f ca="1">INDEX(Items!C47:C66,MATCH(P6,(Items!A47:A66),0))&amp;" CP"</f>
        <v>817 CP</v>
      </c>
      <c r="R103" s="33" t="str">
        <f ca="1">IF(OR(,O11="bard",Q11="bard",O11="cleric",Q11="cleric",O11="druid",Q11="druid",O11="paladin",Q11="paladin",O11="sorcerer",Q11="sorcerer",O11="warlock",Q11="warlock",O11="wizard",Q11="wizard"),"Arcane Focus"," ")</f>
        <v xml:space="preserve"> </v>
      </c>
      <c r="AJ103" s="31" t="s">
        <v>1170</v>
      </c>
    </row>
    <row r="104" spans="1:82" x14ac:dyDescent="0.3">
      <c r="A104" s="137"/>
      <c r="B104" s="33" t="str">
        <f ca="1">IF(B103="Scholar's Pack","SP - Book of Lore",IF(B103="Priest's Pack","PP - Blanket",IF(B103="Entertainer's Pack","EP - Bedroll",IF(B103="Dungeoneer's Pack","DP - Crowbar",IF(B103="Diplomat's Pack","DP - 2 Map/Scroll Cases",IF(B103="Burglar's Pack","BP - 10' of String",IF(B103="explorer's pack"," EP - Bedroll"," ")))))))</f>
        <v xml:space="preserve"> EP - Bedroll</v>
      </c>
      <c r="C104" s="33"/>
      <c r="D104" s="33"/>
      <c r="E104" s="33"/>
      <c r="F104" s="33"/>
      <c r="G104" s="33"/>
      <c r="H104" s="33"/>
      <c r="I104" s="33"/>
      <c r="J104" s="33"/>
      <c r="K104" s="33"/>
      <c r="L104" s="33"/>
      <c r="M104" s="33"/>
      <c r="N104" s="33"/>
      <c r="O104" s="33" t="str">
        <f ca="1">IF(B103="Scholar's Pack","SP - Small Knife",IF(B103="Priest's Pack","PP - Censer",IF(B103="Entertainer's Pack","EP - Disguise Kit",IF(B103="Dungeoneer's Pack","DP - 10 Days Rations",IF(B103="Diplomat's Pack","DP - 2 Flasks of Oil",IF(B103="Burglar's Pack","BP - 10 Pitons",IF(B103="explorer's pack","EP - Waterskin"," ")))))))</f>
        <v>EP - Waterskin</v>
      </c>
      <c r="P104" s="33" t="str">
        <f ca="1">IF(B103="Burglar's Pack","BP - Waterskin"," ")</f>
        <v xml:space="preserve"> </v>
      </c>
      <c r="Q104" s="33" t="str">
        <f ca="1">INDEX(Items!D47:D66,MATCH(P6,(Items!A47:A66),0))&amp;" SP"</f>
        <v>0 SP</v>
      </c>
      <c r="R104" s="69" t="str">
        <f ca="1">IF(COUNTIF(B92:B94,"*"&amp;"sling"&amp;"*"),"Sling Bullet Pouch"," ")</f>
        <v xml:space="preserve"> </v>
      </c>
      <c r="AJ104" s="58" t="str">
        <f ca="1">IF(AK104=0," ",_xlfn.RANK.EQ(AK104,$AK$104:$AK$113))</f>
        <v xml:space="preserve"> </v>
      </c>
      <c r="AK104" s="60">
        <f t="shared" ref="AK104:AK113" ca="1" si="53">IF(AL104=" ", 0,RAND())</f>
        <v>0</v>
      </c>
      <c r="AL104" s="29" t="str">
        <f t="shared" ref="AL104:AL113" ca="1" si="54">Q334</f>
        <v xml:space="preserve"> </v>
      </c>
      <c r="CB104" s="31" t="s">
        <v>737</v>
      </c>
    </row>
    <row r="105" spans="1:82" x14ac:dyDescent="0.3">
      <c r="A105" s="137"/>
      <c r="B105" s="33" t="str">
        <f ca="1">IF(B103="Scholar's Pack","SP - Bottle of Ink",IF(B103="Priest's Pack","PP - 10 Candles",IF(B103="Entertainer's Pack","EP - 2 Costumes",IF(B103="Dungeoneer's Pack","DP -Hammer ",IF(B103="Diplomat's Pack","DP - Set of Fine Clothes",IF(B103="Burglar's Pack","BP - Bell",IF(B103="explorer's pack","EP - Mess Kit"," ")))))))</f>
        <v>EP - Mess Kit</v>
      </c>
      <c r="C105" s="33"/>
      <c r="D105" s="33"/>
      <c r="E105" s="33"/>
      <c r="F105" s="33"/>
      <c r="G105" s="33"/>
      <c r="H105" s="33"/>
      <c r="I105" s="33"/>
      <c r="J105" s="33"/>
      <c r="K105" s="33"/>
      <c r="L105" s="33"/>
      <c r="M105" s="33"/>
      <c r="N105" s="33"/>
      <c r="O105" s="33" t="str">
        <f ca="1">IF(B103="Priest's Pack","PP - Vestments",IF(B103="Dungeoneer's Pack","DP - Waterskin",IF(B103="Diplomat's Pack","DP - 5 Sheets of Paper",IF(B103="Burglar's Pack","BP - Hooded Lantern",IF(B103="explorer's pack","EP - 50' Hempen Rope"," ")))))</f>
        <v>EP - 50' Hempen Rope</v>
      </c>
      <c r="P105" s="33" t="str">
        <f ca="1">IF(B103="Burglar's Pack","BP - 50' Hempen Rope"," ")</f>
        <v xml:space="preserve"> </v>
      </c>
      <c r="Q105" s="33" t="str">
        <f ca="1">INDEX(Items!E47:E66,MATCH(P6,(Items!A47:A66),0))&amp;" EP"</f>
        <v>24 EP</v>
      </c>
      <c r="R105" s="33" t="str">
        <f ca="1">IF(COUNTIF(B92:B94,"*"&amp;"sling"&amp;"*"),RANDBETWEEN(6,13)&amp;" Sling Bullets"," ")</f>
        <v xml:space="preserve"> </v>
      </c>
      <c r="AJ105" s="58" t="str">
        <f t="shared" ref="AJ105:AJ113" ca="1" si="55">IF(AK105=0," ",_xlfn.RANK.EQ(AK105,$AK$104:$AK$113))</f>
        <v xml:space="preserve"> </v>
      </c>
      <c r="AK105" s="60">
        <f t="shared" ca="1" si="53"/>
        <v>0</v>
      </c>
      <c r="AL105" s="29" t="str">
        <f t="shared" ca="1" si="54"/>
        <v xml:space="preserve"> </v>
      </c>
      <c r="CB105" s="35">
        <f t="shared" ref="CB105:CB111" ca="1" si="56">_xlfn.RANK.EQ(CC105,$CC$105:$CC$111)</f>
        <v>4</v>
      </c>
      <c r="CC105" s="36">
        <f ca="1">IF(BM8&gt;0,0,RAND())</f>
        <v>0.22822033592844027</v>
      </c>
      <c r="CD105" s="29" t="s">
        <v>13</v>
      </c>
    </row>
    <row r="106" spans="1:82" x14ac:dyDescent="0.3">
      <c r="A106" s="137"/>
      <c r="B106" s="33" t="str">
        <f ca="1">IF(B103="Scholar's Pack","SP - Ink Pen",IF(B103="Priest's Pack","PP - Tinderbox",IF(B103="Entertainer's Pack","EP - 5 Candles",IF(B103="Dungeoneer's Pack","DP - 10 Pitons",IF(B103="Diplomat's Pack","DP - Bottle of Ink",IF(B103="Burglar's Pack","BP - 5 Candles",IF(B103="explorer's pack","EP - Tinderbox"," ")))))))</f>
        <v>EP - Tinderbox</v>
      </c>
      <c r="C106" s="33"/>
      <c r="D106" s="33"/>
      <c r="E106" s="33"/>
      <c r="F106" s="33"/>
      <c r="G106" s="33"/>
      <c r="H106" s="33"/>
      <c r="I106" s="33"/>
      <c r="J106" s="33"/>
      <c r="K106" s="33"/>
      <c r="L106" s="33"/>
      <c r="M106" s="33"/>
      <c r="N106" s="33"/>
      <c r="O106" s="33" t="str">
        <f ca="1">IF(B103="Priest's Pack","PP - 2 Days Rations",IF(B103="Dungeoneer's Pack","DP - 50' Hempen Rope",IF(B103="Diplomat's Pack","DP - Vial of Perfume",IF(B103="Burglar's Pack","BP - 2 Flasks of Oil"," "))))</f>
        <v xml:space="preserve"> </v>
      </c>
      <c r="P106" s="33" t="str">
        <f ca="1">VLOOKUP(RANDBETWEEN(1,58),Table296[],2)</f>
        <v>Hammer</v>
      </c>
      <c r="Q106" s="33" t="str">
        <f ca="1">INDEX(Items!F47:F66,MATCH(P6,(Items!A47:A66),0))&amp;" GP"</f>
        <v>0 GP</v>
      </c>
      <c r="R106" s="69" t="str">
        <f ca="1">IF(COUNTIF(B92:B94,"*"&amp;"light crossbow"&amp;"*"),"Quiver",IF(COUNTIF(B92:B94,"*"&amp;"hand crossbow"&amp;"*"),"Quiver",IF(COUNTIF(B92:B94,"*"&amp;"heavy crossbow"&amp;"*"),"Quiver",IF(COUNTIF(B92:B94,"*"&amp;"longbow"&amp;"*"),"Quiver",IF(COUNTIF(B92:B94,"*"&amp;"shortbow"&amp;"*"),"Quiver"," ")))))</f>
        <v xml:space="preserve"> </v>
      </c>
      <c r="AJ106" s="58" t="str">
        <f t="shared" ca="1" si="55"/>
        <v xml:space="preserve"> </v>
      </c>
      <c r="AK106" s="60">
        <f t="shared" ca="1" si="53"/>
        <v>0</v>
      </c>
      <c r="AL106" s="29" t="str">
        <f t="shared" ca="1" si="54"/>
        <v xml:space="preserve"> </v>
      </c>
      <c r="CB106" s="35">
        <f t="shared" ca="1" si="56"/>
        <v>1</v>
      </c>
      <c r="CC106" s="36">
        <f ca="1">IF(BM10&gt;0,0,RAND())</f>
        <v>0.87320930717743717</v>
      </c>
      <c r="CD106" s="29" t="s">
        <v>15</v>
      </c>
    </row>
    <row r="107" spans="1:82" x14ac:dyDescent="0.3">
      <c r="A107" s="137"/>
      <c r="B107" s="33" t="str">
        <f ca="1">IF(B103="Scholar's Pack","SP - 10 Sheets of Parchment",IF(B103="Priest's Pack","PP - Alms Box",IF(B103="Entertainer's Pack","EP - 5 Days Rations",IF(B103="Dungeoneer's Pack","DP - 10 Torches",IF(B103="Diplomat's Pack","DP - Ink Pen",IF(B103="Burglar's Pack","BP - Crowbar",IF(B103="explorer's pack","EP - 10 Torches"," ")))))))</f>
        <v>EP - 10 Torches</v>
      </c>
      <c r="C107" s="33"/>
      <c r="D107" s="33"/>
      <c r="E107" s="33"/>
      <c r="F107" s="33"/>
      <c r="G107" s="33"/>
      <c r="H107" s="33"/>
      <c r="I107" s="33"/>
      <c r="J107" s="33"/>
      <c r="K107" s="33"/>
      <c r="L107" s="33"/>
      <c r="M107" s="33"/>
      <c r="N107" s="33"/>
      <c r="O107" s="33" t="str">
        <f ca="1">IF(B103="Priest's Pack","PP - Waterskin",IF(B103="Diplomat's Pack","DP - Sealing Wax",IF(B103="Burglar's Pack","BP - 5 Days Rations"," ")))</f>
        <v xml:space="preserve"> </v>
      </c>
      <c r="P107" s="33" t="str">
        <f ca="1">VLOOKUP(RANDBETWEEN(1,58),Table296[],2)</f>
        <v>Blanket</v>
      </c>
      <c r="Q107" s="33" t="str">
        <f ca="1">INDEX(Items!G47:G66,MATCH(P6,(Items!A47:A66),0))&amp;" PP"</f>
        <v>0 PP</v>
      </c>
      <c r="R107" s="33" t="str">
        <f ca="1">IF(COUNTIF(B92:B94,"*"&amp;"longbow"&amp;"*"),RANDBETWEEN(10,24)&amp;" Arrows",IF(COUNTIF(B92:B94,"*"&amp;"shortbow"&amp;"*"),RANDBETWEEN(10,24)&amp;" Arrows",IF(COUNTIF(B92:B94,"*"&amp;"light crossbow"&amp;"*"),RANDBETWEEN(10,24)&amp;" Bolts",IF(COUNTIF(B92:B94,"*"&amp;"hand crossbow"&amp;"*"),RANDBETWEEN(10,24)&amp;" Bolts",IF(COUNTIF(B92:B94,"*"&amp;"heavy crossbow"&amp;"*"),RANDBETWEEN(10,24)&amp;" Bolts"," ")))))</f>
        <v xml:space="preserve"> </v>
      </c>
      <c r="AJ107" s="58" t="str">
        <f t="shared" ca="1" si="55"/>
        <v xml:space="preserve"> </v>
      </c>
      <c r="AK107" s="60">
        <f t="shared" ca="1" si="53"/>
        <v>0</v>
      </c>
      <c r="AL107" s="29" t="str">
        <f t="shared" ca="1" si="54"/>
        <v xml:space="preserve"> </v>
      </c>
      <c r="CB107" s="35">
        <f t="shared" ca="1" si="56"/>
        <v>6</v>
      </c>
      <c r="CC107" s="36">
        <f ca="1">IF(BM11&gt;0,0,RAND())</f>
        <v>3.5431785810348226E-2</v>
      </c>
      <c r="CD107" s="29" t="s">
        <v>16</v>
      </c>
    </row>
    <row r="108" spans="1:82" x14ac:dyDescent="0.3">
      <c r="A108" s="137"/>
      <c r="B108" s="33" t="str">
        <f ca="1">IF(AF35&gt;=1,VLOOKUP(RANDBETWEEN(1,200),Table298[],2)," ")</f>
        <v>a mojo bag</v>
      </c>
      <c r="C108" s="33"/>
      <c r="D108" s="33"/>
      <c r="E108" s="33"/>
      <c r="F108" s="33"/>
      <c r="G108" s="33"/>
      <c r="H108" s="33"/>
      <c r="I108" s="33"/>
      <c r="J108" s="33"/>
      <c r="K108" s="33"/>
      <c r="L108" s="33"/>
      <c r="M108" s="33"/>
      <c r="N108" s="33"/>
      <c r="O108" s="33" t="str">
        <f ca="1">IF(AF35&gt;=2,VLOOKUP(RANDBETWEEN(1,200),Table298[],2)," ")</f>
        <v xml:space="preserve"> </v>
      </c>
      <c r="P108" s="33" t="str">
        <f ca="1">IF(AF35&gt;=3,VLOOKUP(RANDBETWEEN(1,200),Table298[],2)," ")</f>
        <v xml:space="preserve"> </v>
      </c>
      <c r="AJ108" s="58" t="str">
        <f t="shared" ca="1" si="55"/>
        <v xml:space="preserve"> </v>
      </c>
      <c r="AK108" s="60">
        <f t="shared" ca="1" si="53"/>
        <v>0</v>
      </c>
      <c r="AL108" s="29" t="str">
        <f t="shared" ca="1" si="54"/>
        <v xml:space="preserve"> </v>
      </c>
      <c r="CB108" s="35">
        <f t="shared" ca="1" si="56"/>
        <v>3</v>
      </c>
      <c r="CC108" s="36">
        <f ca="1">IF(BM13&gt;0,0,RAND())</f>
        <v>0.3965427291683975</v>
      </c>
      <c r="CD108" s="29" t="s">
        <v>18</v>
      </c>
    </row>
    <row r="109" spans="1:82" ht="19.5" thickBot="1" x14ac:dyDescent="0.35">
      <c r="B109" s="38" t="str">
        <f ca="1">IF(AND(P6&gt;=5,O11&lt;&gt;"non-classed"),VLOOKUP(RANDBETWEEN(1,100),Table5764[],2)," ")</f>
        <v>Ring of Warmth</v>
      </c>
      <c r="O109" s="29" t="str">
        <f ca="1">IF(AND(P6&gt;=11,O11&lt;&gt;"non-classed"),VLOOKUP(RANDBETWEEN(1,100),Table576465[],2)," ")</f>
        <v xml:space="preserve"> </v>
      </c>
      <c r="P109" s="29" t="str">
        <f ca="1">IF(AND(P6&gt;=17,O11&lt;&gt;"non-classed"),VLOOKUP(RANDBETWEEN(1,100),Table576466[],2)," ")</f>
        <v xml:space="preserve"> </v>
      </c>
      <c r="AJ109" s="58" t="str">
        <f t="shared" ca="1" si="55"/>
        <v xml:space="preserve"> </v>
      </c>
      <c r="AK109" s="60">
        <f t="shared" ca="1" si="53"/>
        <v>0</v>
      </c>
      <c r="AL109" s="29" t="str">
        <f t="shared" ca="1" si="54"/>
        <v xml:space="preserve"> </v>
      </c>
      <c r="CB109" s="35">
        <f t="shared" ca="1" si="56"/>
        <v>5</v>
      </c>
      <c r="CC109" s="36">
        <f ca="1">IF(BM14&gt;0,0,RAND())</f>
        <v>0.15030165068968526</v>
      </c>
      <c r="CD109" s="29" t="s">
        <v>19</v>
      </c>
    </row>
    <row r="110" spans="1:82" ht="19.5" thickBot="1" x14ac:dyDescent="0.35">
      <c r="A110" s="33"/>
      <c r="AJ110" s="58" t="str">
        <f t="shared" ca="1" si="55"/>
        <v xml:space="preserve"> </v>
      </c>
      <c r="AK110" s="60">
        <f t="shared" ca="1" si="53"/>
        <v>0</v>
      </c>
      <c r="AL110" s="29" t="str">
        <f t="shared" ca="1" si="54"/>
        <v xml:space="preserve"> </v>
      </c>
      <c r="CB110" s="35">
        <f t="shared" ca="1" si="56"/>
        <v>2</v>
      </c>
      <c r="CC110" s="36">
        <f ca="1">IF(BM16&gt;0,0,RAND())</f>
        <v>0.40426691759024314</v>
      </c>
      <c r="CD110" s="29" t="s">
        <v>21</v>
      </c>
    </row>
    <row r="111" spans="1:82" ht="30.75" thickBot="1" x14ac:dyDescent="0.45">
      <c r="B111" s="105" t="s">
        <v>1327</v>
      </c>
      <c r="AJ111" s="58" t="str">
        <f t="shared" ca="1" si="55"/>
        <v xml:space="preserve"> </v>
      </c>
      <c r="AK111" s="60">
        <f t="shared" ca="1" si="53"/>
        <v>0</v>
      </c>
      <c r="AL111" s="29" t="str">
        <f t="shared" ca="1" si="54"/>
        <v xml:space="preserve"> </v>
      </c>
      <c r="CB111" s="35">
        <f t="shared" ca="1" si="56"/>
        <v>7</v>
      </c>
      <c r="CC111" s="36">
        <f ca="1">IF(BM20&gt;0,0,RAND())</f>
        <v>0</v>
      </c>
      <c r="CD111" s="29" t="s">
        <v>25</v>
      </c>
    </row>
    <row r="112" spans="1:82" x14ac:dyDescent="0.3">
      <c r="B112" s="74"/>
      <c r="C112" s="75"/>
      <c r="D112" s="75"/>
      <c r="E112" s="75"/>
      <c r="F112" s="75"/>
      <c r="G112" s="75"/>
      <c r="H112" s="75"/>
      <c r="I112" s="75"/>
      <c r="J112" s="75"/>
      <c r="K112" s="75"/>
      <c r="L112" s="75"/>
      <c r="M112" s="75"/>
      <c r="N112" s="75"/>
      <c r="O112" s="75"/>
      <c r="P112" s="76" t="s">
        <v>1124</v>
      </c>
      <c r="Q112" s="76" t="s">
        <v>1166</v>
      </c>
      <c r="R112" s="77" t="s">
        <v>1167</v>
      </c>
      <c r="AJ112" s="58" t="str">
        <f t="shared" ca="1" si="55"/>
        <v xml:space="preserve"> </v>
      </c>
      <c r="AK112" s="60">
        <f t="shared" ca="1" si="53"/>
        <v>0</v>
      </c>
      <c r="AL112" s="29" t="str">
        <f t="shared" ca="1" si="54"/>
        <v xml:space="preserve"> </v>
      </c>
    </row>
    <row r="113" spans="2:82" x14ac:dyDescent="0.3">
      <c r="B113" s="78" t="s">
        <v>1122</v>
      </c>
      <c r="C113" s="33"/>
      <c r="D113" s="33"/>
      <c r="E113" s="33"/>
      <c r="F113" s="33"/>
      <c r="G113" s="33"/>
      <c r="H113" s="33"/>
      <c r="I113" s="33"/>
      <c r="J113" s="33"/>
      <c r="K113" s="33"/>
      <c r="L113" s="33"/>
      <c r="M113" s="33"/>
      <c r="N113" s="33"/>
      <c r="O113" s="34">
        <v>1</v>
      </c>
      <c r="P113" s="33" t="str">
        <f ca="1">IF(P2="forest","Minor Illusion",IF(Q2="tiefling","Thaumaturgy",IF(P2="dark","Dancing Lights",IF(P2="high",INDEX('Spell Tables'!P242:P257,MATCH(1,('Spell Tables'!N242:N257),0))," "))))</f>
        <v xml:space="preserve"> </v>
      </c>
      <c r="Q113" s="33" t="str">
        <f ca="1">IF(AND($P$2="Dark",$P$6&gt;=3),"Faerie Fire (1/day)",IF(AND(Q2="tiefling",P6&gt;=3),"Hellish Rebuke (as 2nd Level - 1/day)"," "))</f>
        <v xml:space="preserve"> </v>
      </c>
      <c r="R113" s="72" t="str">
        <f ca="1">IF(AND($P$2="Dark",$P$6&gt;=5),"Darkness (1/day)",IF(AND(Q2="tiefling",P6&gt;=5),"Darkness (1/day)"," "))</f>
        <v xml:space="preserve"> </v>
      </c>
      <c r="AJ113" s="58" t="str">
        <f t="shared" ca="1" si="55"/>
        <v xml:space="preserve"> </v>
      </c>
      <c r="AK113" s="60">
        <f t="shared" ca="1" si="53"/>
        <v>0</v>
      </c>
      <c r="AL113" s="29" t="str">
        <f t="shared" ca="1" si="54"/>
        <v xml:space="preserve"> </v>
      </c>
      <c r="CB113" s="31" t="s">
        <v>738</v>
      </c>
    </row>
    <row r="114" spans="2:82" x14ac:dyDescent="0.3">
      <c r="B114" s="79" t="str">
        <f ca="1">IF(OR(P2="dark",Q2="tiefling"),8+$P$8+$N$43,IF(P2="Forest",8+$P$8+$N$41," "))</f>
        <v xml:space="preserve"> </v>
      </c>
      <c r="C114" s="33"/>
      <c r="D114" s="33"/>
      <c r="E114" s="33"/>
      <c r="F114" s="33"/>
      <c r="G114" s="33"/>
      <c r="H114" s="33"/>
      <c r="I114" s="33"/>
      <c r="J114" s="33"/>
      <c r="K114" s="33"/>
      <c r="L114" s="33"/>
      <c r="M114" s="33"/>
      <c r="N114" s="33"/>
      <c r="O114" s="34">
        <v>2</v>
      </c>
      <c r="P114" s="33"/>
      <c r="Q114" s="33"/>
      <c r="R114" s="72"/>
      <c r="CB114" s="35">
        <f t="shared" ref="CB114:CB119" ca="1" si="57">_xlfn.RANK.EQ(CC114,$CC$114:$CC$119)</f>
        <v>1</v>
      </c>
      <c r="CC114" s="36">
        <f ca="1">IF(BM8&gt;0,0,RAND())</f>
        <v>0.57629236214406898</v>
      </c>
      <c r="CD114" s="29" t="s">
        <v>13</v>
      </c>
    </row>
    <row r="115" spans="2:82" x14ac:dyDescent="0.3">
      <c r="B115" s="78" t="s">
        <v>1123</v>
      </c>
      <c r="C115" s="33"/>
      <c r="D115" s="33"/>
      <c r="E115" s="33"/>
      <c r="F115" s="33"/>
      <c r="G115" s="33"/>
      <c r="H115" s="33"/>
      <c r="I115" s="33"/>
      <c r="J115" s="33"/>
      <c r="K115" s="33"/>
      <c r="L115" s="33"/>
      <c r="M115" s="33"/>
      <c r="N115" s="33"/>
      <c r="O115" s="34">
        <v>3</v>
      </c>
      <c r="P115" s="33"/>
      <c r="Q115" s="33"/>
      <c r="R115" s="72"/>
      <c r="AJ115" s="31" t="s">
        <v>1171</v>
      </c>
      <c r="CB115" s="35">
        <f t="shared" ca="1" si="57"/>
        <v>2</v>
      </c>
      <c r="CC115" s="36">
        <f ca="1">IF(BM11&gt;0,0,RAND())</f>
        <v>0.4868202079171059</v>
      </c>
      <c r="CD115" s="29" t="s">
        <v>16</v>
      </c>
    </row>
    <row r="116" spans="2:82" ht="19.5" thickBot="1" x14ac:dyDescent="0.35">
      <c r="B116" s="80" t="str">
        <f ca="1">IF(OR(P2="dark",Q2="tiefling"),P8+$N$43,IF(P2="forest",P8+$N$41," "))</f>
        <v xml:space="preserve"> </v>
      </c>
      <c r="C116" s="38"/>
      <c r="D116" s="38"/>
      <c r="E116" s="38"/>
      <c r="F116" s="38"/>
      <c r="G116" s="38"/>
      <c r="H116" s="38"/>
      <c r="I116" s="38"/>
      <c r="J116" s="38"/>
      <c r="K116" s="38"/>
      <c r="L116" s="38"/>
      <c r="M116" s="38"/>
      <c r="N116" s="38"/>
      <c r="O116" s="38"/>
      <c r="P116" s="38"/>
      <c r="Q116" s="38"/>
      <c r="R116" s="73"/>
      <c r="AJ116" s="58" t="str">
        <f ca="1">IF(AK116=0," ",_xlfn.RANK.EQ(AK116,$AK$116:$AK$125))</f>
        <v xml:space="preserve"> </v>
      </c>
      <c r="AK116" s="60">
        <f t="shared" ref="AK116:AK125" ca="1" si="58">IF(AL116=" ", 0,RAND())</f>
        <v>0</v>
      </c>
      <c r="AL116" s="29" t="str">
        <f t="shared" ref="AL116:AL125" ca="1" si="59">R334</f>
        <v xml:space="preserve"> </v>
      </c>
      <c r="CB116" s="35">
        <f t="shared" ca="1" si="57"/>
        <v>5</v>
      </c>
      <c r="CC116" s="36">
        <f ca="1">IF(BM12&gt;0,0,RAND())</f>
        <v>0</v>
      </c>
      <c r="CD116" s="29" t="s">
        <v>17</v>
      </c>
    </row>
    <row r="117" spans="2:82" ht="19.5" thickBot="1" x14ac:dyDescent="0.35">
      <c r="AJ117" s="58" t="str">
        <f t="shared" ref="AJ117:AJ125" ca="1" si="60">IF(AK117=0," ",_xlfn.RANK.EQ(AK117,$AK$116:$AK$125))</f>
        <v xml:space="preserve"> </v>
      </c>
      <c r="AK117" s="60">
        <f t="shared" ca="1" si="58"/>
        <v>0</v>
      </c>
      <c r="AL117" s="29" t="str">
        <f t="shared" ca="1" si="59"/>
        <v xml:space="preserve"> </v>
      </c>
      <c r="CB117" s="35">
        <f t="shared" ca="1" si="57"/>
        <v>4</v>
      </c>
      <c r="CC117" s="36">
        <f ca="1">IF(BM14&gt;0,0,RAND())</f>
        <v>0.23784224322633662</v>
      </c>
      <c r="CD117" s="29" t="s">
        <v>19</v>
      </c>
    </row>
    <row r="118" spans="2:82" ht="30.75" thickBot="1" x14ac:dyDescent="0.45">
      <c r="B118" s="105" t="s">
        <v>1334</v>
      </c>
      <c r="AJ118" s="58" t="str">
        <f t="shared" ca="1" si="60"/>
        <v xml:space="preserve"> </v>
      </c>
      <c r="AK118" s="60">
        <f t="shared" ca="1" si="58"/>
        <v>0</v>
      </c>
      <c r="AL118" s="29" t="str">
        <f t="shared" ca="1" si="59"/>
        <v xml:space="preserve"> </v>
      </c>
      <c r="CB118" s="35">
        <f t="shared" ca="1" si="57"/>
        <v>3</v>
      </c>
      <c r="CC118" s="36">
        <f ca="1">IF(BM15&gt;0,0,RAND())</f>
        <v>0.27526731830213391</v>
      </c>
      <c r="CD118" s="29" t="s">
        <v>20</v>
      </c>
    </row>
    <row r="119" spans="2:82" x14ac:dyDescent="0.3">
      <c r="B119" s="79"/>
      <c r="C119" s="27"/>
      <c r="D119" s="27"/>
      <c r="E119" s="27"/>
      <c r="F119" s="27"/>
      <c r="G119" s="27"/>
      <c r="H119" s="27"/>
      <c r="I119" s="27"/>
      <c r="J119" s="27"/>
      <c r="K119" s="27"/>
      <c r="L119" s="27"/>
      <c r="M119" s="27"/>
      <c r="N119" s="27"/>
      <c r="O119" s="27"/>
      <c r="P119" s="76" t="s">
        <v>1124</v>
      </c>
      <c r="Q119" s="76" t="s">
        <v>1166</v>
      </c>
      <c r="R119" s="76" t="s">
        <v>1167</v>
      </c>
      <c r="S119" s="76" t="s">
        <v>1168</v>
      </c>
      <c r="T119" s="77" t="s">
        <v>676</v>
      </c>
      <c r="AJ119" s="58" t="str">
        <f t="shared" ca="1" si="60"/>
        <v xml:space="preserve"> </v>
      </c>
      <c r="AK119" s="60">
        <f t="shared" ca="1" si="58"/>
        <v>0</v>
      </c>
      <c r="AL119" s="29" t="str">
        <f t="shared" ca="1" si="59"/>
        <v xml:space="preserve"> </v>
      </c>
      <c r="CB119" s="35">
        <f t="shared" ca="1" si="57"/>
        <v>5</v>
      </c>
      <c r="CC119" s="36">
        <f ca="1">IF(BM20&gt;0,0,RAND())</f>
        <v>0</v>
      </c>
      <c r="CD119" s="29" t="s">
        <v>25</v>
      </c>
    </row>
    <row r="120" spans="2:82" x14ac:dyDescent="0.3">
      <c r="B120" s="78" t="str">
        <f ca="1">IF(P15="way of the four elements","Way of the Four Elements",IF(AND(O11="wizard",O12&gt;=20),"Signature Spell",IF(AND($O$11="paladin",$O$12&gt;=3),"Oath Spells",IF(AND($P$15="moon",$O$12&gt;=14),"Thousand Forms",IF($P$15="way of the shadow","Shadow Arts",IF(AND($O$11="druid",$P$15="land"),"Land Circle Spells",IF($O$11="cleric","Domain Spells",IF($O$11="bard","Magical Secrets",IF($P$15="path of the totem warrior","Totem Warrior Spells",IF(AND($O$11="warlock",$O$12&gt;=2),"Mystic Arcanum and Invocation",IF($P$15="arcane trickster","4th,8th,14th,20th non E&amp;I spells",IF($P$15="eldritch knight","4th,8th,14th,20th non A&amp;E spells"," "))))))))))))</f>
        <v xml:space="preserve"> </v>
      </c>
      <c r="C120" s="33"/>
      <c r="D120" s="33"/>
      <c r="E120" s="33"/>
      <c r="F120" s="33"/>
      <c r="G120" s="33"/>
      <c r="H120" s="33"/>
      <c r="I120" s="33"/>
      <c r="J120" s="33"/>
      <c r="K120" s="33"/>
      <c r="L120" s="33"/>
      <c r="M120" s="33"/>
      <c r="N120" s="33"/>
      <c r="O120" s="34">
        <v>1</v>
      </c>
      <c r="P120" s="33" t="str">
        <f ca="1">IF($O$16="pact of the tome",INDEX('Spell Tables'!$BD$19:$BD$37,MATCH(1,('Spell Tables'!$BB$19:$BB$37),0)),IF($P$15="way of the shadow","Minor Illusion (free)",IF($P$15="land",INDEX('Spell Tables'!P48:P55,MATCH(8,('Spell Tables'!N48:N55),0)),IF($P$15="nature",INDEX('Spell Tables'!P48:P55,MATCH(6,('Spell Tables'!N48:N55),0)),IF($P$15="light","Light",IF(AND($O$11="bard",AL191="c"),INDEX('Spell Tables'!$BD$2:$BD$16,MATCH(10,('Spell Tables'!$BB$2:$BB$16),0))," "))))))</f>
        <v xml:space="preserve"> </v>
      </c>
      <c r="Q120" s="33" t="str">
        <f ca="1">IF(COUNTIF(P18:P21,"*"&amp;"Fist of Four Thunders"&amp;"*"),"Thunderwave (2 ki)",IF(COUNTIF($O$18:$O$25,"*"&amp;"armor of shadows"&amp;"*"),"Mage Armor*",IF($P$15="oath of vengeance","Bane",IF($P$15="Oath of the Ancients","Ensnaring Strike",IF($P$15="Oath of Devotion","Protection from Good and Evil",IF(AND($P$15="war",$O$12&gt;=1),"Divine Favor",IF(AND($P$15="Trickery",$O$12&gt;=1),"Charm Person",IF(AND($P$15="tempest",$O$12&gt;=1),"Fog Cloud",IF(AND($P$15="nature",$O$12&gt;=1),"Animal Friendship",IF(AND($P$15="light",$O$12&gt;=1),"Burning Hands",IF($P$15="life","Bless",IF($P$15="knowledge","Command",IF(AND($O$11="bard",AL155=1),INDEX('Spell Tables'!$BH$2:$BH$41,MATCH($O$120,('Spell Tables'!$BF$2:$BF$41),0)),IF($P$15="arcane trickster",INDEX('Spell Tables'!$X$141:$X$163,MATCH(O120,('Spell Tables'!$V$141:$V$163),0)),IF($P$15="path of the totem warrior","Speak with Animals (as ritual)",IF($P$15="eldritch knight",INDEX('Spell Tables'!$X$70:$X$90,MATCH($O$120,('Spell Tables'!$V$70:$V$90),0))," "))))))))))))))))</f>
        <v xml:space="preserve"> </v>
      </c>
      <c r="R120" s="33" t="str">
        <f ca="1">IF(COUNTIF(P18:P21,"*"&amp;"Clench of the North Wind"&amp;"*"),"Hold Person (3 ki)",IF(COUNTIF(P18:P21,"*"&amp;"Clench of the North Wind"&amp;"*"),"Hold Person (3 ki)",IF(COUNTIF(O18:O25,"*"&amp;"ascendant step"&amp;"*"),"Levitate*",IF(AND(P15="oath of vengeance",O12&gt;=5),"Hold Person",IF(AND(P15="Oath of the Ancients",O12&gt;=5),"Moonbeam",IF(AND(P15="Oath of Devotion",O12&gt;=5),"Lesser Restoration",IF(AND(P15="moon",O12&gt;=14),"Alter Self",IF(P15="Way of the Shadow","Darkness",IF(AND($P$20="Underdark",$O$12&gt;=3),"Spider Climb",IF(AND($P$20="Swamp",$O$12&gt;=3),"Darkness",IF(AND($P$20="Mountain",$O$12&gt;=3),"Spider Climb",IF(AND($P$20="Grassland",$O$12&gt;=3),"Invisibility",IF(AND($P$20="Forest",$O$12&gt;=3),"Barkskin",IF(AND($P$20="Desert",$O$12&gt;=3),"Blur",IF(AND($P$20="Coast",$O$12&gt;=3),"Mirror Image",IF(AND($P$20="arctic",$O$12&gt;=3),"Hold Person",IF(AND(P15="war",O12&gt;=3),"Magic Weapon",IF(AND(P15="Trickery",O12&gt;=3),"Mirror Image",IF(AND(P15="tempest",O12&gt;=3),"Gust of Wind",IF(AND(P15="nature",O12&gt;=3),"Barkskin",IF(AND(P15="light",O12&gt;=3),"Flaming Sphere",IF(AND(P15="Life",O12&gt;=3),"Lesser Restoration",IF(AND(P15="knowledge",O12&gt;=3),"Augury",IF(AND(O11="bard",AL155=2),INDEX('Spell Tables'!BL2:BL37,MATCH(O120,('Spell Tables'!BJ2:BJ37),0)),IF(P15="path of the totem warrior","Beast Sense (as ritual)",IF(AND(P15="eldritch knight",O12&gt;=8),INDEX('Spell Tables'!AF70:AF94,MATCH(#REF!,('Spell Tables'!AD70:AD94),0)),IF(AND(P15="arcane trickster",O12&gt;=8),INDEX('Spell Tables'!AF141:AF165,MATCH(#REF!,('Spell Tables'!AD141:AD165),0))," ")))))))))))))))))))))))))))</f>
        <v xml:space="preserve"> </v>
      </c>
      <c r="S120" s="33" t="str">
        <f ca="1">IF(COUNTIF(P18:P21,"*"&amp;"Mist Stance"&amp;"*"),"Gaseous Form (4 ki)",IF(AND($O$11="wizard",O12&gt;=20),INDEX('Spell Tables'!$AB$242:$AB$270,MATCH(29,('Spell Tables'!$Z$242:$Z$270),0)),IF(COUNTIF(O18:O25,"*"&amp;"mire the mind"&amp;"*"),"Slow**",IF(AND(P15="oath of vengeance",O12&gt;=9),"Haste",IF(AND(P15="Oath of the Ancients",O12&gt;=9),"Plant Growth",IF(AND(P15="Oath of Devotion",O12&gt;=9),"Beacon of Hope",IF(AND($P$20="Underdark",$O$12&gt;=5),"Gaseous Form",IF(AND($P$20="Swamp",$O$12&gt;=5),"Water Walk",IF(AND($P$20="Mountain",$O$12&gt;=5),"Lightning Bolt",IF(AND($P$20="Grassland",$O$12&gt;=5),"Daylight",IF(AND($P$20="Forest",$O$12&gt;=5),"Call Lightning",IF(AND($P$20="Desert",$O$12&gt;=5),"Create Food and Water",IF(AND($P$20="Coast",$O$12&gt;=5),"Water Breathing",IF(AND($P$20="arctic",$O$12&gt;=5),"Sleet Storm",IF(AND(P15="war",O12&gt;=5),"Crusader's Mantle",IF(AND(P15="trickery",O12&gt;=5),"Blink",IF(AND(P15="tempest",O12&gt;=5),"Call Lightning",IF(AND(P15="nature",O12&gt;=5),"Plant Growth",IF(AND(P15="light",O12&gt;=5),"Daylight",IF(AND(P15="life",O12&gt;=5),"Beacon of Hope",IF(AND(P15="knowledge",O12&gt;=5),"Nondetection",IF(AND(O11="bard",AL155=3),INDEX('Spell Tables'!BP2:BP35,MATCH(O120,('Spell Tables'!BN2:BN35),0)),IF(AND(P15="arcane trickster",O12&gt;=14),INDEX('Spell Tables'!AN141:AN165,MATCH(O120,('Spell Tables'!AL141:AL165),0)),IF(AND(P15="eldritch knight",O12&gt;=14),INDEX('Spell Tables'!AN70:AN88,MATCH(O120,('Spell Tables'!AL70:AL88),0))," "))))))))))))))))))))))))</f>
        <v xml:space="preserve"> </v>
      </c>
      <c r="T120" s="72" t="str">
        <f ca="1">IF(COUNTIF(P18:P21,"*"&amp;"Eternal Mountain Defense"&amp;"*"),"Stoneskin (5 ki)",IF(COUNTIF(O18:O25,"*"&amp;"bewitching whispers"&amp;"*"),"Compulsion**",IF(AND(P15="oath of vengeance",O12&gt;=13),"Banishment",IF(AND(P15="Oath of the Ancients",O12&gt;=13),"Ice Storm",IF(AND(P15="Oath of Devotion",O12&gt;=13),"Freedom of Movement",IF(AND($P$20="Underdark",$O$12&gt;=7),"Greater Invisibility",IF(AND($P$20="Swamp",$O$12&gt;=7),"Freedom of Movement",IF(AND($P$20="Mountain",$O$12&gt;=7),"Stone Shape",IF(AND($P$20="Grassland",$O$12&gt;=7),"Divination",IF(AND($P$20="Forest",$O$12&gt;=7),"Divination",IF(AND($P$20="Desert",$O$12&gt;=7),"Blight",IF(AND($P$20="Coast",$O$12&gt;=7),"Control Water",IF(AND($P$20="arctic",$O$12&gt;=7),"Freedom of Movement",IF(AND(P15="war",O12&gt;=7),"Freedom of Movement",IF(AND(P15="trickery",O12&gt;=7),"Dimension Door",IF(AND(P15="tempest",O12&gt;=7),"Control Water",IF(AND(P15="nature",O12&gt;=7),"Dominate Beast",IF(AND(P15="light",O12&gt;=7),"Guardian of Faith",IF(AND(P15="life",O12&gt;=7),"Death Ward",IF(AND(P15="knowledge",O12&gt;=7),"Arcane Eye",IF(AND(O11="bard",AL155=4),INDEX('Spell Tables'!BT2:BT29,MATCH(O120,('Spell Tables'!BR2:BR29),0)),IF(AND(P15="arcane trickster",O12&gt;=20),INDEX('Spell Tables'!AV141:AV159,MATCH(O120,('Spell Tables'!AT141:AT159),0)),IF(AND(P15="eldritch knight",O12&gt;=20),INDEX('Spell Tables'!AV70:AV86,MATCH(O120,('Spell Tables'!AT70:AT86),0))," ")))))))))))))))))))))))</f>
        <v xml:space="preserve"> </v>
      </c>
      <c r="AJ120" s="58" t="str">
        <f t="shared" ca="1" si="60"/>
        <v xml:space="preserve"> </v>
      </c>
      <c r="AK120" s="60">
        <f t="shared" ca="1" si="58"/>
        <v>0</v>
      </c>
      <c r="AL120" s="29" t="str">
        <f t="shared" ca="1" si="59"/>
        <v xml:space="preserve"> </v>
      </c>
    </row>
    <row r="121" spans="2:82" x14ac:dyDescent="0.3">
      <c r="B121" s="79" t="str">
        <f ca="1">IF(P15="way of the four elements","Elemental Disciplines - cost Ki",IF(AND(O11="wizard",O12&gt;=20),"Always Prepared",IF(AND($O$11="warlock",$O$12&gt;=2),"* = at will - no slot use",IF($P$15="land",$P$20," "))))</f>
        <v xml:space="preserve"> </v>
      </c>
      <c r="C121" s="33"/>
      <c r="D121" s="33"/>
      <c r="E121" s="33"/>
      <c r="F121" s="33"/>
      <c r="G121" s="33"/>
      <c r="H121" s="33"/>
      <c r="I121" s="33"/>
      <c r="J121" s="33"/>
      <c r="K121" s="33"/>
      <c r="L121" s="33"/>
      <c r="M121" s="33"/>
      <c r="N121" s="33"/>
      <c r="O121" s="34">
        <v>2</v>
      </c>
      <c r="P121" s="33" t="str">
        <f ca="1">IF($O$16="pact of the tome",INDEX('Spell Tables'!$BD$19:$BD$37,MATCH(2,('Spell Tables'!$BB$19:$BB$37),0)),IF(AND($O$11="bard",AL192="c"),INDEX('Spell Tables'!$BD$2:$BD$16,MATCH(11,('Spell Tables'!$BB$2:$BB$16),0))," "))</f>
        <v xml:space="preserve"> </v>
      </c>
      <c r="Q121" s="33" t="str">
        <f ca="1">IF(COUNTIF(P18:P21,"*"&amp;"Sweeping Cinder Strike"&amp;"*"),"Burning Hands (2 ki)",IF(COUNTIF(O18:O25,"*"&amp;"beast speech"&amp;"*"),"Speak with Animals*",IF(P15="Oath of the Ancients","Speak with Animals",IF(P15="Oath of vengeance","Hunter's Mark",IF(P15="Oath of Devotion","Sanctuary",IF(AND(P15="war",O12&gt;=1),"Shield of Faith",IF(AND(P15="trickery",O12&gt;=1),"Disguise Self",IF(AND(P15="tempest",O12&gt;=1),"Thunderwave",IF(AND(P15="Nature",O12&gt;=1),"Speak with Animals",IF(AND(P15="light",O12&gt;=1),"Faerie Fire",IF(P15="life","Cure Wounds",IF(P15="knowledge","Identify",IF(AND($O$11="bard",AL156=1),INDEX('Spell Tables'!$BH$2:$BH$41,MATCH(O121,('Spell Tables'!$BF$2:$BF$41),0))," ")))))))))))))</f>
        <v xml:space="preserve"> </v>
      </c>
      <c r="R121" s="33" t="str">
        <f ca="1">IF(COUNTIF(P18:P21,"*"&amp;"Gong of the Summit"&amp;"*"),"Shatter (3 ki)",IF(COUNTIF(O18:O25,"*"&amp;"master of myriad forms"&amp;"*"),"Alter Self*",IF(AND(P15="oath of vengeance",O12&gt;=5),"Misty Step",IF(AND(P15="Oath of the Ancients",O12&gt;=5),"Misty Step",IF(AND(P15="Oath of Devotion",O12&gt;=5),"Zone of Truth",IF(P15="way of the shadow","Darkvision",IF(AND($P$20="Underdark",$O$12&gt;=3),"Web",IF(AND($P$20="Swamp",$O$12&gt;=3),"Melf's Acid Arrow",IF(AND($P$20="Mountain",$O$12&gt;=3),"Spike Growth",IF(AND($P$20="Grassland",$O$12&gt;=3),"Pass Without Trace",IF(AND($P$20="Forest",$O$12&gt;=3),"Spider Climb",IF(AND($P$20="Desert",$O$12&gt;=3),"Silence",IF(AND($P$20="Coast",$O$12&gt;=3),"Misty Step",IF(AND($P$20="arctic",$O$12&gt;=3),"Spike Growth",IF(AND(P15="war",O12&gt;=3),"Spiritual Weapon",IF(AND(P15="trickery",O12&gt;=3),"Pass Without Trace",IF(AND(P15="tempest",O12&gt;=3),"Shatter",IF(AND(P15="nature",O12&gt;=3),"Spike Growth",IF(AND(P15="light",O12&gt;=3),"Scorching Ray",IF(AND(P15="life",O12&gt;=3),"Spiritual Weapon",IF(AND(P15="knowledge",O12&gt;=3),"Suggestion",IF(AND($O$11="bard",AL156=2),INDEX('Spell Tables'!$BL$2:$BL$37,MATCH(O121,('Spell Tables'!$BJ$2:$BJ$37),0))," "))))))))))))))))))))))</f>
        <v xml:space="preserve"> </v>
      </c>
      <c r="S121" s="33" t="str">
        <f ca="1">IF(COUNTIF(P18:P21,"*"&amp;"Ride the Wind"&amp;"*"),"Fly (4 ki)",IF(AND($O$11="wizard",O12&gt;=20),INDEX('Spell Tables'!$AB$242:$AB$270,MATCH(28,('Spell Tables'!$Z$242:$Z$270),0)),IF(COUNTIF(O18:O25,"*"&amp;"sign of ill omen"&amp;"*"),"Bestow Curse**",IF(AND(P15="oath of vengeance",O12&gt;=9),"Protection from Energy",IF(AND(P15="Oath of the Ancients",O12&gt;=9),"Protection from Energy",IF(AND(P15="Oath of Devotion",O12&gt;=9),"Dispel Magic",IF(AND($P$20="Underdark",$O$12&gt;=5),"Stinking Cloud",IF(AND($P$20="Swamp",$O$12&gt;=5),"Stinking Cloud",IF(AND($P$20="Mountain",$O$12&gt;=5),"Meld Into Stone",IF(AND($P$20="Grassland",$O$12&gt;=5),"Haste",IF(AND($P$20="Forest",$O$12&gt;=5),"Plant Growth",IF(AND($P$20="Desert",$O$12&gt;=5),"Protection from Energy",IF(AND($P$20="Coast",$O$12&gt;=5),"Water Walk",IF(AND($P$20="arctic",$O$12&gt;=5),"Slow",IF(AND(P15="war",O12&gt;=5),"Spirit Guardians",IF(AND(P15="trickery",O12&gt;=5),"Dispel Magic",IF(AND(P15="Tempest",O12&gt;=5),"Sleet Storm",IF(AND(P15="nature",O12&gt;=5),"Wind Wall",IF(AND(P15="light",O12&gt;=5),"Fireball",IF(AND(P15="life",O12&gt;=5),"Revivify",IF(AND(P15="knowledge",O12&gt;=5),"Speak with Dead",IF(AND($O$11="bard",AL156=3),INDEX('Spell Tables'!$BP$2:$BP$35,MATCH(O121,('Spell Tables'!$BN$2:$BN$35),0))," "))))))))))))))))))))))</f>
        <v xml:space="preserve"> </v>
      </c>
      <c r="T121" s="72" t="str">
        <f ca="1">IF(COUNTIF(P18:P21,"*"&amp;"River of Hungry Flame"&amp;"*"),"Wall of Fire (5 ki)",IF(COUNTIF(O18:O25,"*"&amp;"Dreadful word"&amp;"*"),"Confusion**",IF(AND(P15="oath of vengeance",O12&gt;=13),"Dimension Door",IF(AND(P15="Oath of the Ancients",O12&gt;=13),"Stoneskin",IF(AND(P15="Oath of Devotion",O12&gt;=13),"Guardian of Faith",IF(AND($P$20="Underdark",$O$12&gt;=7),"Stone Shape",IF(AND($P$20="Swamp",$O$12&gt;=7),"Locate Creature",IF(AND($P$20="Mountain",$O$12&gt;=7),"Stonekin",IF(AND($P$20="Grassland",$O$12&gt;=7),"Freedom of Movement",IF(AND($P$20="Forest",$O$12&gt;=7),"Freedom of Movement",IF(AND($P$20="Desert",$O$12&gt;=7),"Hallucinatory Terrain",IF(AND($P$20="Coast",$O$12&gt;=7),"Freedom of Movement",IF(AND($P$20="arctic",$O$12&gt;=7),"Ice Storm",IF(AND(P15="war",O12&gt;=7),"Stoneskin",IF(AND(P15="trickery",O12&gt;=7),"Polymorph",IF(AND(P15="tempest",O12&gt;=7),"Ice Storm",IF(AND(P15="nature",O12&gt;=7),"Grasping Vine",IF(AND(P15="light",O12&gt;=7),"Wall of Fire",IF(AND(P15="life",O12&gt;=7),"Guardian of Faith",IF(AND(P15="knowledge",O12&gt;=7),"Confusion",IF(AND($O$11="bard",AL156=4),INDEX('Spell Tables'!$BT$2:$BT$29,MATCH(O121,('Spell Tables'!$BR$2:$BR$29),0))," ")))))))))))))))))))))</f>
        <v xml:space="preserve"> </v>
      </c>
      <c r="AJ121" s="58" t="str">
        <f t="shared" ca="1" si="60"/>
        <v xml:space="preserve"> </v>
      </c>
      <c r="AK121" s="60">
        <f t="shared" ca="1" si="58"/>
        <v>0</v>
      </c>
      <c r="AL121" s="29" t="str">
        <f t="shared" ca="1" si="59"/>
        <v xml:space="preserve"> </v>
      </c>
    </row>
    <row r="122" spans="2:82" x14ac:dyDescent="0.3">
      <c r="B122" s="79" t="str">
        <f ca="1">IF(AND(O11="wizard",O12&gt;=20),"Cast once at 3rd level - no slot use",IF(AND($O$11="warlock",$O$12&gt;=2),"** = once per long rest - uses slot",IF(AND($O$11="paladin",$O$12&gt;=3),"Free Preparation",IF(AND($P$15="moon",$O$12&gt;=14),"At Will",IF($P$15="way of the shadow","Cost 2 Ki Points",IF(OR($P$15="land",$O$11="cleric"),"Free Preparation",IF(AND($O$11="bard",$O$12&gt;=10),"Count Toward Known"," ")))))))</f>
        <v xml:space="preserve"> </v>
      </c>
      <c r="C122" s="33"/>
      <c r="D122" s="33"/>
      <c r="E122" s="33"/>
      <c r="F122" s="33"/>
      <c r="G122" s="33"/>
      <c r="H122" s="33"/>
      <c r="I122" s="33"/>
      <c r="J122" s="33"/>
      <c r="K122" s="33"/>
      <c r="L122" s="33"/>
      <c r="M122" s="33"/>
      <c r="N122" s="33"/>
      <c r="O122" s="34">
        <v>3</v>
      </c>
      <c r="P122" s="33" t="str">
        <f ca="1">IF($O$16="pact of the tome",INDEX('Spell Tables'!$BD$19:$BD$37,MATCH(3,('Spell Tables'!$BB$19:$BB$37),0))," ")</f>
        <v xml:space="preserve"> </v>
      </c>
      <c r="Q122" s="29" t="str">
        <f ca="1">IF(COUNTIF(O18:O25,"*"&amp;"eldritch sight"&amp;"*"),"Detect Magic*",IF(AND($O$11="bard",AL191=1),INDEX('Spell Tables'!$BH$2:$BH$41,MATCH(O122,('Spell Tables'!$BF$2:$BF$41),0))," "))</f>
        <v xml:space="preserve"> </v>
      </c>
      <c r="R122" s="33" t="str">
        <f ca="1">IF(COUNTIF(P18:P21,"*"&amp;"Rush of the Gale Spirits"&amp;"*"),"Gust of Wind (2 ki)",IF(P15="way of the shadow","Pass Without Trace",IF(AND($O$11="bard",AL191=2),INDEX('Spell Tables'!$BL$2:$BL$37,MATCH(O122,('Spell Tables'!$BJ$2:$BJ$37),0))," ")))</f>
        <v xml:space="preserve"> </v>
      </c>
      <c r="S122" s="33" t="str">
        <f ca="1">IF(COUNTIF(O18:O25,"*"&amp;"whispers of the grave"&amp;"*"),"Speak with Dead*",IF(AND($O$11="bard",AL191=3),INDEX('Spell Tables'!$BP$2:$BP$35,MATCH(O122,('Spell Tables'!$BN$2:$BN$35),0))," "))</f>
        <v xml:space="preserve"> </v>
      </c>
      <c r="T122" s="72" t="str">
        <f ca="1">IF(COUNTIF(O18:O25,"*"&amp;"Sculptor of Flesh"&amp;"*"),"Polymorph**"," ")</f>
        <v xml:space="preserve"> </v>
      </c>
      <c r="AJ122" s="58" t="str">
        <f t="shared" ca="1" si="60"/>
        <v xml:space="preserve"> </v>
      </c>
      <c r="AK122" s="60">
        <f t="shared" ca="1" si="58"/>
        <v>0</v>
      </c>
      <c r="AL122" s="29" t="str">
        <f t="shared" ca="1" si="59"/>
        <v xml:space="preserve"> </v>
      </c>
    </row>
    <row r="123" spans="2:82" x14ac:dyDescent="0.3">
      <c r="B123" s="79" t="str">
        <f ca="1">IF(AND($O$11="warlock",$O$12&gt;=2),"6th level and up = *"," ")</f>
        <v xml:space="preserve"> </v>
      </c>
      <c r="O123" s="81">
        <v>4</v>
      </c>
      <c r="Q123" s="29" t="str">
        <f ca="1">IF(COUNTIF(O18:O25,"*"&amp;"fiendish vigor"&amp;"*"),"False Life*",IF(AND($O$11="bard",AL192=1),INDEX('Spell Tables'!$BH$2:$BH$41,MATCH(O123,('Spell Tables'!$BF$2:$BF$41),0))," "))</f>
        <v xml:space="preserve"> </v>
      </c>
      <c r="R123" s="29" t="str">
        <f ca="1">IF(P15="way of the shadow","Silence",IF(AND($O$11="bard",AL192=2),INDEX('Spell Tables'!$BL$2:$BL$37,MATCH(O123,('Spell Tables'!$BJ$2:$BJ$37),0))," "))</f>
        <v xml:space="preserve"> </v>
      </c>
      <c r="S123" s="29" t="str">
        <f ca="1">IF(AND($O$11="bard",AL192=3),INDEX('Spell Tables'!$BP$2:$BP$35,MATCH(O123,('Spell Tables'!$BN$2:$BN$35),0))," ")</f>
        <v xml:space="preserve"> </v>
      </c>
      <c r="T123" s="72" t="str">
        <f ca="1">IF(COUNTIF(O18:O25,"*"&amp;"visions of distant realms"&amp;"*"),"Arcane Eye*"," ")</f>
        <v xml:space="preserve"> </v>
      </c>
      <c r="AJ123" s="58" t="str">
        <f t="shared" ca="1" si="60"/>
        <v xml:space="preserve"> </v>
      </c>
      <c r="AK123" s="60">
        <f t="shared" ca="1" si="58"/>
        <v>0</v>
      </c>
      <c r="AL123" s="29" t="str">
        <f t="shared" ca="1" si="59"/>
        <v xml:space="preserve"> </v>
      </c>
    </row>
    <row r="124" spans="2:82" x14ac:dyDescent="0.3">
      <c r="B124" s="79"/>
      <c r="O124" s="81">
        <v>5</v>
      </c>
      <c r="Q124" s="29" t="str">
        <f ca="1">IF(COUNTIF(O18:O25,"*"&amp;"Mask of many faces"&amp;"*"),"Disguise Self*","")</f>
        <v/>
      </c>
      <c r="T124" s="72"/>
      <c r="AJ124" s="58" t="str">
        <f t="shared" ca="1" si="60"/>
        <v xml:space="preserve"> </v>
      </c>
      <c r="AK124" s="60">
        <f t="shared" ca="1" si="58"/>
        <v>0</v>
      </c>
      <c r="AL124" s="29" t="str">
        <f t="shared" ca="1" si="59"/>
        <v xml:space="preserve"> </v>
      </c>
    </row>
    <row r="125" spans="2:82" x14ac:dyDescent="0.3">
      <c r="B125" s="79"/>
      <c r="O125" s="81">
        <v>6</v>
      </c>
      <c r="Q125" s="29" t="str">
        <f ca="1">IF(COUNTIF(O18:O25,"*"&amp;"misty vision"&amp;"*"),"Silent Image*"," " )</f>
        <v xml:space="preserve"> </v>
      </c>
      <c r="T125" s="72"/>
      <c r="AJ125" s="58" t="str">
        <f t="shared" ca="1" si="60"/>
        <v xml:space="preserve"> </v>
      </c>
      <c r="AK125" s="60">
        <f t="shared" ca="1" si="58"/>
        <v>0</v>
      </c>
      <c r="AL125" s="29" t="str">
        <f t="shared" ca="1" si="59"/>
        <v xml:space="preserve"> </v>
      </c>
    </row>
    <row r="126" spans="2:82" x14ac:dyDescent="0.3">
      <c r="B126" s="79"/>
      <c r="O126" s="81">
        <v>7</v>
      </c>
      <c r="Q126" s="29" t="str">
        <f ca="1">IF(COUNTIF(O18:O25,"*"&amp;"otherworldly leap"&amp;"*"),"Jump*"," ")</f>
        <v xml:space="preserve"> </v>
      </c>
      <c r="T126" s="72"/>
    </row>
    <row r="127" spans="2:82" x14ac:dyDescent="0.3">
      <c r="B127" s="79"/>
      <c r="O127" s="81">
        <v>8</v>
      </c>
      <c r="Q127" s="29" t="str">
        <f ca="1">IF(COUNTIF(O18:O25,"*"&amp;"Thief of five fates"&amp;"*"),"Bane**"," ")</f>
        <v xml:space="preserve"> </v>
      </c>
      <c r="T127" s="72"/>
      <c r="AJ127" s="31" t="s">
        <v>677</v>
      </c>
    </row>
    <row r="128" spans="2:82" x14ac:dyDescent="0.3">
      <c r="B128" s="79" t="str">
        <f ca="1">IF(AND($O$16="pact of the tome",COUNTIF($O$13:$O$13,"*"&amp;"book of ancient secrets"&amp;"*")),"Book of Ancient Secrets"," ")</f>
        <v xml:space="preserve"> </v>
      </c>
      <c r="O128" s="81">
        <v>9</v>
      </c>
      <c r="Q128" s="29" t="str">
        <f ca="1">IF(AND(O16="pact of the tome",COUNTIF(O18:O25,"*"&amp;"book of ancient secrets"&amp;"*")),INDEX('Spell Tables'!BD40:BD46,MATCH(1,('Spell Tables'!BB40:BB46),0))," ")</f>
        <v xml:space="preserve"> </v>
      </c>
      <c r="T128" s="72"/>
      <c r="AJ128" s="58" t="str">
        <f ca="1">IF(AK128=0," ",_xlfn.RANK.EQ(AK128,$AK$128:$AK$137))</f>
        <v xml:space="preserve"> </v>
      </c>
      <c r="AK128" s="60">
        <f t="shared" ref="AK128:AK137" ca="1" si="61">IF(AL128=" ", 0,RAND())</f>
        <v>0</v>
      </c>
      <c r="AL128" s="29" t="str">
        <f t="shared" ref="AL128:AL137" ca="1" si="62">S334</f>
        <v xml:space="preserve"> </v>
      </c>
    </row>
    <row r="129" spans="1:38" ht="19.5" thickBot="1" x14ac:dyDescent="0.35">
      <c r="B129" s="80" t="str">
        <f ca="1">IF($O$16="pact of the chain",$O$16,IF(OR(P129="minor illusion",S129="animate dead",T129="polymorph"),"School Spells - in Spellbook"," "))</f>
        <v xml:space="preserve"> </v>
      </c>
      <c r="C129" s="38"/>
      <c r="D129" s="38"/>
      <c r="E129" s="38"/>
      <c r="F129" s="38"/>
      <c r="G129" s="38"/>
      <c r="H129" s="38"/>
      <c r="I129" s="38"/>
      <c r="J129" s="38"/>
      <c r="K129" s="38"/>
      <c r="L129" s="38"/>
      <c r="M129" s="38"/>
      <c r="N129" s="38"/>
      <c r="O129" s="82">
        <v>10</v>
      </c>
      <c r="P129" s="38" t="str">
        <f ca="1">IF(AND(P15="school of Illusion",COUNTIF(P315:P324,"*"&amp;"Minor Illusion"&amp;"*"))," ",IF(P15="school of illusion","Minor Illusion"," "))</f>
        <v xml:space="preserve"> </v>
      </c>
      <c r="Q129" s="38" t="str">
        <f ca="1">IF(AND(O16="pact of the tome",COUNTIF(O18:O25,"*"&amp;"book of ancient secrets"&amp;"*")),INDEX('Spell Tables'!BD40:BD46,MATCH(2,('Spell Tables'!BB40:BB46),0)),IF(O16="pact of the chain","Find Familiar (as ritual)"," "))</f>
        <v xml:space="preserve"> </v>
      </c>
      <c r="R129" s="38"/>
      <c r="S129" s="38" t="str">
        <f ca="1">IF(AND(P15="school of necromancy",O12&gt;=6,COUNTIF(S315:S324,"*"&amp;"Animate Dead"&amp;"*"))," ",IF(AND(P15="school of necromancy",O12&gt;=6),"Animate Dead"," "))</f>
        <v xml:space="preserve"> </v>
      </c>
      <c r="T129" s="73" t="str">
        <f ca="1">IF(AND(P15="school of transmutation",O12&gt;=10,COUNTIF(T315:T324,"*"&amp;"Polymorph"&amp;"*"))," ",IF(AND(P15="school of transmutation",O12&gt;=6),"Polymorph"," "))</f>
        <v xml:space="preserve"> </v>
      </c>
      <c r="AJ129" s="58" t="str">
        <f t="shared" ref="AJ129:AJ137" ca="1" si="63">IF(AK129=0," ",_xlfn.RANK.EQ(AK129,$AK$128:$AK$137))</f>
        <v xml:space="preserve"> </v>
      </c>
      <c r="AK129" s="60">
        <f t="shared" ca="1" si="61"/>
        <v>0</v>
      </c>
      <c r="AL129" s="29" t="str">
        <f t="shared" ca="1" si="62"/>
        <v xml:space="preserve"> </v>
      </c>
    </row>
    <row r="130" spans="1:38" x14ac:dyDescent="0.3">
      <c r="A130" s="33"/>
      <c r="B130" s="27"/>
      <c r="AJ130" s="58" t="str">
        <f t="shared" ca="1" si="63"/>
        <v xml:space="preserve"> </v>
      </c>
      <c r="AK130" s="60">
        <f t="shared" ca="1" si="61"/>
        <v>0</v>
      </c>
      <c r="AL130" s="29" t="str">
        <f t="shared" ca="1" si="62"/>
        <v xml:space="preserve"> </v>
      </c>
    </row>
    <row r="131" spans="1:38" ht="19.5" thickBot="1" x14ac:dyDescent="0.35">
      <c r="A131" s="131"/>
      <c r="B131" s="33"/>
      <c r="O131" s="38"/>
      <c r="AJ131" s="58" t="str">
        <f t="shared" ca="1" si="63"/>
        <v xml:space="preserve"> </v>
      </c>
      <c r="AK131" s="60">
        <f t="shared" ca="1" si="61"/>
        <v>0</v>
      </c>
      <c r="AL131" s="29" t="str">
        <f t="shared" ca="1" si="62"/>
        <v xml:space="preserve"> </v>
      </c>
    </row>
    <row r="132" spans="1:38" x14ac:dyDescent="0.3">
      <c r="A132" s="131"/>
      <c r="B132" s="129"/>
      <c r="O132" s="132"/>
      <c r="P132" s="76" t="s">
        <v>1169</v>
      </c>
      <c r="Q132" s="76" t="s">
        <v>1170</v>
      </c>
      <c r="R132" s="76" t="s">
        <v>1171</v>
      </c>
      <c r="S132" s="76" t="s">
        <v>677</v>
      </c>
      <c r="T132" s="77" t="s">
        <v>1172</v>
      </c>
      <c r="AJ132" s="58" t="str">
        <f t="shared" ca="1" si="63"/>
        <v xml:space="preserve"> </v>
      </c>
      <c r="AK132" s="60">
        <f t="shared" ca="1" si="61"/>
        <v>0</v>
      </c>
      <c r="AL132" s="29" t="str">
        <f t="shared" ca="1" si="62"/>
        <v xml:space="preserve"> </v>
      </c>
    </row>
    <row r="133" spans="1:38" x14ac:dyDescent="0.3">
      <c r="A133" s="131"/>
      <c r="B133" s="129"/>
      <c r="O133" s="86">
        <v>1</v>
      </c>
      <c r="P133" s="65" t="str">
        <f ca="1">IF(COUNTIF(P18:P21,"*"&amp;"Breath of Winter"&amp;"*"),"Cone of Cold (6 ki)",IF(COUNTIF(O18:O25,"*"&amp;"chains of carceri"&amp;"*"),"Hold Monster**(c,f,e only)",IF(AND(P15="oath of vengeance",O12&gt;=17),"Hold Monster",IF(AND(P15="Oath of the Ancients",O12&gt;=17),"Commune with Nature",IF(AND(P15="Oath of Devotion",O12&gt;=17),"Commune",IF(AND($P$20="Underdark",$O$12&gt;=9),"Cloudkill",IF(AND($P$20="Swamp",$O$12&gt;=9),"Insect Plague",IF(AND($P$20="Mountain",$O$12&gt;=9),"Passwall",IF(AND($P$20="Grassland",$O$12&gt;=9),"Dream",IF(AND($P$20="Forest",$O$12&gt;=9),"Commune with Nature",IF(AND($P$20="Desert",$O$12&gt;=9),"Insect Plague",IF(AND($P$20="Coast",$O$12&gt;=9),"Conjure Elemental",IF(AND($P$20="arctic",$O$12&gt;=9),"Commune with Nature",IF(AND($P$15="war",$O$12&gt;=9),"Flame Strike",IF(AND($P$15="trickery",$O$12&gt;=9),"Dominate Person",IF(AND($P$15="tempest",$O$12&gt;=9),"Destructive Wave",IF(AND($P$15="nature",$O$12&gt;=9),"Insect Plague",IF(AND(P15="light",O12&gt;=9),"Flame Strike",IF(AND(P15="life",O12&gt;=9),"Mass Cure Wounds",IF(AND(P15="knowledge",O12&gt;=9),"Legend Lore",IF(AND(O11="bard",AL156=5),INDEX('Spell Tables'!BX2:BX24,MATCH(O120,('Spell Tables'!BV2:BV24),0)),IF(AND(P15="path of the totem warrior",O12&gt;=10),"Commune with Nature (as ritual)"," "))))))))))))))))))))))</f>
        <v xml:space="preserve"> </v>
      </c>
      <c r="Q133" s="65" t="str">
        <f ca="1">IF(AND(O11="bard",AL167=6),INDEX('Spell Tables'!CB2:CB27,MATCH(O120,('Spell Tables'!BZ2:BZ27),0)),IF(AND($O$11="warlock",$O$12&gt;=11),INDEX('Spell Tables'!AN194:AN201,MATCH(1,('Spell Tables'!AL194:AL201),0))," "))</f>
        <v xml:space="preserve"> </v>
      </c>
      <c r="R133" s="65" t="str">
        <f ca="1">IF(AND(O11="bard",AL167=7),INDEX('Spell Tables'!CF2:CF11,MATCH(O120,('Spell Tables'!CD2:CD11),0)),IF(AND($O$11="warlock",$O$12&gt;=13),INDEX('Spell Tables'!AR194:AR197,MATCH(1,('Spell Tables'!AP194:AP197),0))," "))</f>
        <v xml:space="preserve"> </v>
      </c>
      <c r="S133" s="65" t="str">
        <f ca="1">IF(AND(O11="bard",AL179=8),INDEX('Spell Tables'!CJ2:CJ14,MATCH(O120,('Spell Tables'!CH2:CH14),0)),IF(AND($O$11="warlock",$O$12&gt;=15),INDEX('Spell Tables'!AV194:AV198,MATCH(1,('Spell Tables'!AT194:AT198),0))," "))</f>
        <v xml:space="preserve"> </v>
      </c>
      <c r="T133" s="66" t="str">
        <f ca="1">IF(AND(O11="bard",AL180=9),INDEX('Spell Tables'!CN2:CN11,MATCH(O120,('Spell Tables'!CL2:CL11),0)),IF(AND($O$11="warlock",$O$12&gt;=17),INDEX('Spell Tables'!AZ194:AZ198,MATCH(1,('Spell Tables'!AX194:AX198),0))," "))</f>
        <v xml:space="preserve"> </v>
      </c>
      <c r="AJ133" s="58" t="str">
        <f t="shared" ca="1" si="63"/>
        <v xml:space="preserve"> </v>
      </c>
      <c r="AK133" s="60">
        <f t="shared" ca="1" si="61"/>
        <v>0</v>
      </c>
      <c r="AL133" s="29" t="str">
        <f t="shared" ca="1" si="62"/>
        <v xml:space="preserve"> </v>
      </c>
    </row>
    <row r="134" spans="1:38" x14ac:dyDescent="0.3">
      <c r="A134" s="131"/>
      <c r="B134" s="129"/>
      <c r="O134" s="133">
        <v>2</v>
      </c>
      <c r="P134" s="60" t="str">
        <f ca="1">IF(COUNTIF(P18:P21,"*"&amp;"Wave of Rolling Earth"&amp;"*"),"Wall of Stone (6 ki)",IF(COUNTIF(O18:O25,"*"&amp;"minions of chaos"&amp;"*"),"Conjure Elemental**",IF(AND(P15="oath of vengeance",O12&gt;=17),"Scrying",IF(AND(P15="Oath of the Ancients",O12&gt;=17),"Tree Stride",IF(AND(P15="Oath of Devotion",O12&gt;=17),"Flame Strike",IF(AND($P$20="Underdark",$O$12&gt;=9),"Insect Plague",IF(AND($P$20="Swamp",$O$12&gt;=9),"Scrying",IF(AND($P$20="Mountain",$O$12&gt;=9),"Wall of Stone",IF(AND($P$20="Grassland",$O$12&gt;=9),"Insect Plague",IF(AND($P$20="Forest",$O$12&gt;=9),"Tree Stride",IF(AND($P$20="Desert",$O$12&gt;=9),"Wall of Stone",IF(AND($P$20="Coast",$O$12&gt;=9),"Scrying",IF(AND($P$20="arctic",$O$12&gt;=9),"Cone of Cold",IF(AND($P$15="war",$O$12&gt;=9),"Hold Monster",IF(AND($P$15="trickery",$O$12&gt;=9),"Modify Memory",IF(AND($P$15="tempest",$O$12&gt;=9),"Insect Plague",IF(AND($P$15="nature",$O$12&gt;=9),"Tree Stride",IF(AND(P15="light",O12&gt;=9),"Scrying",IF(AND(P15="life",O12&gt;=9),"Raise Dead",IF(AND(P15="knowledge",O12&gt;=9),"Scrying",IF(AND($O$11="bard",AL157=5),INDEX('Spell Tables'!$BX$2:$BX$24,MATCH(O121,('Spell Tables'!$BV$2:$BV$24),0))," ")))))))))))))))))))))</f>
        <v xml:space="preserve"> </v>
      </c>
      <c r="Q134" s="60" t="str">
        <f ca="1">IF(AND(O11="bard",AL168=6),INDEX('Spell Tables'!CB2:CB27,MATCH(O121,('Spell Tables'!BZ2:BZ27),0))," ")</f>
        <v xml:space="preserve"> </v>
      </c>
      <c r="R134" s="60" t="str">
        <f ca="1">IF(AND(O11="bard",AL168=7),INDEX('Spell Tables'!CF2:CF11,MATCH(O121,('Spell Tables'!CD2:CD11),0))," ")</f>
        <v xml:space="preserve"> </v>
      </c>
      <c r="S134" s="60" t="str">
        <f ca="1">IF(AND(O11="bard",AL179=8),INDEX('Spell Tables'!CJ2:CJ14,MATCH(O121,('Spell Tables'!CH2:CH14),0))," ")</f>
        <v xml:space="preserve"> </v>
      </c>
      <c r="T134" s="63" t="str">
        <f ca="1">IF(AND(O11="bard",AL180=9),INDEX('Spell Tables'!CN2:CN11,MATCH(O121,('Spell Tables'!CL2:CL11),0))," ")</f>
        <v xml:space="preserve"> </v>
      </c>
      <c r="AJ134" s="58" t="str">
        <f t="shared" ca="1" si="63"/>
        <v xml:space="preserve"> </v>
      </c>
      <c r="AK134" s="60">
        <f t="shared" ca="1" si="61"/>
        <v>0</v>
      </c>
      <c r="AL134" s="29" t="str">
        <f t="shared" ca="1" si="62"/>
        <v xml:space="preserve"> </v>
      </c>
    </row>
    <row r="135" spans="1:38" x14ac:dyDescent="0.3">
      <c r="A135" s="33"/>
      <c r="O135" s="86">
        <v>3</v>
      </c>
      <c r="P135" s="65"/>
      <c r="Q135" s="65"/>
      <c r="R135" s="65"/>
      <c r="S135" s="65"/>
      <c r="T135" s="66"/>
      <c r="AJ135" s="58" t="str">
        <f t="shared" ca="1" si="63"/>
        <v xml:space="preserve"> </v>
      </c>
      <c r="AK135" s="60">
        <f t="shared" ca="1" si="61"/>
        <v>0</v>
      </c>
      <c r="AL135" s="29" t="str">
        <f t="shared" ca="1" si="62"/>
        <v xml:space="preserve"> </v>
      </c>
    </row>
    <row r="136" spans="1:38" x14ac:dyDescent="0.3">
      <c r="A136" s="33"/>
      <c r="O136" s="133">
        <v>4</v>
      </c>
      <c r="P136" s="60"/>
      <c r="Q136" s="60"/>
      <c r="R136" s="60"/>
      <c r="S136" s="60"/>
      <c r="T136" s="63"/>
      <c r="AJ136" s="58" t="str">
        <f t="shared" ca="1" si="63"/>
        <v xml:space="preserve"> </v>
      </c>
      <c r="AK136" s="60">
        <f t="shared" ca="1" si="61"/>
        <v>0</v>
      </c>
      <c r="AL136" s="29" t="str">
        <f t="shared" ca="1" si="62"/>
        <v xml:space="preserve"> </v>
      </c>
    </row>
    <row r="137" spans="1:38" x14ac:dyDescent="0.3">
      <c r="A137" s="33"/>
      <c r="O137" s="86">
        <v>5</v>
      </c>
      <c r="P137" s="65"/>
      <c r="Q137" s="65"/>
      <c r="R137" s="65"/>
      <c r="S137" s="65"/>
      <c r="T137" s="66"/>
      <c r="AJ137" s="58" t="str">
        <f t="shared" ca="1" si="63"/>
        <v xml:space="preserve"> </v>
      </c>
      <c r="AK137" s="60">
        <f t="shared" ca="1" si="61"/>
        <v>0</v>
      </c>
      <c r="AL137" s="29" t="str">
        <f t="shared" ca="1" si="62"/>
        <v xml:space="preserve"> </v>
      </c>
    </row>
    <row r="138" spans="1:38" x14ac:dyDescent="0.3">
      <c r="A138" s="33"/>
      <c r="O138" s="133">
        <v>6</v>
      </c>
      <c r="P138" s="60"/>
      <c r="Q138" s="60"/>
      <c r="R138" s="60"/>
      <c r="S138" s="60"/>
      <c r="T138" s="63"/>
    </row>
    <row r="139" spans="1:38" x14ac:dyDescent="0.3">
      <c r="A139" s="33"/>
      <c r="O139" s="86">
        <v>7</v>
      </c>
      <c r="P139" s="65"/>
      <c r="Q139" s="65"/>
      <c r="R139" s="65"/>
      <c r="S139" s="65"/>
      <c r="T139" s="66"/>
      <c r="AJ139" s="31" t="s">
        <v>1172</v>
      </c>
    </row>
    <row r="140" spans="1:38" x14ac:dyDescent="0.3">
      <c r="A140" s="33"/>
      <c r="O140" s="133">
        <v>8</v>
      </c>
      <c r="P140" s="60"/>
      <c r="Q140" s="60"/>
      <c r="R140" s="60"/>
      <c r="S140" s="60"/>
      <c r="T140" s="63"/>
      <c r="AJ140" s="58" t="str">
        <f ca="1">IF(AK140=0," ",_xlfn.RANK.EQ(AK140,$AK$140:$AK$149))</f>
        <v xml:space="preserve"> </v>
      </c>
      <c r="AK140" s="60">
        <f t="shared" ref="AK140:AK149" ca="1" si="64">IF(AL140=" ", 0,RAND())</f>
        <v>0</v>
      </c>
      <c r="AL140" s="29" t="str">
        <f t="shared" ref="AL140:AL149" ca="1" si="65">T334</f>
        <v xml:space="preserve"> </v>
      </c>
    </row>
    <row r="141" spans="1:38" x14ac:dyDescent="0.3">
      <c r="A141" s="33"/>
      <c r="O141" s="86">
        <v>9</v>
      </c>
      <c r="P141" s="65"/>
      <c r="Q141" s="65"/>
      <c r="R141" s="65"/>
      <c r="S141" s="65"/>
      <c r="T141" s="66"/>
      <c r="AJ141" s="58" t="str">
        <f t="shared" ref="AJ141:AJ149" ca="1" si="66">IF(AK141=0," ",_xlfn.RANK.EQ(AK141,$AK$140:$AK$149))</f>
        <v xml:space="preserve"> </v>
      </c>
      <c r="AK141" s="60">
        <f t="shared" ca="1" si="64"/>
        <v>0</v>
      </c>
      <c r="AL141" s="29" t="str">
        <f t="shared" ca="1" si="65"/>
        <v xml:space="preserve"> </v>
      </c>
    </row>
    <row r="142" spans="1:38" ht="19.5" thickBot="1" x14ac:dyDescent="0.35">
      <c r="A142" s="33"/>
      <c r="O142" s="134">
        <v>10</v>
      </c>
      <c r="P142" s="67"/>
      <c r="Q142" s="67"/>
      <c r="R142" s="67"/>
      <c r="S142" s="67"/>
      <c r="T142" s="68"/>
      <c r="AJ142" s="58" t="str">
        <f t="shared" ca="1" si="66"/>
        <v xml:space="preserve"> </v>
      </c>
      <c r="AK142" s="60">
        <f t="shared" ca="1" si="64"/>
        <v>0</v>
      </c>
      <c r="AL142" s="29" t="str">
        <f t="shared" ca="1" si="65"/>
        <v xml:space="preserve"> </v>
      </c>
    </row>
    <row r="143" spans="1:38" ht="19.5" thickBot="1" x14ac:dyDescent="0.35">
      <c r="AJ143" s="58" t="str">
        <f t="shared" ca="1" si="66"/>
        <v xml:space="preserve"> </v>
      </c>
      <c r="AK143" s="60">
        <f t="shared" ca="1" si="64"/>
        <v>0</v>
      </c>
      <c r="AL143" s="29" t="str">
        <f t="shared" ca="1" si="65"/>
        <v xml:space="preserve"> </v>
      </c>
    </row>
    <row r="144" spans="1:38" ht="30.75" thickBot="1" x14ac:dyDescent="0.45">
      <c r="B144" s="105" t="s">
        <v>1335</v>
      </c>
      <c r="AJ144" s="58" t="str">
        <f t="shared" ca="1" si="66"/>
        <v xml:space="preserve"> </v>
      </c>
      <c r="AK144" s="60">
        <f t="shared" ca="1" si="64"/>
        <v>0</v>
      </c>
      <c r="AL144" s="29" t="str">
        <f t="shared" ca="1" si="65"/>
        <v xml:space="preserve"> </v>
      </c>
    </row>
    <row r="145" spans="1:38" x14ac:dyDescent="0.3">
      <c r="B145" s="79"/>
      <c r="C145" s="27"/>
      <c r="D145" s="27"/>
      <c r="E145" s="27"/>
      <c r="F145" s="27"/>
      <c r="G145" s="27"/>
      <c r="H145" s="27"/>
      <c r="I145" s="27"/>
      <c r="J145" s="27"/>
      <c r="K145" s="27"/>
      <c r="L145" s="27"/>
      <c r="M145" s="27"/>
      <c r="N145" s="27"/>
      <c r="O145" s="27"/>
      <c r="P145" s="76" t="s">
        <v>1124</v>
      </c>
      <c r="Q145" s="76" t="s">
        <v>1166</v>
      </c>
      <c r="R145" s="76" t="s">
        <v>1167</v>
      </c>
      <c r="S145" s="76" t="s">
        <v>1168</v>
      </c>
      <c r="T145" s="77" t="s">
        <v>676</v>
      </c>
      <c r="AJ145" s="58" t="str">
        <f t="shared" ca="1" si="66"/>
        <v xml:space="preserve"> </v>
      </c>
      <c r="AK145" s="60">
        <f t="shared" ca="1" si="64"/>
        <v>0</v>
      </c>
      <c r="AL145" s="29" t="str">
        <f t="shared" ca="1" si="65"/>
        <v xml:space="preserve"> </v>
      </c>
    </row>
    <row r="146" spans="1:38" x14ac:dyDescent="0.3">
      <c r="B146" s="86" t="str">
        <f ca="1">IF(R15="way of the four elements","Way of the Four Elements",IF(AND(Q11="paladin",Q12&gt;=3),"Oath Spells",IF(AND(R15="moon",Q12&gt;=14),"Thousand Forms",IF(R15="way of the shadow","Shadow Arts",IF(AND(Q11="druid",R15="land"),"Land Circle Spells",IF(Q11="cleric","Domain Spells",IF(Q11="bard","Magical Secrets",IF(R15="path of the totem warrior","Totem Warrior Spells",IF(AND(Q11="warlock",Q12&gt;=2),"Mystic Arcanum and Invocation",IF(R15="arcane trickster","4th,8th,14th,20th non E&amp;I spells",IF(R15="eldritch knight","4th,8th,14th,20th non A&amp;E spells"," ")))))))))))</f>
        <v xml:space="preserve"> </v>
      </c>
      <c r="C146" s="33"/>
      <c r="D146" s="33"/>
      <c r="E146" s="33"/>
      <c r="F146" s="33"/>
      <c r="G146" s="33"/>
      <c r="H146" s="33"/>
      <c r="I146" s="33"/>
      <c r="J146" s="33"/>
      <c r="K146" s="33"/>
      <c r="L146" s="33"/>
      <c r="M146" s="33"/>
      <c r="N146" s="33"/>
      <c r="O146" s="34">
        <v>1</v>
      </c>
      <c r="P146" s="33" t="str">
        <f ca="1">IF(R15="school of illusion","Minor Illusion",IF(Q16="pact of the tome",INDEX('Spell Tables'!$BD$19:$BD$37,MATCH(1,('Spell Tables'!$BB$19:$BB$37),0)),IF(R15="way of the shadow","Minor Illusion (free)",IF(R15="land",INDEX('Spell Tables'!P48:P55,MATCH(8,('Spell Tables'!N48:N55),0)),IF(R15="nature",INDEX('Spell Tables'!P48:P55,MATCH(6,('Spell Tables'!N48:N55),0)),IF(R15="light","Light",IF(AND(Q11="bard",AL191="c"),INDEX('Spell Tables'!$BD$2:$BD$16,MATCH(10,('Spell Tables'!$BB$2:$BB$16),0))," ")))))))</f>
        <v xml:space="preserve"> </v>
      </c>
      <c r="Q146" s="33" t="str">
        <f ca="1">IF(COUNTIF(R18:R21,"*"&amp;"Fist of Four Thunders"&amp;"*"),"Thunderwave (2 ki)",IF(COUNTIF($Q$18:$Q$22,"*"&amp;"armor of shadows"&amp;"*"),"Mage Armor*",IF(R15="oath of vengeance","Bane",IF(R15="Oath of the Ancients","Ensnaring Strike",IF(R15="Oath of Devotion","Protection from Good and Evil",IF(AND(R15="war",Q12&gt;=1),"Divine Favor",IF(AND(R15="Trickery",Q12&gt;=1),"Charm Person",IF(AND(R15="tempest",Q12&gt;=1),"Fog Cloud",IF(AND(R15="nature",Q12&gt;=1),"Animal Friendship",IF(AND(R15="light",Q12&gt;=1),"Burning Hands",IF(R15="life","Bless",IF(R15="knowledge","Command",IF(AND(Q11="bard",AL155=1),INDEX('Spell Tables'!$BH$2:$BH$41,MATCH($O$120,('Spell Tables'!$BF$2:$BF$41),0)),IF(R15="arcane trickster",INDEX('Spell Tables'!$X$141:$X$163,MATCH(O120,('Spell Tables'!$V$141:$V$163),0)),IF(R15="path of the totem warrior","Speak with Animals (as ritual)",IF(R15="eldritch knight",INDEX('Spell Tables'!$X$70:$X$90,MATCH($O$120,('Spell Tables'!$V$70:W90),0))," "))))))))))))))))</f>
        <v xml:space="preserve"> </v>
      </c>
      <c r="R146" s="33" t="str">
        <f ca="1">IF(COUNTIF(R18:R21,"*"&amp;"Clench of the North Wind"&amp;"*"),"Hold Person (3 ki)",IF(COUNTIF(Q18:Q22,"*"&amp;"ascendant step"&amp;"*"),"Levitate*",IF(AND(R15="oath of vengeance",Q12&gt;=5),"Hold Person",IF(AND(R15="Oath of the Ancients",Q12&gt;=5),"Moonbeam",IF(AND(R15="Oath of Devotion",Q12&gt;=5),"Lesser Restoration",IF(AND(R15="moon",Q12&gt;=14),"Alter Self",IF(R15="Way of the Shadow","Darkness",IF(AND($P$20="Underdark",Q12&gt;=3),"Spider Climb",IF(AND($P$20="Swamp",Q12&gt;=3),"Darkness",IF(AND($P$20="Mountain",Q12&gt;=3),"Spider Climb",IF(AND($P$20="Grassland",Q12&gt;=3),"Invisibility",IF(AND($P$20="Forest",Q12&gt;=3),"Barkskin",IF(AND($P$20="Desert",Q12&gt;=3),"Blur",IF(AND($P$20="Coast",Q12&gt;=3),"Mirror Image",IF(AND($P$20="arctic",Q12&gt;=3),"Hold Person",IF(AND(R15="war",Q12&gt;=3),"Magic Weapon",IF(AND(R15="Trickery",Q12&gt;=3),"Mirror Image",IF(AND(R15="tempest",Q12&gt;=3),"Gust of Wind",IF(AND(R15="nature",Q12&gt;=3),"Barkskin",IF(AND(R15="light",Q12&gt;=3),"Flaming Sphere",IF(AND(R15="Life",Q12&gt;=3),"Lesser Restoration",IF(AND(R15="knowledge",Q12&gt;=3),"Augury",IF(AND(Q11="bard",AL155=2),INDEX('Spell Tables'!BL2:BL37,MATCH(O120,('Spell Tables'!BJ2:BJ37),0)),IF(R15="path of the totem warrior","Beast Sense (as ritual)",IF(AND(R15="eldritch knight",Q12&gt;=8),INDEX('Spell Tables'!AF70:AF94,MATCH(#REF!,('Spell Tables'!AD70:AD94),0)),IF(AND(R15="arcane trickster",Q12&gt;=8),INDEX('Spell Tables'!AF141:AF165,MATCH(#REF!,('Spell Tables'!AD141:AD165),0))," "))))))))))))))))))))))))))</f>
        <v xml:space="preserve"> </v>
      </c>
      <c r="S146" s="33" t="str">
        <f ca="1">IF(COUNTIF(Q18:Q22,"*"&amp;"mire the mind"&amp;"*"),"Slow**",IF(AND(R15="oath of vengeance",Q12&gt;=9),"Haste",IF(AND(R15="Oath of the Ancients",Q12&gt;=9),"Plant Growth",IF(AND(R15="Oath of Devotion",Q12&gt;=9),"Beacon of Hope",IF(AND($P$20="Underdark",Q12&gt;=5),"Gaseous Form",IF(AND($P$20="Swamp",Q12&gt;=5),"Water Walk",IF(AND($P$20="Mountain",Q12&gt;=5),"Lightning Bolt",IF(AND($P$20="Grassland",Q12&gt;=5),"Daylight",IF(AND($P$20="Forest",Q12&gt;=5),"Call Lightning",IF(AND($P$20="Desert",Q12&gt;=5),"Create Food and Water",IF(AND($P$20="Coast",Q12&gt;=5),"Water Breathing",IF(AND($P$20="arctic",Q12&gt;=5),"Sleet Storm",IF(AND(R15="war",Q12&gt;=5),"Crusader's Mantle",IF(AND(R15="trickery",Q12&gt;=5),"Blink",IF(AND(R15="tempest",Q12&gt;=5),"Call Lightning",IF(AND(R15="nature",Q12&gt;=5),"Plant Growth",IF(AND(R15="light",Q12&gt;=5),"Daylight",IF(AND(R15="life",Q12&gt;=5),"Beacon of Hope",IF(AND(R15="knowledge",Q12&gt;=5),"Nondetection",IF(AND(Q11="bard",AL155=3),INDEX('Spell Tables'!BP2:BP35,MATCH(O120,('Spell Tables'!BN2:BN35),0)),IF(AND(R15="arcane trickster",Q12&gt;=14),INDEX('Spell Tables'!AN141:AN165,MATCH(O120,('Spell Tables'!AL141:AL165),0)),IF(AND(R15="eldritch knight",Q12&gt;=14),INDEX('Spell Tables'!AN70:AN88,MATCH(O120,('Spell Tables'!AL70:AL88),0))," "))))))))))))))))))))))</f>
        <v xml:space="preserve"> </v>
      </c>
      <c r="T146" s="72" t="str">
        <f ca="1">IF(COUNTIF(Q18:Q22,"*"&amp;"bewitching whispers"&amp;"*"),"Compulsion**",IF(AND(R15="oath of vengeance",Q12&gt;=13),"Banishment",IF(AND(R15="Oath of the Ancients",Q12&gt;=13),"Ice Storm",IF(AND(R15="Oath of Devotion",Q12&gt;=13),"Freedom of Movement",IF(AND($P$20="Underdark",Q12&gt;=7),"Greater Invisibility",IF(AND($P$20="Swamp",Q12&gt;=7),"Freedom of Movement",IF(AND($P$20="Mountain",Q12&gt;=7),"Stone Shape",IF(AND($P$20="Grassland",Q12&gt;=7),"Divination",IF(AND($P$20="Forest",Q12&gt;=7),"Divination",IF(AND($P$20="Desert",Q12&gt;=7),"Blight",IF(AND($P$20="Coast",Q12&gt;=7),"Control Water",IF(AND($P$20="arctic",Q12&gt;=7),"Freedom of Movement",IF(AND(R15="war",Q12&gt;=7),"Freedom of Movement",IF(AND(R15="trickery",Q12&gt;=7),"Dimension Door",IF(AND(R15="tempest",Q12&gt;=7),"Control Water",IF(AND(R15="nature",Q12&gt;=7),"Dominate Beast",IF(AND(R15="light",Q12&gt;=7),"Guardian of Faith",IF(AND(R15="life",Q12&gt;=7),"Death Ward",IF(AND(R15="knowledge",Q12&gt;=7),"Arcane Eye",IF(AND(Q11="bard",AL155=4),INDEX('Spell Tables'!BT2:BT29,MATCH(O120,('Spell Tables'!BR2:BR29),0)),IF(AND(R15="arcane trickster",Q12&gt;=20),INDEX('Spell Tables'!AV141:AV159,MATCH(O120,('Spell Tables'!AT267:AT285),0)),IF(AND(R15="eldritch knight",Q12&gt;=20),INDEX('Spell Tables'!AV70:AV86,MATCH(O120,('Spell Tables'!AT70:AT86),0))," "))))))))))))))))))))))</f>
        <v xml:space="preserve"> </v>
      </c>
      <c r="AJ146" s="58" t="str">
        <f t="shared" ca="1" si="66"/>
        <v xml:space="preserve"> </v>
      </c>
      <c r="AK146" s="60">
        <f t="shared" ca="1" si="64"/>
        <v>0</v>
      </c>
      <c r="AL146" s="29" t="str">
        <f t="shared" ca="1" si="65"/>
        <v xml:space="preserve"> </v>
      </c>
    </row>
    <row r="147" spans="1:38" x14ac:dyDescent="0.3">
      <c r="B147" s="79" t="str">
        <f ca="1">IF(R15="way of the four elements","Elemental Disciplines - cost ki",IF(AND(Q11="warlock",Q12&gt;=2),"* = at will - no slot use",IF(R15="land",$P$20," ")))</f>
        <v xml:space="preserve"> </v>
      </c>
      <c r="C147" s="33"/>
      <c r="D147" s="33"/>
      <c r="E147" s="33"/>
      <c r="F147" s="33"/>
      <c r="G147" s="33"/>
      <c r="H147" s="33"/>
      <c r="I147" s="33"/>
      <c r="J147" s="33"/>
      <c r="K147" s="33"/>
      <c r="L147" s="33"/>
      <c r="M147" s="33"/>
      <c r="N147" s="33"/>
      <c r="O147" s="34">
        <v>2</v>
      </c>
      <c r="P147" s="33" t="str">
        <f ca="1">IF(Q16="pact of the tome",INDEX('Spell Tables'!$BD$19:$BD$37,MATCH(2,('Spell Tables'!$BB$19:$BB$37),0)),IF(AND(Q11="bard",AL192="c"),INDEX('Spell Tables'!$BD$2:$BD$16,MATCH(11,('Spell Tables'!$BB$2:$BB$16),0))," "))</f>
        <v xml:space="preserve"> </v>
      </c>
      <c r="Q147" s="33" t="str">
        <f ca="1">IF(COUNTIF(R18:R21,"*"&amp;"Sweeping Cinder Strike"&amp;"*"),"Burning Hands (2 ki)",IF(COUNTIF(Q18:Q22,"*"&amp;"beast speech"&amp;"*"),"Speak with Animals*",IF(R15="Oath of the Ancients","Speak with Animals",IF(R15="Oath of vengeance","Hunter's Mark",IF(R15="Oath of Devotion","Sanctuary",IF(AND(R15="war",Q12&gt;=1),"Shield of Faith",IF(AND(R15="trickery",Q12&gt;=1),"Disguise Self",IF(AND(R15="tempest",Q12&gt;=1),"Thunderwave",IF(AND(R15="Nature",Q12&gt;=1),"Speak with Animals",IF(AND(R15="light",Q12&gt;=1),"Faerie Fire",IF(R15="life","Cure Wounds",IF(R15="knowledge","Identify",IF(AND(Q11="bard",AL156=1),INDEX('Spell Tables'!$BH$2:$BH$41,MATCH(O121,('Spell Tables'!$BF$2:$BF$41),0))," ")))))))))))))</f>
        <v xml:space="preserve"> </v>
      </c>
      <c r="R147" s="33" t="str">
        <f ca="1">IF(COUNTIF(R18:R21,"*"&amp;"Gong of the Summit"&amp;"*"),"Shatter (3 ki)",IF(COUNTIF(Q18:Q22,"*"&amp;"master of myriad forms"&amp;"*"),"Alter Self*",IF(AND(R15="oath of vengeance",Q12&gt;=5),"Misty Step",IF(AND(R15="Oath of the Ancients",Q12&gt;=5),"Misty Step",IF(AND(R15="Oath of Devotion",Q12&gt;=5),"Zone of Truth",IF(R15="way of the shadow","Darkvision",IF(AND($P$20="Underdark",Q12&gt;=3),"Web",IF(AND($P$20="Swamp",Q12&gt;=3),"Melf's Acid Arrow",IF(AND($P$20="Mountain",Q12&gt;=3),"Spike Growth",IF(AND($P$20="Grassland",Q12&gt;=3),"Pass Without Trace",IF(AND($P$20="Forest",Q12&gt;=3),"Spider Climb",IF(AND($P$20="Desert",Q12&gt;=3),"Silence",IF(AND($P$20="Coast",Q12&gt;=3),"Misty Step",IF(AND($P$20="arctic",Q12&gt;=3),"Spike Growth",IF(AND(R15="war",Q12&gt;=3),"Spiritual Weapon",IF(AND(R15="trickery",Q12&gt;=3),"Pass Without Trace",IF(AND(R15="tempest",Q12&gt;=3),"Shatter",IF(AND(R15="nature",Q12&gt;=3),"Spike Growth",IF(AND(R15="light",Q12&gt;=3),"Scorching Ray",IF(AND(R15="life",Q12&gt;=3),"Spiritual Weapon",IF(AND(R15="knowledge",Q12&gt;=3),"Suggestion",IF(AND(Q11="bard",AL156=2),INDEX('Spell Tables'!$BL$2:$BL$37,MATCH(O121,('Spell Tables'!$BJ$2:$BJ$37),0))," "))))))))))))))))))))))</f>
        <v xml:space="preserve"> </v>
      </c>
      <c r="S147" s="33" t="str">
        <f ca="1">IF(COUNTIF(Q18:Q22,"*"&amp;"sign of ill omen"&amp;"*"),"Bestow Curse**",IF(AND(R15="oath of vengeance",Q12&gt;=9),"Protection from Energy",IF(AND(R15="Oath of the Ancients",Q12&gt;=9),"Protection from Energy",IF(AND(R15="Oath of Devotion",Q12&gt;=9),"Dispel Magic",IF(AND($P$20="Underdark",Q12&gt;=5),"Stinking Cloud",IF(AND($P$20="Swamp",Q12&gt;=5),"Stinking Cloud",IF(AND($P$20="Mountain",Q12&gt;=5),"Meld Into Stone",IF(AND($P$20="Grassland",Q12&gt;=5),"Haste",IF(AND($P$20="Forest",Q12&gt;=5),"Plant Growth",IF(AND($P$20="Desert",Q12&gt;=5),"Protection from Energy",IF(AND($P$20="Coast",Q12&gt;=5),"Water Walk",IF(AND($P$20="arctic",Q12&gt;=5),"Slow",IF(AND(R15="war",Q12&gt;=5),"Spirit Guardians",IF(AND(R15="trickery",Q12&gt;=5),"Dispel Magic",IF(AND(R15="Tempest",Q12&gt;=5),"Sleet Storm",IF(AND(R15="nature",Q12&gt;=5),"Wind Wall",IF(AND(R15="light",Q12&gt;=5),"Fireball",IF(AND(R15="life",Q12&gt;=5),"Revivify",IF(AND(R15="knowledge",Q12&gt;=5),"Speak with Dead",IF(AND(Q11="bard",AL156=3),INDEX('Spell Tables'!$BP$2:$BP$35,MATCH(O121,('Spell Tables'!$BN$2:$BN$35),0))," "))))))))))))))))))))</f>
        <v xml:space="preserve"> </v>
      </c>
      <c r="T147" s="72" t="str">
        <f ca="1">IF(COUNTIF(Q18:Q22,"*"&amp;"dreadful word"&amp;"*"),"Confusion**",IF(AND(R15="oath of vengeance",Q12&gt;=13),"Dimension Door",IF(AND(R15="Oath of the Ancients",Q12&gt;=13),"Stoneskin",IF(AND(R15="Oath of Devotion",Q12&gt;=13),"Guardian of Faith",IF(AND($P$20="Underdark",Q12&gt;=7),"Stone Shape",IF(AND($P$20="Swamp",Q12&gt;=7),"Locate Creature",IF(AND($P$20="Mountain",Q12&gt;=7),"Stonekin",IF(AND($P$20="Grassland",Q12&gt;=7),"Freedom of Movement",IF(AND($P$20="Forest",Q12&gt;=7),"Freedom of Movement",IF(AND($P$20="Desert",Q12&gt;=7),"Hallucinatory Terrain",IF(AND($P$20="Coast",Q12&gt;=7),"Freedom of Movement",IF(AND($P$20="arctic",Q12&gt;=7),"Ice Storm",IF(AND(R15="war",Q12&gt;=7),"Stoneskin",IF(AND(R15="trickery",Q12&gt;=7),"Polymorph",IF(AND(R15="tempest",Q12&gt;=7),"Ice Storm",IF(AND(R15="nature",Q12&gt;=7),"Grasping Vine",IF(AND(R15="light",Q12&gt;=7),"Wall of Fire",IF(AND(R15="life",Q12&gt;=7),"Guardian of Faith",IF(AND(R15="knowledge",Q12&gt;=7),"Confusion",IF(AND(Q11="bard",AL156=4),INDEX('Spell Tables'!$BT$2:$BT$29,MATCH(O121,('Spell Tables'!$BR$2:$BR$29),0))," "))))))))))))))))))))</f>
        <v xml:space="preserve"> </v>
      </c>
      <c r="AJ147" s="58" t="str">
        <f t="shared" ca="1" si="66"/>
        <v xml:space="preserve"> </v>
      </c>
      <c r="AK147" s="60">
        <f t="shared" ca="1" si="64"/>
        <v>0</v>
      </c>
      <c r="AL147" s="29" t="str">
        <f t="shared" ca="1" si="65"/>
        <v xml:space="preserve"> </v>
      </c>
    </row>
    <row r="148" spans="1:38" x14ac:dyDescent="0.3">
      <c r="B148" s="79" t="str">
        <f ca="1">IF(AND(Q11="warlock",Q12&gt;=2),"** = once per long rest - uses slot",IF(AND(Q11="paladin",Q12&gt;=3),"Free Preparation",IF(AND(R15="moon",Q12&gt;=14),"At Will",IF(R15="way of the shadow","Cost 2 Ki Points",IF(OR(R15="land",Q11="cleric"),"Free Preparation",IF(AND(Q11="bard",Q12&gt;=10),"Count Toward Known"," "))))))</f>
        <v xml:space="preserve"> </v>
      </c>
      <c r="C148" s="33"/>
      <c r="D148" s="33"/>
      <c r="E148" s="33"/>
      <c r="F148" s="33"/>
      <c r="G148" s="33"/>
      <c r="H148" s="33"/>
      <c r="I148" s="33"/>
      <c r="J148" s="33"/>
      <c r="K148" s="33"/>
      <c r="L148" s="33"/>
      <c r="M148" s="33"/>
      <c r="N148" s="33"/>
      <c r="O148" s="34">
        <v>3</v>
      </c>
      <c r="P148" s="33" t="str">
        <f ca="1">IF(Q16="pact of the tome",INDEX('Spell Tables'!$BD$19:$BD$37,MATCH(3,('Spell Tables'!$BB$19:$BB$37),0))," ")</f>
        <v xml:space="preserve"> </v>
      </c>
      <c r="Q148" s="33" t="str">
        <f ca="1">IF(COUNTIF(Q18:Q22,"*"&amp;"eldritch sight"&amp;"*"),"Detect Magic*"," ")</f>
        <v xml:space="preserve"> </v>
      </c>
      <c r="R148" s="33" t="str">
        <f ca="1">IF(COUNTIF(R18:R21,"*"&amp;"Rush of the Gale Spirits"&amp;"*"),"Gust of Wind (2 ki)",IF(R15="way of the shadow","Pass Without Trace"," "))</f>
        <v xml:space="preserve"> </v>
      </c>
      <c r="S148" s="33" t="str">
        <f ca="1">IF(COUNTIF(Q18:Q22,"*"&amp;"whispers of the grave"&amp;"*"),"Speak with Dead*"," ")</f>
        <v xml:space="preserve"> </v>
      </c>
      <c r="T148" s="72" t="str">
        <f ca="1">IF(COUNTIF(Q18:Q22,"*"&amp;"Sculptor of Flesh"&amp;"*"),"Polymorph**"," ")</f>
        <v xml:space="preserve"> </v>
      </c>
      <c r="AJ148" s="58" t="str">
        <f t="shared" ca="1" si="66"/>
        <v xml:space="preserve"> </v>
      </c>
      <c r="AK148" s="60">
        <f t="shared" ca="1" si="64"/>
        <v>0</v>
      </c>
      <c r="AL148" s="29" t="str">
        <f t="shared" ca="1" si="65"/>
        <v xml:space="preserve"> </v>
      </c>
    </row>
    <row r="149" spans="1:38" x14ac:dyDescent="0.3">
      <c r="B149" s="79"/>
      <c r="O149" s="81">
        <v>4</v>
      </c>
      <c r="Q149" s="29" t="str">
        <f ca="1">IF(COUNTIF(Q18:Q22,"*"&amp;"fiendish vigor"&amp;"*"),"False Life*"," ")</f>
        <v xml:space="preserve"> </v>
      </c>
      <c r="R149" s="29" t="str">
        <f ca="1">IF(R15="way of the shadow","Silence"," ")</f>
        <v xml:space="preserve"> </v>
      </c>
      <c r="T149" s="72" t="str">
        <f ca="1">IF(COUNTIF(Q18:Q22,"*"&amp;"visions of distant realms"&amp;"*"),"Arcane Eye*"," ")</f>
        <v xml:space="preserve"> </v>
      </c>
      <c r="AJ149" s="58" t="str">
        <f t="shared" ca="1" si="66"/>
        <v xml:space="preserve"> </v>
      </c>
      <c r="AK149" s="60">
        <f t="shared" ca="1" si="64"/>
        <v>0</v>
      </c>
      <c r="AL149" s="29" t="str">
        <f t="shared" ca="1" si="65"/>
        <v xml:space="preserve"> </v>
      </c>
    </row>
    <row r="150" spans="1:38" x14ac:dyDescent="0.3">
      <c r="B150" s="79"/>
      <c r="O150" s="81">
        <v>5</v>
      </c>
      <c r="Q150" s="29" t="str">
        <f ca="1">IF(COUNTIF(Q18:Q22,"*"&amp;"mask of many faces"&amp;"*"),"Disguise Self*","")</f>
        <v/>
      </c>
      <c r="T150" s="72"/>
    </row>
    <row r="151" spans="1:38" x14ac:dyDescent="0.3">
      <c r="B151" s="79"/>
      <c r="O151" s="81">
        <v>6</v>
      </c>
      <c r="Q151" s="29" t="str">
        <f ca="1">IF(COUNTIF(Q18:Q22,"*"&amp;"misty vision"&amp;"*"),"Silent Image*"," " )</f>
        <v xml:space="preserve"> </v>
      </c>
      <c r="T151" s="72"/>
      <c r="AJ151" s="31" t="s">
        <v>1666</v>
      </c>
    </row>
    <row r="152" spans="1:38" x14ac:dyDescent="0.3">
      <c r="B152" s="79"/>
      <c r="O152" s="81">
        <v>7</v>
      </c>
      <c r="Q152" s="29" t="str">
        <f ca="1">IF(COUNTIF(Q18:Q22,"*"&amp;"otherworldly leap"&amp;"*"),"Jump*"," ")</f>
        <v xml:space="preserve"> </v>
      </c>
      <c r="T152" s="72"/>
      <c r="AJ152" s="29">
        <v>1</v>
      </c>
      <c r="AK152" s="29">
        <v>1</v>
      </c>
    </row>
    <row r="153" spans="1:38" x14ac:dyDescent="0.3">
      <c r="B153" s="79"/>
      <c r="O153" s="81">
        <v>8</v>
      </c>
      <c r="Q153" s="29" t="str">
        <f ca="1">IF(COUNTIF(Q18:Q22,"*"&amp;"thief of five fates"&amp;"*"),"Bane**"," ")</f>
        <v xml:space="preserve"> </v>
      </c>
      <c r="T153" s="72"/>
      <c r="AJ153" s="29">
        <v>2</v>
      </c>
      <c r="AK153" s="29">
        <v>2</v>
      </c>
    </row>
    <row r="154" spans="1:38" x14ac:dyDescent="0.3">
      <c r="B154" s="79" t="str">
        <f ca="1">IF(AND(Q16="pact of the tome",COUNTIF($O$13:$O$13,"*"&amp;"book of ancient secrets"&amp;"*")),"Book of Ancient Secrets"," ")</f>
        <v xml:space="preserve"> </v>
      </c>
      <c r="O154" s="81">
        <v>9</v>
      </c>
      <c r="Q154" s="29" t="str">
        <f ca="1">IF(AND(Q16="pact of the tome",COUNTIF(Q18:Q22,"*"&amp;"book of ancient secrets"&amp;"*")),INDEX('Spell Tables'!BD40:BD46,MATCH(1,('Spell Tables'!BB40:BB46),0))," ")</f>
        <v xml:space="preserve"> </v>
      </c>
      <c r="T154" s="72"/>
      <c r="AJ154" s="29">
        <v>3</v>
      </c>
      <c r="AK154" s="29">
        <v>3</v>
      </c>
    </row>
    <row r="155" spans="1:38" ht="19.5" thickBot="1" x14ac:dyDescent="0.35">
      <c r="B155" s="80" t="str">
        <f ca="1">IF(Q16="pact of the chain",Q16,IF(OR(P155="minor illusion",S155="animate dead",T155="polymorph"),"School Spells - in Spellbook"," "))</f>
        <v xml:space="preserve"> </v>
      </c>
      <c r="C155" s="38"/>
      <c r="D155" s="38"/>
      <c r="E155" s="38"/>
      <c r="F155" s="38"/>
      <c r="G155" s="38"/>
      <c r="H155" s="38"/>
      <c r="I155" s="38"/>
      <c r="J155" s="38"/>
      <c r="K155" s="38"/>
      <c r="L155" s="38"/>
      <c r="M155" s="38"/>
      <c r="N155" s="38"/>
      <c r="O155" s="82">
        <v>10</v>
      </c>
      <c r="P155" s="38" t="str">
        <f ca="1">IF(AND(R15="school of Illusion",COUNTIF(P315:P324,"*Minor Illusion*"))," ",IF(R15="school of illusion","Minor Illusion"," "))</f>
        <v xml:space="preserve"> </v>
      </c>
      <c r="Q155" s="38" t="str">
        <f ca="1">IF(AND(Q16="pact of the tome",COUNTIF(Q18:Q22,"*"&amp;"book of ancient secrets"&amp;"*")),INDEX('Spell Tables'!BD40:BD46,MATCH(2,('Spell Tables'!BB40:BB46),0)),IF(Q16="pact of the chain","Find Familiar (as ritual)"," "))</f>
        <v xml:space="preserve"> </v>
      </c>
      <c r="R155" s="38"/>
      <c r="S155" s="38" t="str">
        <f ca="1">IF(AND(R15="school of necromancy",Q12&gt;=6,COUNTIF(S315:S324,"*"&amp;"Animate Dead"&amp;"*"))," ",IF(AND(R15="school of necromancy",Q12&gt;=6),"Animate Dead"," "))</f>
        <v xml:space="preserve"> </v>
      </c>
      <c r="T155" s="73" t="str">
        <f ca="1">IF(AND(R15="school of transmutation",Q12&gt;=10,COUNTIF(T315:T324,"*"&amp;"Polymorph"&amp;"*"))," ",IF(AND(R15="school of transmutation",Q12&gt;=6),"Polymorph"," "))</f>
        <v xml:space="preserve"> </v>
      </c>
      <c r="AJ155" s="29">
        <v>4</v>
      </c>
      <c r="AK155" s="29">
        <v>3</v>
      </c>
      <c r="AL155" s="29" t="str">
        <f ca="1">IF(AND(O11="bard",O12&gt;=10),VLOOKUP(RANDBETWEEN(1,10),Table219344458800857914330387721[],2),IF(AND(Q11="bard",Q12&gt;=10),VLOOKUP(RANDBETWEEN(1,10),Table219344458800857914330387721[],2)," "))</f>
        <v xml:space="preserve"> </v>
      </c>
    </row>
    <row r="156" spans="1:38" ht="19.5" thickBot="1" x14ac:dyDescent="0.35">
      <c r="B156" s="27"/>
      <c r="O156" s="99"/>
      <c r="AJ156" s="29">
        <v>5</v>
      </c>
      <c r="AK156" s="29">
        <v>4</v>
      </c>
      <c r="AL156" s="29" t="str">
        <f ca="1">IF(AND(O11="bard",O12&gt;=10),VLOOKUP(RANDBETWEEN(1,10),Table219344458800857914330387721[],2),IF(AND(Q11="bard",Q12&gt;=10),VLOOKUP(RANDBETWEEN(1,10),Table219344458800857914330387721[],2)," "))</f>
        <v xml:space="preserve"> </v>
      </c>
    </row>
    <row r="157" spans="1:38" x14ac:dyDescent="0.3">
      <c r="A157" s="33"/>
      <c r="B157" s="72"/>
      <c r="P157" s="76" t="s">
        <v>1169</v>
      </c>
      <c r="Q157" s="76" t="s">
        <v>1170</v>
      </c>
      <c r="R157" s="76" t="s">
        <v>1171</v>
      </c>
      <c r="S157" s="76" t="s">
        <v>677</v>
      </c>
      <c r="T157" s="104" t="s">
        <v>1172</v>
      </c>
      <c r="AJ157" s="29">
        <v>6</v>
      </c>
      <c r="AK157" s="29">
        <v>4</v>
      </c>
    </row>
    <row r="158" spans="1:38" x14ac:dyDescent="0.3">
      <c r="A158" s="33"/>
      <c r="B158" s="72"/>
      <c r="O158" s="83">
        <v>1</v>
      </c>
      <c r="P158" s="65" t="str">
        <f ca="1">IF(COUNTIF(Q18:Q22,"*"&amp;"chains of carceri"&amp;"*"),"Hold Monster**(c,f,e only)",IF(AND(R15="oath of vengeance",Q12&gt;=17),"Hold Monster",IF(AND(R15="Oath of the Ancients",Q12&gt;=17),"Commune with Nature",IF(AND(R15="Oath of Devotion",Q12&gt;=17),"Commune",IF(AND($P$20="Underdark",Q12&gt;=9),"Cloudkill",IF(AND($P$20="Swamp",Q12&gt;=9),"Insect Plague",IF(AND($P$20="Mountain",Q12&gt;=9),"Passwall",IF(AND($P$20="Grassland",Q12&gt;=9),"Dream",IF(AND($P$20="Forest",Q12&gt;=9),"Commune with Nature",IF(AND($P$20="Desert",Q12&gt;=9),"Insect Plague",IF(AND($P$20="Coast",Q12&gt;=9),"Conjure Elemental",IF(AND($P$20="arctic",Q12&gt;=9),"Commune with Nature",IF(AND(R15="war",Q12&gt;=9),"Flame Strike",IF(AND(R15="trickery",Q12&gt;=9),"Dominate Person",IF(AND(R15="tempest",Q12&gt;=9),"Destructive Wave",IF(AND(R15="nature",Q12&gt;=9),"Insect Plague",IF(AND(R15="light",Q12&gt;=9),"Flame Strike",IF(AND(R15="life",Q12&gt;=9),"Mass Cure Wounds",IF(AND(R15="knowledge",Q12&gt;=9),"Legend Lore",IF(AND(Q11="bard",AL155=5),INDEX('Spell Tables'!BX2:BX24,MATCH(O120,('Spell Tables'!BV2:BV24),0)),IF(AND(R15="path of the totem warrior",Q12&gt;=10),"Commune with Nature (as ritual)"," ")))))))))))))))))))))</f>
        <v xml:space="preserve"> </v>
      </c>
      <c r="Q158" s="65" t="str">
        <f ca="1">IF(AND(Q11="bard",AL167=6),INDEX('Spell Tables'!CB2:CB27,MATCH(O120,('Spell Tables'!BZ2:BZ27),0)),IF(AND(Q11="warlock",Q12&gt;=11),INDEX('Spell Tables'!AN194:AN201,MATCH(1,('Spell Tables'!AL194:AL201),0))," "))</f>
        <v xml:space="preserve"> </v>
      </c>
      <c r="R158" s="65" t="str">
        <f ca="1">IF(AND(Q11="bard",AL167=7),INDEX('Spell Tables'!CF2:CF11,MATCH(O120,('Spell Tables'!CD2:CD11),0)),IF(AND(Q11="warlock",Q12&gt;=13),INDEX('Spell Tables'!AR194:AR197,MATCH(1,('Spell Tables'!AP194:AP197),0))," "))</f>
        <v xml:space="preserve"> </v>
      </c>
      <c r="S158" s="65" t="str">
        <f ca="1">IF(AND(Q11="bard",AL179=8),INDEX('Spell Tables'!CJ2:CJ14,MATCH(O120,('Spell Tables'!CH2:CH14),0)),IF(AND(Q11="warlock",Q12&gt;=15),INDEX('Spell Tables'!AV194:AV198,MATCH(1,('Spell Tables'!AT295:AT299),0))," "))</f>
        <v xml:space="preserve"> </v>
      </c>
      <c r="T158" s="66" t="str">
        <f ca="1">IF(AND(Q11="bard",AL179=9),INDEX('Spell Tables'!CN2:CN11,MATCH(O120,('Spell Tables'!CL2:CL11),0)),IF(AND(Q11="warlock",Q12&gt;=17),INDEX('Spell Tables'!AZ194:AZ198,MATCH(1,('Spell Tables'!AX194:AX198),0))," "))</f>
        <v xml:space="preserve"> </v>
      </c>
      <c r="AJ158" s="29">
        <v>7</v>
      </c>
      <c r="AK158" s="29">
        <v>4</v>
      </c>
    </row>
    <row r="159" spans="1:38" x14ac:dyDescent="0.3">
      <c r="A159" s="33"/>
      <c r="B159" s="72"/>
      <c r="O159" s="84">
        <v>2</v>
      </c>
      <c r="P159" s="60" t="str">
        <f ca="1">IF(COUNTIF(Q18:Q22,"*"&amp;"minions of chaos"&amp;"*"),"Conjure Elemental**",IF(AND(R15="oath of vengeance",Q12&gt;=17),"Scrying",IF(AND(R15="Oath of the Ancients",Q12&gt;=17),"Tree Stride",IF(AND(R15="Oath of Devotion",Q12&gt;=17),"Flame Strike",IF(AND($P$20="Underdark",Q12&gt;=9),"Insect Plague",IF(AND($P$20="Swamp",Q12&gt;=9),"Scrying",IF(AND($P$20="Mountain",Q12&gt;=9),"Wall of Stone",IF(AND($P$20="Grassland",Q12&gt;=9),"Insect Plague",IF(AND($P$20="Forest",Q12&gt;=9),"Tree Stride",IF(AND($P$20="Desert",Q12&gt;=9),"Wall of Stone",IF(AND($P$20="Coast",Q12&gt;=9),"Scrying",IF(AND($P$20="arctic",Q12&gt;=9),"Cone of Cold",IF(AND(R15="war",Q12&gt;=9),"Hold Monster",IF(AND(R15="trickery",Q12&gt;=9),"Modify Memory",IF(AND(R15="tempest",Q12&gt;=9),"Insect Plague",IF(AND(R15="nature",Q12&gt;=9),"Tree Stride",IF(AND(R15="light",Q12&gt;=9),"Scrying",IF(AND(R15="life",Q12&gt;=9),"Raise Dead",IF(AND(R15="knowledge",Q12&gt;=9),"Scrying",IF(AND(Q11="bard",AL156=5),INDEX('Spell Tables'!$BX$2:$BX$24,MATCH(O121,('Spell Tables'!$BV$2:$BV$24),0))," "))))))))))))))))))))</f>
        <v xml:space="preserve"> </v>
      </c>
      <c r="Q159" s="60" t="str">
        <f ca="1">IF(AND(Q11="bard",AL168=6),INDEX('Spell Tables'!CB2:CB27,MATCH(O121,('Spell Tables'!BZ2:BZ27),0))," ")</f>
        <v xml:space="preserve"> </v>
      </c>
      <c r="R159" s="60" t="str">
        <f ca="1">IF(AND(Q11="bard",AL168=7),INDEX('Spell Tables'!CF2:CF11,MATCH(O121,('Spell Tables'!CD2:CD11),0))," ")</f>
        <v xml:space="preserve"> </v>
      </c>
      <c r="S159" s="60" t="str">
        <f ca="1">IF(AND(Q11="bard",AL180=8),INDEX('Spell Tables'!CJ2:CJ14,MATCH(O121,('Spell Tables'!CH2:CH14),0))," ")</f>
        <v xml:space="preserve"> </v>
      </c>
      <c r="T159" s="63" t="str">
        <f ca="1">IF(AND(Q11="bard",AL180=9),INDEX('Spell Tables'!CN2:CN11,MATCH(O121,('Spell Tables'!CL2:CL11),0))," ")</f>
        <v xml:space="preserve"> </v>
      </c>
      <c r="AJ159" s="29">
        <v>8</v>
      </c>
      <c r="AK159" s="29">
        <v>5</v>
      </c>
    </row>
    <row r="160" spans="1:38" x14ac:dyDescent="0.3">
      <c r="A160" s="33"/>
      <c r="B160" s="72"/>
      <c r="O160" s="83">
        <v>3</v>
      </c>
      <c r="P160" s="65"/>
      <c r="Q160" s="65"/>
      <c r="R160" s="65"/>
      <c r="S160" s="65"/>
      <c r="T160" s="66"/>
      <c r="AJ160" s="29">
        <v>9</v>
      </c>
      <c r="AK160" s="29">
        <v>5</v>
      </c>
    </row>
    <row r="161" spans="1:38" x14ac:dyDescent="0.3">
      <c r="A161" s="33"/>
      <c r="B161" s="72"/>
      <c r="O161" s="84">
        <v>4</v>
      </c>
      <c r="P161" s="60"/>
      <c r="Q161" s="60"/>
      <c r="R161" s="60"/>
      <c r="S161" s="60"/>
      <c r="T161" s="63"/>
      <c r="AJ161" s="29">
        <v>10</v>
      </c>
      <c r="AK161" s="29">
        <v>5</v>
      </c>
    </row>
    <row r="162" spans="1:38" x14ac:dyDescent="0.3">
      <c r="A162" s="33"/>
      <c r="B162" s="72"/>
      <c r="O162" s="83">
        <v>5</v>
      </c>
      <c r="P162" s="65"/>
      <c r="Q162" s="65"/>
      <c r="R162" s="65"/>
      <c r="S162" s="65"/>
      <c r="T162" s="66"/>
    </row>
    <row r="163" spans="1:38" x14ac:dyDescent="0.3">
      <c r="A163" s="33"/>
      <c r="B163" s="72"/>
      <c r="O163" s="84">
        <v>6</v>
      </c>
      <c r="P163" s="60"/>
      <c r="Q163" s="60"/>
      <c r="R163" s="60"/>
      <c r="S163" s="60"/>
      <c r="T163" s="63"/>
      <c r="AJ163" s="31" t="s">
        <v>1667</v>
      </c>
    </row>
    <row r="164" spans="1:38" x14ac:dyDescent="0.3">
      <c r="A164" s="33"/>
      <c r="B164" s="72"/>
      <c r="O164" s="83">
        <v>7</v>
      </c>
      <c r="P164" s="65"/>
      <c r="Q164" s="65"/>
      <c r="R164" s="65"/>
      <c r="S164" s="65"/>
      <c r="T164" s="66"/>
      <c r="AJ164" s="29">
        <v>1</v>
      </c>
      <c r="AK164" s="29">
        <v>6</v>
      </c>
    </row>
    <row r="165" spans="1:38" x14ac:dyDescent="0.3">
      <c r="A165" s="33"/>
      <c r="B165" s="72"/>
      <c r="O165" s="84">
        <v>8</v>
      </c>
      <c r="P165" s="60"/>
      <c r="Q165" s="60"/>
      <c r="R165" s="60"/>
      <c r="S165" s="60"/>
      <c r="T165" s="63"/>
      <c r="AJ165" s="29">
        <v>2</v>
      </c>
      <c r="AK165" s="29">
        <v>6</v>
      </c>
    </row>
    <row r="166" spans="1:38" x14ac:dyDescent="0.3">
      <c r="A166" s="33"/>
      <c r="B166" s="72"/>
      <c r="O166" s="83">
        <v>9</v>
      </c>
      <c r="P166" s="65"/>
      <c r="Q166" s="65"/>
      <c r="R166" s="65"/>
      <c r="S166" s="65"/>
      <c r="T166" s="66"/>
      <c r="U166" s="57"/>
      <c r="V166" s="57"/>
      <c r="W166" s="57"/>
      <c r="X166" s="57"/>
      <c r="AJ166" s="29">
        <v>3</v>
      </c>
      <c r="AK166" s="29">
        <v>6</v>
      </c>
    </row>
    <row r="167" spans="1:38" ht="19.5" thickBot="1" x14ac:dyDescent="0.35">
      <c r="A167" s="33"/>
      <c r="B167" s="72"/>
      <c r="O167" s="85">
        <v>10</v>
      </c>
      <c r="P167" s="67"/>
      <c r="Q167" s="67"/>
      <c r="R167" s="67"/>
      <c r="S167" s="67"/>
      <c r="T167" s="68"/>
      <c r="AJ167" s="29">
        <v>4</v>
      </c>
      <c r="AK167" s="29">
        <v>6</v>
      </c>
      <c r="AL167" s="29" t="str">
        <f ca="1">IF(AND(O11="bard",O12&gt;=14),VLOOKUP(RANDBETWEEN(1,10),Table220345459801858915331388722[],2)," ")</f>
        <v xml:space="preserve"> </v>
      </c>
    </row>
    <row r="168" spans="1:38" ht="19.5" thickBot="1" x14ac:dyDescent="0.35">
      <c r="AJ168" s="29">
        <v>5</v>
      </c>
      <c r="AK168" s="29">
        <v>7</v>
      </c>
      <c r="AL168" s="29" t="str">
        <f ca="1">IF(AND(O11="bard",O12&gt;=14),VLOOKUP(RANDBETWEEN(1,10),Table220345459801858915331388722[],2)," ")</f>
        <v xml:space="preserve"> </v>
      </c>
    </row>
    <row r="169" spans="1:38" ht="30.75" thickBot="1" x14ac:dyDescent="0.45">
      <c r="B169" s="105" t="s">
        <v>1243</v>
      </c>
      <c r="AJ169" s="29">
        <v>6</v>
      </c>
      <c r="AK169" s="29">
        <v>7</v>
      </c>
    </row>
    <row r="170" spans="1:38" ht="19.5" thickBot="1" x14ac:dyDescent="0.35">
      <c r="B170" s="79"/>
      <c r="C170" s="27"/>
      <c r="D170" s="27"/>
      <c r="E170" s="27"/>
      <c r="F170" s="27"/>
      <c r="G170" s="27"/>
      <c r="H170" s="27"/>
      <c r="I170" s="27"/>
      <c r="J170" s="27"/>
      <c r="K170" s="27"/>
      <c r="L170" s="27"/>
      <c r="M170" s="27"/>
      <c r="N170" s="27"/>
      <c r="O170" s="27"/>
      <c r="P170" s="87" t="s">
        <v>1341</v>
      </c>
      <c r="Q170" s="88" t="str">
        <f ca="1">IF($O$11="warlock",INDEX('Spell Tables'!$D$194:$D$213,MATCH($O$12,('Spell Tables'!$A$194:$A$213),0))," ")</f>
        <v xml:space="preserve"> </v>
      </c>
      <c r="R170" s="89" t="s">
        <v>1340</v>
      </c>
      <c r="S170" s="90" t="str">
        <f ca="1">IF($O$11="warlock",INDEX('Spell Tables'!$E$194:$E$213,MATCH($O$12,('Spell Tables'!$A$194:$A$213),0))," ")</f>
        <v xml:space="preserve"> </v>
      </c>
      <c r="T170" s="91"/>
      <c r="AJ170" s="29">
        <v>7</v>
      </c>
      <c r="AK170" s="29">
        <v>7</v>
      </c>
    </row>
    <row r="171" spans="1:38" x14ac:dyDescent="0.3">
      <c r="B171" s="112"/>
      <c r="C171" s="33"/>
      <c r="D171" s="33"/>
      <c r="E171" s="33"/>
      <c r="F171" s="33"/>
      <c r="G171" s="33"/>
      <c r="H171" s="33"/>
      <c r="I171" s="33"/>
      <c r="J171" s="33"/>
      <c r="K171" s="33"/>
      <c r="L171" s="33"/>
      <c r="M171" s="33"/>
      <c r="N171" s="33"/>
      <c r="O171" s="33"/>
      <c r="P171" s="92" t="s">
        <v>1342</v>
      </c>
      <c r="Q171" s="33" t="str">
        <f ca="1">IF(AND(AF14=2,OR(O11="monk",O11="barbarian",O11="warlock"),OR(Q11="fighter",Q11="rogue"),OR(P15&lt;&gt;"arcane trickster",R15&lt;&gt;"arcane trickster",P15&lt;&gt;"eldritch knight",R15&lt;&gt;"eldritch knight")),0,IF(AND(AF14=2,OR(O11="monk",O11="barbarian",O11="warlock"),OR(Q11="monk",Q11="barbarian",Q11="warlock")),0,IF(AND(AF14=2,OR(O11="monk",O11="barbarian",O11="warlock",Q11="monk",Q11="barbarian",Q11="warlock"),OR(P15="arcane trickster",R15="arcane trickster",P15="eldritch knight",R15="eldritch knight")),INDEX('Spell Tables'!D141:D160,MATCH(AF18,('Spell Tables'!A141:A160),0)),IF(AND(AF14=2,OR(O11="monk",O11="barbarian",O11="warlock",Q11="monk",Q11="barbarian",Q11="warlock"),OR(O11="paladin",Q11="paladin",O11="ranger",Q11="ranger")),INDEX('Spell Tables'!D119:D138,MATCH(AF18,('Spell Tables'!B119:B138),0)),IF(AF14=2,INDEX('Spell Tables'!D242:D261,MATCH(AF18,('Spell Tables'!B242:B261),0)),IF(AND(AF14=1,$P$15="arcane trickster"),INDEX('Spell Tables'!$D$141:$D$161,MATCH($O$12,('Spell Tables'!$A$141:$A$160),0)),IF(AND(AF14=1,(OR($O$11="bard",$O$11="cleric",$O$11="druid",$O$11="sorcerer",$O$11="wizard"))),INDEX('Spell Tables'!$D$2:$D$21,MATCH($O$12,('Spell Tables'!$A$2:$A$21),0)),IF(AND(AF14=1,$P$15)="Eldritch Knight",INDEX('Spell Tables'!$D$70:$D$89,MATCH($O$12,('Spell Tables'!$A$70:$A$89),0))," "))))))))</f>
        <v xml:space="preserve"> </v>
      </c>
      <c r="R171" s="33" t="str">
        <f ca="1">IF(AND(AF14=2,OR(O11="monk",O11="barbarian",O11="warlock"),OR(Q11="fighter",Q11="rogue"),OR(P15&lt;&gt;"arcane trickster",R15&lt;&gt;"arcane trickster",P15&lt;&gt;"eldritch knight",R15&lt;&gt;"eldritch knight")),0,IF(AND(AF14=2,OR(O11="monk",O11="barbarian",O11="warlock"),OR(Q11="monk",Q11="barbarian",Q11="warlock")),0,IF(AND(AF14=2,OR(O11="monk",O11="barbarian",O11="warlock",Q11="monk",Q11="barbarian",Q11="warlock"),OR(P15="arcane trickster",R15="arcane trickster",P15="eldritch knight",R15="eldritch knight")),INDEX('Spell Tables'!E141:E160,MATCH(AF18,('Spell Tables'!A141:A160),0)),IF(AND(AF14=2,OR(O11="monk",O11="barbarian",O11="warlock",Q11="monk",Q11="barbarian",Q11="warlock"),OR(O11="paladin",Q11="paladin",O11="ranger",Q11="ranger")),INDEX('Spell Tables'!E119:E138,MATCH(AF18,('Spell Tables'!B119:B138),0)),IF(AF14=2,INDEX('Spell Tables'!E242:E261,MATCH(AF18,('Spell Tables'!B242:B261),0)),IF($P$15="arcane trickster",INDEX('Spell Tables'!$E$141:$E$161,MATCH($O$12,('Spell Tables'!$A$141:$A$160),0)),IF(OR($O$11="bard",$O$11="cleric",$O$11="druid",O11="sorcerer",O11="wizard"),INDEX('Spell Tables'!E$2:E$21,MATCH($O$12,('Spell Tables'!$A$2:$A$21),0)),IF($P$15="Eldritch Knight",INDEX('Spell Tables'!E70:E89,MATCH($O$12,('Spell Tables'!$A$70:$A$89),0))," "))))))))</f>
        <v xml:space="preserve"> </v>
      </c>
      <c r="S171" s="33" t="str">
        <f ca="1">IF(AND(AF14=2,OR(O11="monk",O11="barbarian",O11="warlock"),OR(Q11="fighter",Q11="rogue"),OR(P15&lt;&gt;"arcane trickster",R15&lt;&gt;"arcane trickster",P15&lt;&gt;"eldritch knight",R15&lt;&gt;"eldritch knight")),0,IF(AND(AF14=2,OR(O11="monk",O11="barbarian",O11="warlock"),OR(Q11="monk",Q11="barbarian",Q11="warlock")),0,IF(AND(AF14=2,OR(O11="monk",O11="barbarian",O11="warlock",Q11="monk",Q11="barbarian",Q11="warlock"),OR(P15="arcane trickster",R15="arcane trickster",P15="eldritch knight",R15="eldritch knight")),INDEX('Spell Tables'!F141:F160,MATCH(AF18,('Spell Tables'!A141:A160),0)),IF(AND(AF14=2,OR(O11="monk",O11="barbarian",O11="warlock",Q11="monk",Q11="barbarian",Q11="warlock"),OR(O11="paladin",Q11="paladin",O11="ranger",Q11="ranger")),INDEX('Spell Tables'!F119:F1383,MATCH(AF18,('Spell Tables'!B119:B138),0)),IF(AF14=2,INDEX('Spell Tables'!F242:F261,MATCH(AF18,('Spell Tables'!B242:B261),0)),IF($P$15="arcane trickster",INDEX('Spell Tables'!$F$141:$F$161,MATCH($O$12,('Spell Tables'!$A$141:$A$160),0)),IF(OR($O$11="bard",$O$11="cleric",$O$11="druid",O11="sorcerer",O11="wizard"),INDEX('Spell Tables'!F$2:F$21,MATCH($O$12,('Spell Tables'!$A$2:$A$21),0)),IF($P$15="Eldritch Knight",INDEX('Spell Tables'!F70:F89,MATCH($O$12,('Spell Tables'!$A$70:$A$89),0))," "))))))))</f>
        <v xml:space="preserve"> </v>
      </c>
      <c r="T171" s="72" t="str">
        <f ca="1">IF(AND(AF14=2,OR(O11="monk",O11="barbarian",O11="warlock"),OR(Q11="fighter",Q11="rogue"),OR(P15&lt;&gt;"arcane trickster",R15&lt;&gt;"arcane trickster",P15&lt;&gt;"eldritch knight",R15&lt;&gt;"eldritch knight")),0,IF(AND(AF14=2,OR(O11="monk",O11="barbarian",O11="warlock"),OR(Q11="monk",Q11="barbarian",Q11="warlock")),0,IF(AND(AF14=2,OR(O11="monk",O11="barbarian",O11="warlock",Q11="monk",Q11="barbarian",Q11="warlock"),OR(P15="arcane trickster",R15="arcane trickster",P15="eldritch knight",R15="eldritch knight")),INDEX('Spell Tables'!G141:G160,MATCH(AF18,('Spell Tables'!A141:A160),0)),IF(AND(AF14=2,OR(O11="monk",O11="barbarian",O11="warlock",Q11="monk",Q11="barbarian",Q11="warlock"),OR(O11="paladin",Q11="paladin",O11="ranger",Q11="ranger")),INDEX('Spell Tables'!G119:G138,MATCH(AF18,('Spell Tables'!B119:B138),0)),IF(AF14=2,INDEX('Spell Tables'!G242:G261,MATCH(AF18,('Spell Tables'!B242:B261),0)),IF($P$15="arcane trickster",INDEX('Spell Tables'!$G$141:$G$161,MATCH($O$12,('Spell Tables'!$A$141:$A$160),0)),IF(OR($O$11="bard",$O$11="cleric",$O$11="druid",O11="sorcerer",O11="wizard"),INDEX('Spell Tables'!G$2:G$21,MATCH($O$12,('Spell Tables'!$A$2:$A$21),0)),IF($P$15="Eldritch Knight",INDEX('Spell Tables'!G70:G89,MATCH($O$12,('Spell Tables'!$A$70:$A$89),0))," "))))))))</f>
        <v xml:space="preserve"> </v>
      </c>
      <c r="AJ171" s="29">
        <v>8</v>
      </c>
      <c r="AK171" s="29">
        <v>7</v>
      </c>
    </row>
    <row r="172" spans="1:38" hidden="1" x14ac:dyDescent="0.3">
      <c r="B172" s="112" t="s">
        <v>1270</v>
      </c>
      <c r="C172" s="33"/>
      <c r="D172" s="33"/>
      <c r="E172" s="33"/>
      <c r="F172" s="33"/>
      <c r="G172" s="33"/>
      <c r="H172" s="33"/>
      <c r="I172" s="33"/>
      <c r="J172" s="33"/>
      <c r="K172" s="33"/>
      <c r="L172" s="33"/>
      <c r="M172" s="33"/>
      <c r="N172" s="33"/>
      <c r="O172" s="33" t="s">
        <v>530</v>
      </c>
      <c r="P172" s="92" t="s">
        <v>530</v>
      </c>
      <c r="Q172" s="33" t="str">
        <f ca="1">IF(AND(O11="wizard",O12&gt;=3),"x",IF(O11="wizard","xx"," "))</f>
        <v xml:space="preserve"> </v>
      </c>
      <c r="R172" s="33" t="str">
        <f ca="1">IF(AND(O11="wizard",O12&gt;=5),"x",IF(AND($O$11="wizard",$O$12&gt;3),"xx",IF(AND(O11="wizard",O12=3),"xxx"," ")))</f>
        <v xml:space="preserve"> </v>
      </c>
      <c r="S172" s="33" t="str">
        <f ca="1">IF(AND(O11="Wizard",O12&gt;=7),"x",IF(AND($O$11="wizard",$O$12&gt;5),"xx",IF(AND(O11="wizard",O12=5),"xxx"," ")))</f>
        <v xml:space="preserve"> </v>
      </c>
      <c r="T172" s="33" t="str">
        <f ca="1">IF(AND(O11="wizard",O12&gt;=9),"x",IF(AND($O$11="wizard",$O$12&gt;7),"xx",IF(AND(O11="wizard",O12=7),"xxx"," ")))</f>
        <v xml:space="preserve"> </v>
      </c>
      <c r="AJ172" s="29">
        <v>9</v>
      </c>
      <c r="AK172" s="29">
        <v>7</v>
      </c>
    </row>
    <row r="173" spans="1:38" hidden="1" x14ac:dyDescent="0.3">
      <c r="B173" s="112" t="s">
        <v>1272</v>
      </c>
      <c r="C173" s="33"/>
      <c r="D173" s="33"/>
      <c r="E173" s="33"/>
      <c r="F173" s="33"/>
      <c r="G173" s="33"/>
      <c r="H173" s="33"/>
      <c r="I173" s="33"/>
      <c r="J173" s="33"/>
      <c r="K173" s="33"/>
      <c r="L173" s="33"/>
      <c r="M173" s="33"/>
      <c r="N173" s="33"/>
      <c r="O173" s="33" t="str">
        <f ca="1">IF(O11="wizard",P41+O12," ")</f>
        <v xml:space="preserve"> </v>
      </c>
      <c r="P173" s="92">
        <f ca="1">IF(O11="wizard",INDEX('Spell Tables'!C242:C261,MATCH(O12,('Spell Tables'!B242:B261),0)),0)</f>
        <v>0</v>
      </c>
      <c r="Q173" s="33">
        <f ca="1">IF($Q172="x",RANDBETWEEN(1,2),IF($Q172="xx",$O$173,0))</f>
        <v>0</v>
      </c>
      <c r="R173" s="33">
        <f ca="1">IF(R172="x",RANDBETWEEN(1,2),IF(R172="xx",$O$173-Q173,0))</f>
        <v>0</v>
      </c>
      <c r="S173" s="33">
        <f ca="1">IF(S172="x",O173-SUM(Q173:R173,U122:X122),IF(S172="xx",$O$173-SUM(Q173:R173),0))</f>
        <v>0</v>
      </c>
      <c r="T173" s="33">
        <f ca="1">IF(T172="x",RANDBETWEEN(1,2),IF(T172="xx",RANDBETWEEN(2,3),IF(T172="xxx",RANDBETWEEN(1,2),0)))</f>
        <v>0</v>
      </c>
      <c r="AJ173" s="29">
        <v>10</v>
      </c>
      <c r="AK173" s="29">
        <v>7</v>
      </c>
    </row>
    <row r="174" spans="1:38" hidden="1" x14ac:dyDescent="0.3">
      <c r="B174" s="112" t="s">
        <v>1269</v>
      </c>
      <c r="C174" s="33"/>
      <c r="D174" s="33"/>
      <c r="E174" s="33"/>
      <c r="F174" s="33"/>
      <c r="G174" s="33"/>
      <c r="H174" s="33"/>
      <c r="I174" s="33"/>
      <c r="J174" s="33"/>
      <c r="K174" s="33"/>
      <c r="L174" s="33"/>
      <c r="M174" s="33"/>
      <c r="N174" s="33"/>
      <c r="O174" s="33" t="s">
        <v>530</v>
      </c>
      <c r="P174" s="92" t="s">
        <v>530</v>
      </c>
      <c r="Q174" s="33" t="str">
        <f ca="1">IF(AND($O$11="warlock",$O$12&gt;=3),"x",IF(O11="warlock","xx"," "))</f>
        <v xml:space="preserve"> </v>
      </c>
      <c r="R174" s="33" t="str">
        <f ca="1">IF(AND($O$11="warlock",$O$12&gt;=5),"x",IF(AND($O$11="warlock",$O$12&gt;=3),"xx"," "))</f>
        <v xml:space="preserve"> </v>
      </c>
      <c r="S174" s="33" t="str">
        <f ca="1">IF(AND($O$11="warlock",$O$12&gt;=7),"x",IF(AND($O$11="warlock",$O$12&gt;=5),"xx"," "))</f>
        <v xml:space="preserve"> </v>
      </c>
      <c r="T174" s="33" t="str">
        <f ca="1">IF(AND($O$11="warlock",$O$12&gt;=9),"x",IF(AND($O$11="warlock",$O$12&gt;=7),"xx"," "))</f>
        <v xml:space="preserve"> </v>
      </c>
    </row>
    <row r="175" spans="1:38" hidden="1" x14ac:dyDescent="0.3">
      <c r="B175" s="112" t="s">
        <v>1268</v>
      </c>
      <c r="C175" s="33"/>
      <c r="D175" s="33"/>
      <c r="E175" s="33"/>
      <c r="F175" s="33"/>
      <c r="G175" s="33"/>
      <c r="H175" s="33"/>
      <c r="I175" s="33"/>
      <c r="J175" s="33"/>
      <c r="K175" s="33"/>
      <c r="L175" s="33"/>
      <c r="M175" s="33"/>
      <c r="N175" s="33"/>
      <c r="O175" s="33" t="str">
        <f ca="1">IF(O11="warlock",INDEX('Spell Tables'!C194:C213,MATCH($O$12,('Spell Tables'!A194:A213),0))," ")</f>
        <v xml:space="preserve"> </v>
      </c>
      <c r="P175" s="92">
        <f ca="1">IF($O$11="warlock",INDEX('Spell Tables'!B194:B213,MATCH($O$12,('Spell Tables'!A194:A213),0)),0)</f>
        <v>0</v>
      </c>
      <c r="Q175" s="33">
        <f ca="1">IF($Q174="x",RANDBETWEEN(1,2),IF($Q174="xx",$O$175,0))</f>
        <v>0</v>
      </c>
      <c r="R175" s="33">
        <f ca="1">IF(R174="x",RANDBETWEEN(1,2),IF(R174="xx",$O$175-Q175,0))</f>
        <v>0</v>
      </c>
      <c r="S175" s="33">
        <f ca="1">IF(S174="x",O175-SUM(Q175:R175,U124:X124),IF(S174="xx",$O$175-SUM(Q175:R175),0))</f>
        <v>0</v>
      </c>
      <c r="T175" s="33">
        <f ca="1">IF(T174="x",RANDBETWEEN(1,2),IF(T174="xx",RANDBETWEEN(2,3),0))</f>
        <v>0</v>
      </c>
      <c r="AJ175" s="31" t="s">
        <v>1668</v>
      </c>
    </row>
    <row r="176" spans="1:38" hidden="1" x14ac:dyDescent="0.3">
      <c r="B176" s="112" t="s">
        <v>1267</v>
      </c>
      <c r="C176" s="33"/>
      <c r="D176" s="33"/>
      <c r="E176" s="33"/>
      <c r="F176" s="33"/>
      <c r="G176" s="33"/>
      <c r="H176" s="33"/>
      <c r="I176" s="33"/>
      <c r="J176" s="33"/>
      <c r="K176" s="33"/>
      <c r="L176" s="33"/>
      <c r="M176" s="33"/>
      <c r="N176" s="33"/>
      <c r="O176" s="33" t="s">
        <v>530</v>
      </c>
      <c r="P176" s="92" t="s">
        <v>530</v>
      </c>
      <c r="Q176" s="33" t="str">
        <f ca="1">IF(AND($O$11="sorcerer",$O$12&gt;=3),"x",IF($O$11="sorcerer","xx"," "))</f>
        <v xml:space="preserve"> </v>
      </c>
      <c r="R176" s="33" t="str">
        <f ca="1">IF(AND($O$11="sorcerer",$O$12&gt;=5),"x",IF(AND($O$11="sorcerer",$O$12&gt;=3),"xx"," "))</f>
        <v xml:space="preserve"> </v>
      </c>
      <c r="S176" s="33" t="str">
        <f ca="1">IF(AND($O$11="sorcerer",$O$12&gt;=7),"x",IF(AND($O$11="sorcerer",$O$12&gt;=5),"xx"," "))</f>
        <v xml:space="preserve"> </v>
      </c>
      <c r="T176" s="33" t="str">
        <f ca="1">IF(AND($O$11="sorcerer",$O$12&gt;=9),"x",IF(AND($O$11="sorcerer",$O$12&gt;=7),"xx"," "))</f>
        <v xml:space="preserve"> </v>
      </c>
      <c r="AJ176" s="29">
        <v>1</v>
      </c>
      <c r="AK176" s="29">
        <v>8</v>
      </c>
    </row>
    <row r="177" spans="2:38" hidden="1" x14ac:dyDescent="0.3">
      <c r="B177" s="112" t="s">
        <v>1266</v>
      </c>
      <c r="C177" s="33"/>
      <c r="D177" s="33"/>
      <c r="E177" s="33"/>
      <c r="F177" s="33"/>
      <c r="G177" s="33"/>
      <c r="H177" s="33"/>
      <c r="I177" s="33"/>
      <c r="J177" s="33"/>
      <c r="K177" s="33"/>
      <c r="L177" s="33"/>
      <c r="M177" s="33"/>
      <c r="N177" s="33"/>
      <c r="O177" s="33" t="str">
        <f ca="1">IF(O11="sorcerer",INDEX('Spell Tables'!C168:C187,MATCH($O$12,('Spell Tables'!A168:A187),0))," ")</f>
        <v xml:space="preserve"> </v>
      </c>
      <c r="P177" s="92">
        <f ca="1">IF($O$11="sorcerer",INDEX('Spell Tables'!B168:B187,MATCH($O$12,('Spell Tables'!A168:A187),0)),0)</f>
        <v>0</v>
      </c>
      <c r="Q177" s="33">
        <f ca="1">IF($Q176="x",RANDBETWEEN(1,2),IF($Q176="xx",$O$177,0))</f>
        <v>0</v>
      </c>
      <c r="R177" s="33">
        <f ca="1">IF(R176="x",RANDBETWEEN(1,2),IF(R176="xx",$O$177-Q177,0))</f>
        <v>0</v>
      </c>
      <c r="S177" s="33">
        <f ca="1">IF(S176="x",O177-SUM(Q177:R177,U126:X126),IF(S176="xx",$O$177-SUM(Q177:R177),0))</f>
        <v>0</v>
      </c>
      <c r="T177" s="33">
        <f ca="1">IF(T176="x",RANDBETWEEN(1,2),IF(T176="xx",RANDBETWEEN(2,3),0))</f>
        <v>0</v>
      </c>
      <c r="AJ177" s="29">
        <v>2</v>
      </c>
      <c r="AK177" s="29">
        <v>8</v>
      </c>
    </row>
    <row r="178" spans="2:38" hidden="1" x14ac:dyDescent="0.3">
      <c r="B178" s="112" t="s">
        <v>1254</v>
      </c>
      <c r="C178" s="33"/>
      <c r="D178" s="33"/>
      <c r="E178" s="33"/>
      <c r="F178" s="33"/>
      <c r="G178" s="33"/>
      <c r="H178" s="33"/>
      <c r="I178" s="33"/>
      <c r="J178" s="33"/>
      <c r="K178" s="33"/>
      <c r="L178" s="33"/>
      <c r="M178" s="33"/>
      <c r="N178" s="33"/>
      <c r="O178" s="33" t="s">
        <v>530</v>
      </c>
      <c r="P178" s="92" t="s">
        <v>530</v>
      </c>
      <c r="Q178" s="33" t="str">
        <f ca="1">IF(AND(P15="arcane trickster",O12&gt;=7),"x",IF(P15="arcane trickster","xx"," "))</f>
        <v xml:space="preserve"> </v>
      </c>
      <c r="R178" s="33" t="str">
        <f ca="1">IF(AND(P15="arcane trickster",O12=13),"x",IF(AND(P15="arcane trickster",$O$12&gt;=7),"xx"," "))</f>
        <v xml:space="preserve"> </v>
      </c>
      <c r="S178" s="33" t="str">
        <f ca="1">IF(AND(P15="arcane trickster",O12&gt;=19),"x",IF(AND(P15="arcane trickster",$O$12&gt;=13),"xx"," "))</f>
        <v xml:space="preserve"> </v>
      </c>
      <c r="T178" s="33" t="str">
        <f ca="1">IF(AND(P15="arcane trickster",$O$12&gt;=19),"xx"," ")</f>
        <v xml:space="preserve"> </v>
      </c>
      <c r="AJ178" s="29">
        <v>3</v>
      </c>
      <c r="AK178" s="29">
        <v>8</v>
      </c>
    </row>
    <row r="179" spans="2:38" hidden="1" x14ac:dyDescent="0.3">
      <c r="B179" s="112" t="s">
        <v>1253</v>
      </c>
      <c r="C179" s="33"/>
      <c r="D179" s="33"/>
      <c r="E179" s="33"/>
      <c r="F179" s="33"/>
      <c r="G179" s="33"/>
      <c r="H179" s="33"/>
      <c r="I179" s="33"/>
      <c r="J179" s="33"/>
      <c r="K179" s="33"/>
      <c r="L179" s="33"/>
      <c r="M179" s="33"/>
      <c r="N179" s="33"/>
      <c r="O179" s="33" t="str">
        <f ca="1">IF(P15="arcane trickster",INDEX('Spell Tables'!C141:C160,MATCH($O$12,('Spell Tables'!A141:A160),0))," ")</f>
        <v xml:space="preserve"> </v>
      </c>
      <c r="P179" s="92">
        <f ca="1">IF($P$15="arcane trickster",INDEX('Spell Tables'!B141:B160,MATCH($O$12,('Spell Tables'!A141:A160),0)),0)</f>
        <v>0</v>
      </c>
      <c r="Q179" s="33">
        <f ca="1">IF($Q178="x",RANDBETWEEN(2,3),IF($Q178="xx",$O$179,0))</f>
        <v>0</v>
      </c>
      <c r="R179" s="33">
        <f ca="1">IF(R178="x",RANDBETWEEN(2,3),IF(R178="xx",$O$179-Q179,0))</f>
        <v>0</v>
      </c>
      <c r="S179" s="33">
        <f ca="1">IF(S178="x",O179-SUM(Q179:R179,U128:X128),IF(S178="xx",$O$179-SUM(Q179:R179),0))</f>
        <v>0</v>
      </c>
      <c r="T179" s="33">
        <f ca="1">IF(T178="x",RANDBETWEEN(1,2),IF(T178="xx",RANDBETWEEN(2,3),0))</f>
        <v>0</v>
      </c>
      <c r="AJ179" s="29">
        <v>4</v>
      </c>
      <c r="AK179" s="29">
        <v>8</v>
      </c>
      <c r="AL179" s="29" t="str">
        <f ca="1">IF(AND(O11="bard",O12&gt;=18),VLOOKUP(RANDBETWEEN(1,10),Table222346460802859916332389723[],2)," ")</f>
        <v xml:space="preserve"> </v>
      </c>
    </row>
    <row r="180" spans="2:38" hidden="1" x14ac:dyDescent="0.3">
      <c r="B180" s="112" t="s">
        <v>1247</v>
      </c>
      <c r="C180" s="33"/>
      <c r="D180" s="33"/>
      <c r="E180" s="33"/>
      <c r="F180" s="33"/>
      <c r="G180" s="33"/>
      <c r="H180" s="33"/>
      <c r="I180" s="33"/>
      <c r="J180" s="33"/>
      <c r="K180" s="33"/>
      <c r="L180" s="33"/>
      <c r="M180" s="33"/>
      <c r="N180" s="33"/>
      <c r="O180" s="33" t="s">
        <v>530</v>
      </c>
      <c r="P180" s="92" t="s">
        <v>1324</v>
      </c>
      <c r="Q180" s="33" t="str">
        <f ca="1">IF(AND($O$11="ranger",$O$12&gt;=5),"x",IF(AND(O11="ranger",O12&gt;=2),"xx"," "))</f>
        <v xml:space="preserve"> </v>
      </c>
      <c r="R180" s="33" t="str">
        <f ca="1">IF(AND($O$11="ranger",$O$12&gt;=9),"x",IF(AND($O$11="ranger",$O$12&gt;=5),"xx"," "))</f>
        <v xml:space="preserve"> </v>
      </c>
      <c r="S180" s="33" t="str">
        <f ca="1">IF(AND($O$11="ranger",$O$12&gt;=13),"x",IF(AND($O$11="ranger",$O$12&gt;=9),"xx"," "))</f>
        <v xml:space="preserve"> </v>
      </c>
      <c r="T180" s="33" t="str">
        <f ca="1">IF(AND($O$11="ranger",$O$12&gt;=17),"x",IF(AND($O$11="ranger",$O$12&gt;=13),"xx"," "))</f>
        <v xml:space="preserve"> </v>
      </c>
      <c r="AJ180" s="29">
        <v>5</v>
      </c>
      <c r="AK180" s="29">
        <v>9</v>
      </c>
      <c r="AL180" s="29" t="str">
        <f ca="1">IF(AND(O11="bard",O12&gt;=18),VLOOKUP(RANDBETWEEN(1,10),Table222346460802859916332389723[],2)," ")</f>
        <v xml:space="preserve"> </v>
      </c>
    </row>
    <row r="181" spans="2:38" hidden="1" x14ac:dyDescent="0.3">
      <c r="B181" s="112" t="s">
        <v>1246</v>
      </c>
      <c r="C181" s="33"/>
      <c r="D181" s="33"/>
      <c r="E181" s="33"/>
      <c r="F181" s="33"/>
      <c r="G181" s="33"/>
      <c r="H181" s="33"/>
      <c r="I181" s="33"/>
      <c r="J181" s="33"/>
      <c r="K181" s="33"/>
      <c r="L181" s="33"/>
      <c r="M181" s="33"/>
      <c r="N181" s="33"/>
      <c r="O181" s="33" t="str">
        <f ca="1">IF($O$11="ranger",INDEX('Spell Tables'!C119:C138,MATCH($O$12,('Spell Tables'!B119:B138),0))," ")</f>
        <v xml:space="preserve"> </v>
      </c>
      <c r="P181" s="92" t="s">
        <v>1324</v>
      </c>
      <c r="Q181" s="33">
        <f ca="1">IF($Q180="x",RANDBETWEEN(1,2),IF($Q180="xx",$O$181,0))</f>
        <v>0</v>
      </c>
      <c r="R181" s="33">
        <f ca="1">IF(R180="x",RANDBETWEEN(1,2),IF(R180="xx",$O$181-Q181,0))</f>
        <v>0</v>
      </c>
      <c r="S181" s="33">
        <f ca="1">IF(S180="x",O181-SUM(Q181:R181,T130:X130),IF(S180="xx",$O$181-SUM(Q181:R181),0))</f>
        <v>0</v>
      </c>
      <c r="T181" s="33">
        <f ca="1">IF(T180="x",RANDBETWEEN(1,2),IF(T180="xx",RANDBETWEEN(2,3),0))</f>
        <v>0</v>
      </c>
      <c r="AJ181" s="29">
        <v>6</v>
      </c>
      <c r="AK181" s="29">
        <v>9</v>
      </c>
    </row>
    <row r="182" spans="2:38" hidden="1" x14ac:dyDescent="0.3">
      <c r="B182" s="112" t="s">
        <v>1245</v>
      </c>
      <c r="C182" s="33"/>
      <c r="D182" s="33"/>
      <c r="E182" s="33"/>
      <c r="F182" s="33"/>
      <c r="G182" s="33"/>
      <c r="H182" s="33"/>
      <c r="I182" s="33"/>
      <c r="J182" s="33"/>
      <c r="K182" s="33"/>
      <c r="L182" s="33"/>
      <c r="M182" s="33"/>
      <c r="N182" s="33"/>
      <c r="O182" s="33" t="s">
        <v>530</v>
      </c>
      <c r="P182" s="92" t="s">
        <v>1324</v>
      </c>
      <c r="Q182" s="33" t="str">
        <f ca="1">IF(AND($O$11="paladin",$O$12&gt;=5),"x",IF($O$11="paladin","xx"," "))</f>
        <v xml:space="preserve"> </v>
      </c>
      <c r="R182" s="33" t="str">
        <f ca="1">IF(AND(O11="paladin",O12&gt;=9),"x",IF(AND($O$11="paladin",$O$12&gt;=5),"xx"," "))</f>
        <v xml:space="preserve"> </v>
      </c>
      <c r="S182" s="33" t="str">
        <f ca="1">IF(AND(O11="paladin",O12&gt;=13),"x",IF(AND($O$11="paladin",$O$12&gt;=9),"xx"," "))</f>
        <v xml:space="preserve"> </v>
      </c>
      <c r="T182" s="33" t="str">
        <f ca="1">IF(AND(O11="paladin",O12&gt;=17),"x",IF(AND($O$11="paladin",$O$12&gt;=13),"xx"," "))</f>
        <v xml:space="preserve"> </v>
      </c>
      <c r="AJ182" s="29">
        <v>7</v>
      </c>
      <c r="AK182" s="29">
        <v>9</v>
      </c>
    </row>
    <row r="183" spans="2:38" hidden="1" x14ac:dyDescent="0.3">
      <c r="B183" s="112" t="s">
        <v>1244</v>
      </c>
      <c r="C183" s="33"/>
      <c r="D183" s="33"/>
      <c r="E183" s="33"/>
      <c r="F183" s="33"/>
      <c r="G183" s="33"/>
      <c r="H183" s="33"/>
      <c r="I183" s="33"/>
      <c r="J183" s="33"/>
      <c r="K183" s="33"/>
      <c r="L183" s="33"/>
      <c r="M183" s="33"/>
      <c r="N183" s="33"/>
      <c r="O183" s="33" t="str">
        <f ca="1">IF(O11="paladin",ROUNDDOWN(P43+(O12*0.5),0)," ")</f>
        <v xml:space="preserve"> </v>
      </c>
      <c r="P183" s="92" t="s">
        <v>1324</v>
      </c>
      <c r="Q183" s="33">
        <f ca="1">IF($Q182="x",RANDBETWEEN(1,2),IF($Q182="xx",$O$183,0))</f>
        <v>0</v>
      </c>
      <c r="R183" s="33">
        <f ca="1">IF(R182="x",RANDBETWEEN(1,2),IF(R182="xx",$O$183-Q183,0))</f>
        <v>0</v>
      </c>
      <c r="S183" s="33">
        <f ca="1">IF(S182="x",O183-SUM(Q183:R183,U132:X132),IF(S182="xx",$O$183-SUM(Q183:R183),0))</f>
        <v>0</v>
      </c>
      <c r="T183" s="33">
        <f ca="1">IF(T182="x",RANDBETWEEN(1,2),IF(T182="xx",RANDBETWEEN(2,3),0))</f>
        <v>0</v>
      </c>
      <c r="AJ183" s="29">
        <v>8</v>
      </c>
      <c r="AK183" s="29">
        <v>9</v>
      </c>
    </row>
    <row r="184" spans="2:38" hidden="1" x14ac:dyDescent="0.3">
      <c r="B184" s="112" t="s">
        <v>1226</v>
      </c>
      <c r="C184" s="33"/>
      <c r="D184" s="33"/>
      <c r="E184" s="33"/>
      <c r="F184" s="33"/>
      <c r="G184" s="33"/>
      <c r="H184" s="33"/>
      <c r="I184" s="33"/>
      <c r="J184" s="33"/>
      <c r="K184" s="33"/>
      <c r="L184" s="33"/>
      <c r="M184" s="33"/>
      <c r="N184" s="33"/>
      <c r="O184" s="33" t="s">
        <v>530</v>
      </c>
      <c r="P184" s="92" t="s">
        <v>530</v>
      </c>
      <c r="Q184" s="33" t="str">
        <f ca="1">IF(AND(P15="eldritch knight",O12&gt;=7),"x",IF(P15="eldritch knight","xx"," "))</f>
        <v xml:space="preserve"> </v>
      </c>
      <c r="R184" s="33" t="str">
        <f ca="1">IF(AND(P15="eldritch knight",O12&gt;=13),"x",IF(AND(P15="eldritch knight",$O$12&gt;=7),"xx"," "))</f>
        <v xml:space="preserve"> </v>
      </c>
      <c r="S184" s="33" t="str">
        <f ca="1">IF(AND(P15="eldritch knight",O12&gt;=19),"x",IF(AND(P15="eldritch knight",$O$12&gt;=13),"xx"," "))</f>
        <v xml:space="preserve"> </v>
      </c>
      <c r="T184" s="33" t="str">
        <f ca="1">IF(AND(P15="eldritch knight",$O$12&gt;=19),"xx"," ")</f>
        <v xml:space="preserve"> </v>
      </c>
      <c r="AJ184" s="29">
        <v>9</v>
      </c>
      <c r="AK184" s="29">
        <v>9</v>
      </c>
    </row>
    <row r="185" spans="2:38" hidden="1" x14ac:dyDescent="0.3">
      <c r="B185" s="112" t="s">
        <v>1222</v>
      </c>
      <c r="C185" s="33"/>
      <c r="D185" s="33"/>
      <c r="E185" s="33"/>
      <c r="F185" s="33"/>
      <c r="G185" s="33"/>
      <c r="H185" s="33"/>
      <c r="I185" s="33"/>
      <c r="J185" s="33"/>
      <c r="K185" s="33"/>
      <c r="L185" s="33"/>
      <c r="M185" s="33"/>
      <c r="N185" s="33"/>
      <c r="O185" s="33" t="str">
        <f ca="1">IF($P$15="eldritch knight",INDEX('Spell Tables'!C70:C89,MATCH($O$12,('Spell Tables'!$A$70:$A$89),0))," ")</f>
        <v xml:space="preserve"> </v>
      </c>
      <c r="P185" s="92">
        <f ca="1">IF($P$15="eldritch knight",INDEX('Spell Tables'!B70:B89,MATCH($O$12,('Spell Tables'!A70:A89),0)),0)</f>
        <v>0</v>
      </c>
      <c r="Q185" s="33">
        <f ca="1">IF($Q184="x",RANDBETWEEN(2,3),IF($Q184="xx",$O$185,0))</f>
        <v>0</v>
      </c>
      <c r="R185" s="33">
        <f ca="1">IF(R184="x",RANDBETWEEN(2,3),IF(R184="xx",$O$185-Q185,0))</f>
        <v>0</v>
      </c>
      <c r="S185" s="33">
        <f ca="1">IF(S184="x",O185-SUM(Q185:R185,U134:X134),IF(S184="xx",$O$185-SUM(Q185:R185),0))</f>
        <v>0</v>
      </c>
      <c r="T185" s="33">
        <f ca="1">IF(T184="x",RANDBETWEEN(1,2),IF(T184="xx",RANDBETWEEN(2,3),0))</f>
        <v>0</v>
      </c>
      <c r="AJ185" s="29">
        <v>10</v>
      </c>
      <c r="AK185" s="29">
        <v>9</v>
      </c>
    </row>
    <row r="186" spans="2:38" hidden="1" x14ac:dyDescent="0.3">
      <c r="B186" s="112" t="s">
        <v>1219</v>
      </c>
      <c r="C186" s="33"/>
      <c r="D186" s="33"/>
      <c r="E186" s="33"/>
      <c r="F186" s="33"/>
      <c r="G186" s="33"/>
      <c r="H186" s="33"/>
      <c r="I186" s="33"/>
      <c r="J186" s="33"/>
      <c r="K186" s="33"/>
      <c r="L186" s="33"/>
      <c r="M186" s="33"/>
      <c r="N186" s="33"/>
      <c r="O186" s="33" t="s">
        <v>530</v>
      </c>
      <c r="P186" s="92" t="s">
        <v>530</v>
      </c>
      <c r="Q186" s="33" t="str">
        <f ca="1">IF(AND($O$11="druid",$O$12&gt;=3),"x",IF($O$11="druid","xx"," "))</f>
        <v xml:space="preserve"> </v>
      </c>
      <c r="R186" s="33" t="str">
        <f ca="1">IF(AND($O$11="druid",$O$12&gt;=5),"x",IF(AND($O$11="druid",$O$12&gt;=3),"xx"," "))</f>
        <v xml:space="preserve"> </v>
      </c>
      <c r="S186" s="33" t="str">
        <f ca="1">IF(AND($O$11="druid",$O$12&gt;=7),"x",IF(AND($O$11="druid",$O$12&gt;=5),"xx"," "))</f>
        <v xml:space="preserve"> </v>
      </c>
      <c r="T186" s="33" t="str">
        <f ca="1">IF(AND($O$11="druid",$O$12&gt;=9),"x",IF(AND($O$11="druid",$O$12&gt;=7),"xx"," "))</f>
        <v xml:space="preserve"> </v>
      </c>
    </row>
    <row r="187" spans="2:38" hidden="1" x14ac:dyDescent="0.3">
      <c r="B187" s="112" t="s">
        <v>1220</v>
      </c>
      <c r="C187" s="33"/>
      <c r="D187" s="33"/>
      <c r="E187" s="33"/>
      <c r="F187" s="33"/>
      <c r="G187" s="33"/>
      <c r="H187" s="33"/>
      <c r="I187" s="33"/>
      <c r="J187" s="33"/>
      <c r="K187" s="33"/>
      <c r="L187" s="33"/>
      <c r="M187" s="33"/>
      <c r="N187" s="33"/>
      <c r="O187" s="33" t="str">
        <f ca="1">IF(O11="druid",O12+P42," ")</f>
        <v xml:space="preserve"> </v>
      </c>
      <c r="P187" s="92">
        <f ca="1">IF($O$11="druid",INDEX('Spell Tables'!C48:C67,MATCH($O$12,('Spell Tables'!B48:B67),0)),0)</f>
        <v>0</v>
      </c>
      <c r="Q187" s="33">
        <f ca="1">IF($Q186="x",RANDBETWEEN(1,2),IF($Q186="xx",$O$187,0))</f>
        <v>0</v>
      </c>
      <c r="R187" s="33">
        <f ca="1">IF(R186="x",RANDBETWEEN(1,2),IF(R186="xx",$O$187-Q187,0))</f>
        <v>0</v>
      </c>
      <c r="S187" s="33">
        <f ca="1">IF(S186="x",O187-SUM(Q187:R187,U136:X136),IF(S186="xx",$O$187-SUM(Q187:R187),0))</f>
        <v>0</v>
      </c>
      <c r="T187" s="33">
        <f ca="1">IF(T186="x",RANDBETWEEN(1,2),IF(T186="xx",RANDBETWEEN(2,3),0))</f>
        <v>0</v>
      </c>
      <c r="AJ187" s="31" t="s">
        <v>1670</v>
      </c>
    </row>
    <row r="188" spans="2:38" hidden="1" x14ac:dyDescent="0.3">
      <c r="B188" s="112" t="s">
        <v>1143</v>
      </c>
      <c r="C188" s="33"/>
      <c r="D188" s="33"/>
      <c r="E188" s="33"/>
      <c r="F188" s="33"/>
      <c r="G188" s="33"/>
      <c r="H188" s="33"/>
      <c r="I188" s="33"/>
      <c r="J188" s="33"/>
      <c r="K188" s="33"/>
      <c r="L188" s="33"/>
      <c r="M188" s="33"/>
      <c r="N188" s="33"/>
      <c r="O188" s="33" t="s">
        <v>530</v>
      </c>
      <c r="P188" s="92" t="s">
        <v>530</v>
      </c>
      <c r="Q188" s="33" t="str">
        <f ca="1">IF(AND(O11="cleric",O12&gt;=3),"x",IF(O11="cleric","xx"," "))</f>
        <v xml:space="preserve"> </v>
      </c>
      <c r="R188" s="33" t="str">
        <f ca="1">IF(AND(O11="cleric",O12&gt;=5),"x",IF(AND($O$11="cleric",$O$12&gt;=3),"xx"," "))</f>
        <v xml:space="preserve"> </v>
      </c>
      <c r="S188" s="33" t="str">
        <f ca="1">IF(AND(O11="cleric",O12&gt;=7),"x",IF(AND($O$11="cleric",$O$12&gt;=5),"xx"," "))</f>
        <v xml:space="preserve"> </v>
      </c>
      <c r="T188" s="33" t="str">
        <f ca="1">IF(AND(O11="cleric",O12&gt;=9),"x",IF(AND($O$11="cleric",$O$12&gt;=7),"xx"," "))</f>
        <v xml:space="preserve"> </v>
      </c>
      <c r="AJ188" s="29">
        <v>1</v>
      </c>
      <c r="AK188" s="29" t="s">
        <v>1671</v>
      </c>
    </row>
    <row r="189" spans="2:38" hidden="1" x14ac:dyDescent="0.3">
      <c r="B189" s="112" t="s">
        <v>1142</v>
      </c>
      <c r="C189" s="33"/>
      <c r="D189" s="33"/>
      <c r="E189" s="33"/>
      <c r="F189" s="33"/>
      <c r="G189" s="33"/>
      <c r="H189" s="33"/>
      <c r="I189" s="33"/>
      <c r="J189" s="33"/>
      <c r="K189" s="33"/>
      <c r="L189" s="33"/>
      <c r="M189" s="33"/>
      <c r="N189" s="33"/>
      <c r="O189" s="33" t="str">
        <f ca="1">IF(O11="cleric",O12+P42," ")</f>
        <v xml:space="preserve"> </v>
      </c>
      <c r="P189" s="92">
        <f ca="1">IF($O$11="cleric",INDEX('Spell Tables'!C26:C45,MATCH($O$12,('Spell Tables'!B26:B45),0)),0)</f>
        <v>0</v>
      </c>
      <c r="Q189" s="33">
        <f ca="1">IF($Q188="x",RANDBETWEEN(1,2),IF($Q188="xx",$O$189,0))</f>
        <v>0</v>
      </c>
      <c r="R189" s="33">
        <f ca="1">IF(R188="x",RANDBETWEEN(1,2),IF(R188="xx",$O$189-Q189,0))</f>
        <v>0</v>
      </c>
      <c r="S189" s="33">
        <f ca="1">IF(S188="x",O189-SUM(Q189:R189,U138:X138),IF(S188="xx",$O$189-SUM(Q189:R189),0))</f>
        <v>0</v>
      </c>
      <c r="T189" s="33">
        <f ca="1">IF(T188="x",RANDBETWEEN(1,2),IF(T188="xx",RANDBETWEEN(2,3),0))</f>
        <v>0</v>
      </c>
      <c r="AJ189" s="29">
        <v>2</v>
      </c>
      <c r="AK189" s="29">
        <v>1</v>
      </c>
    </row>
    <row r="190" spans="2:38" hidden="1" x14ac:dyDescent="0.3">
      <c r="B190" s="112" t="s">
        <v>1248</v>
      </c>
      <c r="C190" s="33"/>
      <c r="D190" s="33"/>
      <c r="E190" s="33"/>
      <c r="F190" s="33"/>
      <c r="G190" s="33"/>
      <c r="H190" s="33"/>
      <c r="I190" s="33"/>
      <c r="J190" s="33"/>
      <c r="K190" s="33"/>
      <c r="L190" s="33"/>
      <c r="M190" s="33"/>
      <c r="N190" s="33"/>
      <c r="O190" s="33" t="s">
        <v>530</v>
      </c>
      <c r="P190" s="92" t="s">
        <v>530</v>
      </c>
      <c r="Q190" s="33" t="str">
        <f ca="1">IF(AND($O$11="bard",$O$12&gt;=3),"x",IF($O$11="bard","xx"," "))</f>
        <v xml:space="preserve"> </v>
      </c>
      <c r="R190" s="33" t="str">
        <f ca="1">IF(AND($O$11="bard",$O$12&gt;=5),"x",IF(AND($O$11="bard",$O$12&gt;=3),"xx"," "))</f>
        <v xml:space="preserve"> </v>
      </c>
      <c r="S190" s="33" t="str">
        <f ca="1">IF(AND($O$11="bard",$O$12&gt;=7),"x",IF(AND($O$11="bard",$O$12&gt;=5),"xx"," "))</f>
        <v xml:space="preserve"> </v>
      </c>
      <c r="T190" s="33" t="str">
        <f ca="1">IF(AND($O$11="bard",$O$12&gt;=9),"x",IF(AND($O$11="bard",$O$12&gt;=7),"xx"," "))</f>
        <v xml:space="preserve"> </v>
      </c>
      <c r="AJ190" s="29">
        <v>3</v>
      </c>
      <c r="AK190" s="29">
        <v>1</v>
      </c>
    </row>
    <row r="191" spans="2:38" hidden="1" x14ac:dyDescent="0.3">
      <c r="B191" s="112" t="s">
        <v>1141</v>
      </c>
      <c r="C191" s="33"/>
      <c r="D191" s="33"/>
      <c r="E191" s="33"/>
      <c r="F191" s="33"/>
      <c r="G191" s="33"/>
      <c r="H191" s="33"/>
      <c r="I191" s="33"/>
      <c r="J191" s="33"/>
      <c r="K191" s="33"/>
      <c r="L191" s="33"/>
      <c r="M191" s="33"/>
      <c r="N191" s="33"/>
      <c r="O191" s="33" t="str">
        <f ca="1">IF($O$11="bard",INDEX('Spell Tables'!C$2:C$21,MATCH($O$12,('Spell Tables'!$A$2:$A$21),0))," ")</f>
        <v xml:space="preserve"> </v>
      </c>
      <c r="P191" s="92">
        <f ca="1">IF($O$11="bard",INDEX('Spell Tables'!B2:B21,MATCH($O$12,('Spell Tables'!A2:A21),0)),0)</f>
        <v>0</v>
      </c>
      <c r="Q191" s="33">
        <f ca="1">IF($Q190="x",RANDBETWEEN(1,2),IF($Q190="xx",$O$191,0))</f>
        <v>0</v>
      </c>
      <c r="R191" s="33">
        <f ca="1">IF(R190="x",RANDBETWEEN(1,2),IF(R190="xx",$O$191-Q191,0))</f>
        <v>0</v>
      </c>
      <c r="S191" s="33">
        <f ca="1">IF(S190="x",O191-SUM(Q191:R191,U140:X140),IF(S190="xx",$O$191-SUM(Q191:R191),0))</f>
        <v>0</v>
      </c>
      <c r="T191" s="33">
        <f ca="1">IF(T190="x",RANDBETWEEN(1,2),IF(T190="xx",RANDBETWEEN(2,3),0))</f>
        <v>0</v>
      </c>
      <c r="AJ191" s="29">
        <v>4</v>
      </c>
      <c r="AK191" s="29">
        <v>2</v>
      </c>
      <c r="AL191" s="29" t="str">
        <f ca="1">IF(AND(P15="college of lore",O12&gt;=6),VLOOKUP(RANDBETWEEN(1,10),Table250347461803860917333390724[],2),IF(AND(R15="college of lore",Q12&gt;=6),VLOOKUP(RANDBETWEEN(1,10),Table250347461803860917333390724[],2)," "))</f>
        <v xml:space="preserve"> </v>
      </c>
    </row>
    <row r="192" spans="2:38" x14ac:dyDescent="0.3">
      <c r="B192" s="112" t="s">
        <v>1122</v>
      </c>
      <c r="C192" s="33"/>
      <c r="D192" s="33"/>
      <c r="E192" s="33"/>
      <c r="F192" s="33"/>
      <c r="G192" s="33"/>
      <c r="H192" s="33"/>
      <c r="I192" s="33"/>
      <c r="J192" s="33"/>
      <c r="K192" s="33"/>
      <c r="L192" s="33"/>
      <c r="M192" s="33"/>
      <c r="N192" s="33"/>
      <c r="O192" s="33"/>
      <c r="P192" s="92" t="s">
        <v>1124</v>
      </c>
      <c r="Q192" s="92" t="s">
        <v>1326</v>
      </c>
      <c r="R192" s="92" t="s">
        <v>1167</v>
      </c>
      <c r="S192" s="92" t="s">
        <v>1168</v>
      </c>
      <c r="T192" s="92" t="s">
        <v>676</v>
      </c>
      <c r="AJ192" s="29">
        <v>5</v>
      </c>
      <c r="AK192" s="29">
        <v>2</v>
      </c>
      <c r="AL192" s="29" t="str">
        <f ca="1">IF(AND(P15="college of lore",O12&gt;=6),VLOOKUP(RANDBETWEEN(1,10),Table250347461803860917333390724[],2),IF(AND(R15="college of lore",Q12&gt;=6),VLOOKUP(RANDBETWEEN(1,10),Table250347461803860917333390724[],2)," "))</f>
        <v xml:space="preserve"> </v>
      </c>
    </row>
    <row r="193" spans="2:37" x14ac:dyDescent="0.3">
      <c r="B193" s="79" t="str">
        <f ca="1">IF(OR(O11="bard",O11="paladin",O11="sorcerer",O11="warlock"),8+$P$8+$P$43,IF(OR(O11="druid",O11="cleric",O11="ranger"),8+P8+P42,IF(OR(P15="eldritch knight",P15="arcane trickster",O11="wizard"),8+P8+P41," ")))</f>
        <v xml:space="preserve"> </v>
      </c>
      <c r="C193" s="33"/>
      <c r="D193" s="33"/>
      <c r="E193" s="33"/>
      <c r="F193" s="33"/>
      <c r="G193" s="33"/>
      <c r="H193" s="33"/>
      <c r="I193" s="33"/>
      <c r="J193" s="33"/>
      <c r="K193" s="33"/>
      <c r="L193" s="33"/>
      <c r="M193" s="33"/>
      <c r="N193" s="33"/>
      <c r="O193" s="34">
        <v>1</v>
      </c>
      <c r="P193" s="33" t="str">
        <f ca="1">IF(P$173&gt;=O193,INDEX('Spell Tables'!$P$242:$P$257,MATCH(O193,('Spell Tables'!$N$242:$N$257),0)),IF(P$175&gt;=O193,INDEX('Spell Tables'!$P$194:$P$201,MATCH(O193,('Spell Tables'!$N$194:$N$201),0)),IF(P$177&gt;=O193,INDEX('Spell Tables'!$P$168:$P$183,MATCH(O193,('Spell Tables'!$N$168:$N$183),0)),IF(P$179&gt;=O193,INDEX('Spell Tables'!$P$141:$P$156,MATCH(O193,('Spell Tables'!$N$141:$N$157),0)),IF(P$185&gt;=O193,INDEX('Spell Tables'!$P$70:$P$83,MATCH(O193,('Spell Tables'!$N$70:$N$83),0)),IF(P$187&gt;=O193,INDEX('Spell Tables'!$P$48:$P$55,MATCH(O193,('Spell Tables'!$N$48:$N$55),0)),IF(P$189&gt;=O193,INDEX('Spell Tables'!$P$26:$P$32,MATCH(O193,('Spell Tables'!$N$26:$N$32),0)),IF(P$191&gt;=O193,INDEX('Spell Tables'!$P$2:$P$12,MATCH(O193,('Spell Tables'!$N$2:$N$12),0))," "))))))))</f>
        <v xml:space="preserve"> </v>
      </c>
      <c r="Q193" s="33" t="str">
        <f ca="1">IF(AND($O$15="Otherworldly patron - great old one",Q$175&gt;=O193),INDEX('Spell Tables'!$T$226:$T$238,MATCH(O193,('Spell Tables'!$R$226:$R$238),0)),IF(AND($O$15="Otherworldly patron - fiend",Q$175&gt;=O193),INDEX('Spell Tables'!$T$210:$T$222,MATCH(O193,('Spell Tables'!$R$210:$R$222),0)),IF(Q$173&gt;=O193,INDEX($AL$44:$AL$53,MATCH(O193,($AJ$44:$AJ$53),0)),IF(AND($O$15="Otherworldly patron - archfey",Q$175&gt;=O193),INDEX('Spell Tables'!$T$194:$T$206,MATCH(O193,('Spell Tables'!$R$194:$R$206),0)),IF(Q$177&gt;=O193,INDEX('Spell Tables'!$T$168:$T$187,MATCH(O193,('Spell Tables'!$R$168:$R$187),0)),IF(Q$179&gt;=O193,INDEX('Spell Tables'!$T$141:$T$147,MATCH(O193,('Spell Tables'!$R$141:$R$147),0)),IF(Q$181&gt;=O193,INDEX('Spell Tables'!$P$119:$P$131,MATCH(O193,('Spell Tables'!$N$119:$N$131),0)),IF(Q$183&gt;=O193,INDEX('Spell Tables'!$P$97:$P$111,MATCH(O193,('Spell Tables'!$N$97:$N$111),0)),IF(Q$185&gt;=O193,INDEX('Spell Tables'!$T$70:$T$78,MATCH(O193,('Spell Tables'!$R$70:$R$78),0)),IF(Q$187&gt;=O193,INDEX('Spell Tables'!$T$48:$T$63,MATCH(O193,('Spell Tables'!$R$48:$R$63),0)),IF(Q$189&gt;=O193,INDEX('Spell Tables'!$T$26:$T$40,MATCH(O193,('Spell Tables'!$R$26:$R$40),0)),IF(Q$191&gt;=O193,INDEX('Spell Tables'!$T$2:$T$22,MATCH(O193,('Spell Tables'!$R$2:$R$22),0))," "))))))))))))</f>
        <v xml:space="preserve"> </v>
      </c>
      <c r="R193" s="33" t="str">
        <f ca="1">IF(AND($O$15="Otherworldly patron - great old one",R$175&gt;=O193),INDEX('Spell Tables'!$X$226:$X$239,MATCH(O193,('Spell Tables'!$V$226:$V$239),0)),IF(AND($O$15="Otherworldly patron - fiend",R$175&gt;=O193),INDEX('Spell Tables'!$X$210:$X$223,MATCH(O193,('Spell Tables'!$V$210:$V$223),0)),IF(AND($O$15="Otherworldly patron - archfey",R$175&gt;=O193),INDEX('Spell Tables'!$X$194:$X$207,MATCH(O193,('Spell Tables'!$V$194:$V$207),0)),IF($R$173&gt;=O193,INDEX($AL$56:$AL$65,MATCH(O193,($AJ$56:$AJ$65),0)),IF($R$177&gt;=O193,INDEX('Spell Tables'!$X$168:$X$191,MATCH(O193,('Spell Tables'!$V$168:$V$191),0)),IF($R$179&gt;=O193,INDEX('Spell Tables'!$AB$141:$AB$149,MATCH(O193,('Spell Tables'!$Z$141:$Z$149),0)),IF($R$181&gt;=O193,INDEX('Spell Tables'!$T$119:$T$131,MATCH(O193,('Spell Tables'!$R$119:$R$131),0)),IF($R$183&gt;=O193,INDEX('Spell Tables'!$T$97:$T$104,MATCH(O193,('Spell Tables'!$R$97:$R$104),0)),IF($R$185&gt;=O193,INDEX('Spell Tables'!$AB$70:$AB$75,MATCH(O193,('Spell Tables'!$Z$70:$Z$75),0)),IF($R$187&gt;=O193,INDEX('Spell Tables'!$X$48:$X$65,MATCH(O193,('Spell Tables'!$V$48:$V$65),0)),IF($R$189&gt;=O193,INDEX('Spell Tables'!$X$26:$X$42,MATCH(O193,('Spell Tables'!$V$26:$V$42),0)),IF($R$191&gt;=O193,INDEX('Spell Tables'!$X$2:$X$23,MATCH(O193,('Spell Tables'!$V$2:$V$23),0))," "))))))))))))</f>
        <v xml:space="preserve"> </v>
      </c>
      <c r="S193" s="33" t="str">
        <f ca="1">IF(AND($O$15="Otherworldly patron - great old one",S$175&gt;=O193),INDEX('Spell Tables'!$AB$226:$AB$238,MATCH(O193,('Spell Tables'!$Z$226:$Z$238),0)),IF(AND($O$15="Otherworldly patron - fiend",S$175&gt;=O193),INDEX('Spell Tables'!$AB$210:$AB$222,MATCH(O193,('Spell Tables'!$Z$210:$Z$222),0)),IF(AND($O$15="Otherworldly patron - archfey",S$175&gt;=O193),INDEX('Spell Tables'!$AB$194:$AB$206,MATCH(O193,('Spell Tables'!$Z$194:$Z$206),0)),IF($S$173&gt;=O193,INDEX($AL$68:$AL$77,MATCH(O193,($AJ$68:$AJ$77),0)),IF($S$177&gt;=O193,INDEX('Spell Tables'!$AB$168:$AB$187,MATCH(O193,('Spell Tables'!$Z$168:$Z$187),0)),IF($S$179&gt;=O193,INDEX('Spell Tables'!$AJ$141:$AJ$144,MATCH(O193,('Spell Tables'!$AH$141:$AH$144),0)),IF($S$181&gt;=O193,INDEX('Spell Tables'!$X$119:$X$129,MATCH(O193,('Spell Tables'!$V$119:$V$129),0)),IF($S$183&gt;=O193,INDEX('Spell Tables'!$X$97:$X$106,MATCH(O193,('Spell Tables'!$V$97:$V$106),0)),IF($S$185&gt;=O193,INDEX('Spell Tables'!$AJ$70:$AJ$79,MATCH(O193,('Spell Tables'!$AH$70:$AH$79),0)),IF($S$187&gt;=O193,INDEX('Spell Tables'!$AB$48:$AB$60,MATCH(O193,('Spell Tables'!$Z$48:$Z$60),0)),IF($S$189&gt;=O193,INDEX('Spell Tables'!$AB$26:$AB$45,MATCH(O193,('Spell Tables'!$Z$26:$Z$45),0)),IF($S$191&gt;=O193,INDEX('Spell Tables'!$AB$2:$AB$17,MATCH(O193,('Spell Tables'!$Z$2:$Z$17),0))," "))))))))))))</f>
        <v xml:space="preserve"> </v>
      </c>
      <c r="T193" s="33" t="str">
        <f ca="1">IF(AND($O$15="Otherworldly patron - great old one",T$175&gt;=O193),INDEX('Spell Tables'!$AF$226:$AF$231,MATCH(O193,('Spell Tables'!$AD$226:$AD$231),0)),IF(AND($O$15="Otherworldly patron - fiend",T$175&gt;=O193),INDEX('Spell Tables'!$AF$210:$AF$215,MATCH(O193,('Spell Tables'!$AD$210:$AD$215),0)),IF(AND($O$15="Otherworldly patron - archfey",T$175&gt;=O193),INDEX('Spell Tables'!$AF$194:$AF$199,MATCH(O193,('Spell Tables'!$AD$194:$AD$199),0)),IF($T$173&gt;=O193,INDEX($AL$80:$AL$89,MATCH(O193,($AJ$80:$AJ$89),0)),IF($T$177&gt;=O193,INDEX('Spell Tables'!$AF$168:$AF$177,MATCH(O193,('Spell Tables'!$AD$168:$AD$177),0)),IF($T$179&gt;=O193,INDEX('Spell Tables'!$AR$141:$AR$144,MATCH(O193,('Spell Tables'!$AP$141:$AP$144),0)),IF($T$181&gt;=O193,INDEX('Spell Tables'!$AB$119:$AB$123,MATCH(O193,('Spell Tables'!$Z$119:$Z$123),0)),IF($T$183&gt;=O193,INDEX('Spell Tables'!$AB$97:$AB$102,MATCH(O193,('Spell Tables'!$Z$97:$Z$102),0)),IF($T$185&gt;=O193,INDEX('Spell Tables'!$AR$70:$AR$75,MATCH(O193,('Spell Tables'!$AP$70:$AP$75),0)),IF($T$187&gt;=O193,INDEX('Spell Tables'!$AF$48:$AF$63,MATCH(O193,('Spell Tables'!$AD$48:$AD$63),0)),IF($T$189&gt;=O193,INDEX('Spell Tables'!$AF$26:$AF$33,MATCH(O193,('Spell Tables'!$AD$26:$AD$33),0)),IF($T$191&gt;=O193,INDEX('Spell Tables'!$AF$2:$AF$9,MATCH(O193,('Spell Tables'!$AD$2:$AD$9),0))," "))))))))))))</f>
        <v xml:space="preserve"> </v>
      </c>
      <c r="AJ193" s="29">
        <v>6</v>
      </c>
      <c r="AK193" s="29">
        <v>2</v>
      </c>
    </row>
    <row r="194" spans="2:37" x14ac:dyDescent="0.3">
      <c r="B194" s="112" t="s">
        <v>1123</v>
      </c>
      <c r="C194" s="33"/>
      <c r="D194" s="33"/>
      <c r="E194" s="33"/>
      <c r="F194" s="33"/>
      <c r="G194" s="33"/>
      <c r="H194" s="33"/>
      <c r="I194" s="33"/>
      <c r="J194" s="33"/>
      <c r="K194" s="33"/>
      <c r="L194" s="33"/>
      <c r="M194" s="33"/>
      <c r="N194" s="33"/>
      <c r="O194" s="34">
        <v>2</v>
      </c>
      <c r="P194" s="33" t="str">
        <f ca="1">IF(P$173&gt;=O194,INDEX('Spell Tables'!$P$242:$P$257,MATCH(O194,('Spell Tables'!$N$242:$N$257),0)),IF(P$175&gt;=O194,INDEX('Spell Tables'!$P$194:$P$201,MATCH(O194,('Spell Tables'!$N$194:$N$201),0)),IF(P$177&gt;=O194,INDEX('Spell Tables'!$P$168:$P$183,MATCH(O194,('Spell Tables'!$N$168:$N$183),0)),IF(P$179&gt;=O194,INDEX('Spell Tables'!$P$141:$P$156,MATCH(O194,('Spell Tables'!$N$141:$N$157),0)),IF(P$185&gt;=O194,INDEX('Spell Tables'!$P$70:$P$83,MATCH(O194,('Spell Tables'!$N$70:$N$83),0)),IF(P$187&gt;=O194,INDEX('Spell Tables'!$P$48:$P$55,MATCH(O194,('Spell Tables'!$N$48:$N$55),0)),IF(P$189&gt;=O194,INDEX('Spell Tables'!$P$26:$P$32,MATCH(O194,('Spell Tables'!$N$26:$N$32),0)),IF(P$191&gt;=O194,INDEX('Spell Tables'!$P$2:$P$12,MATCH(O194,('Spell Tables'!$N$2:$N$12),0))," "))))))))</f>
        <v xml:space="preserve"> </v>
      </c>
      <c r="Q194" s="33" t="str">
        <f ca="1">IF(AND($O$15="Otherworldly patron - great old one",Q$175&gt;=O194),INDEX('Spell Tables'!$T$226:$T$238,MATCH(O194,('Spell Tables'!$R$226:$R$238),0)),IF(AND($O$15="Otherworldly patron - fiend",Q$175&gt;=O194),INDEX('Spell Tables'!$T$210:$T$222,MATCH(O194,('Spell Tables'!$R$210:$R$222),0)),IF(Q$173&gt;=O194,INDEX($AL$44:$AL$53,MATCH(O194,($AJ$44:$AJ$53),0)),IF(AND($O$15="Otherworldly patron - archfey",Q$175&gt;=O194),INDEX('Spell Tables'!$T$194:$T$206,MATCH(O194,('Spell Tables'!$R$194:$R$206),0)),IF(Q$177&gt;=O194,INDEX('Spell Tables'!$T$168:$T$187,MATCH(O194,('Spell Tables'!$R$168:$R$187),0)),IF(Q$179&gt;=O194,INDEX('Spell Tables'!$T$141:$T$147,MATCH(O194,('Spell Tables'!$R$141:$R$147),0)),IF(Q$181&gt;=O194,INDEX('Spell Tables'!$P$119:$P$131,MATCH(O194,('Spell Tables'!$N$119:$N$131),0)),IF(Q$183&gt;=O194,INDEX('Spell Tables'!$P$97:$P$111,MATCH(O194,('Spell Tables'!$N$97:$N$111),0)),IF(Q$185&gt;=O194,INDEX('Spell Tables'!$T$70:$T$78,MATCH(O194,('Spell Tables'!$R$70:$R$78),0)),IF(Q$187&gt;=O194,INDEX('Spell Tables'!$T$48:$T$63,MATCH(O194,('Spell Tables'!$R$48:$R$63),0)),IF(Q$189&gt;=O194,INDEX('Spell Tables'!$T$26:$T$40,MATCH(O194,('Spell Tables'!$R$26:$R$40),0)),IF(Q$191&gt;=O194,INDEX('Spell Tables'!$T$2:$T$22,MATCH(O194,('Spell Tables'!$R$2:$R$22),0))," "))))))))))))</f>
        <v xml:space="preserve"> </v>
      </c>
      <c r="R194" s="33" t="str">
        <f ca="1">IF(AND($O$15="Otherworldly patron - great old one",R$175&gt;=O194),INDEX('Spell Tables'!$X$226:$X$239,MATCH(O194,('Spell Tables'!$V$226:$V$239),0)),IF(AND($O$15="Otherworldly patron - fiend",R$175&gt;=O194),INDEX('Spell Tables'!$X$210:$X$223,MATCH(O194,('Spell Tables'!$V$210:$V$223),0)),IF(AND($O$15="Otherworldly patron - archfey",R$175&gt;=O194),INDEX('Spell Tables'!$X$194:$X$207,MATCH(O194,('Spell Tables'!$V$194:$V$207),0)),IF($R$173&gt;=O194,INDEX($AL$56:$AL$65,MATCH(O194,($AJ$56:$AJ$65),0)),IF($R$177&gt;=O194,INDEX('Spell Tables'!$X$168:$X$191,MATCH(O194,('Spell Tables'!$V$168:$V$191),0)),IF($R$179&gt;=O194,INDEX('Spell Tables'!$AB$141:$AB$149,MATCH(O194,('Spell Tables'!$Z$141:$Z$149),0)),IF($R$181&gt;=O194,INDEX('Spell Tables'!$T$119:$T$131,MATCH(O194,('Spell Tables'!$R$119:$R$131),0)),IF($R$183&gt;=O194,INDEX('Spell Tables'!$T$97:$T$104,MATCH(O194,('Spell Tables'!$R$97:$R$104),0)),IF($R$185&gt;=O194,INDEX('Spell Tables'!$AB$70:$AB$75,MATCH(O194,('Spell Tables'!$Z$70:$Z$75),0)),IF($R$187&gt;=O194,INDEX('Spell Tables'!$X$48:$X$65,MATCH(O194,('Spell Tables'!$V$48:$V$65),0)),IF($R$189&gt;=O194,INDEX('Spell Tables'!$X$26:$X$42,MATCH(O194,('Spell Tables'!$V$26:$V$42),0)),IF($R$191&gt;=O194,INDEX('Spell Tables'!$X$2:$X$23,MATCH(O194,('Spell Tables'!$V$2:$V$23),0))," "))))))))))))</f>
        <v xml:space="preserve"> </v>
      </c>
      <c r="S194" s="33" t="str">
        <f ca="1">IF(AND($O$15="Otherworldly patron - great old one",S$175&gt;=O194),INDEX('Spell Tables'!$AB$226:$AB$238,MATCH(O194,('Spell Tables'!$Z$226:$Z$238),0)),IF(AND($O$15="Otherworldly patron - fiend",S$175&gt;=O194),INDEX('Spell Tables'!$AB$210:$AB$222,MATCH(O194,('Spell Tables'!$Z$210:$Z$222),0)),IF(AND($O$15="Otherworldly patron - archfey",S$175&gt;=O194),INDEX('Spell Tables'!$AB$194:$AB$206,MATCH(O194,('Spell Tables'!$Z$194:$Z$206),0)),IF($S$173&gt;=O194,INDEX($AL$68:$AL$77,MATCH(O194,($AJ$68:$AJ$77),0)),IF($S$177&gt;=O194,INDEX('Spell Tables'!$AB$168:$AB$187,MATCH(O194,('Spell Tables'!$Z$168:$Z$187),0)),IF($S$179&gt;=O194,INDEX('Spell Tables'!$AJ$141:$AJ$144,MATCH(O194,('Spell Tables'!$AH$141:$AH$144),0)),IF($S$181&gt;=O194,INDEX('Spell Tables'!$X$119:$X$129,MATCH(O194,('Spell Tables'!$V$119:$V$129),0)),IF($S$183&gt;=O194,INDEX('Spell Tables'!$X$97:$X$106,MATCH(O194,('Spell Tables'!$V$97:$V$106),0)),IF($S$185&gt;=O194,INDEX('Spell Tables'!$AJ$70:$AJ$79,MATCH(O194,('Spell Tables'!$AH$70:$AH$79),0)),IF($S$187&gt;=O194,INDEX('Spell Tables'!$AB$48:$AB$60,MATCH(O194,('Spell Tables'!$Z$48:$Z$60),0)),IF($S$189&gt;=O194,INDEX('Spell Tables'!$AB$26:$AB$45,MATCH(O194,('Spell Tables'!$Z$26:$Z$45),0)),IF($S$191&gt;=O194,INDEX('Spell Tables'!$AB$2:$AB$17,MATCH(O194,('Spell Tables'!$Z$2:$Z$17),0))," "))))))))))))</f>
        <v xml:space="preserve"> </v>
      </c>
      <c r="T194" s="33" t="str">
        <f ca="1">IF(AND($O$15="Otherworldly patron - great old one",T$175&gt;=O194),INDEX('Spell Tables'!$AF$226:$AF$231,MATCH(O194,('Spell Tables'!$AD$226:$AD$231),0)),IF(AND($O$15="Otherworldly patron - fiend",T$175&gt;=O194),INDEX('Spell Tables'!$AF$210:$AF$215,MATCH(O194,('Spell Tables'!$AD$210:$AD$215),0)),IF(AND($O$15="Otherworldly patron - archfey",T$175&gt;=O194),INDEX('Spell Tables'!$AF$194:$AF$199,MATCH(O194,('Spell Tables'!$AD$194:$AD$199),0)),IF($T$173&gt;=O194,INDEX($AL$80:$AL$89,MATCH(O194,($AJ$80:$AJ$89),0)),IF($T$177&gt;=O194,INDEX('Spell Tables'!$AF$168:$AF$177,MATCH(O194,('Spell Tables'!$AD$168:$AD$177),0)),IF($T$179&gt;=O194,INDEX('Spell Tables'!$AR$141:$AR$144,MATCH(O194,('Spell Tables'!$AP$141:$AP$144),0)),IF($T$181&gt;=O194,INDEX('Spell Tables'!$AB$119:$AB$123,MATCH(O194,('Spell Tables'!$Z$119:$Z$123),0)),IF($T$183&gt;=O194,INDEX('Spell Tables'!$AB$97:$AB$102,MATCH(O194,('Spell Tables'!$Z$97:$Z$102),0)),IF($T$185&gt;=O194,INDEX('Spell Tables'!$AR$70:$AR$75,MATCH(O194,('Spell Tables'!$AP$70:$AP$75),0)),IF($T$187&gt;=O194,INDEX('Spell Tables'!$AF$48:$AF$63,MATCH(O194,('Spell Tables'!$AD$48:$AD$63),0)),IF($T$189&gt;=O194,INDEX('Spell Tables'!$AF$26:$AF$33,MATCH(O194,('Spell Tables'!$AD$26:$AD$33),0)),IF($T$191&gt;=O194,INDEX('Spell Tables'!$AF$2:$AF$9,MATCH(O194,('Spell Tables'!$AD$2:$AD$9),0))," "))))))))))))</f>
        <v xml:space="preserve"> </v>
      </c>
      <c r="AJ194" s="29">
        <v>7</v>
      </c>
      <c r="AK194" s="29">
        <v>3</v>
      </c>
    </row>
    <row r="195" spans="2:37" x14ac:dyDescent="0.3">
      <c r="B195" s="79" t="str">
        <f ca="1">IF(OR(O11="bard",O11="paladin",O11="sorcerer",O11="warlock"),P8+$P$43,IF(OR(O11="druid",O11="cleric",O11="ranger"),P8+P42,IF(OR(P15="eldritch knight",P15="arcane trickster",O11="wizard"),P8+P41," ")))</f>
        <v xml:space="preserve"> </v>
      </c>
      <c r="C195" s="33"/>
      <c r="D195" s="33"/>
      <c r="E195" s="33"/>
      <c r="F195" s="33"/>
      <c r="G195" s="33"/>
      <c r="H195" s="33"/>
      <c r="I195" s="33"/>
      <c r="J195" s="33"/>
      <c r="K195" s="33"/>
      <c r="L195" s="33"/>
      <c r="M195" s="33"/>
      <c r="N195" s="33"/>
      <c r="O195" s="34">
        <v>3</v>
      </c>
      <c r="P195" s="33" t="str">
        <f ca="1">IF(P$173&gt;=O195,INDEX('Spell Tables'!$P$242:$P$257,MATCH(O195,('Spell Tables'!$N$242:$N$257),0)),IF(P$175&gt;=O195,INDEX('Spell Tables'!$P$194:$P$201,MATCH(O195,('Spell Tables'!$N$194:$N$201),0)),IF(P$177&gt;=O195,INDEX('Spell Tables'!$P$168:$P$183,MATCH(O195,('Spell Tables'!$N$168:$N$183),0)),IF(P$179&gt;=O195,INDEX('Spell Tables'!$P$141:$P$156,MATCH(O195,('Spell Tables'!$N$141:$N$157),0)),IF(P$185&gt;=O195,INDEX('Spell Tables'!$P$70:$P$83,MATCH(O195,('Spell Tables'!$N$70:$N$83),0)),IF(P$187&gt;=O195,INDEX('Spell Tables'!$P$48:$P$55,MATCH(O195,('Spell Tables'!$N$48:$N$55),0)),IF(P$189&gt;=O195,INDEX('Spell Tables'!$P$26:$P$32,MATCH(O195,('Spell Tables'!$N$26:$N$32),0)),IF(P$191&gt;=O195,INDEX('Spell Tables'!$P$2:$P$12,MATCH(O195,('Spell Tables'!$N$2:$N$12),0))," "))))))))</f>
        <v xml:space="preserve"> </v>
      </c>
      <c r="Q195" s="33" t="str">
        <f ca="1">IF(AND($O$15="Otherworldly patron - great old one",Q$175&gt;=O195),INDEX('Spell Tables'!$T$226:$T$238,MATCH(O195,('Spell Tables'!$R$226:$R$238),0)),IF(AND($O$15="Otherworldly patron - fiend",Q$175&gt;=O195),INDEX('Spell Tables'!$T$210:$T$222,MATCH(O195,('Spell Tables'!$R$210:$R$222),0)),IF(Q$173&gt;=O195,INDEX($AL$44:$AL$53,MATCH(O195,($AJ$44:$AJ$53),0)),IF(AND($O$15="Otherworldly patron - archfey",Q$175&gt;=O195),INDEX('Spell Tables'!$T$194:$T$206,MATCH(O195,('Spell Tables'!$R$194:$R$206),0)),IF(Q$177&gt;=O195,INDEX('Spell Tables'!$T$168:$T$187,MATCH(O195,('Spell Tables'!$R$168:$R$187),0)),IF(Q$179&gt;=O195,INDEX('Spell Tables'!$T$141:$T$147,MATCH(O195,('Spell Tables'!$R$141:$R$147),0)),IF(Q$181&gt;=O195,INDEX('Spell Tables'!$P$119:$P$131,MATCH(O195,('Spell Tables'!$N$119:$N$131),0)),IF(Q$183&gt;=O195,INDEX('Spell Tables'!$P$97:$P$111,MATCH(O195,('Spell Tables'!$N$97:$N$111),0)),IF(Q$185&gt;=O195,INDEX('Spell Tables'!$T$70:$T$78,MATCH(O195,('Spell Tables'!$R$70:$R$78),0)),IF(Q$187&gt;=O195,INDEX('Spell Tables'!$T$48:$T$63,MATCH(O195,('Spell Tables'!$R$48:$R$63),0)),IF(Q$189&gt;=O195,INDEX('Spell Tables'!$T$26:$T$40,MATCH(O195,('Spell Tables'!$R$26:$R$40),0)),IF(Q$191&gt;=O195,INDEX('Spell Tables'!$T$2:$T$22,MATCH(O195,('Spell Tables'!$R$2:$R$22),0))," "))))))))))))</f>
        <v xml:space="preserve"> </v>
      </c>
      <c r="R195" s="33" t="str">
        <f ca="1">IF(AND($O$15="Otherworldly patron - great old one",R$175&gt;=O195),INDEX('Spell Tables'!$X$226:$X$239,MATCH(O195,('Spell Tables'!$V$226:$V$239),0)),IF(AND($O$15="Otherworldly patron - fiend",R$175&gt;=O195),INDEX('Spell Tables'!$X$210:$X$223,MATCH(O195,('Spell Tables'!$V$210:$V$223),0)),IF(AND($O$15="Otherworldly patron - archfey",R$175&gt;=O195),INDEX('Spell Tables'!$X$194:$X$207,MATCH(O195,('Spell Tables'!$V$194:$V$207),0)),IF($R$173&gt;=O195,INDEX($AL$56:$AL$65,MATCH(O195,($AJ$56:$AJ$65),0)),IF($R$177&gt;=O195,INDEX('Spell Tables'!$X$168:$X$191,MATCH(O195,('Spell Tables'!$V$168:$V$191),0)),IF($R$179&gt;=O195,INDEX('Spell Tables'!$AB$141:$AB$149,MATCH(O195,('Spell Tables'!$Z$141:$Z$149),0)),IF($R$181&gt;=O195,INDEX('Spell Tables'!$T$119:$T$131,MATCH(O195,('Spell Tables'!$R$119:$R$131),0)),IF($R$183&gt;=O195,INDEX('Spell Tables'!$T$97:$T$104,MATCH(O195,('Spell Tables'!$R$97:$R$104),0)),IF($R$185&gt;=O195,INDEX('Spell Tables'!$AB$70:$AB$75,MATCH(O195,('Spell Tables'!$Z$70:$Z$75),0)),IF($R$187&gt;=O195,INDEX('Spell Tables'!$X$48:$X$65,MATCH(O195,('Spell Tables'!$V$48:$V$65),0)),IF($R$189&gt;=O195,INDEX('Spell Tables'!$X$26:$X$42,MATCH(O195,('Spell Tables'!$V$26:$V$42),0)),IF($R$191&gt;=O195,INDEX('Spell Tables'!$X$2:$X$23,MATCH(O195,('Spell Tables'!$V$2:$V$23),0))," "))))))))))))</f>
        <v xml:space="preserve"> </v>
      </c>
      <c r="S195" s="33" t="str">
        <f ca="1">IF(AND($O$15="Otherworldly patron - great old one",S$175&gt;=O195),INDEX('Spell Tables'!$AB$226:$AB$238,MATCH(O195,('Spell Tables'!$Z$226:$Z$238),0)),IF(AND($O$15="Otherworldly patron - fiend",S$175&gt;=O195),INDEX('Spell Tables'!$AB$210:$AB$222,MATCH(O195,('Spell Tables'!$Z$210:$Z$222),0)),IF(AND($O$15="Otherworldly patron - archfey",S$175&gt;=O195),INDEX('Spell Tables'!$AB$194:$AB$206,MATCH(O195,('Spell Tables'!$Z$194:$Z$206),0)),IF($S$173&gt;=O197,INDEX($AL$68:$AL$77,MATCH(O195,($AJ$68:$AJ$77),0)),IF($S$177&gt;=O195,INDEX('Spell Tables'!$AB$168:$AB$187,MATCH(O195,('Spell Tables'!$Z$168:$Z$187),0)),IF($S$179&gt;=O195,INDEX('Spell Tables'!$AJ$141:$AJ$144,MATCH(O195,('Spell Tables'!$AH$141:$AH$144),0)),IF($S$181&gt;=O195,INDEX('Spell Tables'!$X$119:$X$129,MATCH(O195,('Spell Tables'!$V$119:$V$129),0)),IF($S$183&gt;=O195,INDEX('Spell Tables'!$X$97:$X$106,MATCH(O195,('Spell Tables'!$V$97:$V$106),0)),IF($S$185&gt;=O195,INDEX('Spell Tables'!$AJ$70:$AJ$79,MATCH(O195,('Spell Tables'!$AH$70:$AH$79),0)),IF($S$187&gt;=O195,INDEX('Spell Tables'!$AB$48:$AB$60,MATCH(O195,('Spell Tables'!$Z$48:$Z$60),0)),IF($S$189&gt;=O195,INDEX('Spell Tables'!$AB$26:$AB$45,MATCH(O195,('Spell Tables'!$Z$26:$Z$45),0)),IF($S$191&gt;=O195,INDEX('Spell Tables'!$AB$2:$AB$17,MATCH(O195,('Spell Tables'!$Z$2:$Z$17),0))," "))))))))))))</f>
        <v xml:space="preserve"> </v>
      </c>
      <c r="T195" s="33" t="str">
        <f ca="1">IF(AND($O$15="Otherworldly patron - great old one",T$175&gt;=O195),INDEX('Spell Tables'!$AF$226:$AF$231,MATCH(O195,('Spell Tables'!$AD$226:$AD$231),0)),IF(AND($O$15="Otherworldly patron - fiend",T$175&gt;=O195),INDEX('Spell Tables'!$AF$210:$AF$215,MATCH(O195,('Spell Tables'!$AD$210:$AD$215),0)),IF(AND($O$15="Otherworldly patron - archfey",T$175&gt;=O195),INDEX('Spell Tables'!$AF$194:$AF$199,MATCH(O195,('Spell Tables'!$AD$194:$AD$199),0)),IF($T$173&gt;=O195,INDEX($AL$80:$AL$89,MATCH(O195,($AJ$80:$AJ$89),0)),IF($T$177&gt;=O195,INDEX('Spell Tables'!$AF$168:$AF$177,MATCH(O195,('Spell Tables'!$AD$168:$AD$177),0)),IF($T$179&gt;=O195,INDEX('Spell Tables'!$AR$141:$AR$144,MATCH(O195,('Spell Tables'!$AP$141:$AP$144),0)),IF($T$181&gt;=O195,INDEX('Spell Tables'!$AB$119:$AB$123,MATCH(O195,('Spell Tables'!$Z$119:$Z$123),0)),IF($T$183&gt;=O195,INDEX('Spell Tables'!$AB$97:$AB$102,MATCH(O195,('Spell Tables'!$Z$97:$Z$102),0)),IF($T$185&gt;=O195,INDEX('Spell Tables'!$AR$70:$AR$75,MATCH(O195,('Spell Tables'!$AP$70:$AP$75),0)),IF($T$187&gt;=O195,INDEX('Spell Tables'!$AF$48:$AF$63,MATCH(O195,('Spell Tables'!$AD$48:$AD$63),0)),IF($T$189&gt;=O195,INDEX('Spell Tables'!$AF$26:$AF$33,MATCH(O195,('Spell Tables'!$AD$26:$AD$33),0)),IF($T$191&gt;=O195,INDEX('Spell Tables'!$AF$2:$AF$9,MATCH(O195,('Spell Tables'!$AD$2:$AD$9),0))," "))))))))))))</f>
        <v xml:space="preserve"> </v>
      </c>
      <c r="AJ195" s="29">
        <v>8</v>
      </c>
      <c r="AK195" s="29">
        <v>3</v>
      </c>
    </row>
    <row r="196" spans="2:37" x14ac:dyDescent="0.3">
      <c r="B196" s="79"/>
      <c r="C196" s="33"/>
      <c r="D196" s="33"/>
      <c r="E196" s="33"/>
      <c r="F196" s="33"/>
      <c r="G196" s="33"/>
      <c r="H196" s="33"/>
      <c r="I196" s="33"/>
      <c r="J196" s="33"/>
      <c r="K196" s="33"/>
      <c r="L196" s="33"/>
      <c r="M196" s="33"/>
      <c r="N196" s="33"/>
      <c r="O196" s="34">
        <v>4</v>
      </c>
      <c r="P196" s="33" t="str">
        <f ca="1">IF(P$173&gt;=O196,INDEX('Spell Tables'!$P$242:$P$257,MATCH(O196,('Spell Tables'!$N$242:$N$257),0)),IF(P$175&gt;=O196,INDEX('Spell Tables'!$P$194:$P$201,MATCH(O196,('Spell Tables'!$N$194:$N$201),0)),IF(P$177&gt;=O196,INDEX('Spell Tables'!$P$168:$P$183,MATCH(O196,('Spell Tables'!$N$168:$N$183),0)),IF(P$179&gt;=O196,INDEX('Spell Tables'!$P$141:$P$156,MATCH(O196,('Spell Tables'!$N$141:$N$157),0)),IF(P$185&gt;=O196,INDEX('Spell Tables'!$P$70:$P$83,MATCH(O196,('Spell Tables'!$N$70:$N$83),0)),IF(P$187&gt;=O196,INDEX('Spell Tables'!$P$48:$P$55,MATCH(O196,('Spell Tables'!$N$48:$N$55),0)),IF(P$189&gt;=O196,INDEX('Spell Tables'!$P$26:$P$32,MATCH(O196,('Spell Tables'!$N$26:$N$32),0)),IF(P$191&gt;=O196,INDEX('Spell Tables'!$P$2:$P$12,MATCH(O196,('Spell Tables'!$N$2:$N$12),0))," "))))))))</f>
        <v xml:space="preserve"> </v>
      </c>
      <c r="Q196" s="33" t="str">
        <f ca="1">IF(AND($O$15="Otherworldly patron - great old one",Q$175&gt;=O196),INDEX('Spell Tables'!$T$226:$T$238,MATCH(O196,('Spell Tables'!$R$226:$R$238),0)),IF(AND($O$15="Otherworldly patron - fiend",Q$175&gt;=O196),INDEX('Spell Tables'!$T$210:$T$222,MATCH(O196,('Spell Tables'!$R$210:$R$222),0)),IF(Q$173&gt;=O196,INDEX($AL$44:$AL$53,MATCH(O196,($AJ$44:$AJ$53),0)),IF(AND($O$15="Otherworldly patron - archfey",Q$175&gt;=O196),INDEX('Spell Tables'!$T$194:$T$206,MATCH(O196,('Spell Tables'!$R$194:$R$206),0)),IF(Q$177&gt;=O196,INDEX('Spell Tables'!$T$168:$T$187,MATCH(O196,('Spell Tables'!$R$168:$R$187),0)),IF(Q$179&gt;=O196,INDEX('Spell Tables'!$T$141:$T$147,MATCH(O196,('Spell Tables'!$R$141:$R$147),0)),IF(Q$181&gt;=O196,INDEX('Spell Tables'!$P$119:$P$131,MATCH(O196,('Spell Tables'!$N$119:$N$131),0)),IF(Q$183&gt;=O196,INDEX('Spell Tables'!$P$97:$P$111,MATCH(O196,('Spell Tables'!$N$97:$N$111),0)),IF(Q$185&gt;=O196,INDEX('Spell Tables'!$T$70:$T$78,MATCH(O196,('Spell Tables'!$R$70:$R$78),0)),IF(Q$187&gt;=O196,INDEX('Spell Tables'!$T$48:$T$63,MATCH(O196,('Spell Tables'!$R$48:$R$63),0)),IF(Q$189&gt;=O196,INDEX('Spell Tables'!$T$26:$T$40,MATCH(O196,('Spell Tables'!$R$26:$R$40),0)),IF(Q$191&gt;=O196,INDEX('Spell Tables'!$T$2:$T$22,MATCH(O196,('Spell Tables'!$R$2:$R$22),0))," "))))))))))))</f>
        <v xml:space="preserve"> </v>
      </c>
      <c r="R196" s="33" t="str">
        <f ca="1">IF(AND($O$15="Otherworldly patron - great old one",R$175&gt;=O196),INDEX('Spell Tables'!$X$226:$X$239,MATCH(O196,('Spell Tables'!$V$226:$V$239),0)),IF(AND($O$15="Otherworldly patron - fiend",R$175&gt;=O196),INDEX('Spell Tables'!$X$210:$X$223,MATCH(O196,('Spell Tables'!$V$210:$V$223),0)),IF(AND($O$15="Otherworldly patron - archfey",R$175&gt;=O196),INDEX('Spell Tables'!$X$194:$X$207,MATCH(O196,('Spell Tables'!$V$194:$V$207),0)),IF($R$173&gt;=O196,INDEX($AL$56:$AL$65,MATCH(O196,($AJ$56:$AJ$65),0)),IF($R$177&gt;=O196,INDEX('Spell Tables'!$X$168:$X$191,MATCH(O196,('Spell Tables'!$V$168:$V$191),0)),IF($R$179&gt;=O196,INDEX('Spell Tables'!$AB$141:$AB$149,MATCH(O196,('Spell Tables'!$Z$141:$Z$149),0)),IF($R$181&gt;=O196,INDEX('Spell Tables'!$T$119:$T$131,MATCH(O196,('Spell Tables'!$R$119:$R$131),0)),IF($R$183&gt;=O196,INDEX('Spell Tables'!$T$97:$T$104,MATCH(O196,('Spell Tables'!$R$97:$R$104),0)),IF($R$185&gt;=O196,INDEX('Spell Tables'!$AB$70:$AB$75,MATCH(O196,('Spell Tables'!$Z$70:$Z$75),0)),IF($R$187&gt;=O196,INDEX('Spell Tables'!$X$48:$X$65,MATCH(O196,('Spell Tables'!$V$48:$V$65),0)),IF($R$189&gt;=O196,INDEX('Spell Tables'!$X$26:$X$42,MATCH(O196,('Spell Tables'!$V$26:$V$42),0)),IF($R$191&gt;=O196,INDEX('Spell Tables'!$X$2:$X$23,MATCH(O196,('Spell Tables'!$V$2:$V$23),0))," "))))))))))))</f>
        <v xml:space="preserve"> </v>
      </c>
      <c r="S196" s="33" t="str">
        <f ca="1">IF(AND($O$15="Otherworldly patron - great old one",S$175&gt;=O196),INDEX('Spell Tables'!$AB$226:$AB$238,MATCH(O196,('Spell Tables'!$Z$226:$Z$238),0)),IF(AND($O$15="Otherworldly patron - fiend",S$175&gt;=O196),INDEX('Spell Tables'!$AB$210:$AB$222,MATCH(O196,('Spell Tables'!$Z$210:$Z$222),0)),IF(AND($O$15="Otherworldly patron - archfey",S$175&gt;=O196),INDEX('Spell Tables'!$AB$194:$AB$206,MATCH(O196,('Spell Tables'!$Z$194:$Z$206),0)),IF($S$173&gt;=O196,INDEX($AL$68:$AL$77,MATCH(O196,($AJ$68:$AJ$77),0)),IF($S$177&gt;=O196,INDEX('Spell Tables'!$AB$168:$AB$187,MATCH(O196,('Spell Tables'!$Z$168:$Z$187),0)),IF($S$179&gt;=O196,INDEX('Spell Tables'!$AJ$141:$AJ$144,MATCH(O196,('Spell Tables'!$AH$141:$AH$144),0)),IF($S$181&gt;=O196,INDEX('Spell Tables'!$X$119:$X$129,MATCH(O196,('Spell Tables'!$V$119:$V$129),0)),IF($S$183&gt;=O196,INDEX('Spell Tables'!$X$97:$X$106,MATCH(O196,('Spell Tables'!$V$97:$V$106),0)),IF($S$185&gt;=O196,INDEX('Spell Tables'!$AJ$70:$AJ$79,MATCH(O196,('Spell Tables'!$AH$70:$AH$79),0)),IF($S$187&gt;=O196,INDEX('Spell Tables'!$AB$48:$AB$60,MATCH(O196,('Spell Tables'!$Z$48:$Z$60),0)),IF($S$189&gt;=O196,INDEX('Spell Tables'!$AB$26:$AB$45,MATCH(O196,('Spell Tables'!$Z$26:$Z$45),0)),IF($S$191&gt;=O196,INDEX('Spell Tables'!$AB$2:$AB$17,MATCH(O196,('Spell Tables'!$Z$2:$Z$17),0))," "))))))))))))</f>
        <v xml:space="preserve"> </v>
      </c>
      <c r="T196" s="33" t="str">
        <f ca="1">IF(AND($O$15="Otherworldly patron - great old one",T$175&gt;=O196),INDEX('Spell Tables'!$AF$226:$AF$231,MATCH(O196,('Spell Tables'!$AD$226:$AD$231),0)),IF(AND($O$15="Otherworldly patron - fiend",T$175&gt;=O196),INDEX('Spell Tables'!$AF$210:$AF$215,MATCH(O196,('Spell Tables'!$AD$210:$AD$215),0)),IF(AND($O$15="Otherworldly patron - archfey",T$175&gt;=O196),INDEX('Spell Tables'!$AF$194:$AF$199,MATCH(O196,('Spell Tables'!$AD$194:$AD$199),0)),IF($T$173&gt;=O196,INDEX($AL$80:$AL$89,MATCH(O196,($AJ$80:$AJ$89),0)),IF($T$177&gt;=O196,INDEX('Spell Tables'!$AF$168:$AF$177,MATCH(O196,('Spell Tables'!$AD$168:$AD$177),0)),IF($T$179&gt;=O196,INDEX('Spell Tables'!$AR$141:$AR$144,MATCH(O196,('Spell Tables'!$AP$141:$AP$144),0)),IF($T$181&gt;=O196,INDEX('Spell Tables'!$AB$119:$AB$123,MATCH(O196,('Spell Tables'!$Z$119:$Z$123),0)),IF($T$183&gt;=O196,INDEX('Spell Tables'!$AB$97:$AB$102,MATCH(O196,('Spell Tables'!$Z$97:$Z$102),0)),IF($T$185&gt;=O196,INDEX('Spell Tables'!$AR$70:$AR$75,MATCH(O196,('Spell Tables'!$AP$70:$AP$75),0)),IF($T$187&gt;=O196,INDEX('Spell Tables'!$AF$48:$AF$63,MATCH(O196,('Spell Tables'!$AD$48:$AD$63),0)),IF($T$189&gt;=O196,INDEX('Spell Tables'!$AF$26:$AF$33,MATCH(O196,('Spell Tables'!$AD$26:$AD$33),0)),IF($T$191&gt;=O196,INDEX('Spell Tables'!$AF$2:$AF$9,MATCH(O196,('Spell Tables'!$AD$2:$AD$9),0))," "))))))))))))</f>
        <v xml:space="preserve"> </v>
      </c>
      <c r="AJ196" s="29">
        <v>9</v>
      </c>
      <c r="AK196" s="29">
        <v>3</v>
      </c>
    </row>
    <row r="197" spans="2:37" x14ac:dyDescent="0.3">
      <c r="B197" s="79"/>
      <c r="C197" s="33"/>
      <c r="D197" s="33"/>
      <c r="E197" s="33"/>
      <c r="F197" s="33"/>
      <c r="G197" s="33"/>
      <c r="H197" s="33"/>
      <c r="I197" s="33"/>
      <c r="J197" s="33"/>
      <c r="K197" s="33"/>
      <c r="L197" s="33"/>
      <c r="M197" s="33"/>
      <c r="N197" s="33"/>
      <c r="O197" s="34">
        <v>5</v>
      </c>
      <c r="P197" s="33" t="str">
        <f ca="1">IF(P$173&gt;=O197,INDEX('Spell Tables'!$P$242:$P$257,MATCH(O197,('Spell Tables'!$N$242:$N$257),0)),IF(P$175&gt;=O197,INDEX('Spell Tables'!$P$194:$P$201,MATCH(O197,('Spell Tables'!$N$194:$N$201),0)),IF(P$177&gt;=O197,INDEX('Spell Tables'!$P$168:$P$183,MATCH(O197,('Spell Tables'!$N$168:$N$183),0)),IF(P$179&gt;=O197,INDEX('Spell Tables'!$P$141:$P$156,MATCH(O197,('Spell Tables'!$N$141:$N$157),0)),IF(P$185&gt;=O197,INDEX('Spell Tables'!$P$70:$P$83,MATCH(O197,('Spell Tables'!$N$70:$N$83),0)),IF(P$187&gt;=O197,INDEX('Spell Tables'!$P$48:$P$55,MATCH(O197,('Spell Tables'!$N$48:$N$55),0)),IF(P$189&gt;=O197,INDEX('Spell Tables'!$P$26:$P$32,MATCH(O197,('Spell Tables'!$N$26:$N$32),0)),IF(P$191&gt;=O197,INDEX('Spell Tables'!$P$2:$P$12,MATCH(O197,('Spell Tables'!$N$2:$N$12),0))," "))))))))</f>
        <v xml:space="preserve"> </v>
      </c>
      <c r="Q197" s="33" t="str">
        <f ca="1">IF(AND($O$15="Otherworldly patron - great old one",Q$175&gt;=O197),INDEX('Spell Tables'!$T$226:$T$238,MATCH(O197,('Spell Tables'!$R$226:$R$238),0)),IF(AND($O$15="Otherworldly patron - fiend",Q$175&gt;=O197),INDEX('Spell Tables'!$T$210:$T$222,MATCH(O197,('Spell Tables'!$R$210:$R$222),0)),IF(Q$173&gt;=O197,INDEX($AL$44:$AL$53,MATCH(O197,($AJ$44:$AJ$53),0)),IF(AND($O$15="Otherworldly patron - archfey",Q$175&gt;=O197),INDEX('Spell Tables'!$T$194:$T$206,MATCH(O197,('Spell Tables'!$R$194:$R$206),0)),IF(Q$177&gt;=O197,INDEX('Spell Tables'!$T$168:$T$187,MATCH(O197,('Spell Tables'!$R$168:$R$187),0)),IF(Q$179&gt;=O197,INDEX('Spell Tables'!$T$141:$T$147,MATCH(O197,('Spell Tables'!$R$141:$R$147),0)),IF(Q$181&gt;=O197,INDEX('Spell Tables'!$P$119:$P$131,MATCH(O197,('Spell Tables'!$N$119:$N$131),0)),IF(Q$183&gt;=O197,INDEX('Spell Tables'!$P$97:$P$111,MATCH(O197,('Spell Tables'!$N$97:$N$111),0)),IF(Q$185&gt;=O197,INDEX('Spell Tables'!$T$70:$T$78,MATCH(O197,('Spell Tables'!$R$70:$R$78),0)),IF(Q$187&gt;=O197,INDEX('Spell Tables'!$T$48:$T$63,MATCH(O197,('Spell Tables'!$R$48:$R$63),0)),IF(Q$189&gt;=O197,INDEX('Spell Tables'!$T$26:$T$40,MATCH(O197,('Spell Tables'!$R$26:$R$40),0)),IF(Q$191&gt;=O197,INDEX('Spell Tables'!$T$2:$T$22,MATCH(O197,('Spell Tables'!$R$2:$R$22),0))," "))))))))))))</f>
        <v xml:space="preserve"> </v>
      </c>
      <c r="R197" s="33" t="str">
        <f ca="1">IF(AND($O$15="Otherworldly patron - great old one",R$175&gt;=O197),INDEX('Spell Tables'!$X$226:$X$239,MATCH(O197,('Spell Tables'!$V$226:$V$239),0)),IF(AND($O$15="Otherworldly patron - fiend",R$175&gt;=O197),INDEX('Spell Tables'!$X$210:$X$223,MATCH(O197,('Spell Tables'!$V$210:$V$223),0)),IF(AND($O$15="Otherworldly patron - archfey",R$175&gt;=O197),INDEX('Spell Tables'!$X$194:$X$207,MATCH(O197,('Spell Tables'!$V$194:$V$207),0)),IF($R$173&gt;=O197,INDEX($AL$56:$AL$65,MATCH(O197,($AJ$56:$AJ$65),0)),IF($R$177&gt;=O197,INDEX('Spell Tables'!$X$168:$X$191,MATCH(O197,('Spell Tables'!$V$168:$V$191),0)),IF($R$179&gt;=O197,INDEX('Spell Tables'!$AB$141:$AB$149,MATCH(O197,('Spell Tables'!$Z$141:$Z$149),0)),IF($R$181&gt;=O197,INDEX('Spell Tables'!$T$119:$T$131,MATCH(O197,('Spell Tables'!$R$119:$R$131),0)),IF($R$183&gt;=O197,INDEX('Spell Tables'!$T$97:$T$104,MATCH(O197,('Spell Tables'!$R$97:$R$104),0)),IF($R$185&gt;=O197,INDEX('Spell Tables'!$AB$70:$AB$75,MATCH(O197,('Spell Tables'!$Z$70:$Z$75),0)),IF($R$187&gt;=O197,INDEX('Spell Tables'!$X$48:$X$65,MATCH(O197,('Spell Tables'!$V$48:$V$65),0)),IF($R$189&gt;=O197,INDEX('Spell Tables'!$X$26:$X$42,MATCH(O197,('Spell Tables'!$V$26:$V$42),0)),IF($R$191&gt;=O197,INDEX('Spell Tables'!$X$2:$X$23,MATCH(O197,('Spell Tables'!$V$2:$V$23),0))," "))))))))))))</f>
        <v xml:space="preserve"> </v>
      </c>
      <c r="S197" s="33" t="str">
        <f ca="1">IF(AND($O$15="Otherworldly patron - great old one",S$175&gt;=O197),INDEX('Spell Tables'!$AB$226:$AB$238,MATCH(O197,('Spell Tables'!$Z$226:$Z$238),0)),IF(AND($O$15="Otherworldly patron - fiend",S$175&gt;=O197),INDEX('Spell Tables'!$AB$210:$AB$222,MATCH(O197,('Spell Tables'!$Z$210:$Z$222),0)),IF(AND($O$15="Otherworldly patron - archfey",S$175&gt;=O197),INDEX('Spell Tables'!$AB$194:$AB$206,MATCH(O197,('Spell Tables'!$Z$194:$Z$206),0)),IF($S$173&gt;=O197,INDEX($AL$68:$AL$77,MATCH(O197,($AJ$68:$AJ$77),0)),IF($S$177&gt;=O197,INDEX('Spell Tables'!$AB$168:$AB$187,MATCH(O197,('Spell Tables'!$Z$168:$Z$187),0)),IF($S$179&gt;=O197,INDEX('Spell Tables'!$AJ$141:$AJ$144,MATCH(O197,('Spell Tables'!$AH$141:$AH$144),0)),IF($S$181&gt;=O197,INDEX('Spell Tables'!$X$119:$X$129,MATCH(O197,('Spell Tables'!$V$119:$V$129),0)),IF($S$183&gt;=O197,INDEX('Spell Tables'!$X$97:$X$106,MATCH(O197,('Spell Tables'!$V$97:$V$106),0)),IF($S$185&gt;=O197,INDEX('Spell Tables'!$AJ$70:$AJ$79,MATCH(O197,('Spell Tables'!$AH$70:$AH$79),0)),IF($S$187&gt;=O197,INDEX('Spell Tables'!$AB$48:$AB$60,MATCH(O197,('Spell Tables'!$Z$48:$Z$60),0)),IF($S$189&gt;=O197,INDEX('Spell Tables'!$AB$26:$AB$45,MATCH(O197,('Spell Tables'!$Z$26:$Z$45),0)),IF($S$191&gt;=O197,INDEX('Spell Tables'!$AB$2:$AB$17,MATCH(O197,('Spell Tables'!$Z$2:$Z$17),0))," "))))))))))))</f>
        <v xml:space="preserve"> </v>
      </c>
      <c r="T197" s="33" t="str">
        <f ca="1">IF(AND($O$15="Otherworldly patron - great old one",T$175&gt;=O197),INDEX('Spell Tables'!$AF$226:$AF$231,MATCH(O197,('Spell Tables'!$AD$226:$AD$231),0)),IF(AND($O$15="Otherworldly patron - fiend",T$175&gt;=O197),INDEX('Spell Tables'!$AF$210:$AF$215,MATCH(O197,('Spell Tables'!$AD$210:$AD$215),0)),IF(AND($O$15="Otherworldly patron - archfey",T$175&gt;=O197),INDEX('Spell Tables'!$AF$194:$AF$199,MATCH(O197,('Spell Tables'!$AD$194:$AD$199),0)),IF($T$173&gt;=O197,INDEX($AL$80:$AL$89,MATCH(O197,($AJ$80:$AJ$89),0)),IF($T$177&gt;=O197,INDEX('Spell Tables'!$AF$168:$AF$177,MATCH(O197,('Spell Tables'!$AD$168:$AD$177),0)),IF($T$179&gt;=O197,INDEX('Spell Tables'!$AR$141:$AR$144,MATCH(O197,('Spell Tables'!$AP$141:$AP$144),0)),IF($T$181&gt;=O197,INDEX('Spell Tables'!$AB$119:$AB$123,MATCH(O197,('Spell Tables'!$Z$119:$Z$123),0)),IF($T$183&gt;=O197,INDEX('Spell Tables'!$AB$97:$AB$102,MATCH(O197,('Spell Tables'!$Z$97:$Z$102),0)),IF($T$185&gt;=O197,INDEX('Spell Tables'!$AR$70:$AR$75,MATCH(O197,('Spell Tables'!$AP$70:$AP$75),0)),IF($T$187&gt;=O197,INDEX('Spell Tables'!$AF$48:$AF$63,MATCH(O197,('Spell Tables'!$AD$48:$AD$63),0)),IF($T$189&gt;=O197,INDEX('Spell Tables'!$AF$26:$AF$33,MATCH(O197,('Spell Tables'!$AD$26:$AD$33),0)),IF($T$191&gt;=O197,INDEX('Spell Tables'!$AF$2:$AF$9,MATCH(O197,('Spell Tables'!$AD$2:$AD$9),0))," "))))))))))))</f>
        <v xml:space="preserve"> </v>
      </c>
      <c r="AJ197" s="29">
        <v>10</v>
      </c>
      <c r="AK197" s="29">
        <v>3</v>
      </c>
    </row>
    <row r="198" spans="2:37" x14ac:dyDescent="0.3">
      <c r="B198" s="33"/>
      <c r="C198" s="33"/>
      <c r="D198" s="33"/>
      <c r="E198" s="33"/>
      <c r="F198" s="33"/>
      <c r="G198" s="33"/>
      <c r="H198" s="33"/>
      <c r="I198" s="33"/>
      <c r="J198" s="33"/>
      <c r="K198" s="33"/>
      <c r="L198" s="33"/>
      <c r="M198" s="33"/>
      <c r="N198" s="33"/>
      <c r="O198" s="34">
        <v>6</v>
      </c>
      <c r="P198" s="33" t="str">
        <f ca="1">IF(P$173&gt;=O198,INDEX('Spell Tables'!$P$242:$P$257,MATCH(O198,('Spell Tables'!$N$242:$N$257),0)),IF(P$175&gt;=O198,INDEX('Spell Tables'!$P$194:$P$201,MATCH(O198,('Spell Tables'!$N$194:$N$201),0)),IF(P$177&gt;=O198,INDEX('Spell Tables'!$P$168:$P$183,MATCH(O198,('Spell Tables'!$N$168:$N$183),0)),IF(P$179&gt;=O198,INDEX('Spell Tables'!$P$141:$P$156,MATCH(O198,('Spell Tables'!$N$141:$N$157),0)),IF(P$185&gt;=O198,INDEX('Spell Tables'!$P$70:$P$83,MATCH(O198,('Spell Tables'!$N$70:$N$83),0)),IF(P$187&gt;=O198,INDEX('Spell Tables'!$P$48:$P$55,MATCH(O198,('Spell Tables'!$N$48:$N$55),0)),IF(P$189&gt;=O198,INDEX('Spell Tables'!$P$26:$P$32,MATCH(O198,('Spell Tables'!$N$26:$N$32),0)),IF(P$191&gt;=O198,INDEX('Spell Tables'!$P$2:$P$12,MATCH(O198,('Spell Tables'!$N$2:$N$12),0))," "))))))))</f>
        <v xml:space="preserve"> </v>
      </c>
      <c r="Q198" s="33" t="str">
        <f ca="1">IF(AND($O$15="Otherworldly patron - great old one",Q$175&gt;=O198),INDEX('Spell Tables'!$T$226:$T$238,MATCH(O198,('Spell Tables'!$R$226:$R$238),0)),IF(AND($O$15="Otherworldly patron - fiend",Q$175&gt;=O198),INDEX('Spell Tables'!$T$210:$T$222,MATCH(O198,('Spell Tables'!$R$210:$R$222),0)),IF(Q$173&gt;=O198,INDEX($AL$44:$AL$53,MATCH(O198,($AJ$44:$AJ$53),0)),IF(AND($O$15="Otherworldly patron - archfey",Q$175&gt;=O198),INDEX('Spell Tables'!$T$194:$T$206,MATCH(O198,('Spell Tables'!$R$194:$R$206),0)),IF(Q$177&gt;=O198,INDEX('Spell Tables'!$T$168:$T$187,MATCH(O198,('Spell Tables'!$R$168:$R$187),0)),IF(Q$179&gt;=O198,INDEX('Spell Tables'!$T$141:$T$147,MATCH(O198,('Spell Tables'!$R$141:$R$147),0)),IF(Q$181&gt;=O198,INDEX('Spell Tables'!$P$119:$P$131,MATCH(O198,('Spell Tables'!$N$119:$N$131),0)),IF(Q$183&gt;=O198,INDEX('Spell Tables'!$P$97:$P$111,MATCH(O198,('Spell Tables'!$N$97:$N$111),0)),IF(Q$185&gt;=O198,INDEX('Spell Tables'!$T$70:$T$78,MATCH(O198,('Spell Tables'!$R$70:$R$78),0)),IF(Q$187&gt;=O198,INDEX('Spell Tables'!$T$48:$T$63,MATCH(O198,('Spell Tables'!$R$48:$R$63),0)),IF(Q$189&gt;=O198,INDEX('Spell Tables'!$T$26:$T$40,MATCH(O198,('Spell Tables'!$R$26:$R$40),0)),IF(Q$191&gt;=O198,INDEX('Spell Tables'!$T$2:$T$22,MATCH(O198,('Spell Tables'!$R$2:$R$22),0))," "))))))))))))</f>
        <v xml:space="preserve"> </v>
      </c>
      <c r="R198" s="33" t="str">
        <f ca="1">IF(AND($O$15="Otherworldly patron - great old one",R$175&gt;=O198),INDEX('Spell Tables'!$X$226:$X$239,MATCH(O198,('Spell Tables'!$V$226:$V$239),0)),IF(AND($O$15="Otherworldly patron - fiend",R$175&gt;=O198),INDEX('Spell Tables'!$X$210:$X$223,MATCH(O198,('Spell Tables'!$V$210:$V$223),0)),IF(AND($O$15="Otherworldly patron - archfey",R$175&gt;=O198),INDEX('Spell Tables'!$X$194:$X$207,MATCH(O198,('Spell Tables'!$V$194:$V$207),0)),IF($R$173&gt;=O198,INDEX($AL$56:$AL$65,MATCH(O198,($AJ$56:$AJ$65),0)),IF($R$177&gt;=O198,INDEX('Spell Tables'!$X$168:$X$191,MATCH(O198,('Spell Tables'!$V$168:$V$191),0)),IF($R$179&gt;=O198,INDEX('Spell Tables'!$AB$141:$AB$149,MATCH(O198,('Spell Tables'!$Z$141:$Z$149),0)),IF($R$181&gt;=O198,INDEX('Spell Tables'!$T$119:$T$131,MATCH(O198,('Spell Tables'!$R$119:$R$131),0)),IF($R$183&gt;=O198,INDEX('Spell Tables'!$T$97:$T$104,MATCH(O198,('Spell Tables'!$R$97:$R$104),0)),IF($R$185&gt;=O198,INDEX('Spell Tables'!$AB$70:$AB$75,MATCH(O198,('Spell Tables'!$Z$70:$Z$75),0)),IF($R$187&gt;=O198,INDEX('Spell Tables'!$X$48:$X$65,MATCH(O198,('Spell Tables'!$V$48:$V$65),0)),IF($R$189&gt;=O198,INDEX('Spell Tables'!$X$26:$X$42,MATCH(O198,('Spell Tables'!$V$26:$V$42),0)),IF($R$191&gt;=O198,INDEX('Spell Tables'!$X$2:$X$23,MATCH(O198,('Spell Tables'!$V$2:$V$23),0))," "))))))))))))</f>
        <v xml:space="preserve"> </v>
      </c>
      <c r="S198" s="33" t="str">
        <f ca="1">IF(AND($O$15="Otherworldly patron - great old one",S$175&gt;=O198),INDEX('Spell Tables'!$AB$226:$AB$238,MATCH(O198,('Spell Tables'!$Z$226:$Z$238),0)),IF(AND($O$15="Otherworldly patron - fiend",S$175&gt;=O198),INDEX('Spell Tables'!$AB$210:$AB$222,MATCH(O198,('Spell Tables'!$Z$210:$Z$222),0)),IF(AND($O$15="Otherworldly patron - archfey",S$175&gt;=O198),INDEX('Spell Tables'!$AB$194:$AB$206,MATCH(O198,('Spell Tables'!$Z$194:$Z$206),0)),IF($S$173&gt;=O198,INDEX($AL$68:$AL$77,MATCH(O198,($AJ$68:$AJ$77),0)),IF($S$177&gt;=O198,INDEX('Spell Tables'!$AB$168:$AB$187,MATCH(O198,('Spell Tables'!$Z$168:$Z$187),0)),IF($S$179&gt;=O198,INDEX('Spell Tables'!$AJ$141:$AJ$144,MATCH(O198,('Spell Tables'!$AH$141:$AH$144),0)),IF($S$181&gt;=O198,INDEX('Spell Tables'!$X$119:$X$129,MATCH(O198,('Spell Tables'!$V$119:$V$129),0)),IF($S$183&gt;=O198,INDEX('Spell Tables'!$X$97:$X$106,MATCH(O198,('Spell Tables'!$V$97:$V$106),0)),IF($S$185&gt;=O198,INDEX('Spell Tables'!$AJ$70:$AJ$79,MATCH(O198,('Spell Tables'!$AH$70:$AH$79),0)),IF($S$187&gt;=O198,INDEX('Spell Tables'!$AB$48:$AB$60,MATCH(O198,('Spell Tables'!$Z$48:$Z$60),0)),IF($S$189&gt;=O198,INDEX('Spell Tables'!$AB$26:$AB$45,MATCH(O198,('Spell Tables'!$Z$26:$Z$45),0)),IF($S$191&gt;=O198,INDEX('Spell Tables'!$AB$2:$AB$17,MATCH(O198,('Spell Tables'!$Z$2:$Z$17),0))," "))))))))))))</f>
        <v xml:space="preserve"> </v>
      </c>
      <c r="T198" s="33" t="str">
        <f ca="1">IF(AND($O$15="Otherworldly patron - great old one",T$175&gt;=O198),INDEX('Spell Tables'!$AF$226:$AF$231,MATCH(O198,('Spell Tables'!$AD$226:$AD$231),0)),IF(AND($O$15="Otherworldly patron - fiend",T$175&gt;=O198),INDEX('Spell Tables'!$AF$210:$AF$215,MATCH(O198,('Spell Tables'!$AD$210:$AD$215),0)),IF(AND($O$15="Otherworldly patron - archfey",T$175&gt;=O198),INDEX('Spell Tables'!$AF$194:$AF$199,MATCH(O198,('Spell Tables'!$AD$194:$AD$199),0)),IF($T$173&gt;=O198,INDEX($AL$80:$AL$89,MATCH(O198,($AJ$80:$AJ$89),0)),IF($T$177&gt;=O198,INDEX('Spell Tables'!$AF$168:$AF$177,MATCH(O198,('Spell Tables'!$AD$168:$AD$177),0)),IF($T$179&gt;=O198,INDEX('Spell Tables'!$AR$141:$AR$144,MATCH(O198,('Spell Tables'!$AP$141:$AP$144),0)),IF($T$181&gt;=O198,INDEX('Spell Tables'!$AB$119:$AB$123,MATCH(O198,('Spell Tables'!$Z$119:$Z$123),0)),IF($T$183&gt;=O198,INDEX('Spell Tables'!$AB$97:$AB$102,MATCH(O198,('Spell Tables'!$Z$97:$Z$102),0)),IF($T$185&gt;=O198,INDEX('Spell Tables'!$AR$70:$AR$75,MATCH(O198,('Spell Tables'!$AP$70:$AP$75),0)),IF($T$187&gt;=O198,INDEX('Spell Tables'!$AF$48:$AF$63,MATCH(O198,('Spell Tables'!$AD$48:$AD$63),0)),IF($T$189&gt;=O198,INDEX('Spell Tables'!$AF$26:$AF$33,MATCH(O198,('Spell Tables'!$AD$26:$AD$33),0)),IF($T$191&gt;=O198,INDEX('Spell Tables'!$AF$2:$AF$9,MATCH(O198,('Spell Tables'!$AD$2:$AD$9),0))," "))))))))))))</f>
        <v xml:space="preserve"> </v>
      </c>
    </row>
    <row r="199" spans="2:37" x14ac:dyDescent="0.3">
      <c r="B199" s="33"/>
      <c r="C199" s="33"/>
      <c r="D199" s="33"/>
      <c r="E199" s="33"/>
      <c r="F199" s="33"/>
      <c r="G199" s="33"/>
      <c r="H199" s="33"/>
      <c r="I199" s="33"/>
      <c r="J199" s="33"/>
      <c r="K199" s="33"/>
      <c r="L199" s="33"/>
      <c r="M199" s="33"/>
      <c r="N199" s="33"/>
      <c r="O199" s="34">
        <v>7</v>
      </c>
      <c r="P199" s="33" t="str">
        <f ca="1">IF(P$173&gt;=O199,INDEX('Spell Tables'!$P$242:$P$257,MATCH(O199,('Spell Tables'!$N$242:$N$257),0)),IF(P$175&gt;=O199,INDEX('Spell Tables'!$P$194:$P$201,MATCH(O199,('Spell Tables'!$N$194:$N$201),0)),IF(P$177&gt;=O199,INDEX('Spell Tables'!$P$168:$P$183,MATCH(O199,('Spell Tables'!$N$168:$N$183),0)),IF(P$179&gt;=O199,INDEX('Spell Tables'!$P$141:$P$156,MATCH(O199,('Spell Tables'!$N$141:$N$157),0)),IF(P$185&gt;=O199,INDEX('Spell Tables'!$P$70:$P$83,MATCH(O199,('Spell Tables'!$N$70:$N$83),0)),IF(P$187&gt;=O199,INDEX('Spell Tables'!$P$48:$P$55,MATCH(O199,('Spell Tables'!$N$48:$N$55),0)),IF(P$189&gt;=O199,INDEX('Spell Tables'!$P$26:$P$32,MATCH(O199,('Spell Tables'!$N$26:$N$32),0)),IF(P$191&gt;=O199,INDEX('Spell Tables'!$P$2:$P$12,MATCH(O199,('Spell Tables'!$N$2:$N$12),0))," "))))))))</f>
        <v xml:space="preserve"> </v>
      </c>
      <c r="Q199" s="33" t="str">
        <f ca="1">IF(AND($O$15="Otherworldly patron - great old one",Q$175&gt;=O199),INDEX('Spell Tables'!$T$226:$T$238,MATCH(O199,('Spell Tables'!$R$226:$R$238),0)),IF(AND($O$15="Otherworldly patron - fiend",Q$175&gt;=O199),INDEX('Spell Tables'!$T$210:$T$222,MATCH(O199,('Spell Tables'!$R$210:$R$222),0)),IF(Q$173&gt;=O199,INDEX($AL$44:$AL$53,MATCH(O199,($AJ$44:$AJ$53),0)),IF(AND($O$15="Otherworldly patron - archfey",Q$175&gt;=O199),INDEX('Spell Tables'!$T$194:$T$206,MATCH(O199,('Spell Tables'!$R$194:$R$206),0)),IF(Q$177&gt;=O199,INDEX('Spell Tables'!$T$168:$T$187,MATCH(O199,('Spell Tables'!$R$168:$R$187),0)),IF(Q$179&gt;=O199,INDEX('Spell Tables'!$T$141:$T$147,MATCH(O199,('Spell Tables'!$R$141:$R$147),0)),IF(Q$181&gt;=O199,INDEX('Spell Tables'!$P$119:$P$131,MATCH(O199,('Spell Tables'!$N$119:$N$131),0)),IF(Q$183&gt;=O199,INDEX('Spell Tables'!$P$97:$P$111,MATCH(O199,('Spell Tables'!$N$97:$N$111),0)),IF(Q$185&gt;=O199,INDEX('Spell Tables'!$T$70:$T$78,MATCH(O199,('Spell Tables'!$R$70:$R$78),0)),IF(Q$187&gt;=O199,INDEX('Spell Tables'!$T$48:$T$63,MATCH(O199,('Spell Tables'!$R$48:$R$63),0)),IF(Q$189&gt;=O199,INDEX('Spell Tables'!$T$26:$T$40,MATCH(O199,('Spell Tables'!$R$26:$R$40),0)),IF(Q$191&gt;=O199,INDEX('Spell Tables'!$T$2:$T$22,MATCH(O199,('Spell Tables'!$R$2:$R$22),0))," "))))))))))))</f>
        <v xml:space="preserve"> </v>
      </c>
      <c r="R199" s="33" t="str">
        <f ca="1">IF(AND($O$15="Otherworldly patron - great old one",R$175&gt;=O199),INDEX('Spell Tables'!$X$226:$X$239,MATCH(O199,('Spell Tables'!$V$226:$V$239),0)),IF(AND($O$15="Otherworldly patron - fiend",R$175&gt;=O199),INDEX('Spell Tables'!$X$210:$X$223,MATCH(O199,('Spell Tables'!$V$210:$V$223),0)),IF(AND($O$15="Otherworldly patron - archfey",R$175&gt;=O199),INDEX('Spell Tables'!$X$194:$X$207,MATCH(O199,('Spell Tables'!$V$194:$V$207),0)),IF($R$173&gt;=O199,INDEX($AL$56:$AL$65,MATCH(O199,($AJ$56:$AJ$65),0)),IF($R$177&gt;=O199,INDEX('Spell Tables'!$X$168:$X$191,MATCH(O199,('Spell Tables'!$V$168:$V$191),0)),IF($R$179&gt;=O199,INDEX('Spell Tables'!$AB$141:$AB$149,MATCH(O199,('Spell Tables'!$Z$141:$Z$149),0)),IF($R$181&gt;=O199,INDEX('Spell Tables'!$T$119:$T$131,MATCH(O199,('Spell Tables'!$R$119:$R$131),0)),IF($R$183&gt;=O199,INDEX('Spell Tables'!$T$97:$T$104,MATCH(O199,('Spell Tables'!$R$97:$R$104),0)),IF($R$185&gt;=O199,INDEX('Spell Tables'!$AB$70:$AB$75,MATCH(O199,('Spell Tables'!$Z$70:$Z$75),0)),IF($R$187&gt;=O199,INDEX('Spell Tables'!$X$48:$X$65,MATCH(O199,('Spell Tables'!$V$48:$V$65),0)),IF($R$189&gt;=O199,INDEX('Spell Tables'!$X$26:$X$42,MATCH(O199,('Spell Tables'!$V$26:$V$42),0)),IF($R$191&gt;=O199,INDEX('Spell Tables'!$X$2:$X$23,MATCH(O199,('Spell Tables'!$V$2:$V$23),0))," "))))))))))))</f>
        <v xml:space="preserve"> </v>
      </c>
      <c r="S199" s="33" t="str">
        <f ca="1">IF(AND($O$15="Otherworldly patron - great old one",S$175&gt;=O199),INDEX('Spell Tables'!$AB$226:$AB$238,MATCH(O199,('Spell Tables'!$Z$226:$Z$238),0)),IF(AND($O$15="Otherworldly patron - fiend",S$175&gt;=O199),INDEX('Spell Tables'!$AB$210:$AB$222,MATCH(O199,('Spell Tables'!$Z$210:$Z$222),0)),IF(AND($O$15="Otherworldly patron - archfey",S$175&gt;=O199),INDEX('Spell Tables'!$AB$194:$AB$206,MATCH(O199,('Spell Tables'!$Z$194:$Z$206),0)),IF($S$173&gt;=O199,INDEX($AL$68:$AL$77,MATCH(O199,($AJ$68:$AJ$77),0)),IF($S$177&gt;=O199,INDEX('Spell Tables'!$AB$168:$AB$187,MATCH(O199,('Spell Tables'!$Z$168:$Z$187),0)),IF($S$179&gt;=O199,INDEX('Spell Tables'!$AJ$141:$AJ$144,MATCH(O199,('Spell Tables'!$AH$141:$AH$144),0)),IF($S$181&gt;=O199,INDEX('Spell Tables'!$X$119:$X$129,MATCH(O199,('Spell Tables'!$V$119:$V$129),0)),IF($S$183&gt;=O199,INDEX('Spell Tables'!$X$97:$X$106,MATCH(O199,('Spell Tables'!$V$97:$V$106),0)),IF($S$185&gt;=O199,INDEX('Spell Tables'!$AJ$70:$AJ$79,MATCH(O199,('Spell Tables'!$AH$70:$AH$79),0)),IF($S$187&gt;=O199,INDEX('Spell Tables'!$AB$48:$AB$60,MATCH(O199,('Spell Tables'!$Z$48:$Z$60),0)),IF($S$189&gt;=O199,INDEX('Spell Tables'!$AB$26:$AB$45,MATCH(O199,('Spell Tables'!$Z$26:$Z$45),0)),IF($S$191&gt;=O199,INDEX('Spell Tables'!$AB$2:$AB$17,MATCH(O199,('Spell Tables'!$Z$2:$Z$17),0))," "))))))))))))</f>
        <v xml:space="preserve"> </v>
      </c>
      <c r="T199" s="33" t="str">
        <f ca="1">IF(AND($O$15="Otherworldly patron - great old one",T$175&gt;=O199),INDEX('Spell Tables'!$AF$226:$AF$231,MATCH(O199,('Spell Tables'!$AD$226:$AD$231),0)),IF(AND($O$15="Otherworldly patron - fiend",T$175&gt;=O199),INDEX('Spell Tables'!$AF$210:$AF$215,MATCH(O199,('Spell Tables'!$AD$210:$AD$215),0)),IF(AND($O$15="Otherworldly patron - archfey",T$175&gt;=O199),INDEX('Spell Tables'!$AF$194:$AF$199,MATCH(O199,('Spell Tables'!$AD$194:$AD$199),0)),IF($T$173&gt;=O199,INDEX($AL$80:$AL$89,MATCH(O199,($AJ$80:$AJ$89),0)),IF($T$177&gt;=O199,INDEX('Spell Tables'!$AF$168:$AF$177,MATCH(O199,('Spell Tables'!$AD$168:$AD$177),0)),IF($T$179&gt;=O199,INDEX('Spell Tables'!$AR$141:$AR$144,MATCH(O199,('Spell Tables'!$AP$141:$AP$144),0)),IF($T$181&gt;=O199,INDEX('Spell Tables'!$AB$119:$AB$123,MATCH(O199,('Spell Tables'!$Z$119:$Z$123),0)),IF($T$183&gt;=O199,INDEX('Spell Tables'!$AB$97:$AB$102,MATCH(O199,('Spell Tables'!$Z$97:$Z$102),0)),IF($T$185&gt;=O199,INDEX('Spell Tables'!$AR$70:$AR$75,MATCH(O199,('Spell Tables'!$AP$70:$AP$75),0)),IF($T$187&gt;=O199,INDEX('Spell Tables'!$AF$48:$AF$63,MATCH(O199,('Spell Tables'!$AD$48:$AD$63),0)),IF($T$189&gt;=O199,INDEX('Spell Tables'!$AF$26:$AF$33,MATCH(O199,('Spell Tables'!$AD$26:$AD$33),0)),IF($T$191&gt;=O199,INDEX('Spell Tables'!$AF$2:$AF$9,MATCH(O199,('Spell Tables'!$AD$2:$AD$9),0))," "))))))))))))</f>
        <v xml:space="preserve"> </v>
      </c>
    </row>
    <row r="200" spans="2:37" x14ac:dyDescent="0.3">
      <c r="B200" s="33"/>
      <c r="C200" s="33"/>
      <c r="D200" s="33"/>
      <c r="E200" s="33"/>
      <c r="F200" s="33"/>
      <c r="G200" s="33"/>
      <c r="H200" s="33"/>
      <c r="I200" s="33"/>
      <c r="J200" s="33"/>
      <c r="K200" s="33"/>
      <c r="L200" s="33"/>
      <c r="M200" s="33"/>
      <c r="N200" s="33"/>
      <c r="O200" s="34">
        <v>8</v>
      </c>
      <c r="P200" s="33" t="str">
        <f ca="1">IF(P$173&gt;=O200,INDEX('Spell Tables'!$P$242:$P$257,MATCH(O200,('Spell Tables'!$N$242:$N$257),0)),IF(P$175&gt;=O200,INDEX('Spell Tables'!$P$194:$P$201,MATCH(O200,('Spell Tables'!$N$194:$N$201),0)),IF(P$177&gt;=O200,INDEX('Spell Tables'!$P$168:$P$183,MATCH(O200,('Spell Tables'!$N$168:$N$183),0)),IF(P$179&gt;=O200,INDEX('Spell Tables'!$P$141:$P$156,MATCH(O200,('Spell Tables'!$N$141:$N$157),0)),IF(P$185&gt;=O200,INDEX('Spell Tables'!$P$70:$P$83,MATCH(O200,('Spell Tables'!$N$70:$N$83),0)),IF(P$187&gt;=O200,INDEX('Spell Tables'!$P$48:$P$55,MATCH(O200,('Spell Tables'!$N$48:$N$55),0)),IF(P$189&gt;=O200,INDEX('Spell Tables'!$P$26:$P$32,MATCH(O200,('Spell Tables'!$N$26:$N$32),0)),IF(P$191&gt;=O200,INDEX('Spell Tables'!$P$2:$P$12,MATCH(O200,('Spell Tables'!$N$2:$N$12),0))," "))))))))</f>
        <v xml:space="preserve"> </v>
      </c>
      <c r="Q200" s="33" t="str">
        <f ca="1">IF(AND($O$15="Otherworldly patron - great old one",Q$175&gt;=O200),INDEX('Spell Tables'!$T$226:$T$238,MATCH(O200,('Spell Tables'!$R$226:$R$238),0)),IF(AND($O$15="Otherworldly patron - fiend",Q$175&gt;=O200),INDEX('Spell Tables'!$T$210:$T$222,MATCH(O200,('Spell Tables'!$R$210:$R$222),0)),IF(Q$173&gt;=O200,INDEX($AL$44:$AL$53,MATCH(O200,($AJ$44:$AJ$53),0)),IF(AND($O$15="Otherworldly patron - archfey",Q$175&gt;=O200),INDEX('Spell Tables'!$T$194:$T$206,MATCH(O200,('Spell Tables'!$R$194:$R$206),0)),IF(Q$177&gt;=O200,INDEX('Spell Tables'!$T$168:$T$187,MATCH(O200,('Spell Tables'!$R$168:$R$187),0)),IF(Q$179&gt;=O200,INDEX('Spell Tables'!$T$141:$T$147,MATCH(O200,('Spell Tables'!$R$141:$R$147),0)),IF(Q$181&gt;=O200,INDEX('Spell Tables'!$P$119:$P$131,MATCH(O200,('Spell Tables'!$N$119:$N$131),0)),IF(Q$183&gt;=O200,INDEX('Spell Tables'!$P$97:$P$111,MATCH(O200,('Spell Tables'!$N$97:$N$111),0)),IF(Q$185&gt;=O200,INDEX('Spell Tables'!$T$70:$T$78,MATCH(O200,('Spell Tables'!$R$70:$R$78),0)),IF(Q$187&gt;=O200,INDEX('Spell Tables'!$T$48:$T$63,MATCH(O200,('Spell Tables'!$R$48:$R$63),0)),IF(Q$189&gt;=O200,INDEX('Spell Tables'!$T$26:$T$40,MATCH(O200,('Spell Tables'!$R$26:$R$40),0)),IF(Q$191&gt;=O200,INDEX('Spell Tables'!$T$2:$T$22,MATCH(O200,('Spell Tables'!$R$2:$R$22),0))," "))))))))))))</f>
        <v xml:space="preserve"> </v>
      </c>
      <c r="R200" s="33" t="str">
        <f ca="1">IF(AND($O$15="Otherworldly patron - great old one",R$175&gt;=O200),INDEX('Spell Tables'!$X$226:$X$239,MATCH(O200,('Spell Tables'!$V$226:$V$239),0)),IF(AND($O$15="Otherworldly patron - fiend",R$175&gt;=O200),INDEX('Spell Tables'!$X$210:$X$223,MATCH(O200,('Spell Tables'!$V$210:$V$223),0)),IF(AND($O$15="Otherworldly patron - archfey",R$175&gt;=O200),INDEX('Spell Tables'!$X$194:$X$207,MATCH(O200,('Spell Tables'!$V$194:$V$207),0)),IF($R$173&gt;=O200,INDEX($AL$56:$AL$65,MATCH(O200,($AJ$56:$AJ$65),0)),IF($R$177&gt;=O200,INDEX('Spell Tables'!$X$168:$X$191,MATCH(O200,('Spell Tables'!$V$168:$V$191),0)),IF($R$179&gt;=O200,INDEX('Spell Tables'!$AB$141:$AB$149,MATCH(O200,('Spell Tables'!$Z$141:$Z$149),0)),IF($R$181&gt;=O200,INDEX('Spell Tables'!$T$119:$T$131,MATCH(O200,('Spell Tables'!$R$119:$R$131),0)),IF($R$183&gt;=O200,INDEX('Spell Tables'!$T$97:$T$104,MATCH(O200,('Spell Tables'!$R$97:$R$104),0)),IF($R$185&gt;=O200,INDEX('Spell Tables'!$AB$70:$AB$75,MATCH(O200,('Spell Tables'!$Z$70:$Z$75),0)),IF($R$187&gt;=O200,INDEX('Spell Tables'!$X$48:$X$65,MATCH(O200,('Spell Tables'!$V$48:$V$65),0)),IF($R$189&gt;=O200,INDEX('Spell Tables'!$X$26:$X$42,MATCH(O200,('Spell Tables'!$V$26:$V$42),0)),IF($R$191&gt;=O200,INDEX('Spell Tables'!$X$2:$X$23,MATCH(O200,('Spell Tables'!$V$2:$V$23),0))," "))))))))))))</f>
        <v xml:space="preserve"> </v>
      </c>
      <c r="S200" s="33" t="str">
        <f ca="1">IF(AND($O$15="Otherworldly patron - great old one",S$175&gt;=O200),INDEX('Spell Tables'!$AB$226:$AB$238,MATCH(O200,('Spell Tables'!$Z$226:$Z$238),0)),IF(AND($O$15="Otherworldly patron - fiend",S$175&gt;=O200),INDEX('Spell Tables'!$AB$210:$AB$222,MATCH(O200,('Spell Tables'!$Z$210:$Z$222),0)),IF(AND($O$15="Otherworldly patron - archfey",S$175&gt;=O200),INDEX('Spell Tables'!$AB$194:$AB$206,MATCH(O200,('Spell Tables'!$Z$194:$Z$206),0)),IF($S$173&gt;=O200,INDEX($AL$68:$AL$77,MATCH(O200,($AJ$68:$AJ$77),0)),IF($S$177&gt;=O200,INDEX('Spell Tables'!$AB$168:$AB$187,MATCH(O200,('Spell Tables'!$Z$168:$Z$187),0)),IF($S$179&gt;=O200,INDEX('Spell Tables'!$AJ$141:$AJ$144,MATCH(O200,('Spell Tables'!$AH$141:$AH$144),0)),IF($S$181&gt;=O200,INDEX('Spell Tables'!$X$119:$X$129,MATCH(O200,('Spell Tables'!$V$119:$V$129),0)),IF($S$183&gt;=O200,INDEX('Spell Tables'!$X$97:$X$106,MATCH(O200,('Spell Tables'!$V$97:$V$106),0)),IF($S$185&gt;=O200,INDEX('Spell Tables'!$AJ$70:$AJ$79,MATCH(O200,('Spell Tables'!$AH$70:$AH$79),0)),IF($S$187&gt;=O200,INDEX('Spell Tables'!$AB$48:$AB$60,MATCH(O200,('Spell Tables'!$Z$48:$Z$60),0)),IF($S$189&gt;=O200,INDEX('Spell Tables'!$AB$26:$AB$45,MATCH(O200,('Spell Tables'!$Z$26:$Z$45),0)),IF($S$191&gt;=O200,INDEX('Spell Tables'!$AB$2:$AB$17,MATCH(O200,('Spell Tables'!$Z$2:$Z$17),0))," "))))))))))))</f>
        <v xml:space="preserve"> </v>
      </c>
      <c r="T200" s="33" t="str">
        <f ca="1">IF(AND($O$15="Otherworldly patron - great old one",T$175&gt;=O200),INDEX('Spell Tables'!$AF$226:$AF$231,MATCH(O200,('Spell Tables'!$AD$226:$AD$231),0)),IF(AND($O$15="Otherworldly patron - fiend",T$175&gt;=O200),INDEX('Spell Tables'!$AF$210:$AF$215,MATCH(O200,('Spell Tables'!$AD$210:$AD$215),0)),IF(AND($O$15="Otherworldly patron - archfey",T$175&gt;=O200),INDEX('Spell Tables'!$AF$194:$AF$199,MATCH(O200,('Spell Tables'!$AD$194:$AD$199),0)),IF($T$173&gt;=O200,INDEX($AL$80:$AL$89,MATCH(O200,($AJ$80:$AJ$89),0)),IF($T$177&gt;=O200,INDEX('Spell Tables'!$AF$168:$AF$177,MATCH(O200,('Spell Tables'!$AD$168:$AD$177),0)),IF($T$179&gt;=O200,INDEX('Spell Tables'!$AR$141:$AR$144,MATCH(O200,('Spell Tables'!$AP$141:$AP$144),0)),IF($T$181&gt;=O200,INDEX('Spell Tables'!$AB$119:$AB$123,MATCH(O200,('Spell Tables'!$Z$119:$Z$123),0)),IF($T$183&gt;=O200,INDEX('Spell Tables'!$AB$97:$AB$102,MATCH(O200,('Spell Tables'!$Z$97:$Z$102),0)),IF($T$185&gt;=O200,INDEX('Spell Tables'!$AR$70:$AR$75,MATCH(O200,('Spell Tables'!$AP$70:$AP$75),0)),IF($T$187&gt;=O200,INDEX('Spell Tables'!$AF$48:$AF$63,MATCH(O200,('Spell Tables'!$AD$48:$AD$63),0)),IF($T$189&gt;=O200,INDEX('Spell Tables'!$AF$26:$AF$33,MATCH(O200,('Spell Tables'!$AD$26:$AD$33),0)),IF($T$191&gt;=O200,INDEX('Spell Tables'!$AF$2:$AF$9,MATCH(O200,('Spell Tables'!$AD$2:$AD$9),0))," "))))))))))))</f>
        <v xml:space="preserve"> </v>
      </c>
    </row>
    <row r="201" spans="2:37" x14ac:dyDescent="0.3">
      <c r="B201" s="33"/>
      <c r="C201" s="33"/>
      <c r="D201" s="33"/>
      <c r="E201" s="33"/>
      <c r="F201" s="33"/>
      <c r="G201" s="33"/>
      <c r="H201" s="33"/>
      <c r="I201" s="33"/>
      <c r="J201" s="33"/>
      <c r="K201" s="33"/>
      <c r="L201" s="33"/>
      <c r="M201" s="33"/>
      <c r="N201" s="33"/>
      <c r="O201" s="34">
        <v>9</v>
      </c>
      <c r="P201" s="33" t="str">
        <f ca="1">IF(P$173&gt;=O201,INDEX('Spell Tables'!$P$242:$P$257,MATCH(O201,('Spell Tables'!$N$242:$N$257),0)),IF(P$175&gt;=O201,INDEX('Spell Tables'!$P$194:$P$201,MATCH(O201,('Spell Tables'!$N$194:$N$201),0)),IF(P$177&gt;=O201,INDEX('Spell Tables'!$P$168:$P$183,MATCH(O201,('Spell Tables'!$N$168:$N$183),0)),IF(P$179&gt;=O201,INDEX('Spell Tables'!$P$141:$P$156,MATCH(O201,('Spell Tables'!$N$141:$N$157),0)),IF(P$185&gt;=O201,INDEX('Spell Tables'!$P$70:$P$83,MATCH(O201,('Spell Tables'!$N$70:$N$83),0)),IF(P$187&gt;=O201,INDEX('Spell Tables'!$P$48:$P$55,MATCH(O201,('Spell Tables'!$N$48:$N$55),0)),IF(P$189&gt;=O201,INDEX('Spell Tables'!$P$26:$P$32,MATCH(O201,('Spell Tables'!$N$26:$N$32),0)),IF(P$191&gt;=O201,INDEX('Spell Tables'!$P$2:$P$12,MATCH(O201,('Spell Tables'!$N$2:$N$12),0))," "))))))))</f>
        <v xml:space="preserve"> </v>
      </c>
      <c r="Q201" s="33" t="str">
        <f ca="1">IF(AND($O$15="Otherworldly patron - great old one",Q$175&gt;=O201),INDEX('Spell Tables'!$T$226:$T$238,MATCH(O201,('Spell Tables'!$R$226:$R$238),0)),IF(AND($O$15="Otherworldly patron - fiend",Q$175&gt;=O201),INDEX('Spell Tables'!$T$210:$T$222,MATCH(O201,('Spell Tables'!$R$210:$R$222),0)),IF(Q$173&gt;=O201,INDEX($AL$44:$AL$53,MATCH(O201,($AJ$44:$AJ$53),0)),IF(AND($O$15="Otherworldly patron - archfey",Q$175&gt;=O201),INDEX('Spell Tables'!$T$194:$T$206,MATCH(O201,('Spell Tables'!$R$194:$R$206),0)),IF(Q$177&gt;=O201,INDEX('Spell Tables'!$T$168:$T$187,MATCH(O201,('Spell Tables'!$R$168:$R$187),0)),IF(Q$179&gt;=O201,INDEX('Spell Tables'!$T$141:$T$147,MATCH(O201,('Spell Tables'!$R$141:$R$147),0)),IF(Q$181&gt;=O201,INDEX('Spell Tables'!$P$119:$P$131,MATCH(O201,('Spell Tables'!$N$119:$N$131),0)),IF(Q$183&gt;=O201,INDEX('Spell Tables'!$P$97:$P$111,MATCH(O201,('Spell Tables'!$N$97:$N$111),0)),IF(Q$185&gt;=O201,INDEX('Spell Tables'!$T$70:$T$78,MATCH(O201,('Spell Tables'!$R$70:$R$78),0)),IF(Q$187&gt;=O201,INDEX('Spell Tables'!$T$48:$T$63,MATCH(O201,('Spell Tables'!$R$48:$R$63),0)),IF(Q$189&gt;=O201,INDEX('Spell Tables'!$T$26:$T$40,MATCH(O201,('Spell Tables'!$R$26:$R$40),0)),IF(Q$191&gt;=O201,INDEX('Spell Tables'!$T$2:$T$22,MATCH(O201,('Spell Tables'!$R$2:$R$22),0))," "))))))))))))</f>
        <v xml:space="preserve"> </v>
      </c>
      <c r="R201" s="33" t="str">
        <f ca="1">IF(AND($O$15="Otherworldly patron - great old one",R$175&gt;=O201),INDEX('Spell Tables'!$X$226:$X$239,MATCH(O201,('Spell Tables'!$V$226:$V$239),0)),IF(AND($O$15="Otherworldly patron - fiend",R$175&gt;=O201),INDEX('Spell Tables'!$X$210:$X$223,MATCH(O201,('Spell Tables'!$V$210:$V$223),0)),IF(AND($O$15="Otherworldly patron - archfey",R$175&gt;=O201),INDEX('Spell Tables'!$X$194:$X$207,MATCH(O201,('Spell Tables'!$V$194:$V$207),0)),IF($R$173&gt;=O201,INDEX($AL$56:$AL$65,MATCH(O201,($AJ$56:$AJ$65),0)),IF($R$177&gt;=O201,INDEX('Spell Tables'!$X$168:$X$191,MATCH(O201,('Spell Tables'!$V$168:$V$191),0)),IF($R$179&gt;=O201,INDEX('Spell Tables'!$AB$141:$AB$149,MATCH(O201,('Spell Tables'!$Z$141:$Z$149),0)),IF($R$181&gt;=O201,INDEX('Spell Tables'!$T$119:$T$131,MATCH(O201,('Spell Tables'!$R$119:$R$131),0)),IF($R$183&gt;=O201,INDEX('Spell Tables'!$T$97:$T$104,MATCH(O201,('Spell Tables'!$R$97:$R$104),0)),IF($R$185&gt;=O201,INDEX('Spell Tables'!$AB$70:$AB$75,MATCH(O201,('Spell Tables'!$Z$70:$Z$75),0)),IF($R$187&gt;=O201,INDEX('Spell Tables'!$X$48:$X$65,MATCH(O201,('Spell Tables'!$V$48:$V$65),0)),IF($R$189&gt;=O201,INDEX('Spell Tables'!$X$26:$X$42,MATCH(O201,('Spell Tables'!$V$26:$V$42),0)),IF($R$191&gt;=O201,INDEX('Spell Tables'!$X$2:$X$23,MATCH(O201,('Spell Tables'!$V$2:$V$23),0))," "))))))))))))</f>
        <v xml:space="preserve"> </v>
      </c>
      <c r="S201" s="33" t="str">
        <f ca="1">IF(AND($O$15="Otherworldly patron - great old one",S$175&gt;=O201),INDEX('Spell Tables'!$AB$226:$AB$238,MATCH(O201,('Spell Tables'!$Z$226:$Z$238),0)),IF(AND($O$15="Otherworldly patron - fiend",S$175&gt;=O201),INDEX('Spell Tables'!$AB$210:$AB$222,MATCH(O201,('Spell Tables'!$Z$210:$Z$222),0)),IF(AND($O$15="Otherworldly patron - archfey",S$175&gt;=O201),INDEX('Spell Tables'!$AB$194:$AB$206,MATCH(O201,('Spell Tables'!$Z$194:$Z$206),0)),IF($S$173&gt;=O201,INDEX($AL$68:$AL$77,MATCH(O201,($AJ$68:$AJ$77),0)),IF($S$177&gt;=O201,INDEX('Spell Tables'!$AB$168:$AB$187,MATCH(O201,('Spell Tables'!$Z$168:$Z$187),0)),IF($S$179&gt;=O201,INDEX('Spell Tables'!$AJ$141:$AJ$144,MATCH(O201,('Spell Tables'!$AH$141:$AH$144),0)),IF($S$181&gt;=O201,INDEX('Spell Tables'!$X$119:$X$129,MATCH(O201,('Spell Tables'!$V$119:$V$129),0)),IF($S$183&gt;=O201,INDEX('Spell Tables'!$X$97:$X$106,MATCH(O201,('Spell Tables'!$V$97:$V$106),0)),IF($S$185&gt;=O201,INDEX('Spell Tables'!$AJ$70:$AJ$79,MATCH(O201,('Spell Tables'!$AH$70:$AH$79),0)),IF($S$187&gt;=O201,INDEX('Spell Tables'!$AB$48:$AB$60,MATCH(O201,('Spell Tables'!$Z$48:$Z$60),0)),IF($S$189&gt;=O201,INDEX('Spell Tables'!$AB$26:$AB$45,MATCH(O201,('Spell Tables'!$Z$26:$Z$45),0)),IF($S$191&gt;=O201,INDEX('Spell Tables'!$AB$2:$AB$17,MATCH(O201,('Spell Tables'!$Z$2:$Z$17),0))," "))))))))))))</f>
        <v xml:space="preserve"> </v>
      </c>
      <c r="T201" s="33" t="str">
        <f ca="1">IF(AND($O$15="Otherworldly patron - great old one",T$175&gt;=O201),INDEX('Spell Tables'!$AF$226:$AF$231,MATCH(O201,('Spell Tables'!$AD$226:$AD$231),0)),IF(AND($O$15="Otherworldly patron - fiend",T$175&gt;=O201),INDEX('Spell Tables'!$AF$210:$AF$215,MATCH(O201,('Spell Tables'!$AD$210:$AD$215),0)),IF(AND($O$15="Otherworldly patron - archfey",T$175&gt;=O201),INDEX('Spell Tables'!$AF$194:$AF$199,MATCH(O201,('Spell Tables'!$AD$194:$AD$199),0)),IF($T$173&gt;=O201,INDEX($AL$80:$AL$89,MATCH(O201,($AJ$80:$AJ$89),0)),IF($T$177&gt;=O201,INDEX('Spell Tables'!$AF$168:$AF$177,MATCH(O201,('Spell Tables'!$AD$168:$AD$177),0)),IF($T$179&gt;=O201,INDEX('Spell Tables'!$AR$141:$AR$144,MATCH(O201,('Spell Tables'!$AP$141:$AP$144),0)),IF($T$181&gt;=O201,INDEX('Spell Tables'!$AB$119:$AB$123,MATCH(O201,('Spell Tables'!$Z$119:$Z$123),0)),IF($T$183&gt;=O201,INDEX('Spell Tables'!$AB$97:$AB$102,MATCH(O201,('Spell Tables'!$Z$97:$Z$102),0)),IF($T$185&gt;=O201,INDEX('Spell Tables'!$AR$70:$AR$75,MATCH(O201,('Spell Tables'!$AP$70:$AP$75),0)),IF($T$187&gt;=O201,INDEX('Spell Tables'!$AF$48:$AF$63,MATCH(O201,('Spell Tables'!$AD$48:$AD$63),0)),IF($T$189&gt;=O201,INDEX('Spell Tables'!$AF$26:$AF$33,MATCH(O201,('Spell Tables'!$AD$26:$AD$33),0)),IF($T$191&gt;=O201,INDEX('Spell Tables'!$AF$2:$AF$9,MATCH(O201,('Spell Tables'!$AD$2:$AD$9),0))," "))))))))))))</f>
        <v xml:space="preserve"> </v>
      </c>
    </row>
    <row r="202" spans="2:37" x14ac:dyDescent="0.3">
      <c r="B202" s="33"/>
      <c r="C202" s="33"/>
      <c r="D202" s="33"/>
      <c r="E202" s="33"/>
      <c r="F202" s="33"/>
      <c r="G202" s="33"/>
      <c r="H202" s="33"/>
      <c r="I202" s="33"/>
      <c r="J202" s="33"/>
      <c r="K202" s="33"/>
      <c r="L202" s="33"/>
      <c r="M202" s="33"/>
      <c r="N202" s="33"/>
      <c r="O202" s="34">
        <v>10</v>
      </c>
      <c r="P202" s="33" t="str">
        <f ca="1">IF(P$173&gt;=O202,INDEX('Spell Tables'!$P$242:$P$257,MATCH(O202,('Spell Tables'!$N$242:$N$257),0)),IF(P$175&gt;=O202,INDEX('Spell Tables'!$P$194:$P$201,MATCH(O202,('Spell Tables'!$N$194:$N$201),0)),IF(P$177&gt;=O202,INDEX('Spell Tables'!$P$168:$P$183,MATCH(O202,('Spell Tables'!$N$168:$N$183),0)),IF(P$179&gt;=O202,INDEX('Spell Tables'!$P$141:$P$156,MATCH(O202,('Spell Tables'!$N$141:$N$157),0)),IF(P$185&gt;=O202,INDEX('Spell Tables'!$P$70:$P$83,MATCH(O202,('Spell Tables'!$N$70:$N$83),0)),IF(P$187&gt;=O202,INDEX('Spell Tables'!$P$48:$P$55,MATCH(O202,('Spell Tables'!$N$48:$N$55),0)),IF(P$189&gt;=O202,INDEX('Spell Tables'!$P$26:$P$32,MATCH(O202,('Spell Tables'!$N$26:$N$32),0)),IF(P$191&gt;=O202,INDEX('Spell Tables'!$P$2:$P$12,MATCH(O202,('Spell Tables'!$N$2:$N$12),0))," "))))))))</f>
        <v xml:space="preserve"> </v>
      </c>
      <c r="Q202" s="33" t="str">
        <f ca="1">IF(AND($O$15="Otherworldly patron - great old one",Q$175&gt;=O202),INDEX('Spell Tables'!$T$226:$T$238,MATCH(O202,('Spell Tables'!$R$226:$R$238),0)),IF(AND($O$15="Otherworldly patron - fiend",Q$175&gt;=O202),INDEX('Spell Tables'!$T$210:$T$222,MATCH(O202,('Spell Tables'!$R$210:$R$222),0)),IF(Q$173&gt;=O202,INDEX($AL$44:$AL$53,MATCH(O202,($AJ$44:$AJ$53),0)),IF(AND($O$15="Otherworldly patron - archfey",Q$175&gt;=O202),INDEX('Spell Tables'!$T$194:$T$206,MATCH(O202,('Spell Tables'!$R$194:$R$206),0)),IF(Q$177&gt;=O202,INDEX('Spell Tables'!$T$168:$T$187,MATCH(O202,('Spell Tables'!$R$168:$R$187),0)),IF(Q$179&gt;=O202,INDEX('Spell Tables'!$T$141:$T$147,MATCH(O202,('Spell Tables'!$R$141:$R$147),0)),IF(Q$181&gt;=O202,INDEX('Spell Tables'!$P$119:$P$131,MATCH(O202,('Spell Tables'!$N$119:$N$131),0)),IF(Q$183&gt;=O202,INDEX('Spell Tables'!$P$97:$P$111,MATCH(O202,('Spell Tables'!$N$97:$N$111),0)),IF(Q$185&gt;=O202,INDEX('Spell Tables'!$T$70:$T$78,MATCH(O202,('Spell Tables'!$R$70:$R$78),0)),IF(Q$187&gt;=O202,INDEX('Spell Tables'!$T$48:$T$63,MATCH(O202,('Spell Tables'!$R$48:$R$63),0)),IF(Q$189&gt;=O202,INDEX('Spell Tables'!$T$26:$T$40,MATCH(O202,('Spell Tables'!$R$26:$R$40),0)),IF(Q$191&gt;=O202,INDEX('Spell Tables'!$T$2:$T$22,MATCH(O202,('Spell Tables'!$R$2:$R$22),0))," "))))))))))))</f>
        <v xml:space="preserve"> </v>
      </c>
      <c r="R202" s="33" t="str">
        <f ca="1">IF(AND($O$15="Otherworldly patron - great old one",R$175&gt;=O202),INDEX('Spell Tables'!$X$226:$X$239,MATCH(O202,('Spell Tables'!$V$226:$V$239),0)),IF(AND($O$15="Otherworldly patron - fiend",R$175&gt;=O202),INDEX('Spell Tables'!$X$210:$X$223,MATCH(O202,('Spell Tables'!$V$210:$V$223),0)),IF(AND($O$15="Otherworldly patron - archfey",R$175&gt;=O202),INDEX('Spell Tables'!$X$194:$X$207,MATCH(O202,('Spell Tables'!$V$194:$V$207),0)),IF($R$173&gt;=O202,INDEX($AL$56:$AL$65,MATCH(O202,($AJ$56:$AJ$65),0)),IF($R$177&gt;=O202,INDEX('Spell Tables'!$X$168:$X$191,MATCH(O202,('Spell Tables'!$V$168:$V$191),0)),IF($R$179&gt;=O202,INDEX('Spell Tables'!$AB$141:$AB$149,MATCH(O202,('Spell Tables'!$Z$141:$Z$149),0)),IF($R$181&gt;=O202,INDEX('Spell Tables'!$T$119:$T$131,MATCH(O202,('Spell Tables'!$R$119:$R$131),0)),IF($R$183&gt;=O202,INDEX('Spell Tables'!$T$97:$T$104,MATCH(O202,('Spell Tables'!$R$97:$R$104),0)),IF($R$185&gt;=O202,INDEX('Spell Tables'!$AB$70:$AB$75,MATCH(O202,('Spell Tables'!$Z$70:$Z$75),0)),IF($R$187&gt;=O202,INDEX('Spell Tables'!$X$48:$X$65,MATCH(O202,('Spell Tables'!$V$48:$V$65),0)),IF($R$189&gt;=O202,INDEX('Spell Tables'!$X$26:$X$42,MATCH(O202,('Spell Tables'!$V$26:$V$42),0)),IF($R$191&gt;=O202,INDEX('Spell Tables'!$X$2:$X$23,MATCH(O202,('Spell Tables'!$V$2:$V$23),0))," "))))))))))))</f>
        <v xml:space="preserve"> </v>
      </c>
      <c r="S202" s="33" t="str">
        <f ca="1">IF(AND($O$15="Otherworldly patron - great old one",S$175&gt;=O202),INDEX('Spell Tables'!$AB$226:$AB$238,MATCH(O202,('Spell Tables'!$Z$226:$Z$238),0)),IF(AND($O$15="Otherworldly patron - fiend",S$175&gt;=O202),INDEX('Spell Tables'!$AB$210:$AB$222,MATCH(O202,('Spell Tables'!$Z$210:$Z$222),0)),IF(AND($O$15="Otherworldly patron - archfey",S$175&gt;=O202),INDEX('Spell Tables'!$AB$194:$AB$206,MATCH(O202,('Spell Tables'!$Z$194:$Z$206),0)),IF($S$173&gt;=O202,INDEX($AL$68:$AL$77,MATCH(O202,($AJ$68:$AJ$77),0)),IF($S$177&gt;=O202,INDEX('Spell Tables'!$AB$168:$AB$187,MATCH(O202,('Spell Tables'!$Z$168:$Z$187),0)),IF($S$179&gt;=O202,INDEX('Spell Tables'!$AJ$141:$AJ$144,MATCH(O202,('Spell Tables'!$AH$141:$AH$144),0)),IF($S$181&gt;=O202,INDEX('Spell Tables'!$X$119:$X$129,MATCH(O202,('Spell Tables'!$V$119:$V$129),0)),IF($S$183&gt;=O202,INDEX('Spell Tables'!$X$97:$X$106,MATCH(O202,('Spell Tables'!$V$97:$V$106),0)),IF($S$185&gt;=O202,INDEX('Spell Tables'!$AJ$70:$AJ$79,MATCH(O202,('Spell Tables'!$AH$70:$AH$79),0)),IF($S$187&gt;=O202,INDEX('Spell Tables'!$AB$48:$AB$60,MATCH(O202,('Spell Tables'!$Z$48:$Z$60),0)),IF($S$189&gt;=O202,INDEX('Spell Tables'!$AB$26:$AB$45,MATCH(O202,('Spell Tables'!$Z$26:$Z$45),0)),IF($S$191&gt;=O202,INDEX('Spell Tables'!$AB$2:$AB$17,MATCH(O202,('Spell Tables'!$Z$2:$Z$17),0))," "))))))))))))</f>
        <v xml:space="preserve"> </v>
      </c>
      <c r="T202" s="33" t="str">
        <f ca="1">IF(AND($O$15="Otherworldly patron - great old one",T$175&gt;=O202),INDEX('Spell Tables'!$AF$226:$AF$231,MATCH(O202,('Spell Tables'!$AD$226:$AD$231),0)),IF(AND($O$15="Otherworldly patron - fiend",T$175&gt;=O202),INDEX('Spell Tables'!$AF$210:$AF$215,MATCH(O202,('Spell Tables'!$AD$210:$AD$215),0)),IF(AND($O$15="Otherworldly patron - archfey",T$175&gt;=O202),INDEX('Spell Tables'!$AF$194:$AF$199,MATCH(O202,('Spell Tables'!$AD$194:$AD$199),0)),IF($T$173&gt;=O202,INDEX('Spell Tables'!$AF$242:$AF$264,MATCH(O202,('Spell Tables'!$AD$242:$AD$264),0)),IF($T$177&gt;=O202,INDEX('Spell Tables'!$AF$168:$AF$177,MATCH(O202,('Spell Tables'!$AD$168:$AD$177),0)),IF($T$179&gt;=O202,INDEX('Spell Tables'!$AR$141:$AR$144,MATCH(O202,('Spell Tables'!$AP$141:$AP$144),0)),IF($T$181&gt;=O202,INDEX('Spell Tables'!$AB$119:$AB$123,MATCH(O202,('Spell Tables'!$Z$119:$Z$123),0)),IF($T$183&gt;=O202,INDEX('Spell Tables'!$AB$97:$AB$102,MATCH(O202,('Spell Tables'!$Z$97:$Z$102),0)),IF($T$185&gt;=O202,INDEX('Spell Tables'!$AR$70:$AR$75,MATCH(O202,('Spell Tables'!$AP$70:$AP$75),0)),IF($T$187&gt;=O202,INDEX('Spell Tables'!$AF$48:$AF$63,MATCH(O202,('Spell Tables'!$AD$48:$AD$63),0)),IF($T$189&gt;=O202,INDEX('Spell Tables'!$AF$26:$AF$33,MATCH(O202,('Spell Tables'!$AD$26:$AD$33),0)),IF($T$191&gt;=O202,INDEX('Spell Tables'!$AF$2:$AF$9,MATCH(O202,('Spell Tables'!$AD$2:$AD$9),0))," "))))))))))))</f>
        <v xml:space="preserve"> </v>
      </c>
    </row>
    <row r="204" spans="2:37" ht="19.5" thickBot="1" x14ac:dyDescent="0.35">
      <c r="C204" s="38"/>
      <c r="D204" s="38"/>
      <c r="E204" s="38"/>
      <c r="F204" s="38"/>
      <c r="G204" s="38"/>
      <c r="H204" s="38"/>
      <c r="I204" s="38"/>
      <c r="J204" s="38"/>
      <c r="K204" s="38"/>
      <c r="L204" s="38"/>
      <c r="M204" s="38"/>
      <c r="O204" s="38"/>
      <c r="P204" s="38"/>
      <c r="Q204" s="38"/>
      <c r="R204" s="38"/>
      <c r="S204" s="38"/>
      <c r="T204" s="38"/>
    </row>
    <row r="205" spans="2:37" hidden="1" x14ac:dyDescent="0.3">
      <c r="N205" s="72"/>
      <c r="P205" s="27"/>
      <c r="Q205" s="27"/>
      <c r="R205" s="27"/>
      <c r="S205" s="91"/>
    </row>
    <row r="206" spans="2:37" x14ac:dyDescent="0.3">
      <c r="N206" s="72"/>
      <c r="O206" s="135" t="s">
        <v>1342</v>
      </c>
      <c r="P206" s="65" t="str">
        <f ca="1">IF(AND(AF14=2,OR(O11="monk",O11="barbarian",O11="warlock"),OR(Q11="fighter",Q11="rogue"),OR(P15&lt;&gt;"arcane trickster",R15&lt;&gt;"arcane trickster",P15&lt;&gt;"eldritch knight",R15&lt;&gt;"eldritch knight")),0,IF(AND(AF14=2,OR(O11="monk",O11="barbarian",O11="warlock"),OR(Q11="monk",Q11="barbarian",Q11="warlock")),0,IF(AND(AF14=2,OR(O11="monk",O11="barbarian",O11="warlock",Q11="monk",Q11="barbarian",Q11="warlock"),OR(O11="paladin",Q11="paladin",O11="ranger",Q11="ranger")),INDEX('Spell Tables'!H119:H138,MATCH(AF18,('Spell Tables'!B119:B138),0)),IF(AF14=2,INDEX('Spell Tables'!H242:H261,MATCH(AF18,('Spell Tables'!B242:B261),0)),IF(OR($O$11="bard",$O$11="cleric",$O$11="druid",O11="sorcerer",O11="wizard"),INDEX('Spell Tables'!H$2:H$21,MATCH($O$12,('Spell Tables'!$A$2:$A$21),0))," ")))))</f>
        <v xml:space="preserve"> </v>
      </c>
      <c r="Q206" s="65" t="str">
        <f ca="1">IF(AND(AF14=2,OR(O11="monk",O11="barbarian",O11="warlock"),OR(Q11="fighter",Q11="rogue"),OR(P15&lt;&gt;"arcane trickster",R15&lt;&gt;"arcane trickster",P15&lt;&gt;"eldritch knight",R15&lt;&gt;"eldritch knight")),0,IF(AND(AF14=2,OR(O11="monk",O11="barbarian",O11="warlock"),OR(Q11="monk",Q11="barbarian",Q11="warlock")),0,IF(AF14=2,INDEX('Spell Tables'!I242:I261,MATCH(AF18,('Spell Tables'!B242:B261),0)),IF(OR($O$11="bard",$O$11="cleric",$O$11="druid",O11="sorcerer",O11="wizard"),INDEX('Spell Tables'!I$2:I$21,MATCH($O$12,('Spell Tables'!$A$2:$A$21),0))," "))))</f>
        <v xml:space="preserve"> </v>
      </c>
      <c r="R206" s="65" t="str">
        <f ca="1">IF(AND(AF14=2,OR(O11="monk",O11="barbarian",O11="warlock"),OR(Q11="fighter",Q11="rogue"),OR(P15&lt;&gt;"arcane trickster",R15&lt;&gt;"arcane trickster",P15&lt;&gt;"eldritch knight",R15&lt;&gt;"eldritch knight")),0,IF(AND(AF14=2,OR(O11="monk",O11="barbarian",O11="warlock"),OR(Q11="monk",Q11="barbarian",Q11="warlock")),0,IF(AF14=2,INDEX('Spell Tables'!J242:J261,MATCH(AF18,('Spell Tables'!B242:B261),0)),IF(OR($O$11="bard",$O$11="cleric",$O$11="druid",O11="sorcerer",O11="wizard"),INDEX('Spell Tables'!J$2:J$21,MATCH($O$12,('Spell Tables'!$A$2:$A$21),0))," "))))</f>
        <v xml:space="preserve"> </v>
      </c>
      <c r="S206" s="65" t="str">
        <f ca="1">IF(AND(AF14=2,OR(O11="monk",O11="barbarian",O11="warlock"),OR(Q11="fighter",Q11="rogue"),OR(P15&lt;&gt;"arcane trickster",R15&lt;&gt;"arcane trickster",P15&lt;&gt;"eldritch knight",R15&lt;&gt;"eldritch knight")),0,IF(AND(AF14=2,OR(O11="monk",O11="barbarian",O11="warlock"),OR(Q11="monk",Q11="barbarian",Q11="warlock")),0,IF(AF14=2,INDEX('Spell Tables'!K242:K261,MATCH(AF18,('Spell Tables'!B242:B261),0)),IF(OR($O$11="bard",$O$11="cleric",$O$11="druid",O11="sorcerer",O11="wizard"),INDEX('Spell Tables'!K$2:K$21,MATCH($O$12,('Spell Tables'!$A$2:$A$21),0))," "))))</f>
        <v xml:space="preserve"> </v>
      </c>
      <c r="T206" s="66" t="str">
        <f ca="1">IF(AND(AF14=2,OR(O11="monk",O11="barbarian",O11="warlock"),OR(Q11="fighter",Q11="rogue"),OR(P15&lt;&gt;"arcane trickster",R15&lt;&gt;"arcane trickster",P15&lt;&gt;"eldritch knight",R15&lt;&gt;"eldritch knight")),0,IF(AND(AF14=2,OR(O11="monk",O11="barbarian",O11="warlock"),OR(Q11="monk",Q11="barbarian",Q11="warlock")),0,IF(AF14=2,INDEX('Spell Tables'!L242:L261,MATCH(AF18,('Spell Tables'!B242:B261),0)),IF(OR($O$11="bard",$O$11="cleric",$O$11="druid",O11="sorcerer",O11="wizard"),INDEX('Spell Tables'!L$2:L$21,MATCH($O$12,('Spell Tables'!$A$2:$A$21),0))," "))))</f>
        <v xml:space="preserve"> </v>
      </c>
    </row>
    <row r="207" spans="2:37" hidden="1" x14ac:dyDescent="0.3">
      <c r="N207" s="72"/>
      <c r="O207" s="79"/>
      <c r="P207" s="29" t="str">
        <f ca="1">IF(AND(O11="wizard",O12&gt;=11),"x",IF(AND($O$11="wizard",$O$12&gt;9),"xx",IF(AND(O11="wizard",O12=9),"xxx"," ")))</f>
        <v xml:space="preserve"> </v>
      </c>
      <c r="Q207" s="29" t="str">
        <f ca="1">IF(AND(O11="wizard",O12&gt;=13),"x",IF(AND($O$11="wizard",$O$12&gt;11),"xx",IF(AND(O11="wizard",O12=11),"xxx"," ")))</f>
        <v xml:space="preserve"> </v>
      </c>
      <c r="R207" s="29" t="str">
        <f ca="1">IF(AND(O11="wizard",O12&gt;=15),"x",IF(AND($O$11="wizard",$O$12&gt;13),"xx",IF(AND(O11="wizard",O12=13),"xxx"," ")))</f>
        <v xml:space="preserve"> </v>
      </c>
      <c r="S207" s="29" t="str">
        <f ca="1">IF(AND(O11="wizard",O12&gt;=17),"x",IF(AND($O$11="wizard",$O$12&gt;15),"xx",IF(AND(O11="wizard",O12=15),"xxx"," ")))</f>
        <v xml:space="preserve"> </v>
      </c>
      <c r="T207" s="72" t="str">
        <f ca="1">IF(AND($O$11="wizard",$O$12&gt;17),"xx",IF(AND(O11="wizard",O12=17),"xxx"," "))</f>
        <v xml:space="preserve"> </v>
      </c>
    </row>
    <row r="208" spans="2:37" hidden="1" x14ac:dyDescent="0.3">
      <c r="N208" s="72"/>
      <c r="O208" s="79"/>
      <c r="P208" s="29">
        <f ca="1">IF(P207="x",RANDBETWEEN(2,3),IF(P207="xx",RANDBETWEEN(2,3),IF(P207="xxx",RANDBETWEEN(1,2),0)))</f>
        <v>0</v>
      </c>
      <c r="Q208" s="29">
        <f ca="1">IF(Q207="x",RANDBETWEEN(2,3),IF(Q207="xx",RANDBETWEEN(2,3),IF(Q207="xxx",RANDBETWEEN(1,2),0)))</f>
        <v>0</v>
      </c>
      <c r="R208" s="29">
        <f ca="1">IF(R207="x",RANDBETWEEN(1,2),IF(R207="xx",RANDBETWEEN(1,2),IF(R207="xxx",RANDBETWEEN(1,2),0)))</f>
        <v>0</v>
      </c>
      <c r="S208" s="29">
        <f ca="1">IF(OR(S207="x",S207="xx"),RANDBETWEEN(1,2),IF(S207="xxx",RANDBETWEEN(1,2),0))</f>
        <v>0</v>
      </c>
      <c r="T208" s="72">
        <f ca="1">IF(T207="xx",RANDBETWEEN(1,2),IF(T207="xxx",RANDBETWEEN(1,2),0))</f>
        <v>0</v>
      </c>
    </row>
    <row r="209" spans="14:20" hidden="1" x14ac:dyDescent="0.3">
      <c r="N209" s="72"/>
      <c r="O209" s="79"/>
      <c r="P209" s="29" t="str">
        <f ca="1">IF(AND($O$11="warlock",$O$12&gt;=9),"xx"," ")</f>
        <v xml:space="preserve"> </v>
      </c>
      <c r="T209" s="72"/>
    </row>
    <row r="210" spans="14:20" hidden="1" x14ac:dyDescent="0.3">
      <c r="N210" s="72"/>
      <c r="O210" s="79"/>
      <c r="P210" s="29">
        <f ca="1">IF(P209="x",RANDBETWEEN(2,3),IF(P209="xx",RANDBETWEEN(2,3),0))</f>
        <v>0</v>
      </c>
      <c r="T210" s="72"/>
    </row>
    <row r="211" spans="14:20" hidden="1" x14ac:dyDescent="0.3">
      <c r="N211" s="72"/>
      <c r="O211" s="79"/>
      <c r="P211" s="29" t="str">
        <f ca="1">IF(AND($O$11="sorcerer",$O$12&gt;=11),"x",IF(AND($O$11="sorcerer",$O$12&gt;=9),"xx"," "))</f>
        <v xml:space="preserve"> </v>
      </c>
      <c r="Q211" s="29" t="str">
        <f ca="1">IF(AND($O$11="sorcerer",$O$12&gt;=13),"x",IF(AND($O$11="sorcerer",$O$12&gt;=11),"xx"," "))</f>
        <v xml:space="preserve"> </v>
      </c>
      <c r="R211" s="29" t="str">
        <f ca="1">IF(AND($O$11="sorcerer",$O$12&gt;=15),"x",IF(AND($O$11="sorcerer",$O$12&gt;=13),"xx"," "))</f>
        <v xml:space="preserve"> </v>
      </c>
      <c r="S211" s="29" t="str">
        <f ca="1">IF(AND($O$11="sorcerer",$O$12&gt;=17),"x",IF(AND($O$11="sorcerer",$O$12&gt;15),"xx"," "))</f>
        <v xml:space="preserve"> </v>
      </c>
      <c r="T211" s="72" t="str">
        <f ca="1">IF(AND($O$11="sorcerer",$O$12&gt;=17),"xx"," ")</f>
        <v xml:space="preserve"> </v>
      </c>
    </row>
    <row r="212" spans="14:20" hidden="1" x14ac:dyDescent="0.3">
      <c r="N212" s="72"/>
      <c r="O212" s="79"/>
      <c r="P212" s="29">
        <f ca="1">IF(P211="x",RANDBETWEEN(2,3),IF(P211="xx",RANDBETWEEN(2,3),0))</f>
        <v>0</v>
      </c>
      <c r="Q212" s="29">
        <f ca="1">IF(Q211="x",RANDBETWEEN(2,3),IF(Q211="xx",RANDBETWEEN(2,3),0))</f>
        <v>0</v>
      </c>
      <c r="R212" s="29">
        <f ca="1">IF(R211="x",RANDBETWEEN(1,2),IF(R211="xx",RANDBETWEEN(1,2),0))</f>
        <v>0</v>
      </c>
      <c r="S212" s="29">
        <f ca="1">IF(OR(S211="x",S211="xx"),RANDBETWEEN(1,2),0)</f>
        <v>0</v>
      </c>
      <c r="T212" s="72">
        <f ca="1">IF(T211="xx",RANDBETWEEN(1,2),0)</f>
        <v>0</v>
      </c>
    </row>
    <row r="213" spans="14:20" hidden="1" x14ac:dyDescent="0.3">
      <c r="N213" s="72"/>
      <c r="O213" s="79"/>
      <c r="T213" s="72"/>
    </row>
    <row r="214" spans="14:20" hidden="1" x14ac:dyDescent="0.3">
      <c r="N214" s="72"/>
      <c r="O214" s="79"/>
      <c r="T214" s="72"/>
    </row>
    <row r="215" spans="14:20" hidden="1" x14ac:dyDescent="0.3">
      <c r="N215" s="72"/>
      <c r="O215" s="79"/>
      <c r="P215" s="29" t="str">
        <f ca="1">IF(AND($O$11="ranger",$O$12&gt;=17),"xx"," ")</f>
        <v xml:space="preserve"> </v>
      </c>
      <c r="T215" s="72"/>
    </row>
    <row r="216" spans="14:20" hidden="1" x14ac:dyDescent="0.3">
      <c r="N216" s="72"/>
      <c r="O216" s="79"/>
      <c r="P216" s="29">
        <f ca="1">IF(P215="x",RANDBETWEEN(2,3),IF(P215="xx",RANDBETWEEN(2,3),0))</f>
        <v>0</v>
      </c>
      <c r="T216" s="72"/>
    </row>
    <row r="217" spans="14:20" hidden="1" x14ac:dyDescent="0.3">
      <c r="N217" s="72"/>
      <c r="O217" s="79"/>
      <c r="P217" s="29" t="str">
        <f ca="1">IF(AND(O11="paladin",O12&gt;=17),"xx"," ")</f>
        <v xml:space="preserve"> </v>
      </c>
      <c r="T217" s="72"/>
    </row>
    <row r="218" spans="14:20" hidden="1" x14ac:dyDescent="0.3">
      <c r="N218" s="72"/>
      <c r="O218" s="79"/>
      <c r="P218" s="29">
        <f ca="1">IF(P217="x",RANDBETWEEN(2,3),IF(P217="xx",RANDBETWEEN(2,3),0))</f>
        <v>0</v>
      </c>
      <c r="T218" s="72"/>
    </row>
    <row r="219" spans="14:20" hidden="1" x14ac:dyDescent="0.3">
      <c r="N219" s="72"/>
      <c r="O219" s="79"/>
      <c r="T219" s="72"/>
    </row>
    <row r="220" spans="14:20" hidden="1" x14ac:dyDescent="0.3">
      <c r="N220" s="72"/>
      <c r="O220" s="79"/>
      <c r="T220" s="72"/>
    </row>
    <row r="221" spans="14:20" hidden="1" x14ac:dyDescent="0.3">
      <c r="N221" s="72"/>
      <c r="O221" s="79"/>
      <c r="P221" s="29" t="str">
        <f ca="1">IF(AND($O$11="druid",$O$12&gt;=11),"x",IF(AND($O$11="druid",$O$12&gt;=9),"xx"," "))</f>
        <v xml:space="preserve"> </v>
      </c>
      <c r="Q221" s="29" t="str">
        <f ca="1">IF(AND($O$11="druid",$O$12&gt;=13),"x",IF(AND($O$11="druid",$O$12&gt;=11),"xx"," "))</f>
        <v xml:space="preserve"> </v>
      </c>
      <c r="R221" s="29" t="str">
        <f ca="1">IF(AND($O$11="druid",$O$12&gt;=15),"x",IF(AND($O$11="druid",$O$12&gt;=13),"xx"," "))</f>
        <v xml:space="preserve"> </v>
      </c>
      <c r="S221" s="29" t="str">
        <f ca="1">IF(AND($O$11="druid",$O$12&gt;=17),"x",IF(AND($O$11="druid",$O$12&gt;15),"xx"," "))</f>
        <v xml:space="preserve"> </v>
      </c>
      <c r="T221" s="72" t="str">
        <f ca="1">IF(AND($O$11="druid",$O$12&gt;=17),"xx"," ")</f>
        <v xml:space="preserve"> </v>
      </c>
    </row>
    <row r="222" spans="14:20" hidden="1" x14ac:dyDescent="0.3">
      <c r="N222" s="72"/>
      <c r="O222" s="79"/>
      <c r="P222" s="29">
        <f ca="1">IF(P221="x",RANDBETWEEN(2,3),IF(P221="xx",RANDBETWEEN(2,3),0))</f>
        <v>0</v>
      </c>
      <c r="Q222" s="29">
        <f ca="1">IF(Q221="x",RANDBETWEEN(2,3),IF(Q221="xx",RANDBETWEEN(2,3),0))</f>
        <v>0</v>
      </c>
      <c r="R222" s="29">
        <f ca="1">IF(R221="x",RANDBETWEEN(1,2),IF(R221="xx",RANDBETWEEN(1,2),0))</f>
        <v>0</v>
      </c>
      <c r="S222" s="29">
        <f ca="1">IF(OR(S221="x",S221="xx"),RANDBETWEEN(1,2),0)</f>
        <v>0</v>
      </c>
      <c r="T222" s="72">
        <f ca="1">IF(T221="xx",RANDBETWEEN(1,2),0)</f>
        <v>0</v>
      </c>
    </row>
    <row r="223" spans="14:20" hidden="1" x14ac:dyDescent="0.3">
      <c r="N223" s="72"/>
      <c r="O223" s="79"/>
      <c r="P223" s="29" t="str">
        <f ca="1">IF(AND(O11="cleric",O12&gt;=11),"x",IF(AND($O$11="cleric",$O$12&gt;=9),"xx"," "))</f>
        <v xml:space="preserve"> </v>
      </c>
      <c r="Q223" s="29" t="str">
        <f ca="1">IF(AND(O11="cleric",O12&gt;=13),"x",IF(AND($O$11="cleric",$O$12&gt;=11),"xx"," "))</f>
        <v xml:space="preserve"> </v>
      </c>
      <c r="R223" s="29" t="str">
        <f ca="1">IF(AND(O11="cleric",O12&gt;=15),"x",IF(AND($O$11="cleric",$O$12&gt;=13),"xx"," "))</f>
        <v xml:space="preserve"> </v>
      </c>
      <c r="S223" s="29" t="str">
        <f ca="1">IF(AND(O11="cleric",O12&gt;=17),"x",IF(AND($O$11="cleric",$O$12&gt;15),"xx"," "))</f>
        <v xml:space="preserve"> </v>
      </c>
      <c r="T223" s="72" t="str">
        <f ca="1">IF(AND($O$11="cleric",$O$12&gt;=17),"xx"," ")</f>
        <v xml:space="preserve"> </v>
      </c>
    </row>
    <row r="224" spans="14:20" hidden="1" x14ac:dyDescent="0.3">
      <c r="N224" s="72"/>
      <c r="O224" s="79"/>
      <c r="P224" s="29">
        <f ca="1">IF(P223="x",RANDBETWEEN(2,3),IF(P223="xx",RANDBETWEEN(2,3),0))</f>
        <v>0</v>
      </c>
      <c r="Q224" s="29">
        <f ca="1">IF(Q223="x",RANDBETWEEN(2,3),IF(Q223="xx",RANDBETWEEN(2,3),0))</f>
        <v>0</v>
      </c>
      <c r="R224" s="29">
        <f ca="1">IF(R223="x",RANDBETWEEN(1,2),IF(R223="xx",RANDBETWEEN(1,2),0))</f>
        <v>0</v>
      </c>
      <c r="S224" s="29">
        <f ca="1">IF(OR(S223="x",S223="xx"),RANDBETWEEN(1,2),0)</f>
        <v>0</v>
      </c>
      <c r="T224" s="72">
        <f ca="1">IF(T223="xx",RANDBETWEEN(1,2),0)</f>
        <v>0</v>
      </c>
    </row>
    <row r="225" spans="2:20" hidden="1" x14ac:dyDescent="0.3">
      <c r="N225" s="72"/>
      <c r="O225" s="79"/>
      <c r="P225" s="29" t="str">
        <f ca="1">IF(AND($O$11="bard",$O$12&gt;=11),"x",IF(AND($O$11="bard",$O$12&gt;=9),"xx"," "))</f>
        <v xml:space="preserve"> </v>
      </c>
      <c r="Q225" s="29" t="str">
        <f ca="1">IF(AND($O$11="bard",$O$12&gt;=13),"x",IF(AND($O$11="bard",$O$12&gt;=11),"xx"," "))</f>
        <v xml:space="preserve"> </v>
      </c>
      <c r="R225" s="29" t="str">
        <f ca="1">IF(AND($O$11="bard",$O$12&gt;=15),"x",IF(AND($O$11="bard",$O$12&gt;=13),"xx"," "))</f>
        <v xml:space="preserve"> </v>
      </c>
      <c r="S225" s="29" t="str">
        <f ca="1">IF(AND($O$11="bard",$O$12&gt;=17),"x",IF(AND($O$11="bard",$O$12&gt;15),"xx"," "))</f>
        <v xml:space="preserve"> </v>
      </c>
      <c r="T225" s="72" t="str">
        <f ca="1">IF(AND($O$11="bard",$O$12&gt;=17),"xx"," ")</f>
        <v xml:space="preserve"> </v>
      </c>
    </row>
    <row r="226" spans="2:20" hidden="1" x14ac:dyDescent="0.3">
      <c r="N226" s="72"/>
      <c r="O226" s="79"/>
      <c r="P226" s="29">
        <f ca="1">IF(P225="x",RANDBETWEEN(2,3),IF(P225="xx",RANDBETWEEN(2,3),0))</f>
        <v>0</v>
      </c>
      <c r="Q226" s="29">
        <f ca="1">IF(Q225="x",RANDBETWEEN(2,3),IF(Q225="xx",RANDBETWEEN(2,3),0))</f>
        <v>0</v>
      </c>
      <c r="R226" s="29">
        <f ca="1">IF(R225="x",RANDBETWEEN(1,2),IF(R225="xx",RANDBETWEEN(1,2),0))</f>
        <v>0</v>
      </c>
      <c r="S226" s="29">
        <f ca="1">IF(OR(S225="x",S225="xx"),RANDBETWEEN(1,2),0)</f>
        <v>0</v>
      </c>
      <c r="T226" s="72">
        <f ca="1">IF(T225="xx",RANDBETWEEN(1,2),0)</f>
        <v>0</v>
      </c>
    </row>
    <row r="227" spans="2:20" x14ac:dyDescent="0.3">
      <c r="N227" s="72"/>
      <c r="O227" s="79"/>
      <c r="P227" s="107" t="s">
        <v>1169</v>
      </c>
      <c r="Q227" s="107" t="s">
        <v>1170</v>
      </c>
      <c r="R227" s="107" t="s">
        <v>1171</v>
      </c>
      <c r="S227" s="107" t="s">
        <v>677</v>
      </c>
      <c r="T227" s="93" t="s">
        <v>1172</v>
      </c>
    </row>
    <row r="228" spans="2:20" x14ac:dyDescent="0.3">
      <c r="N228" s="72"/>
      <c r="O228" s="86">
        <v>1</v>
      </c>
      <c r="P228" s="65" t="str">
        <f ca="1">IF(AND($O$15="Otherworldly patron - great old one",P$210&gt;=O193),INDEX('Spell Tables'!$AJ$226:$AJ$231,MATCH(O193,('Spell Tables'!$AH$226:$AH$231),0)),IF(AND($O$15="Otherworldly patron - fiend",P$210&gt;=O193),INDEX('Spell Tables'!$AJ$210:$AJ$215,MATCH(O193,('Spell Tables'!$AH$210:$AH$215),0)),IF(AND($O$15="Otherworldly patron - archfey",P$210&gt;=O193),INDEX('Spell Tables'!$AJ$194:$AJ$199,MATCH(O193,('Spell Tables'!$AH$194:$AH$199),0)),IF($P$208&gt;=O193,INDEX($AL$92:$AL$101,MATCH(O193,($AJ$92:$AJ$101),0)),IF($P$212&gt;=O193,INDEX('Spell Tables'!$AJ$168:$AJ$178,MATCH(O193,('Spell Tables'!$AH$168:$AH$178),0)),IF($P$216&gt;=O193,INDEX('Spell Tables'!$AF$119:$AF$122,MATCH(O193,('Spell Tables'!$AD$119:$AD$122),0)),IF($P$218&gt;=O193,INDEX('Spell Tables'!$AF$97:$AF$102,MATCH(O193,('Spell Tables'!$AD$97:$AD$102),0)),IF($P$222&gt;=O193,INDEX('Spell Tables'!$AJ$48:$AJ$61,MATCH(O193,('Spell Tables'!$AH$48:$AH$61),0)),IF($P$224&gt;=O193,INDEX('Spell Tables'!$AJ$26:$AJ$38,MATCH(O193,('Spell Tables'!$AH$26:$AH$38),0)),IF($P$226&gt;=O193,INDEX('Spell Tables'!$AJ$2:$AJ$17,MATCH(O193,('Spell Tables'!$AH$2:$AH$17),0))," "))))))))))</f>
        <v xml:space="preserve"> </v>
      </c>
      <c r="Q228" s="65" t="str">
        <f ca="1">IF($Q$208&gt;=O193,INDEX($AL$104:$AL$113,MATCH(O193,($AJ$104:$AJ$113),0)),IF($Q$212&gt;=O193,INDEX('Spell Tables'!$AN$168:$AN$177,MATCH(O193,('Spell Tables'!$AL$168:$AL$177),0)),IF($Q$222&gt;=O193,INDEX('Spell Tables'!$AN$48:$AN$56,MATCH(O193,('Spell Tables'!$AL$48:$AL$56),0)),IF($Q$224&gt;=O193,INDEX('Spell Tables'!$AN$26:$AN$35,MATCH(O193,('Spell Tables'!$AL$26:$AL$35),0)),IF($Q$226&gt;=O193,INDEX('Spell Tables'!$AN$2:$AN$8,MATCH(O193,('Spell Tables'!$AL$2:$AL$8),0))," ")))))</f>
        <v xml:space="preserve"> </v>
      </c>
      <c r="R228" s="65" t="str">
        <f ca="1">IF($R$208&gt;=O193,INDEX($AL$116:$AL$125,MATCH(O193,($AJ$116:$AJ$125),0)),IF($R$212&gt;=O193,INDEX('Spell Tables'!$AR$168:$AR$175,MATCH(O193,('Spell Tables'!$AP$168:$AP$175),0)),IF($R$222&gt;=O193,INDEX('Spell Tables'!$AR$48:$AR$52,MATCH(O193,('Spell Tables'!$AP$48:$AP$52),0)),IF($R$224&gt;=O193,INDEX('Spell Tables'!$AR$26:$AR$33,MATCH(O193,('Spell Tables'!$AP$26:$AP$33),0)),IF($R$226&gt;=O193,INDEX('Spell Tables'!$AR$2:$AR$11,MATCH(O193,('Spell Tables'!$AL$2:$AL$11),0))," ")))))</f>
        <v xml:space="preserve"> </v>
      </c>
      <c r="S228" s="65" t="str">
        <f ca="1">IF($S$208&gt;=O193,INDEX($AL$128:$AL$137,MATCH(O193,($AJ$128:$AJ$137),0)),IF($S$212&gt;=O193,INDEX('Spell Tables'!$AV$168:$AV$172,MATCH(O193,('Spell Tables'!$AT$168:$AT$172),0)),IF($S$222&gt;=O193,INDEX('Spell Tables'!$AV$48:$AV$54,MATCH(O193,('Spell Tables'!$AT$48:$AT$54),0)),IF($S$224&gt;=O193,INDEX('Spell Tables'!$AV$26:$AV$29,MATCH(O193,('Spell Tables'!$AT$26:$AT$29),0)),IF($S$226&gt;=O193,INDEX('Spell Tables'!$AV$2:$AV$6,MATCH(O193,('Spell Tables'!$AT$2:$AT$6),0))," ")))))</f>
        <v xml:space="preserve"> </v>
      </c>
      <c r="T228" s="66" t="str">
        <f ca="1">IF($T$222&gt;=O193,INDEX('Spell Tables'!$AZ$48:$AZ$51,MATCH(O193,('Spell Tables'!$AX$48:$AX$51),0)),IF($T$208&gt;=O193,INDEX($AL$140:$AL$149,MATCH(O193,($AJ$140:$AJ$149),0)),IF($T$212&gt;=O193,INDEX('Spell Tables'!$AZ$168:$AZ$172,MATCH(O193,('Spell Tables'!$AX$168:$AX$172),0)),IF($T$224&gt;=O193,INDEX('Spell Tables'!$AZ$26:$AZ$29,MATCH(O193,('Spell Tables'!$AX$26:$AX$29),0)),IF($T$226&gt;=O193,INDEX('Spell Tables'!$AZ$2:$AZ$5,MATCH(O193,('Spell Tables'!$AX$2:$AX$5),0))," ")))))</f>
        <v xml:space="preserve"> </v>
      </c>
    </row>
    <row r="229" spans="2:20" x14ac:dyDescent="0.3">
      <c r="N229" s="72"/>
      <c r="O229" s="133">
        <v>2</v>
      </c>
      <c r="P229" s="60" t="str">
        <f ca="1">IF(AND($O$15="Otherworldly patron - great old one",P$210&gt;=O194),INDEX('Spell Tables'!$AJ$226:$AJ$231,MATCH(O194,('Spell Tables'!$AH$226:$AH$231),0)),IF(AND($O$15="Otherworldly patron - fiend",P$210&gt;=O194),INDEX('Spell Tables'!$AJ$210:$AJ$215,MATCH(O194,('Spell Tables'!$AH$210:$AH$215),0)),IF(AND($O$15="Otherworldly patron - archfey",P$210&gt;=O194),INDEX('Spell Tables'!$AJ$194:$AJ$199,MATCH(O194,('Spell Tables'!$AH$194:$AH$199),0)),IF($P$208&gt;=O194,INDEX($AL$92:$AL$101,MATCH(O194,($AJ$92:$AJ$101),0)),IF($P$212&gt;=O194,INDEX('Spell Tables'!$AJ$168:$AJ$178,MATCH(O194,('Spell Tables'!$AH$168:$AH$178),0)),IF($P$216&gt;=O194,INDEX('Spell Tables'!$AF$119:$AF$122,MATCH(O194,('Spell Tables'!$AD$119:$AD$122),0)),IF($P$218&gt;=O194,INDEX('Spell Tables'!$AF$97:$AF$102,MATCH(O194,('Spell Tables'!$AD$97:$AD$102),0)),IF($P$222&gt;=O194,INDEX('Spell Tables'!$AJ$48:$AJ$61,MATCH(O194,('Spell Tables'!$AH$48:$AH$61),0)),IF($P$224&gt;=O194,INDEX('Spell Tables'!$AJ$26:$AJ$38,MATCH(O194,('Spell Tables'!$AH$26:$AH$38),0)),IF($P$226&gt;=O194,INDEX('Spell Tables'!$AJ$2:$AJ$17,MATCH(O194,('Spell Tables'!$AH$2:$AH$17),0))," "))))))))))</f>
        <v xml:space="preserve"> </v>
      </c>
      <c r="Q229" s="60" t="str">
        <f ca="1">IF($Q$208&gt;=O194,INDEX($AL$104:$AL$113,MATCH(O194,($AJ$104:$AJ$113),0)),IF($Q$212&gt;=O194,INDEX('Spell Tables'!$AN$168:$AN$177,MATCH(O194,('Spell Tables'!$AL$168:$AL$177),0)),IF($Q$222&gt;=O194,INDEX('Spell Tables'!$AN$48:$AN$56,MATCH(O194,('Spell Tables'!$AL$48:$AL$56),0)),IF($Q$224&gt;=O194,INDEX('Spell Tables'!$AN$26:$AN$35,MATCH(O194,('Spell Tables'!$AL$26:$AL$35),0)),IF($Q$226&gt;=O194,INDEX('Spell Tables'!$AN$2:$AN$8,MATCH(O194,('Spell Tables'!$AL$2:$AL$8),0))," ")))))</f>
        <v xml:space="preserve"> </v>
      </c>
      <c r="R229" s="60" t="str">
        <f ca="1">IF($R$208&gt;=O194,INDEX($AL$116:$AL$125,MATCH(O194,($AJ$116:$AJ$125),0)),IF($R$212&gt;=O194,INDEX('Spell Tables'!$AR$168:$AR$175,MATCH(O194,('Spell Tables'!$AP$168:$AP$175),0)),IF($R$222&gt;=O194,INDEX('Spell Tables'!$AR$48:$AR$52,MATCH(O194,('Spell Tables'!$AP$48:$AP$52),0)),IF($R$224&gt;=O194,INDEX('Spell Tables'!$AR$26:$AR$33,MATCH(O194,('Spell Tables'!$AP$26:$AP$33),0)),IF($R$226&gt;=O194,INDEX('Spell Tables'!$AR$2:$AR$11,MATCH(O194,('Spell Tables'!$AL$2:$AL$11),0))," ")))))</f>
        <v xml:space="preserve"> </v>
      </c>
      <c r="S229" s="60" t="str">
        <f ca="1">IF($S$208&gt;=O194,INDEX($AL$128:$AL$137,MATCH(O194,($AJ$128:$AJ$137),0)),IF($S$212&gt;=O194,INDEX('Spell Tables'!$AV$168:$AV$172,MATCH(O194,('Spell Tables'!$AT$168:$AT$172),0)),IF($S$222&gt;=O194,INDEX('Spell Tables'!$AV$48:$AV$54,MATCH(O194,('Spell Tables'!$AT$48:$AT$54),0)),IF($S$224&gt;=O194,INDEX('Spell Tables'!$AV$26:$AV$29,MATCH(O194,('Spell Tables'!$AT$26:$AT$29),0)),IF($S$226&gt;=O194,INDEX('Spell Tables'!$AV$2:$AV$6,MATCH(O194,('Spell Tables'!$AT$2:$AT$6),0))," ")))))</f>
        <v xml:space="preserve"> </v>
      </c>
      <c r="T229" s="63" t="str">
        <f ca="1">IF($T$222&gt;=O194,INDEX('Spell Tables'!$AZ$48:$AZ$51,MATCH(O194,('Spell Tables'!$AX$48:$AX$51),0)),IF($T$208&gt;=O194,INDEX($AL$140:$AL$149,MATCH(O194,($AJ$140:$AJ$149),0)),IF($T$212&gt;=O194,INDEX('Spell Tables'!$AZ$168:$AZ$172,MATCH(O194,('Spell Tables'!$AX$168:$AX$172),0)),IF($T$224&gt;=O194,INDEX('Spell Tables'!$AZ$26:$AZ$29,MATCH(O194,('Spell Tables'!$AX$26:$AX$29),0)),IF($T$226&gt;=O194,INDEX('Spell Tables'!$AZ$2:$AZ$5,MATCH(O194,('Spell Tables'!$AX$2:$AX$5),0))," ")))))</f>
        <v xml:space="preserve"> </v>
      </c>
    </row>
    <row r="230" spans="2:20" x14ac:dyDescent="0.3">
      <c r="N230" s="72"/>
      <c r="O230" s="86">
        <v>3</v>
      </c>
      <c r="P230" s="65" t="str">
        <f ca="1">IF(AND($O$15="Otherworldly patron - great old one",P$210&gt;=O195),INDEX('Spell Tables'!$AJ$226:$AJ$231,MATCH(O195,('Spell Tables'!$AH$226:$AH$231),0)),IF(AND($O$15="Otherworldly patron - fiend",P$210&gt;=O195),INDEX('Spell Tables'!$AJ$210:$AJ$215,MATCH(O195,('Spell Tables'!$AH$210:$AH$215),0)),IF(AND($O$15="Otherworldly patron - archfey",P$210&gt;=O195),INDEX('Spell Tables'!$AJ$194:$AJ$199,MATCH(O195,('Spell Tables'!$AH$194:$AH$199),0)),IF($P$208&gt;=O195,INDEX($AL$92:$AL$101,MATCH(O195,($AJ$92:$AJ$101),0)),IF($P$212&gt;=O195,INDEX('Spell Tables'!$AJ$168:$AJ$178,MATCH(O195,('Spell Tables'!$AH$168:$AH$178),0)),IF($P$216&gt;=O195,INDEX('Spell Tables'!$AF$119:$AF$122,MATCH(O195,('Spell Tables'!$AD$119:$AD$122),0)),IF($P$218&gt;=O195,INDEX('Spell Tables'!$AF$97:$AF$102,MATCH(O195,('Spell Tables'!$AD$97:$AD$102),0)),IF($P$222&gt;=O195,INDEX('Spell Tables'!$AJ$48:$AJ$61,MATCH(O195,('Spell Tables'!$AH$48:$AH$61),0)),IF($P$224&gt;=O195,INDEX('Spell Tables'!$AJ$26:$AJ$38,MATCH(O195,('Spell Tables'!$AH$26:$AH$38),0)),IF($P$226&gt;=O195,INDEX('Spell Tables'!$AJ$2:$AJ$17,MATCH(O195,('Spell Tables'!$AH$2:$AH$17),0))," "))))))))))</f>
        <v xml:space="preserve"> </v>
      </c>
      <c r="Q230" s="65" t="str">
        <f ca="1">IF($Q$208&gt;=O195,INDEX($AL$104:$AL$113,MATCH(O195,($AJ$104:$AJ$113),0)),IF($Q$212&gt;=O195,INDEX('Spell Tables'!$AN$168:$AN$177,MATCH(O195,('Spell Tables'!$AL$168:$AL$177),0)),IF($Q$222&gt;=O195,INDEX('Spell Tables'!$AN$48:$AN$56,MATCH(O195,('Spell Tables'!$AL$48:$AL$56),0)),IF($Q$224&gt;=O195,INDEX('Spell Tables'!$AN$26:$AN$35,MATCH(O195,('Spell Tables'!$AL$26:$AL$35),0)),IF($Q$226&gt;=O195,INDEX('Spell Tables'!$AN$2:$AN$8,MATCH(O195,('Spell Tables'!$AL$2:$AL$8),0))," ")))))</f>
        <v xml:space="preserve"> </v>
      </c>
      <c r="R230" s="65" t="str">
        <f ca="1">IF($R$208&gt;=O195,INDEX($AL$116:$AL$125,MATCH(O195,($AJ$116:$AJ$125),0)),IF($R$212&gt;=O195,INDEX('Spell Tables'!$AR$168:$AR$175,MATCH(O195,('Spell Tables'!$AP$168:$AP$175),0)),IF($R$222&gt;=O195,INDEX('Spell Tables'!$AR$48:$AR$52,MATCH(O195,('Spell Tables'!$AP$48:$AP$52),0)),IF($R$224&gt;=O195,INDEX('Spell Tables'!$AR$26:$AR$33,MATCH(O195,('Spell Tables'!$AP$26:$AP$33),0)),IF($R$226&gt;=O195,INDEX('Spell Tables'!$AR$2:$AR$11,MATCH(O195,('Spell Tables'!$AL$2:$AL$11),0))," ")))))</f>
        <v xml:space="preserve"> </v>
      </c>
      <c r="S230" s="65" t="str">
        <f ca="1">IF($S$208&gt;=O195,INDEX($AL$128:$AL$137,MATCH(O195,($AJ$128:$AJ$137),0)),IF($S$212&gt;=O195,INDEX('Spell Tables'!$AV$168:$AV$172,MATCH(O195,('Spell Tables'!$AT$168:$AT$172),0)),IF($S$222&gt;=O195,INDEX('Spell Tables'!$AV$48:$AV$54,MATCH(O195,('Spell Tables'!$AT$48:$AT$54),0)),IF($S$224&gt;=O195,INDEX('Spell Tables'!$AV$26:$AV$29,MATCH(O195,('Spell Tables'!$AT$26:$AT$29),0)),IF($S$226&gt;=O195,INDEX('Spell Tables'!$AV$2:$AV$6,MATCH(O195,('Spell Tables'!$AT$2:$AT$6),0))," ")))))</f>
        <v xml:space="preserve"> </v>
      </c>
      <c r="T230" s="66" t="str">
        <f ca="1">IF($T$222&gt;=O195,INDEX('Spell Tables'!$AZ$48:$AZ$51,MATCH(O195,('Spell Tables'!$AX$48:$AX$51),0)),IF($T$208&gt;=O195,INDEX($AL$140:$AL$149,MATCH(O195,($AJ$140:$AJ$149),0)),IF($T$212&gt;=O195,INDEX('Spell Tables'!$AZ$168:$AZ$172,MATCH(O195,('Spell Tables'!$AX$168:$AX$172),0)),IF($T$224&gt;=O195,INDEX('Spell Tables'!$AZ$26:$AZ$29,MATCH(O195,('Spell Tables'!$AX$26:$AX$29),0)),IF($T$226&gt;=O195,INDEX('Spell Tables'!$AZ$2:$AZ$5,MATCH(O195,('Spell Tables'!$AX$2:$AX$5),0))," ")))))</f>
        <v xml:space="preserve"> </v>
      </c>
    </row>
    <row r="231" spans="2:20" x14ac:dyDescent="0.3">
      <c r="N231" s="72"/>
      <c r="O231" s="133">
        <v>4</v>
      </c>
      <c r="P231" s="60" t="str">
        <f ca="1">IF(AND($O$15="Otherworldly patron - great old one",P$210&gt;=O196),INDEX('Spell Tables'!$AJ$226:$AJ$231,MATCH(O196,('Spell Tables'!$AH$226:$AH$231),0)),IF(AND($O$15="Otherworldly patron - fiend",P$210&gt;=O196),INDEX('Spell Tables'!$AJ$210:$AJ$215,MATCH(O196,('Spell Tables'!$AH$210:$AH$215),0)),IF(AND($O$15="Otherworldly patron - archfey",P$210&gt;=O196),INDEX('Spell Tables'!$AJ$194:$AJ$199,MATCH(O196,('Spell Tables'!$AH$194:$AH$199),0)),IF($P$208&gt;=O196,INDEX($AL$92:$AL$101,MATCH(O196,($AJ$92:$AJ$101),0)),IF($P$212&gt;=O196,INDEX('Spell Tables'!$AJ$168:$AJ$178,MATCH(O196,('Spell Tables'!$AH$168:$AH$178),0)),IF($P$216&gt;=O196,INDEX('Spell Tables'!$AF$119:$AF$122,MATCH(O196,('Spell Tables'!$AD$119:$AD$122),0)),IF($P$218&gt;=O196,INDEX('Spell Tables'!$AF$97:$AF$102,MATCH(O196,('Spell Tables'!$AD$97:$AD$102),0)),IF($P$222&gt;=O196,INDEX('Spell Tables'!$AJ$48:$AJ$61,MATCH(O196,('Spell Tables'!$AH$48:$AH$61),0)),IF($P$224&gt;=O196,INDEX('Spell Tables'!$AJ$26:$AJ$38,MATCH(O196,('Spell Tables'!$AH$26:$AH$38),0)),IF($P$226&gt;=O196,INDEX('Spell Tables'!$AJ$2:$AJ$17,MATCH(O196,('Spell Tables'!$AH$2:$AH$17),0))," "))))))))))</f>
        <v xml:space="preserve"> </v>
      </c>
      <c r="Q231" s="60" t="str">
        <f ca="1">IF($Q$208&gt;=O196,INDEX($AL$104:$AL$113,MATCH(O196,($AJ$104:$AJ$113),0)),IF($Q$212&gt;=O196,INDEX('Spell Tables'!$AN$168:$AN$177,MATCH(O196,('Spell Tables'!$AL$168:$AL$177),0)),IF($Q$222&gt;=O196,INDEX('Spell Tables'!$AN$48:$AN$56,MATCH(O196,('Spell Tables'!$AL$48:$AL$56),0)),IF($Q$224&gt;=O196,INDEX('Spell Tables'!$AN$26:$AN$35,MATCH(O196,('Spell Tables'!$AL$26:$AL$35),0)),IF($Q$226&gt;=O196,INDEX('Spell Tables'!$AN$2:$AN$8,MATCH(O196,('Spell Tables'!$AL$2:$AL$8),0))," ")))))</f>
        <v xml:space="preserve"> </v>
      </c>
      <c r="R231" s="60" t="str">
        <f ca="1">IF($R$208&gt;=O196,INDEX($AL$116:$AL$125,MATCH(O196,($AJ$116:$AJ$125),0)),IF($R$212&gt;=O196,INDEX('Spell Tables'!$AR$168:$AR$175,MATCH(O196,('Spell Tables'!$AP$168:$AP$175),0)),IF($R$222&gt;=O196,INDEX('Spell Tables'!$AR$48:$AR$52,MATCH(O196,('Spell Tables'!$AP$48:$AP$52),0)),IF($R$224&gt;=O196,INDEX('Spell Tables'!$AR$26:$AR$33,MATCH(O196,('Spell Tables'!$AP$26:$AP$33),0)),IF($R$226&gt;=O196,INDEX('Spell Tables'!$AR$2:$AR$11,MATCH(O196,('Spell Tables'!$AL$2:$AL$11),0))," ")))))</f>
        <v xml:space="preserve"> </v>
      </c>
      <c r="S231" s="60" t="str">
        <f ca="1">IF($S$208&gt;=O196,INDEX($AL$128:$AL$137,MATCH(O196,($AJ$128:$AJ$137),0)),IF($S$212&gt;=O196,INDEX('Spell Tables'!$AV$168:$AV$172,MATCH(O196,('Spell Tables'!$AT$168:$AT$172),0)),IF($S$222&gt;=O196,INDEX('Spell Tables'!$AV$48:$AV$54,MATCH(O196,('Spell Tables'!$AT$48:$AT$54),0)),IF($S$224&gt;=O196,INDEX('Spell Tables'!$AV$26:$AV$29,MATCH(O196,('Spell Tables'!$AT$26:$AT$29),0)),IF($S$226&gt;=O196,INDEX('Spell Tables'!$AV$2:$AV$6,MATCH(O196,('Spell Tables'!$AT$2:$AT$6),0))," ")))))</f>
        <v xml:space="preserve"> </v>
      </c>
      <c r="T231" s="63" t="str">
        <f ca="1">IF($T$222&gt;=O196,INDEX('Spell Tables'!$AZ$48:$AZ$51,MATCH(O196,('Spell Tables'!$AX$48:$AX$51),0)),IF($T$208&gt;=O196,INDEX($AL$140:$AL$149,MATCH(O196,($AJ$140:$AJ$149),0)),IF($T$212&gt;=O196,INDEX('Spell Tables'!$AZ$168:$AZ$172,MATCH(O196,('Spell Tables'!$AX$168:$AX$172),0)),IF($T$224&gt;=O196,INDEX('Spell Tables'!$AZ$26:$AZ$29,MATCH(O196,('Spell Tables'!$AX$26:$AX$29),0)),IF($T$226&gt;=O196,INDEX('Spell Tables'!$AZ$2:$AZ$5,MATCH(O196,('Spell Tables'!$AX$2:$AX$5),0))," ")))))</f>
        <v xml:space="preserve"> </v>
      </c>
    </row>
    <row r="232" spans="2:20" x14ac:dyDescent="0.3">
      <c r="N232" s="72"/>
      <c r="O232" s="86">
        <v>5</v>
      </c>
      <c r="P232" s="65" t="str">
        <f ca="1">IF(AND($O$15="Otherworldly patron - great old one",P$210&gt;=O197),INDEX('Spell Tables'!$AJ$226:$AJ$231,MATCH(O197,('Spell Tables'!$AH$226:$AH$231),0)),IF(AND($O$15="Otherworldly patron - fiend",P$210&gt;=O197),INDEX('Spell Tables'!$AJ$210:$AJ$215,MATCH(O197,('Spell Tables'!$AH$210:$AH$215),0)),IF(AND($O$15="Otherworldly patron - archfey",P$210&gt;=O197),INDEX('Spell Tables'!$AJ$194:$AJ$199,MATCH(O197,('Spell Tables'!$AH$194:$AH$199),0)),IF($P$208&gt;=O197,INDEX($AL$92:$AL$101,MATCH(O197,($AJ$92:$AJ$101),0)),IF($P$212&gt;=O197,INDEX('Spell Tables'!$AJ$168:$AJ$178,MATCH(O197,('Spell Tables'!$AH$168:$AH$178),0)),IF($P$216&gt;=O197,INDEX('Spell Tables'!$AF$119:$AF$122,MATCH(O197,('Spell Tables'!$AD$119:$AD$122),0)),IF($P$218&gt;=O197,INDEX('Spell Tables'!$AF$97:$AF$102,MATCH(O197,('Spell Tables'!$AD$97:$AD$102),0)),IF($P$222&gt;=O197,INDEX('Spell Tables'!$AJ$48:$AJ$61,MATCH(O197,('Spell Tables'!$AH$48:$AH$61),0)),IF($P$224&gt;=O197,INDEX('Spell Tables'!$AJ$26:$AJ$38,MATCH(O197,('Spell Tables'!$AH$26:$AH$38),0)),IF($P$226&gt;=O197,INDEX('Spell Tables'!$AJ$2:$AJ$17,MATCH(O197,('Spell Tables'!$AH$2:$AH$17),0))," "))))))))))</f>
        <v xml:space="preserve"> </v>
      </c>
      <c r="Q232" s="65" t="str">
        <f ca="1">IF($Q$208&gt;=O197,INDEX($AL$104:$AL$113,MATCH(O197,($AJ$104:$AJ$113),0)),IF($Q$212&gt;=O197,INDEX('Spell Tables'!$AN$168:$AN$177,MATCH(O197,('Spell Tables'!$AL$168:$AL$177),0)),IF($Q$222&gt;=O197,INDEX('Spell Tables'!$AN$48:$AN$56,MATCH(O197,('Spell Tables'!$AL$48:$AL$56),0)),IF($Q$224&gt;=O197,INDEX('Spell Tables'!$AN$26:$AN$35,MATCH(O197,('Spell Tables'!$AL$26:$AL$35),0)),IF($Q$226&gt;=O197,INDEX('Spell Tables'!$AN$2:$AN$8,MATCH(O197,('Spell Tables'!$AL$2:$AL$8),0))," ")))))</f>
        <v xml:space="preserve"> </v>
      </c>
      <c r="R232" s="65" t="str">
        <f ca="1">IF($R$208&gt;=O197,INDEX($AL$116:$AL$125,MATCH(O197,($AJ$116:$AJ$125),0)),IF($R$212&gt;=O197,INDEX('Spell Tables'!$AR$168:$AR$175,MATCH(O197,('Spell Tables'!$AP$168:$AP$175),0)),IF($R$222&gt;=O197,INDEX('Spell Tables'!$AR$48:$AR$52,MATCH(O197,('Spell Tables'!$AP$48:$AP$52),0)),IF($R$224&gt;=O197,INDEX('Spell Tables'!$AR$26:$AR$33,MATCH(O197,('Spell Tables'!$AP$26:$AP$33),0)),IF($R$226&gt;=O197,INDEX('Spell Tables'!$AR$2:$AR$11,MATCH(O197,('Spell Tables'!$AL$2:$AL$11),0))," ")))))</f>
        <v xml:space="preserve"> </v>
      </c>
      <c r="S232" s="65" t="str">
        <f ca="1">IF($S$208&gt;=O197,INDEX($AL$128:$AL$137,MATCH(O197,($AJ$128:$AJ$137),0)),IF($S$212&gt;=O197,INDEX('Spell Tables'!$AV$168:$AV$172,MATCH(O197,('Spell Tables'!$AT$168:$AT$172),0)),IF($S$222&gt;=O197,INDEX('Spell Tables'!$AV$48:$AV$54,MATCH(O197,('Spell Tables'!$AT$48:$AT$54),0)),IF($S$224&gt;=O197,INDEX('Spell Tables'!$AV$26:$AV$29,MATCH(O197,('Spell Tables'!$AT$26:$AT$29),0)),IF($S$226&gt;=O197,INDEX('Spell Tables'!$AV$2:$AV$6,MATCH(O197,('Spell Tables'!$AT$2:$AT$6),0))," ")))))</f>
        <v xml:space="preserve"> </v>
      </c>
      <c r="T232" s="66" t="str">
        <f ca="1">IF($T$222&gt;=O197,INDEX('Spell Tables'!$AZ$48:$AZ$51,MATCH(O197,('Spell Tables'!$AX$48:$AX$51),0)),IF($T$208&gt;=O197,INDEX($AL$140:$AL$149,MATCH(O197,($AJ$140:$AJ$149),0)),IF($T$212&gt;=O197,INDEX('Spell Tables'!$AZ$168:$AZ$172,MATCH(O197,('Spell Tables'!$AX$168:$AX$172),0)),IF($T$224&gt;=O197,INDEX('Spell Tables'!$AZ$26:$AZ$29,MATCH(O197,('Spell Tables'!$AX$26:$AX$29),0)),IF($T$226&gt;=O197,INDEX('Spell Tables'!$AZ$2:$AZ$5,MATCH(O197,('Spell Tables'!$AX$2:$AX$5),0))," ")))))</f>
        <v xml:space="preserve"> </v>
      </c>
    </row>
    <row r="233" spans="2:20" x14ac:dyDescent="0.3">
      <c r="N233" s="72"/>
      <c r="O233" s="133">
        <v>6</v>
      </c>
      <c r="P233" s="60" t="str">
        <f ca="1">IF(AND($O$15="Otherworldly patron - great old one",P$210&gt;=O198),INDEX('Spell Tables'!$AJ$226:$AJ$231,MATCH(O198,('Spell Tables'!$AH$226:$AH$231),0)),IF(AND($O$15="Otherworldly patron - fiend",P$210&gt;=O198),INDEX('Spell Tables'!$AJ$210:$AJ$215,MATCH(O198,('Spell Tables'!$AH$210:$AH$215),0)),IF(AND($O$15="Otherworldly patron - archfey",P$210&gt;=O198),INDEX('Spell Tables'!$AJ$194:$AJ$199,MATCH(O198,('Spell Tables'!$AH$194:$AH$199),0)),IF($P$208&gt;=O198,INDEX($AL$92:$AL$101,MATCH(O198,($AJ$92:$AJ$101),0)),IF($P$212&gt;=O198,INDEX('Spell Tables'!$AJ$168:$AJ$178,MATCH(O198,('Spell Tables'!$AH$168:$AH$178),0)),IF($P$216&gt;=O198,INDEX('Spell Tables'!$AF$119:$AF$122,MATCH(O198,('Spell Tables'!$AD$119:$AD$122),0)),IF($P$218&gt;=O198,INDEX('Spell Tables'!$AF$97:$AF$102,MATCH(O198,('Spell Tables'!$AD$97:$AD$102),0)),IF($P$222&gt;=O198,INDEX('Spell Tables'!$AJ$48:$AJ$61,MATCH(O198,('Spell Tables'!$AH$48:$AH$61),0)),IF($P$224&gt;=O198,INDEX('Spell Tables'!$AJ$26:$AJ$38,MATCH(O198,('Spell Tables'!$AH$26:$AH$38),0)),IF($P$226&gt;=O198,INDEX('Spell Tables'!$AJ$2:$AJ$17,MATCH(O198,('Spell Tables'!$AH$2:$AH$17),0))," "))))))))))</f>
        <v xml:space="preserve"> </v>
      </c>
      <c r="Q233" s="60" t="str">
        <f ca="1">IF($Q$208&gt;=O198,INDEX($AL$104:$AL$113,MATCH(O198,($AJ$104:$AJ$113),0)),IF($Q$212&gt;=O198,INDEX('Spell Tables'!$AN$168:$AN$177,MATCH(O198,('Spell Tables'!$AL$168:$AL$177),0)),IF($Q$222&gt;=O198,INDEX('Spell Tables'!$AN$48:$AN$56,MATCH(O198,('Spell Tables'!$AL$48:$AL$56),0)),IF($Q$224&gt;=O198,INDEX('Spell Tables'!$AN$26:$AN$35,MATCH(O198,('Spell Tables'!$AL$26:$AL$35),0)),IF($Q$226&gt;=O198,INDEX('Spell Tables'!$AN$2:$AN$8,MATCH(O198,('Spell Tables'!$AL$2:$AL$8),0))," ")))))</f>
        <v xml:space="preserve"> </v>
      </c>
      <c r="R233" s="60" t="str">
        <f ca="1">IF($R$208&gt;=O198,INDEX($AL$116:$AL$125,MATCH(O198,($AJ$116:$AJ$125),0)),IF($R$212&gt;=O198,INDEX('Spell Tables'!$AR$168:$AR$175,MATCH(O198,('Spell Tables'!$AP$168:$AP$175),0)),IF($R$222&gt;=O198,INDEX('Spell Tables'!$AR$48:$AR$52,MATCH(O198,('Spell Tables'!$AP$48:$AP$52),0)),IF($R$224&gt;=O198,INDEX('Spell Tables'!$AR$26:$AR$33,MATCH(O198,('Spell Tables'!$AP$26:$AP$33),0)),IF($R$226&gt;=O198,INDEX('Spell Tables'!$AR$2:$AR$11,MATCH(O198,('Spell Tables'!$AL$2:$AL$11),0))," ")))))</f>
        <v xml:space="preserve"> </v>
      </c>
      <c r="S233" s="60" t="str">
        <f ca="1">IF($S$208&gt;=O198,INDEX($AL$128:$AL$137,MATCH(O198,($AJ$128:$AJ$137),0)),IF($S$212&gt;=O198,INDEX('Spell Tables'!$AV$168:$AV$172,MATCH(O198,('Spell Tables'!$AT$168:$AT$172),0)),IF($S$222&gt;=O198,INDEX('Spell Tables'!$AV$48:$AV$54,MATCH(O198,('Spell Tables'!$AT$48:$AT$54),0)),IF($S$224&gt;=O198,INDEX('Spell Tables'!$AV$26:$AV$29,MATCH(O198,('Spell Tables'!$AT$26:$AT$29),0)),IF($S$226&gt;=O198,INDEX('Spell Tables'!$AV$2:$AV$6,MATCH(O198,('Spell Tables'!$AT$2:$AT$6),0))," ")))))</f>
        <v xml:space="preserve"> </v>
      </c>
      <c r="T233" s="63" t="str">
        <f ca="1">IF($T$222&gt;=O198,INDEX('Spell Tables'!$AZ$48:$AZ$51,MATCH(O198,('Spell Tables'!$AX$48:$AX$51),0)),IF($T$208&gt;=O198,INDEX($AL$140:$AL$149,MATCH(O198,($AJ$140:$AJ$149),0)),IF($T$212&gt;=O198,INDEX('Spell Tables'!$AZ$168:$AZ$172,MATCH(O198,('Spell Tables'!$AX$168:$AX$172),0)),IF($T$224&gt;=O198,INDEX('Spell Tables'!$AZ$26:$AZ$29,MATCH(O198,('Spell Tables'!$AX$26:$AX$29),0)),IF($T$226&gt;=O198,INDEX('Spell Tables'!$AZ$2:$AZ$5,MATCH(O198,('Spell Tables'!$AX$2:$AX$5),0))," ")))))</f>
        <v xml:space="preserve"> </v>
      </c>
    </row>
    <row r="234" spans="2:20" x14ac:dyDescent="0.3">
      <c r="N234" s="72"/>
      <c r="O234" s="86">
        <v>7</v>
      </c>
      <c r="P234" s="65" t="str">
        <f ca="1">IF(AND($O$15="Otherworldly patron - great old one",P$210&gt;=O199),INDEX('Spell Tables'!$AJ$226:$AJ$231,MATCH(O199,('Spell Tables'!$AH$226:$AH$231),0)),IF(AND($O$15="Otherworldly patron - fiend",P$210&gt;=O199),INDEX('Spell Tables'!$AJ$210:$AJ$215,MATCH(O199,('Spell Tables'!$AH$210:$AH$215),0)),IF(AND($O$15="Otherworldly patron - archfey",P$210&gt;=O199),INDEX('Spell Tables'!$AJ$194:$AJ$199,MATCH(O199,('Spell Tables'!$AH$194:$AH$199),0)),IF($P$208&gt;=O199,INDEX($AL$92:$AL$101,MATCH(O199,($AJ$92:$AJ$101),0)),IF($P$212&gt;=O199,INDEX('Spell Tables'!$AJ$168:$AJ$178,MATCH(O199,('Spell Tables'!$AH$168:$AH$178),0)),IF($P$216&gt;=O199,INDEX('Spell Tables'!$AF$119:$AF$122,MATCH(O199,('Spell Tables'!$AD$119:$AD$122),0)),IF($P$218&gt;=O199,INDEX('Spell Tables'!$AF$97:$AF$102,MATCH(O199,('Spell Tables'!$AD$97:$AD$102),0)),IF($P$222&gt;=O199,INDEX('Spell Tables'!$AJ$48:$AJ$61,MATCH(O199,('Spell Tables'!$AH$48:$AH$61),0)),IF($P$224&gt;=O199,INDEX('Spell Tables'!$AJ$26:$AJ$38,MATCH(O199,('Spell Tables'!$AH$26:$AH$38),0)),IF($P$226&gt;=O199,INDEX('Spell Tables'!$AJ$2:$AJ$17,MATCH(O199,('Spell Tables'!$AH$2:$AH$17),0))," "))))))))))</f>
        <v xml:space="preserve"> </v>
      </c>
      <c r="Q234" s="65" t="str">
        <f ca="1">IF($Q$208&gt;=O199,INDEX($AL$104:$AL$113,MATCH(O199,($AJ$104:$AJ$113),0)),IF($Q$212&gt;=O199,INDEX('Spell Tables'!$AN$168:$AN$177,MATCH(O199,('Spell Tables'!$AL$168:$AL$177),0)),IF($Q$222&gt;=O199,INDEX('Spell Tables'!$AN$48:$AN$56,MATCH(O199,('Spell Tables'!$AL$48:$AL$56),0)),IF($Q$224&gt;=O199,INDEX('Spell Tables'!$AN$26:$AN$35,MATCH(O199,('Spell Tables'!$AL$26:$AL$35),0)),IF($Q$226&gt;=O199,INDEX('Spell Tables'!$AN$2:$AN$8,MATCH(O199,('Spell Tables'!$AL$2:$AL$8),0))," ")))))</f>
        <v xml:space="preserve"> </v>
      </c>
      <c r="R234" s="65" t="str">
        <f ca="1">IF($R$208&gt;=O199,INDEX($AL$116:$AL$125,MATCH(O199,($AJ$116:$AJ$125),0)),IF($R$212&gt;=O199,INDEX('Spell Tables'!$AR$168:$AR$175,MATCH(O199,('Spell Tables'!$AP$168:$AP$175),0)),IF($R$222&gt;=O199,INDEX('Spell Tables'!$AR$48:$AR$52,MATCH(O199,('Spell Tables'!$AP$48:$AP$52),0)),IF($R$224&gt;=O199,INDEX('Spell Tables'!$AR$26:$AR$33,MATCH(O199,('Spell Tables'!$AP$26:$AP$33),0)),IF($R$226&gt;=O199,INDEX('Spell Tables'!$AR$2:$AR$11,MATCH(O199,('Spell Tables'!$AL$2:$AL$11),0))," ")))))</f>
        <v xml:space="preserve"> </v>
      </c>
      <c r="S234" s="65" t="str">
        <f ca="1">IF($S$208&gt;=O199,INDEX($AL$128:$AL$137,MATCH(O199,($AJ$128:$AJ$137),0)),IF($S$212&gt;=O199,INDEX('Spell Tables'!$AV$168:$AV$172,MATCH(O199,('Spell Tables'!$AT$168:$AT$172),0)),IF($S$222&gt;=O199,INDEX('Spell Tables'!$AV$48:$AV$54,MATCH(O199,('Spell Tables'!$AT$48:$AT$54),0)),IF($S$224&gt;=O199,INDEX('Spell Tables'!$AV$26:$AV$29,MATCH(O199,('Spell Tables'!$AT$26:$AT$29),0)),IF($S$226&gt;=O199,INDEX('Spell Tables'!$AV$2:$AV$6,MATCH(O199,('Spell Tables'!$AT$2:$AT$6),0))," ")))))</f>
        <v xml:space="preserve"> </v>
      </c>
      <c r="T234" s="66" t="str">
        <f ca="1">IF($T$222&gt;=O199,INDEX('Spell Tables'!$AZ$48:$AZ$51,MATCH(O199,('Spell Tables'!$AX$48:$AX$51),0)),IF($T$208&gt;=O199,INDEX($AL$140:$AL$149,MATCH(O199,($AJ$140:$AJ$149),0)),IF($T$212&gt;=O199,INDEX('Spell Tables'!$AZ$168:$AZ$172,MATCH(O199,('Spell Tables'!$AX$168:$AX$172),0)),IF($T$224&gt;=O199,INDEX('Spell Tables'!$AZ$26:$AZ$29,MATCH(O199,('Spell Tables'!$AX$26:$AX$29),0)),IF($T$226&gt;=O199,INDEX('Spell Tables'!$AZ$2:$AZ$5,MATCH(O199,('Spell Tables'!$AX$2:$AX$5),0))," ")))))</f>
        <v xml:space="preserve"> </v>
      </c>
    </row>
    <row r="235" spans="2:20" x14ac:dyDescent="0.3">
      <c r="N235" s="72"/>
      <c r="O235" s="133">
        <v>8</v>
      </c>
      <c r="P235" s="60" t="str">
        <f ca="1">IF(AND($O$15="Otherworldly patron - great old one",P$210&gt;=O200),INDEX('Spell Tables'!$AJ$226:$AJ$231,MATCH(O200,('Spell Tables'!$AH$226:$AH$231),0)),IF(AND($O$15="Otherworldly patron - fiend",P$210&gt;=O200),INDEX('Spell Tables'!$AJ$210:$AJ$215,MATCH(O200,('Spell Tables'!$AH$210:$AH$215),0)),IF(AND($O$15="Otherworldly patron - archfey",P$210&gt;=O200),INDEX('Spell Tables'!$AJ$194:$AJ$199,MATCH(O200,('Spell Tables'!$AH$194:$AH$199),0)),IF($P$208&gt;=O200,INDEX($AL$92:$AL$101,MATCH(O200,($AJ$92:$AJ$101),0)),IF($P$212&gt;=O200,INDEX('Spell Tables'!$AJ$168:$AJ$178,MATCH(O200,('Spell Tables'!$AH$168:$AH$178),0)),IF($P$216&gt;=O200,INDEX('Spell Tables'!$AF$119:$AF$122,MATCH(O200,('Spell Tables'!$AD$119:$AD$122),0)),IF($P$218&gt;=O200,INDEX('Spell Tables'!$AF$97:$AF$102,MATCH(O200,('Spell Tables'!$AD$97:$AD$102),0)),IF($P$222&gt;=O200,INDEX('Spell Tables'!$AJ$48:$AJ$61,MATCH(O200,('Spell Tables'!$AH$48:$AH$61),0)),IF($P$224&gt;=O200,INDEX('Spell Tables'!$AJ$26:$AJ$38,MATCH(O200,('Spell Tables'!$AH$26:$AH$38),0)),IF($P$226&gt;=O200,INDEX('Spell Tables'!$AJ$2:$AJ$17,MATCH(O200,('Spell Tables'!$AH$2:$AH$17),0))," "))))))))))</f>
        <v xml:space="preserve"> </v>
      </c>
      <c r="Q235" s="60" t="str">
        <f ca="1">IF($Q$208&gt;=O200,INDEX($AL$104:$AL$113,MATCH(O200,($AJ$104:$AJ$113),0)),IF($Q$212&gt;=O200,INDEX('Spell Tables'!$AN$168:$AN$177,MATCH(O200,('Spell Tables'!$AL$168:$AL$177),0)),IF($Q$222&gt;=O200,INDEX('Spell Tables'!$AN$48:$AN$56,MATCH(O200,('Spell Tables'!$AL$48:$AL$56),0)),IF($Q$224&gt;=O200,INDEX('Spell Tables'!$AN$26:$AN$35,MATCH(O200,('Spell Tables'!$AL$26:$AL$35),0)),IF($Q$226&gt;=O200,INDEX('Spell Tables'!$AN$2:$AN$8,MATCH(O200,('Spell Tables'!$AL$2:$AL$8),0))," ")))))</f>
        <v xml:space="preserve"> </v>
      </c>
      <c r="R235" s="60" t="str">
        <f ca="1">IF($R$208&gt;=O200,INDEX($AL$116:$AL$125,MATCH(O200,($AJ$116:$AJ$125),0)),IF($R$212&gt;=O200,INDEX('Spell Tables'!$AR$168:$AR$175,MATCH(O200,('Spell Tables'!$AP$168:$AP$175),0)),IF($R$222&gt;=O200,INDEX('Spell Tables'!$AR$48:$AR$52,MATCH(O200,('Spell Tables'!$AP$48:$AP$52),0)),IF($R$224&gt;=O200,INDEX('Spell Tables'!$AR$26:$AR$33,MATCH(O200,('Spell Tables'!$AP$26:$AP$33),0)),IF($R$226&gt;=O200,INDEX('Spell Tables'!$AR$2:$AR$11,MATCH(O200,('Spell Tables'!$AL$2:$AL$11),0))," ")))))</f>
        <v xml:space="preserve"> </v>
      </c>
      <c r="S235" s="60" t="str">
        <f ca="1">IF($S$208&gt;=O200,INDEX($AL$128:$AL$137,MATCH(O200,($AJ$128:$AJ$137),0)),IF($S$212&gt;=O200,INDEX('Spell Tables'!$AV$168:$AV$172,MATCH(O200,('Spell Tables'!$AT$168:$AT$172),0)),IF($S$222&gt;=O200,INDEX('Spell Tables'!$AV$48:$AV$54,MATCH(O200,('Spell Tables'!$AT$48:$AT$54),0)),IF($S$224&gt;=O200,INDEX('Spell Tables'!$AV$26:$AV$29,MATCH(O200,('Spell Tables'!$AT$26:$AT$29),0)),IF($S$226&gt;=O200,INDEX('Spell Tables'!$AV$2:$AV$6,MATCH(O200,('Spell Tables'!$AT$2:$AT$6),0))," ")))))</f>
        <v xml:space="preserve"> </v>
      </c>
      <c r="T235" s="63" t="str">
        <f ca="1">IF($T$222&gt;=O200,INDEX('Spell Tables'!$AZ$48:$AZ$51,MATCH(O200,('Spell Tables'!$AX$48:$AX$51),0)),IF($T$208&gt;=O200,INDEX($AL$140:$AL$149,MATCH(O200,($AJ$140:$AJ$149),0)),IF($T$212&gt;=O200,INDEX('Spell Tables'!$AZ$168:$AZ$172,MATCH(O200,('Spell Tables'!$AX$168:$AX$172),0)),IF($T$224&gt;=O200,INDEX('Spell Tables'!$AZ$26:$AZ$29,MATCH(O200,('Spell Tables'!$AX$26:$AX$29),0)),IF($T$226&gt;=O200,INDEX('Spell Tables'!$AZ$2:$AZ$5,MATCH(O200,('Spell Tables'!$AX$2:$AX$5),0))," ")))))</f>
        <v xml:space="preserve"> </v>
      </c>
    </row>
    <row r="236" spans="2:20" x14ac:dyDescent="0.3">
      <c r="N236" s="72"/>
      <c r="O236" s="86">
        <v>9</v>
      </c>
      <c r="P236" s="65" t="str">
        <f ca="1">IF(AND($O$15="Otherworldly patron - great old one",P$210&gt;=O201),INDEX('Spell Tables'!$AJ$226:$AJ$231,MATCH(O201,('Spell Tables'!$AH$226:$AH$231),0)),IF(AND($O$15="Otherworldly patron - fiend",P$210&gt;=O201),INDEX('Spell Tables'!$AJ$210:$AJ$215,MATCH(O201,('Spell Tables'!$AH$210:$AH$215),0)),IF(AND($O$15="Otherworldly patron - archfey",P$210&gt;=O201),INDEX('Spell Tables'!$AJ$194:$AJ$199,MATCH(O201,('Spell Tables'!$AH$194:$AH$199),0)),IF($P$208&gt;=O201,INDEX($AL$92:$AL$101,MATCH(O201,($AJ$92:$AJ$101),0)),IF($P$212&gt;=O201,INDEX('Spell Tables'!$AJ$168:$AJ$178,MATCH(O201,('Spell Tables'!$AH$168:$AH$178),0)),IF($P$216&gt;=O201,INDEX('Spell Tables'!$AF$119:$AF$122,MATCH(O201,('Spell Tables'!$AD$119:$AD$122),0)),IF($P$218&gt;=O201,INDEX('Spell Tables'!$AF$97:$AF$102,MATCH(O201,('Spell Tables'!$AD$97:$AD$102),0)),IF($P$222&gt;=O201,INDEX('Spell Tables'!$AJ$48:$AJ$61,MATCH(O201,('Spell Tables'!$AH$48:$AH$61),0)),IF($P$224&gt;=O201,INDEX('Spell Tables'!$AJ$26:$AJ$38,MATCH(O201,('Spell Tables'!$AH$26:$AH$38),0)),IF($P$226&gt;=O201,INDEX('Spell Tables'!$AJ$2:$AJ$17,MATCH(O201,('Spell Tables'!$AH$2:$AH$17),0))," "))))))))))</f>
        <v xml:space="preserve"> </v>
      </c>
      <c r="Q236" s="65" t="str">
        <f ca="1">IF($Q$208&gt;=O201,INDEX($AL$104:$AL$113,MATCH(O201,($AJ$104:$AJ$113),0)),IF($Q$212&gt;=O201,INDEX('Spell Tables'!$AN$168:$AN$177,MATCH(O201,('Spell Tables'!$AL$168:$AL$177),0)),IF($Q$222&gt;=O201,INDEX('Spell Tables'!$AN$48:$AN$56,MATCH(O201,('Spell Tables'!$AL$48:$AL$56),0)),IF($Q$224&gt;=O201,INDEX('Spell Tables'!$AN$26:$AN$35,MATCH(O201,('Spell Tables'!$AL$26:$AL$35),0)),IF($Q$226&gt;=O201,INDEX('Spell Tables'!$AN$2:$AN$8,MATCH(O201,('Spell Tables'!$AL$2:$AL$8),0))," ")))))</f>
        <v xml:space="preserve"> </v>
      </c>
      <c r="R236" s="65" t="str">
        <f ca="1">IF($R$208&gt;=O201,INDEX($AL$116:$AL$125,MATCH(O201,($AJ$116:$AJ$125),0)),IF($R$212&gt;=O201,INDEX('Spell Tables'!$AR$168:$AR$175,MATCH(O201,('Spell Tables'!$AP$168:$AP$175),0)),IF($R$222&gt;=O201,INDEX('Spell Tables'!$AR$48:$AR$52,MATCH(O201,('Spell Tables'!$AP$48:$AP$52),0)),IF($R$224&gt;=O201,INDEX('Spell Tables'!$AR$26:$AR$33,MATCH(O201,('Spell Tables'!$AP$26:$AP$33),0)),IF($R$226&gt;=O201,INDEX('Spell Tables'!$AR$2:$AR$11,MATCH(O201,('Spell Tables'!$AL$2:$AL$11),0))," ")))))</f>
        <v xml:space="preserve"> </v>
      </c>
      <c r="S236" s="65" t="str">
        <f ca="1">IF($S$208&gt;=O201,INDEX($AL$128:$AL$137,MATCH(O201,($AJ$128:$AJ$137),0)),IF($S$212&gt;=O201,INDEX('Spell Tables'!$AV$168:$AV$172,MATCH(O201,('Spell Tables'!$AT$168:$AT$172),0)),IF($S$222&gt;=O201,INDEX('Spell Tables'!$AV$48:$AV$54,MATCH(O201,('Spell Tables'!$AT$48:$AT$54),0)),IF($S$224&gt;=O201,INDEX('Spell Tables'!$AV$26:$AV$29,MATCH(O201,('Spell Tables'!$AT$26:$AT$29),0)),IF($S$226&gt;=O201,INDEX('Spell Tables'!$AV$2:$AV$6,MATCH(O201,('Spell Tables'!$AT$2:$AT$6),0))," ")))))</f>
        <v xml:space="preserve"> </v>
      </c>
      <c r="T236" s="66" t="str">
        <f ca="1">IF($T$222&gt;=O201,INDEX('Spell Tables'!$AZ$48:$AZ$51,MATCH(O201,('Spell Tables'!$AX$48:$AX$51),0)),IF($T$208&gt;=O201,INDEX($AL$140:$AL$149,MATCH(O201,($AJ$140:$AJ$149),0)),IF($T$212&gt;=O201,INDEX('Spell Tables'!$AZ$168:$AZ$172,MATCH(O201,('Spell Tables'!$AX$168:$AX$172),0)),IF($T$224&gt;=O201,INDEX('Spell Tables'!$AZ$26:$AZ$29,MATCH(O201,('Spell Tables'!$AX$26:$AX$29),0)),IF($T$226&gt;=O201,INDEX('Spell Tables'!$AZ$2:$AZ$5,MATCH(O201,('Spell Tables'!$AX$2:$AX$5),0))," ")))))</f>
        <v xml:space="preserve"> </v>
      </c>
    </row>
    <row r="237" spans="2:20" ht="19.5" thickBot="1" x14ac:dyDescent="0.35">
      <c r="N237" s="72"/>
      <c r="O237" s="134">
        <v>10</v>
      </c>
      <c r="P237" s="67" t="str">
        <f ca="1">IF(AND($O$15="Otherworldly patron - great old one",P$210&gt;=O202),INDEX('Spell Tables'!$AJ$226:$AJ$231,MATCH(O202,('Spell Tables'!$AH$226:$AH$231),0)),IF(AND($O$15="Otherworldly patron - fiend",P$210&gt;=O202),INDEX('Spell Tables'!$AJ$210:$AJ$215,MATCH(O202,('Spell Tables'!$AH$210:$AH$215),0)),IF(AND($O$15="Otherworldly patron - archfey",P$210&gt;=O202),INDEX('Spell Tables'!$AJ$194:$AJ$199,MATCH(O202,('Spell Tables'!$AH$194:$AH$199),0)),IF($P$208&gt;=O202,INDEX($AL$92:$AL$101,MATCH(O202,($AJ$92:$AJ$101),0)),IF($P$212&gt;=O202,INDEX('Spell Tables'!$AJ$168:$AJ$178,MATCH(O202,('Spell Tables'!$AH$168:$AH$178),0)),IF($P$216&gt;=O202,INDEX('Spell Tables'!$AF$119:$AF$122,MATCH(O202,('Spell Tables'!$AD$119:$AD$122),0)),IF($P$218&gt;=O202,INDEX('Spell Tables'!$AF$97:$AF$102,MATCH(O202,('Spell Tables'!$AD$97:$AD$102),0)),IF($P$222&gt;=O202,INDEX('Spell Tables'!$AJ$48:$AJ$61,MATCH(O202,('Spell Tables'!$AH$48:$AH$61),0)),IF($P$224&gt;=O202,INDEX('Spell Tables'!$AJ$26:$AJ$38,MATCH(O202,('Spell Tables'!$AH$26:$AH$38),0)),IF($P$226&gt;=O202,INDEX('Spell Tables'!$AJ$2:$AJ$17,MATCH(O202,('Spell Tables'!$AH$2:$AH$17),0))," "))))))))))</f>
        <v xml:space="preserve"> </v>
      </c>
      <c r="Q237" s="67" t="str">
        <f ca="1">IF($Q$208&gt;=O202,INDEX($AL$104:$AL$113,MATCH(O202,($AJ$104:$AJ$113),0)),IF($Q$212&gt;=O202,INDEX('Spell Tables'!$AN$168:$AN$177,MATCH(O202,('Spell Tables'!$AL$168:$AL$177),0)),IF($Q$222&gt;=O202,INDEX('Spell Tables'!$AN$48:$AN$56,MATCH(O202,('Spell Tables'!$AL$48:$AL$56),0)),IF($Q$224&gt;=O202,INDEX('Spell Tables'!$AN$26:$AN$35,MATCH(O202,('Spell Tables'!$AL$26:$AL$35),0)),IF($Q$226&gt;=O202,INDEX('Spell Tables'!$AN$2:$AN$8,MATCH(O202,('Spell Tables'!$AL$2:$AL$8),0))," ")))))</f>
        <v xml:space="preserve"> </v>
      </c>
      <c r="R237" s="67" t="str">
        <f ca="1">IF($R$208&gt;=O202,INDEX($AL$116:$AL$125,MATCH(O202,($AJ$116:$AJ$125),0)),IF($R$212&gt;=O202,INDEX('Spell Tables'!$AR$168:$AR$175,MATCH(O202,('Spell Tables'!$AP$168:$AP$175),0)),IF($R$222&gt;=O202,INDEX('Spell Tables'!$AR$48:$AR$52,MATCH(O202,('Spell Tables'!$AP$48:$AP$52),0)),IF($R$224&gt;=O202,INDEX('Spell Tables'!$AR$26:$AR$33,MATCH(O202,('Spell Tables'!$AP$26:$AP$33),0)),IF($R$226&gt;=O202,INDEX('Spell Tables'!$AR$2:$AR$11,MATCH(O202,('Spell Tables'!$AL$2:$AL$11),0))," ")))))</f>
        <v xml:space="preserve"> </v>
      </c>
      <c r="S237" s="67" t="str">
        <f ca="1">IF($S$208&gt;=O202,INDEX($AL$128:$AL$137,MATCH(O202,($AJ$128:$AJ$137),0)),IF($S$212&gt;=O202,INDEX('Spell Tables'!$AV$168:$AV$172,MATCH(O202,('Spell Tables'!$AT$168:$AT$172),0)),IF($S$222&gt;=O202,INDEX('Spell Tables'!$AV$48:$AV$54,MATCH(O202,('Spell Tables'!$AT$48:$AT$54),0)),IF($S$224&gt;=O202,INDEX('Spell Tables'!$AV$26:$AV$29,MATCH(O202,('Spell Tables'!$AT$26:$AT$29),0)),IF($S$226&gt;=O202,INDEX('Spell Tables'!$AV$2:$AV$6,MATCH(O202,('Spell Tables'!$AT$2:$AT$6),0))," ")))))</f>
        <v xml:space="preserve"> </v>
      </c>
      <c r="T237" s="68" t="str">
        <f ca="1">IF($T$222&gt;=O202,INDEX('Spell Tables'!$AZ$48:$AZ$51,MATCH(O202,('Spell Tables'!$AX$48:$AX$51),0)),IF($T$208&gt;=O202,INDEX($AL$140:$AL$149,MATCH(O202,($AJ$140:$AJ$149),0)),IF($T$212&gt;=O202,INDEX('Spell Tables'!$AZ$168:$AZ$172,MATCH(O202,('Spell Tables'!$AX$168:$AX$172),0)),IF($T$224&gt;=O202,INDEX('Spell Tables'!$AZ$26:$AZ$29,MATCH(O202,('Spell Tables'!$AX$26:$AX$29),0)),IF($T$226&gt;=O202,INDEX('Spell Tables'!$AZ$2:$AZ$5,MATCH(O202,('Spell Tables'!$AX$2:$AX$5),0))," ")))))</f>
        <v xml:space="preserve"> </v>
      </c>
    </row>
    <row r="238" spans="2:20" ht="19.5" thickBot="1" x14ac:dyDescent="0.35"/>
    <row r="239" spans="2:20" ht="30.75" thickBot="1" x14ac:dyDescent="0.45">
      <c r="B239" s="105" t="s">
        <v>1323</v>
      </c>
      <c r="C239" s="57"/>
      <c r="D239" s="57"/>
      <c r="E239" s="57"/>
      <c r="F239" s="57"/>
      <c r="G239" s="57"/>
      <c r="H239" s="57"/>
      <c r="I239" s="57"/>
      <c r="J239" s="57"/>
      <c r="K239" s="57"/>
      <c r="L239" s="57"/>
      <c r="M239" s="57"/>
      <c r="N239" s="57"/>
      <c r="O239" s="57"/>
      <c r="P239" s="57"/>
      <c r="Q239" s="57"/>
      <c r="R239" s="57"/>
      <c r="S239" s="57"/>
    </row>
    <row r="240" spans="2:20" ht="19.5" thickBot="1" x14ac:dyDescent="0.35">
      <c r="B240" s="33"/>
      <c r="C240" s="27"/>
      <c r="D240" s="27"/>
      <c r="E240" s="27"/>
      <c r="F240" s="27"/>
      <c r="G240" s="27"/>
      <c r="H240" s="27"/>
      <c r="I240" s="27"/>
      <c r="J240" s="27"/>
      <c r="K240" s="27"/>
      <c r="L240" s="27"/>
      <c r="M240" s="27"/>
      <c r="O240" s="27"/>
      <c r="P240" s="87" t="s">
        <v>1341</v>
      </c>
      <c r="Q240" s="94" t="str">
        <f ca="1">IF($Q$11="warlock",INDEX('Spell Tables'!$D$194:$D$213,MATCH($Q$12,('Spell Tables'!$A$194:$A$213),0))," ")</f>
        <v xml:space="preserve"> </v>
      </c>
      <c r="R240" s="89" t="s">
        <v>1340</v>
      </c>
      <c r="S240" s="90" t="str">
        <f ca="1">IF($Q$11="warlock",INDEX('Spell Tables'!$E$194:$E$213,MATCH($Q$12,('Spell Tables'!$A$194:$A$213),0))," ")</f>
        <v xml:space="preserve"> </v>
      </c>
      <c r="T240" s="27"/>
    </row>
    <row r="241" spans="2:20" hidden="1" x14ac:dyDescent="0.3">
      <c r="B241" s="92" t="s">
        <v>1270</v>
      </c>
      <c r="C241" s="33"/>
      <c r="D241" s="33"/>
      <c r="E241" s="33"/>
      <c r="F241" s="33"/>
      <c r="G241" s="33"/>
      <c r="H241" s="33"/>
      <c r="I241" s="33"/>
      <c r="J241" s="33"/>
      <c r="K241" s="33"/>
      <c r="L241" s="33"/>
      <c r="M241" s="33"/>
      <c r="O241" s="33" t="s">
        <v>530</v>
      </c>
      <c r="P241" s="33" t="s">
        <v>530</v>
      </c>
      <c r="Q241" s="114" t="str">
        <f ca="1">IF(AND(Q11="wizard",Q12&gt;=3),"x",IF(Q11="wizard","xx"," "))</f>
        <v xml:space="preserve"> </v>
      </c>
      <c r="R241" s="114" t="str">
        <f ca="1">IF(AND(Q11="wizard",Q12&gt;=5),"x",IF(AND($Q$11="wizard",$Q$12&gt;=3),"xx"," "))</f>
        <v xml:space="preserve"> </v>
      </c>
      <c r="S241" s="114" t="str">
        <f ca="1">IF(AND(Q11="Wizard",Q12&gt;=7),"x",IF(AND($Q$11="wizard",$Q$12&gt;5),"xx",IF(AND(Q11="wizard",Q12=5),"xxx"," ")))</f>
        <v xml:space="preserve"> </v>
      </c>
      <c r="T241" s="114" t="str">
        <f ca="1">IF(AND(Q11="wizard",Q12&gt;=9),"x",IF(AND($Q$11="wizard",$Q$12&gt;7),"xx",IF(AND(Q11="wizard",Q12=7),"xxx"," ")))</f>
        <v xml:space="preserve"> </v>
      </c>
    </row>
    <row r="242" spans="2:20" hidden="1" x14ac:dyDescent="0.3">
      <c r="B242" s="92" t="s">
        <v>1272</v>
      </c>
      <c r="C242" s="33"/>
      <c r="D242" s="33"/>
      <c r="E242" s="33"/>
      <c r="F242" s="33"/>
      <c r="G242" s="33"/>
      <c r="H242" s="33"/>
      <c r="I242" s="33"/>
      <c r="J242" s="33"/>
      <c r="K242" s="33"/>
      <c r="L242" s="33"/>
      <c r="M242" s="33"/>
      <c r="O242" s="33" t="str">
        <f ca="1">IF(Q11="wizard",N41+Q12," ")</f>
        <v xml:space="preserve"> </v>
      </c>
      <c r="P242" s="33">
        <f ca="1">IF(Q11="wizard",INDEX('Spell Tables'!C242:C261,MATCH(Q12,('Spell Tables'!B242:B261),0)),0)</f>
        <v>0</v>
      </c>
      <c r="Q242" s="114">
        <f ca="1">IF($Q241="x",RANDBETWEEN(1,2),IF($Q241="xx",$O$242,0))</f>
        <v>0</v>
      </c>
      <c r="R242" s="114">
        <f ca="1">IF(R241="x",RANDBETWEEN(1,2),IF(R241="xx",$O$242-Q242,0))</f>
        <v>0</v>
      </c>
      <c r="S242" s="114">
        <f ca="1">IF(S241="x",O242-SUM(Q242:R242,U169:X169),IF(S241="xx",$O$242-SUM(Q242:R242),0))</f>
        <v>0</v>
      </c>
      <c r="T242" s="114">
        <f ca="1">IF(T241="x",RANDBETWEEN(1,2),IF(T241="xx",RANDBETWEEN(2,3),IF(T241="xxx",RANDBETWEEN(1,2),0)))</f>
        <v>0</v>
      </c>
    </row>
    <row r="243" spans="2:20" hidden="1" x14ac:dyDescent="0.3">
      <c r="B243" s="92" t="s">
        <v>1269</v>
      </c>
      <c r="C243" s="33"/>
      <c r="D243" s="33"/>
      <c r="E243" s="33"/>
      <c r="F243" s="33"/>
      <c r="G243" s="33"/>
      <c r="H243" s="33"/>
      <c r="I243" s="33"/>
      <c r="J243" s="33"/>
      <c r="K243" s="33"/>
      <c r="L243" s="33"/>
      <c r="M243" s="33"/>
      <c r="O243" s="33" t="s">
        <v>530</v>
      </c>
      <c r="P243" s="33" t="s">
        <v>530</v>
      </c>
      <c r="Q243" s="114" t="str">
        <f ca="1">IF(AND($Q$11="warlock",$Q$12&gt;=3),"x",IF(Q11="warlock","xx"," "))</f>
        <v xml:space="preserve"> </v>
      </c>
      <c r="R243" s="114" t="str">
        <f ca="1">IF(AND($Q$11="warlock",$Q$12&gt;=5),"x",IF(AND($Q$11="warlock",$Q$12&gt;=3),"xx"," "))</f>
        <v xml:space="preserve"> </v>
      </c>
      <c r="S243" s="114" t="str">
        <f ca="1">IF(AND($Q$11="warlock",$Q$12&gt;=7),"x",IF(AND($Q$11="warlock",$Q$12&gt;=5),"xx"," "))</f>
        <v xml:space="preserve"> </v>
      </c>
      <c r="T243" s="114" t="str">
        <f ca="1">IF(AND($Q$11="warlock",$Q$12&gt;=9),"x",IF(AND($Q$11="warlock",$Q$12&gt;=7),"xx"," "))</f>
        <v xml:space="preserve"> </v>
      </c>
    </row>
    <row r="244" spans="2:20" hidden="1" x14ac:dyDescent="0.3">
      <c r="B244" s="92" t="s">
        <v>1268</v>
      </c>
      <c r="C244" s="33"/>
      <c r="D244" s="33"/>
      <c r="E244" s="33"/>
      <c r="F244" s="33"/>
      <c r="G244" s="33"/>
      <c r="H244" s="33"/>
      <c r="I244" s="33"/>
      <c r="J244" s="33"/>
      <c r="K244" s="33"/>
      <c r="L244" s="33"/>
      <c r="M244" s="33"/>
      <c r="O244" s="33" t="str">
        <f ca="1">IF(Q11="warlock",INDEX('Spell Tables'!C194:C213,MATCH($Q$12,('Spell Tables'!A194:A213),0))," ")</f>
        <v xml:space="preserve"> </v>
      </c>
      <c r="P244" s="33">
        <f ca="1">IF($Q$11="warlock",INDEX('Spell Tables'!B194:B213,MATCH($Q$12,('Spell Tables'!A194:A213),0)),0)</f>
        <v>0</v>
      </c>
      <c r="Q244" s="114">
        <f ca="1">IF($Q243="x",RANDBETWEEN(1,2),IF($Q243="xx",$O$244,0))</f>
        <v>0</v>
      </c>
      <c r="R244" s="114">
        <f ca="1">IF(R243="x",RANDBETWEEN(1,2),IF(R243="xx",$O$244-Q244,0))</f>
        <v>0</v>
      </c>
      <c r="S244" s="114">
        <f ca="1">IF(S243="x",O244-SUM(Q244:R244,U171:X171),IF(S243="xx",$O$244-SUM(Q244:R244),0))</f>
        <v>0</v>
      </c>
      <c r="T244" s="114">
        <f ca="1">IF(T243="x",RANDBETWEEN(1,2),IF(T243="xx",RANDBETWEEN(2,3),0))</f>
        <v>0</v>
      </c>
    </row>
    <row r="245" spans="2:20" hidden="1" x14ac:dyDescent="0.3">
      <c r="B245" s="92" t="s">
        <v>1267</v>
      </c>
      <c r="C245" s="33"/>
      <c r="D245" s="33"/>
      <c r="E245" s="33"/>
      <c r="F245" s="33"/>
      <c r="G245" s="33"/>
      <c r="H245" s="33"/>
      <c r="I245" s="33"/>
      <c r="J245" s="33"/>
      <c r="K245" s="33"/>
      <c r="L245" s="33"/>
      <c r="M245" s="33"/>
      <c r="O245" s="33" t="s">
        <v>530</v>
      </c>
      <c r="P245" s="33" t="s">
        <v>530</v>
      </c>
      <c r="Q245" s="114" t="str">
        <f ca="1">IF(AND($Q$11="sorcerer",$Q$12&gt;=3),"x",IF($Q$11="sorcerer","xx"," "))</f>
        <v xml:space="preserve"> </v>
      </c>
      <c r="R245" s="114" t="str">
        <f ca="1">IF(AND($Q$11="sorcerer",$Q$12&gt;=5),"x",IF(AND($Q$11="sorcerer",$Q$12&gt;=3),"xx"," "))</f>
        <v xml:space="preserve"> </v>
      </c>
      <c r="S245" s="114" t="str">
        <f ca="1">IF(AND($Q$11="sorcerer",$Q$12&gt;=7),"x",IF(AND($Q$11="sorcerer",$Q$12&gt;=5),"xx"," "))</f>
        <v xml:space="preserve"> </v>
      </c>
      <c r="T245" s="114" t="str">
        <f ca="1">IF(AND($Q$11="sorcerer",$Q$12&gt;=9),"x",IF(AND($Q$11="sorcerer",$Q$12&gt;=7),"xx"," "))</f>
        <v xml:space="preserve"> </v>
      </c>
    </row>
    <row r="246" spans="2:20" hidden="1" x14ac:dyDescent="0.3">
      <c r="B246" s="92" t="s">
        <v>1266</v>
      </c>
      <c r="C246" s="33"/>
      <c r="D246" s="33"/>
      <c r="E246" s="33"/>
      <c r="F246" s="33"/>
      <c r="G246" s="33"/>
      <c r="H246" s="33"/>
      <c r="I246" s="33"/>
      <c r="J246" s="33"/>
      <c r="K246" s="33"/>
      <c r="L246" s="33"/>
      <c r="M246" s="33"/>
      <c r="O246" s="33" t="str">
        <f ca="1">IF(Q11="sorcerer",INDEX('Spell Tables'!C168:C187,MATCH($Q$12,('Spell Tables'!A168:A187),0))," ")</f>
        <v xml:space="preserve"> </v>
      </c>
      <c r="P246" s="33">
        <f ca="1">IF($Q$11="sorcerer",INDEX('Spell Tables'!B168:B187,MATCH($Q$12,('Spell Tables'!A168:A187),0)),0)</f>
        <v>0</v>
      </c>
      <c r="Q246" s="114">
        <f ca="1">IF($Q245="x",RANDBETWEEN(1,2),IF($Q245="xx",$O$246,0))</f>
        <v>0</v>
      </c>
      <c r="R246" s="114">
        <f ca="1">IF(R245="x",RANDBETWEEN(1,2),IF(R245="xx",$O$246-Q246,0))</f>
        <v>0</v>
      </c>
      <c r="S246" s="114">
        <f ca="1">IF(S245="x",O246-SUM(Q246:R246,U173:X173),IF(S245="xx",$O$246-SUM(Q246:R246),0))</f>
        <v>0</v>
      </c>
      <c r="T246" s="114">
        <f ca="1">IF(T245="x",RANDBETWEEN(1,2),IF(T245="xx",RANDBETWEEN(2,3),0))</f>
        <v>0</v>
      </c>
    </row>
    <row r="247" spans="2:20" hidden="1" x14ac:dyDescent="0.3">
      <c r="B247" s="92" t="s">
        <v>1254</v>
      </c>
      <c r="C247" s="33"/>
      <c r="D247" s="33"/>
      <c r="E247" s="33"/>
      <c r="F247" s="33"/>
      <c r="G247" s="33"/>
      <c r="H247" s="33"/>
      <c r="I247" s="33"/>
      <c r="J247" s="33"/>
      <c r="K247" s="33"/>
      <c r="L247" s="33"/>
      <c r="M247" s="33"/>
      <c r="O247" s="33" t="s">
        <v>530</v>
      </c>
      <c r="P247" s="33" t="s">
        <v>530</v>
      </c>
      <c r="Q247" s="114" t="str">
        <f ca="1">IF(AND(R15="arcane trickster",Q12&gt;=7),"x",IF(R15="arcane trickster","xx"," "))</f>
        <v xml:space="preserve"> </v>
      </c>
      <c r="R247" s="114" t="str">
        <f ca="1">IF(AND(R15="arcane trickster",Q12=13),"x",IF(AND(R15="arcane trickster",$Q$12&gt;=7),"xx"," "))</f>
        <v xml:space="preserve"> </v>
      </c>
      <c r="S247" s="114" t="str">
        <f ca="1">IF(AND(R15="arcane trickster",Q12&gt;=19),"x",IF(AND(R15="arcane trickster",$Q$12&gt;=13),"xx"," "))</f>
        <v xml:space="preserve"> </v>
      </c>
      <c r="T247" s="114" t="str">
        <f ca="1">IF(AND(R15="arcane trickster",$Q$12&gt;=19),"xx"," ")</f>
        <v xml:space="preserve"> </v>
      </c>
    </row>
    <row r="248" spans="2:20" hidden="1" x14ac:dyDescent="0.3">
      <c r="B248" s="92" t="s">
        <v>1253</v>
      </c>
      <c r="C248" s="33"/>
      <c r="D248" s="33"/>
      <c r="E248" s="33"/>
      <c r="F248" s="33"/>
      <c r="G248" s="33"/>
      <c r="H248" s="33"/>
      <c r="I248" s="33"/>
      <c r="J248" s="33"/>
      <c r="K248" s="33"/>
      <c r="L248" s="33"/>
      <c r="M248" s="33"/>
      <c r="O248" s="33" t="str">
        <f ca="1">IF(R15="arcane trickster",INDEX('Spell Tables'!C141:C160,MATCH($Q$12,('Spell Tables'!A141:A160),0))," ")</f>
        <v xml:space="preserve"> </v>
      </c>
      <c r="P248" s="33">
        <f ca="1">IF($R$15="arcane trickster",INDEX('Spell Tables'!B141:B160,MATCH($Q$12,('Spell Tables'!A141:A160),0)),0)</f>
        <v>0</v>
      </c>
      <c r="Q248" s="114">
        <f ca="1">IF($Q247="x",RANDBETWEEN(2,3),IF($Q247="xx",$O$248,0))</f>
        <v>0</v>
      </c>
      <c r="R248" s="114">
        <f ca="1">IF(R247="x",RANDBETWEEN(2,3),IF(R247="xx",$O$248-Q248,0))</f>
        <v>0</v>
      </c>
      <c r="S248" s="114">
        <f ca="1">IF(S247="x",O248-SUM(Q248:R248,U175:X175),IF(S247="xx",$O$248-SUM(Q248:R248),0))</f>
        <v>0</v>
      </c>
      <c r="T248" s="114">
        <f ca="1">IF(T247="x",RANDBETWEEN(1,2),IF(T247="xx",RANDBETWEEN(2,3),0))</f>
        <v>0</v>
      </c>
    </row>
    <row r="249" spans="2:20" hidden="1" x14ac:dyDescent="0.3">
      <c r="B249" s="92" t="s">
        <v>1247</v>
      </c>
      <c r="C249" s="33"/>
      <c r="D249" s="33"/>
      <c r="E249" s="33"/>
      <c r="F249" s="33"/>
      <c r="G249" s="33"/>
      <c r="H249" s="33"/>
      <c r="I249" s="33"/>
      <c r="J249" s="33"/>
      <c r="K249" s="33"/>
      <c r="L249" s="33"/>
      <c r="M249" s="33"/>
      <c r="O249" s="33" t="s">
        <v>530</v>
      </c>
      <c r="P249" s="33" t="s">
        <v>1324</v>
      </c>
      <c r="Q249" s="114" t="str">
        <f ca="1">IF(AND($Q$11="ranger",$Q$12&gt;=5),"x",IF(AND(Q11="ranger",Q12&gt;=2),"xx"," "))</f>
        <v xml:space="preserve"> </v>
      </c>
      <c r="R249" s="114" t="str">
        <f ca="1">IF(AND($Q$11="ranger",$Q$12&gt;=9),"x",IF(AND($Q$11="ranger",$Q$12&gt;=5),"xx"," "))</f>
        <v xml:space="preserve"> </v>
      </c>
      <c r="S249" s="114" t="str">
        <f ca="1">IF(AND($Q$11="ranger",$Q$12&gt;=13),"x",IF(AND($Q$11="ranger",$Q$12&gt;=9),"xx"," "))</f>
        <v xml:space="preserve"> </v>
      </c>
      <c r="T249" s="114" t="str">
        <f ca="1">IF(AND($Q$11="ranger",$Q$12&gt;=17),"x",IF(AND($Q$11="ranger",$Q$12&gt;=13),"xx"," "))</f>
        <v xml:space="preserve"> </v>
      </c>
    </row>
    <row r="250" spans="2:20" hidden="1" x14ac:dyDescent="0.3">
      <c r="B250" s="92" t="s">
        <v>1246</v>
      </c>
      <c r="C250" s="33"/>
      <c r="D250" s="33"/>
      <c r="E250" s="33"/>
      <c r="F250" s="33"/>
      <c r="G250" s="33"/>
      <c r="H250" s="33"/>
      <c r="I250" s="33"/>
      <c r="J250" s="33"/>
      <c r="K250" s="33"/>
      <c r="L250" s="33"/>
      <c r="M250" s="33"/>
      <c r="O250" s="33" t="str">
        <f ca="1">IF($Q$11="ranger",INDEX('Spell Tables'!C119:C138,MATCH($Q$12,('Spell Tables'!B119:B138),0))," ")</f>
        <v xml:space="preserve"> </v>
      </c>
      <c r="P250" s="33" t="s">
        <v>1324</v>
      </c>
      <c r="Q250" s="114">
        <f ca="1">IF($Q249="x",RANDBETWEEN(1,2),IF($Q249="xx",$O$250,0))</f>
        <v>0</v>
      </c>
      <c r="R250" s="114">
        <f ca="1">IF(R249="x",RANDBETWEEN(1,2),IF(R249="xx",$O$250-Q250,0))</f>
        <v>0</v>
      </c>
      <c r="S250" s="114">
        <f ca="1">IF(S249="x",O250-SUM(Q250:R250,U177:X177),IF(S249="xx",$O$250-SUM(Q250:R250),0))</f>
        <v>0</v>
      </c>
      <c r="T250" s="114">
        <f ca="1">IF(T249="x",RANDBETWEEN(1,2),IF(T249="xx",RANDBETWEEN(2,3),0))</f>
        <v>0</v>
      </c>
    </row>
    <row r="251" spans="2:20" hidden="1" x14ac:dyDescent="0.3">
      <c r="B251" s="92" t="s">
        <v>1245</v>
      </c>
      <c r="C251" s="33"/>
      <c r="D251" s="33"/>
      <c r="E251" s="33"/>
      <c r="F251" s="33"/>
      <c r="G251" s="33"/>
      <c r="H251" s="33"/>
      <c r="I251" s="33"/>
      <c r="J251" s="33"/>
      <c r="K251" s="33"/>
      <c r="L251" s="33"/>
      <c r="M251" s="33"/>
      <c r="O251" s="33" t="s">
        <v>530</v>
      </c>
      <c r="P251" s="33" t="s">
        <v>1324</v>
      </c>
      <c r="Q251" s="114" t="str">
        <f ca="1">IF(AND($Q$11="paladin",$Q$12&gt;=5),"x",IF($Q$11="paladin","xx"," "))</f>
        <v xml:space="preserve"> </v>
      </c>
      <c r="R251" s="114" t="str">
        <f ca="1">IF(AND(Q11="paladin",Q12&gt;=9),"x",IF(AND($Q$11="paladin",$Q$12&gt;=5),"xx"," "))</f>
        <v xml:space="preserve"> </v>
      </c>
      <c r="S251" s="114" t="str">
        <f ca="1">IF(AND(Q11="paladin",Q12&gt;=13),"x",IF(AND($Q$11="paladin",$Q$12&gt;=9),"xx"," "))</f>
        <v xml:space="preserve"> </v>
      </c>
      <c r="T251" s="114" t="str">
        <f ca="1">IF(AND(Q11="paladin",Q12&gt;=17),"x",IF(AND($Q$11="paladin",$Q$12&gt;=13),"xx"," "))</f>
        <v xml:space="preserve"> </v>
      </c>
    </row>
    <row r="252" spans="2:20" hidden="1" x14ac:dyDescent="0.3">
      <c r="B252" s="92" t="s">
        <v>1244</v>
      </c>
      <c r="C252" s="33"/>
      <c r="D252" s="33"/>
      <c r="E252" s="33"/>
      <c r="F252" s="33"/>
      <c r="G252" s="33"/>
      <c r="H252" s="33"/>
      <c r="I252" s="33"/>
      <c r="J252" s="33"/>
      <c r="K252" s="33"/>
      <c r="L252" s="33"/>
      <c r="M252" s="33"/>
      <c r="O252" s="33" t="str">
        <f ca="1">IF(Q11="paladin",ROUNDDOWN(N43+(Q12*0.5),0)," ")</f>
        <v xml:space="preserve"> </v>
      </c>
      <c r="P252" s="33" t="s">
        <v>1324</v>
      </c>
      <c r="Q252" s="114">
        <f ca="1">IF($Q251="x",RANDBETWEEN(1,2),IF($Q251="xx",$O$252,0))</f>
        <v>0</v>
      </c>
      <c r="R252" s="114">
        <f ca="1">IF(R251="x",RANDBETWEEN(1,2),IF(R251="xx",$O$252-Q252,0))</f>
        <v>0</v>
      </c>
      <c r="S252" s="114">
        <f ca="1">IF(S251="x",O252-SUM(Q252:R252,U179:X179),IF(S251="xx",$O$252-SUM(Q252:R252),0))</f>
        <v>0</v>
      </c>
      <c r="T252" s="114">
        <f ca="1">IF(T251="x",RANDBETWEEN(1,2),IF(T251="xx",RANDBETWEEN(2,3),0))</f>
        <v>0</v>
      </c>
    </row>
    <row r="253" spans="2:20" hidden="1" x14ac:dyDescent="0.3">
      <c r="B253" s="92" t="s">
        <v>1226</v>
      </c>
      <c r="C253" s="33"/>
      <c r="D253" s="33"/>
      <c r="E253" s="33"/>
      <c r="F253" s="33"/>
      <c r="G253" s="33"/>
      <c r="H253" s="33"/>
      <c r="I253" s="33"/>
      <c r="J253" s="33"/>
      <c r="K253" s="33"/>
      <c r="L253" s="33"/>
      <c r="M253" s="33"/>
      <c r="O253" s="33" t="s">
        <v>530</v>
      </c>
      <c r="P253" s="33" t="s">
        <v>530</v>
      </c>
      <c r="Q253" s="114" t="str">
        <f ca="1">IF(AND(R15="eldritch knight",Q12&gt;=7),"x",IF(R15="eldritch knight","xx"," "))</f>
        <v xml:space="preserve"> </v>
      </c>
      <c r="R253" s="114" t="str">
        <f ca="1">IF(AND(R15="eldritch knight",Q12&gt;=13),"x",IF(AND(R15="eldritch knight",$Q$12&gt;=7),"xx"," "))</f>
        <v xml:space="preserve"> </v>
      </c>
      <c r="S253" s="114" t="str">
        <f ca="1">IF(AND(R15="eldritch knight",Q12&gt;=19),"x",IF(AND(R15="eldritch knight",$Q$12&gt;=13),"xx"," "))</f>
        <v xml:space="preserve"> </v>
      </c>
      <c r="T253" s="114" t="str">
        <f ca="1">IF(AND(R15="eldritch knight",$Q$12&gt;=19),"xx"," ")</f>
        <v xml:space="preserve"> </v>
      </c>
    </row>
    <row r="254" spans="2:20" hidden="1" x14ac:dyDescent="0.3">
      <c r="B254" s="92" t="s">
        <v>1222</v>
      </c>
      <c r="C254" s="33"/>
      <c r="D254" s="33"/>
      <c r="E254" s="33"/>
      <c r="F254" s="33"/>
      <c r="G254" s="33"/>
      <c r="H254" s="33"/>
      <c r="I254" s="33"/>
      <c r="J254" s="33"/>
      <c r="K254" s="33"/>
      <c r="L254" s="33"/>
      <c r="M254" s="33"/>
      <c r="O254" s="33" t="str">
        <f ca="1">IF($R$15="eldritch knight",INDEX('Spell Tables'!C70:C89,MATCH($Q$12,('Spell Tables'!A70:A89),0))," ")</f>
        <v xml:space="preserve"> </v>
      </c>
      <c r="P254" s="33">
        <f ca="1">IF($R$15="eldritch knight",INDEX('Spell Tables'!B70:B89,MATCH($Q$12,('Spell Tables'!A70:A89),0)),0)</f>
        <v>0</v>
      </c>
      <c r="Q254" s="114">
        <f ca="1">IF($Q253="x",RANDBETWEEN(2,3),IF($Q253="xx",$O$254,0))</f>
        <v>0</v>
      </c>
      <c r="R254" s="114">
        <f ca="1">IF(R253="x",RANDBETWEEN(2,3),IF(R253="xx",$O$254-Q254,0))</f>
        <v>0</v>
      </c>
      <c r="S254" s="114">
        <f ca="1">IF(S253="x",O254-SUM(Q254:R254,U181:X181),IF(S253="xx",$O$254-SUM(Q254:R254),0))</f>
        <v>0</v>
      </c>
      <c r="T254" s="114">
        <f ca="1">IF(T253="x",RANDBETWEEN(1,2),IF(T253="xx",RANDBETWEEN(2,3),0))</f>
        <v>0</v>
      </c>
    </row>
    <row r="255" spans="2:20" hidden="1" x14ac:dyDescent="0.3">
      <c r="B255" s="92" t="s">
        <v>1219</v>
      </c>
      <c r="C255" s="33"/>
      <c r="D255" s="33"/>
      <c r="E255" s="33"/>
      <c r="F255" s="33"/>
      <c r="G255" s="33"/>
      <c r="H255" s="33"/>
      <c r="I255" s="33"/>
      <c r="J255" s="33"/>
      <c r="K255" s="33"/>
      <c r="L255" s="33"/>
      <c r="M255" s="33"/>
      <c r="O255" s="33" t="s">
        <v>530</v>
      </c>
      <c r="P255" s="33" t="s">
        <v>530</v>
      </c>
      <c r="Q255" s="114" t="str">
        <f ca="1">IF(AND($Q$11="druid",$Q$12&gt;=3),"x",IF($Q$11="druid","xx"," "))</f>
        <v xml:space="preserve"> </v>
      </c>
      <c r="R255" s="114" t="str">
        <f ca="1">IF(AND($Q$11="druid",$Q$12&gt;=5),"x",IF(AND($Q$11="druid",$Q$12&gt;=3),"xx"," "))</f>
        <v xml:space="preserve"> </v>
      </c>
      <c r="S255" s="114" t="str">
        <f ca="1">IF(AND($Q$11="druid",$Q$12&gt;=7),"x",IF(AND($Q$11="druid",$Q$12&gt;=5),"xx"," "))</f>
        <v xml:space="preserve"> </v>
      </c>
      <c r="T255" s="114" t="str">
        <f ca="1">IF(AND($Q$11="druid",$Q$12&gt;=9),"x",IF(AND($Q$11="druid",$Q$12&gt;=7),"xx"," "))</f>
        <v xml:space="preserve"> </v>
      </c>
    </row>
    <row r="256" spans="2:20" hidden="1" x14ac:dyDescent="0.3">
      <c r="B256" s="92" t="s">
        <v>1220</v>
      </c>
      <c r="C256" s="33"/>
      <c r="D256" s="33"/>
      <c r="E256" s="33"/>
      <c r="F256" s="33"/>
      <c r="G256" s="33"/>
      <c r="H256" s="33"/>
      <c r="I256" s="33"/>
      <c r="J256" s="95"/>
      <c r="K256" s="95"/>
      <c r="L256" s="95"/>
      <c r="M256" s="95"/>
      <c r="O256" s="33" t="str">
        <f ca="1">IF(Q11="druid",Q12+N42," ")</f>
        <v xml:space="preserve"> </v>
      </c>
      <c r="P256" s="33">
        <f ca="1">IF($Q$11="druid",INDEX('Spell Tables'!C48:C67,MATCH($Q$12,('Spell Tables'!B48:B67),0)),0)</f>
        <v>0</v>
      </c>
      <c r="Q256" s="114">
        <f ca="1">IF($Q255="x",RANDBETWEEN(1,2),IF($Q255="xx",$O$256,0))</f>
        <v>0</v>
      </c>
      <c r="R256" s="114">
        <f ca="1">IF(R255="x",RANDBETWEEN(1,2),IF(R255="xx",$O$256-Q256,0))</f>
        <v>0</v>
      </c>
      <c r="S256" s="114">
        <f ca="1">IF(S255="x",O256-SUM(Q256:R256,U183:X183),IF(S255="xx",$O$256-SUM(Q256:R256),0))</f>
        <v>0</v>
      </c>
      <c r="T256" s="114">
        <f ca="1">IF(T255="x",RANDBETWEEN(1,2),IF(T255="xx",RANDBETWEEN(2,3),0))</f>
        <v>0</v>
      </c>
    </row>
    <row r="257" spans="2:20" hidden="1" x14ac:dyDescent="0.3">
      <c r="B257" s="92" t="s">
        <v>1143</v>
      </c>
      <c r="C257" s="33"/>
      <c r="D257" s="33"/>
      <c r="E257" s="33"/>
      <c r="F257" s="33"/>
      <c r="G257" s="33"/>
      <c r="H257" s="33"/>
      <c r="I257" s="33"/>
      <c r="J257" s="33"/>
      <c r="K257" s="33"/>
      <c r="L257" s="33"/>
      <c r="M257" s="33"/>
      <c r="O257" s="33" t="s">
        <v>530</v>
      </c>
      <c r="P257" s="33" t="s">
        <v>530</v>
      </c>
      <c r="Q257" s="114" t="str">
        <f ca="1">IF(AND(Q11="cleric",Q12&gt;=3),"x",IF(Q11="cleric","xx"," "))</f>
        <v xml:space="preserve"> </v>
      </c>
      <c r="R257" s="114" t="str">
        <f ca="1">IF(AND(Q11="cleric",Q12&gt;=5),"x",IF(AND($Q$11="cleric",$Q$12&gt;=3),"xx"," "))</f>
        <v xml:space="preserve"> </v>
      </c>
      <c r="S257" s="114" t="str">
        <f ca="1">IF(AND(Q11="cleric",Q12&gt;=7),"x",IF(AND($Q$11="cleric",$Q$12&gt;=5),"xx"," "))</f>
        <v xml:space="preserve"> </v>
      </c>
      <c r="T257" s="114" t="str">
        <f ca="1">IF(AND(Q11="cleric",Q12&gt;=9),"x",IF(AND($Q$11="cleric",$Q$12&gt;=7),"xx"," "))</f>
        <v xml:space="preserve"> </v>
      </c>
    </row>
    <row r="258" spans="2:20" hidden="1" x14ac:dyDescent="0.3">
      <c r="B258" s="92" t="s">
        <v>1142</v>
      </c>
      <c r="C258" s="33"/>
      <c r="D258" s="33"/>
      <c r="E258" s="33"/>
      <c r="F258" s="33"/>
      <c r="G258" s="33"/>
      <c r="H258" s="33"/>
      <c r="I258" s="33"/>
      <c r="J258" s="33"/>
      <c r="K258" s="33"/>
      <c r="L258" s="33"/>
      <c r="M258" s="33"/>
      <c r="O258" s="33" t="str">
        <f ca="1">IF(Q11="cleric",Q12+N42," ")</f>
        <v xml:space="preserve"> </v>
      </c>
      <c r="P258" s="33">
        <f ca="1">IF($Q$11="cleric",INDEX('Spell Tables'!C26:C45,MATCH($Q$12,('Spell Tables'!B26:B45),0)),0)</f>
        <v>0</v>
      </c>
      <c r="Q258" s="114">
        <f ca="1">IF($Q257="x",RANDBETWEEN(1,2),IF($Q257="xx",$O$258,0))</f>
        <v>0</v>
      </c>
      <c r="R258" s="114">
        <f ca="1">IF(R257="x",RANDBETWEEN(1,2),IF(R257="xx",$O$258-Q258,0))</f>
        <v>0</v>
      </c>
      <c r="S258" s="114">
        <f ca="1">IF(S257="x",O258-SUM(Q258:R258,U185:X185),IF(S257="xx",$O$258-SUM(Q258:R258),0))</f>
        <v>0</v>
      </c>
      <c r="T258" s="114">
        <f ca="1">IF(T257="x",RANDBETWEEN(1,2),IF(T257="xx",RANDBETWEEN(2,3),0))</f>
        <v>0</v>
      </c>
    </row>
    <row r="259" spans="2:20" hidden="1" x14ac:dyDescent="0.3">
      <c r="B259" s="92" t="s">
        <v>1248</v>
      </c>
      <c r="C259" s="33"/>
      <c r="D259" s="33"/>
      <c r="E259" s="33"/>
      <c r="F259" s="33"/>
      <c r="G259" s="33"/>
      <c r="H259" s="33"/>
      <c r="I259" s="33"/>
      <c r="J259" s="33"/>
      <c r="K259" s="33"/>
      <c r="L259" s="33"/>
      <c r="M259" s="33"/>
      <c r="O259" s="33" t="s">
        <v>530</v>
      </c>
      <c r="P259" s="33" t="s">
        <v>530</v>
      </c>
      <c r="Q259" s="114" t="str">
        <f ca="1">IF(AND($Q$11="bard",$Q$12&gt;=3),"x",IF($Q$11="bard","xx"," "))</f>
        <v xml:space="preserve"> </v>
      </c>
      <c r="R259" s="114" t="str">
        <f ca="1">IF(AND($Q$11="bard",$Q$12&gt;=5),"x",IF(AND($Q$11="bard",$Q$12&gt;=3),"xx"," "))</f>
        <v xml:space="preserve"> </v>
      </c>
      <c r="S259" s="114" t="str">
        <f ca="1">IF(AND($Q$11="bard",$Q$12&gt;=7),"x",IF(AND($Q$11="bard",$Q$12&gt;=5),"xx"," "))</f>
        <v xml:space="preserve"> </v>
      </c>
      <c r="T259" s="114" t="str">
        <f ca="1">IF(AND($Q$11="bard",$Q$12&gt;=9),"x",IF(AND($Q$11="bard",$Q$12&gt;=7),"xx"," "))</f>
        <v xml:space="preserve"> </v>
      </c>
    </row>
    <row r="260" spans="2:20" hidden="1" x14ac:dyDescent="0.3">
      <c r="B260" s="92" t="s">
        <v>1141</v>
      </c>
      <c r="C260" s="33"/>
      <c r="D260" s="33"/>
      <c r="E260" s="33"/>
      <c r="F260" s="33"/>
      <c r="G260" s="33"/>
      <c r="H260" s="33"/>
      <c r="I260" s="33"/>
      <c r="J260" s="33"/>
      <c r="K260" s="33"/>
      <c r="L260" s="33"/>
      <c r="M260" s="33"/>
      <c r="O260" s="33" t="str">
        <f ca="1">IF($Q$11="bard",INDEX('Spell Tables'!C$2:C$21,MATCH($Q$12,('Spell Tables'!$A$2:$A$21),0))," ")</f>
        <v xml:space="preserve"> </v>
      </c>
      <c r="P260" s="33">
        <f ca="1">IF($Q$11="bard",INDEX('Spell Tables'!B2:B21,MATCH($Q$12,('Spell Tables'!A2:A21),0)),0)</f>
        <v>0</v>
      </c>
      <c r="Q260" s="114">
        <f ca="1">IF($Q259="x",RANDBETWEEN(1,2),IF($Q259="xx",$O$260,0))</f>
        <v>0</v>
      </c>
      <c r="R260" s="114">
        <f ca="1">IF(R259="x",RANDBETWEEN(1,2),IF(R259="xx",$O$260-Q260,0))</f>
        <v>0</v>
      </c>
      <c r="S260" s="114">
        <f ca="1">IF(S259="x",O260-SUM(Q260:R260,U187:X187),IF(S259="xx",$O$260-SUM(Q260:R260),0))</f>
        <v>0</v>
      </c>
      <c r="T260" s="114">
        <f ca="1">IF(T259="x",RANDBETWEEN(1,2),IF(T259="xx",RANDBETWEEN(2,3),0))</f>
        <v>0</v>
      </c>
    </row>
    <row r="261" spans="2:20" x14ac:dyDescent="0.3">
      <c r="B261" s="92" t="s">
        <v>1122</v>
      </c>
      <c r="C261" s="33"/>
      <c r="D261" s="33"/>
      <c r="E261" s="33"/>
      <c r="F261" s="33"/>
      <c r="G261" s="33"/>
      <c r="H261" s="33"/>
      <c r="I261" s="33"/>
      <c r="J261" s="33"/>
      <c r="K261" s="33"/>
      <c r="L261" s="33"/>
      <c r="M261" s="33"/>
      <c r="O261" s="33"/>
      <c r="P261" s="92" t="s">
        <v>1124</v>
      </c>
      <c r="Q261" s="92" t="s">
        <v>746</v>
      </c>
      <c r="R261" s="92" t="s">
        <v>747</v>
      </c>
      <c r="S261" s="92" t="s">
        <v>748</v>
      </c>
      <c r="T261" s="92" t="s">
        <v>749</v>
      </c>
    </row>
    <row r="262" spans="2:20" x14ac:dyDescent="0.3">
      <c r="B262" s="33" t="str">
        <f ca="1">IF(OR(Q11="bard",Q11="paladin",Q11="sorcerer",Q11="warlock"),8+$P$8+$N$43,IF(OR(Q11="druid",Q11="cleric",Q11="ranger"),8+P8+N42,IF(OR(R15="eldritch knight",R15="arcane trickster",Q11="wizard"),8+P8+N41," ")))</f>
        <v xml:space="preserve"> </v>
      </c>
      <c r="C262" s="33"/>
      <c r="D262" s="33"/>
      <c r="E262" s="33"/>
      <c r="F262" s="33"/>
      <c r="G262" s="33"/>
      <c r="H262" s="33"/>
      <c r="I262" s="33"/>
      <c r="J262" s="33"/>
      <c r="K262" s="33"/>
      <c r="L262" s="33"/>
      <c r="M262" s="33"/>
      <c r="O262" s="34">
        <v>1</v>
      </c>
      <c r="P262" s="33" t="str">
        <f ca="1">IF(P$242&gt;=O193,INDEX('Spell Tables'!$P$242:$P$257,MATCH(O193,('Spell Tables'!$N$242:$N$257),0)),IF(P$244&gt;=O193,INDEX('Spell Tables'!$P$194:$P$201,MATCH(O193,('Spell Tables'!$N$194:$N$201),0)),IF(P$246&gt;=O193,INDEX('Spell Tables'!$P$168:$P$183,MATCH(O193,('Spell Tables'!$N$168:$N$183),0)),IF(P$248&gt;=O193,INDEX('Spell Tables'!$P$141:$P$156,MATCH(O193,('Spell Tables'!$N$141:$N$157),0)),IF(P$254&gt;=O193,INDEX('Spell Tables'!$P$70:$P$83,MATCH(O193,('Spell Tables'!$N$70:$N$83),0)),IF(P$256&gt;=O193,INDEX('Spell Tables'!$P$48:$P$55,MATCH(O193,('Spell Tables'!$N$48:$N$55),0)),IF(P$258&gt;=O193,INDEX('Spell Tables'!$P$26:$P$32,MATCH(O193,('Spell Tables'!$N$26:$N$32),0)),IF(P$260&gt;=O193,INDEX('Spell Tables'!$P$2:$P$12,MATCH(O193,('Spell Tables'!$N$2:$N$12),0))," "))))))))</f>
        <v xml:space="preserve"> </v>
      </c>
      <c r="Q262" s="33" t="str">
        <f ca="1">IF(AND($Q$15="Otherworldly patron - great old one",Q$244&gt;=O193),INDEX('Spell Tables'!$T$226:$T$238,MATCH(O193,('Spell Tables'!$R$226:$R$238),0)),IF(AND($Q$15="Otherworldly patron - fiend",Q$244&gt;=O193),INDEX('Spell Tables'!$T$210:$T$222,MATCH(O193,('Spell Tables'!$R$210:$R$222),0)),IF(Q$242&gt;=O193,INDEX($AL$44:$AL$53,MATCH(O193,($AJ$44:$AJ$53),0)),IF(AND($Q$15="Otherworldly patron - archfey",Q$244&gt;=O193),INDEX('Spell Tables'!T$206:$T294,MATCH(O193,('Spell Tables'!$R$194:$R$206),0)),IF(Q$246&gt;=O193,INDEX('Spell Tables'!T268:T287,MATCH(O193,('Spell Tables'!$R$168:$R$187),0)),IF(Q$248&gt;=O193,INDEX('Spell Tables'!T241:T247,MATCH(O193,('Spell Tables'!$R$141:$R$147),0)),IF(Q$250&gt;=O193,INDEX('Spell Tables'!$P$119:$P$131,MATCH(O193,('Spell Tables'!$N$119:$N$131),0)),IF(Q$252&gt;=O193,INDEX('Spell Tables'!$P$97:$P$111,MATCH(O193,('Spell Tables'!$N$97:$N$111),0)),IF(Q$254&gt;=O193,INDEX('Spell Tables'!$T$70:$T$78,MATCH(O193,('Spell Tables'!$R$70:$R$78),0)),IF(Q$256&gt;=O193,INDEX('Spell Tables'!$T$48:$T$63,MATCH(O193,('Spell Tables'!$R$48:$R$63),0)),IF(Q$258&gt;=O193,INDEX('Spell Tables'!$T$26:$T$40,MATCH(O193,('Spell Tables'!$R$26:$R$40),0)),IF(Q$260&gt;=O193,INDEX('Spell Tables'!$T$2:$T$22,MATCH(O193,('Spell Tables'!$R$2:$R$22),0))," "))))))))))))</f>
        <v xml:space="preserve"> </v>
      </c>
      <c r="R262" s="33" t="str">
        <f ca="1">IF(AND($Q$15="Otherworldly patron - great old one",R$244&gt;=O193),INDEX('Spell Tables'!$X$226:$X$239,MATCH(O193,('Spell Tables'!$V$226:$V$239),0)),IF(AND($Q$15="Otherworldly patron - fiend",R$244&gt;=O193),INDEX('Spell Tables'!$X$210:$X$223,MATCH(O193,('Spell Tables'!$V$210:$V$223),0)),IF(AND($Q$15="Otherworldly patron - archfey",R$244&gt;=O193),INDEX('Spell Tables'!$X$194:$X$207,MATCH(O193,('Spell Tables'!$V$194:$V$207),0)),IF($R$242&gt;=O193,INDEX($AL$56:$AL$65,MATCH(O193,($AJ$56:$AJ$65),0)),IF($R$246&gt;=O193,INDEX('Spell Tables'!$X$168:$X$191,MATCH(O193,('Spell Tables'!$V$168:$V$191),0)),IF($R$248&gt;=O193,INDEX('Spell Tables'!$AB$141:$AB$149,MATCH(O193,('Spell Tables'!$Z$141:$Z$149),0)),IF($R$250&gt;=O193,INDEX('Spell Tables'!T219:T231,MATCH(O193,('Spell Tables'!$R$119:$R$131),0)),IF($R$252&gt;=O193,INDEX('Spell Tables'!$T$97:T204,MATCH(O193,('Spell Tables'!$R$97:$R$104),0)),IF($R$254&gt;=O193,INDEX('Spell Tables'!$AB$70:$AB$75,MATCH(O193,('Spell Tables'!$Z$70:$Z$75),0)),IF($R$256&gt;=O193,INDEX('Spell Tables'!$X$48:$X$65,MATCH(O193,('Spell Tables'!$V$48:$V$65),0)),IF($R$258&gt;=O193,INDEX('Spell Tables'!$X$26:$X$42,MATCH(O193,('Spell Tables'!$V$26:$V$42),0)),IF($R$260&gt;=O193,INDEX('Spell Tables'!$X$2:$X$23,MATCH(O193,('Spell Tables'!$V$2:$V$23),0))," "))))))))))))</f>
        <v xml:space="preserve"> </v>
      </c>
      <c r="S262" s="33" t="str">
        <f ca="1">IF(AND($Q$15="Otherworldly patron - great old one",S$244&gt;=O193),INDEX('Spell Tables'!$AB$226:$AB$238,MATCH(O193,('Spell Tables'!$Z$226:$Z$238),0)),IF(AND($Q$15="Otherworldly patron - fiend",S$244&gt;=O193),INDEX('Spell Tables'!$AB$210:$AB$222,MATCH(O193,('Spell Tables'!$Z$210:$Z$222),0)),IF(AND($Q$15="Otherworldly patron - archfey",S$244&gt;=O193),INDEX('Spell Tables'!$AB$194:$AB$206,MATCH(O193,('Spell Tables'!$Z$194:$Z$206),0)),IF($S$242&gt;=O193,INDEX($AL$68:$AL$77,MATCH(O193,($AJ$68:$AJ$77),0)),IF($S$246&gt;=O193,INDEX('Spell Tables'!$AB$168:$AB$187,MATCH(O193,('Spell Tables'!$Z$168:$Z$187),0)),IF($S$248&gt;=O193,INDEX('Spell Tables'!$AJ$141:$AJ$144,MATCH(O193,('Spell Tables'!$AH$141:$AH$144),0)),IF($S$250&gt;=O193,INDEX('Spell Tables'!$X$119:$X$129,MATCH(O193,('Spell Tables'!$V$119:$V$129),0)),IF($S$252&gt;=O193,INDEX('Spell Tables'!$X$97:$X$106,MATCH(O193,('Spell Tables'!$V$97:$V$106),0)),IF($S$254&gt;=O193,INDEX('Spell Tables'!$AJ$70:$AJ$79,MATCH(O193,('Spell Tables'!$AH$70:$AH$79),0)),IF($S$256&gt;=O193,INDEX('Spell Tables'!$AB$48:$AB$60,MATCH(O193,('Spell Tables'!$Z$48:$Z$60),0)),IF($S$258&gt;=O193,INDEX('Spell Tables'!$AB$26:$AB$45,MATCH(O193,('Spell Tables'!$Z$26:$Z$45),0)),IF($S$260&gt;=O193,INDEX('Spell Tables'!$AB$2:$AB$17,MATCH(O193,('Spell Tables'!$Z$2:$Z$17),0))," "))))))))))))</f>
        <v xml:space="preserve"> </v>
      </c>
      <c r="T262" s="33" t="str">
        <f ca="1">IF(AND($Q$15="Otherworldly patron - great old one",T$244&gt;=O193),INDEX('Spell Tables'!$AF$226:$AF$231,MATCH(O193,('Spell Tables'!$AD$226:$AD$231),0)),IF(AND($Q$15="Otherworldly patron - fiend",T$244&gt;=O193),INDEX('Spell Tables'!$AF$210:$AF$215,MATCH(O193,('Spell Tables'!$AD$210:$AD$215),0)),IF(AND($Q$15="Otherworldly patron - archfey",T$244&gt;=O193),INDEX('Spell Tables'!$AF$194:$AF$199,MATCH(O193,('Spell Tables'!$AD$194:$AD$199),0)),IF($T$242&gt;=O193,INDEX($AL$80:$AL$89,MATCH(O193,($AJ$80:$AJ$89),0)),IF($T$246&gt;=O193,INDEX('Spell Tables'!$AF$168:$AF$177,MATCH(O193,('Spell Tables'!$AD$168:$AD$177),0)),IF($T$248&gt;=O193,INDEX('Spell Tables'!$AR$141:$AR$144,MATCH(O193,('Spell Tables'!$AP$141:$AP$144),0)),IF($T$250&gt;=O193,INDEX('Spell Tables'!$AB$119:$AB$123,MATCH(O193,('Spell Tables'!$Z$119:$Z$123),0)),IF($T$252&gt;=O193,INDEX('Spell Tables'!$AB$97:$AB$102,MATCH(O193,('Spell Tables'!$Z$97:$Z$102),0)),IF($T$254&gt;=O193,INDEX('Spell Tables'!$AR$70:$AR$75,MATCH(O193,('Spell Tables'!$AP$70:$AP$75),0)),IF($T$256&gt;=O193,INDEX('Spell Tables'!$AF$48:$AF$63,MATCH(O193,('Spell Tables'!$AD$48:$AD$63),0)),IF($T$258&gt;=O193,INDEX('Spell Tables'!$AF$26:$AF$33,MATCH(O193,('Spell Tables'!$AD$26:$AD$33),0)),IF($T$260&gt;=O193,INDEX('Spell Tables'!$AF$2:$AF$9,MATCH(O193,('Spell Tables'!$AD$2:$AD$9),0))," "))))))))))))</f>
        <v xml:space="preserve"> </v>
      </c>
    </row>
    <row r="263" spans="2:20" x14ac:dyDescent="0.3">
      <c r="B263" s="92" t="s">
        <v>1123</v>
      </c>
      <c r="C263" s="33"/>
      <c r="D263" s="33"/>
      <c r="E263" s="33"/>
      <c r="F263" s="33"/>
      <c r="G263" s="33"/>
      <c r="H263" s="33"/>
      <c r="I263" s="33"/>
      <c r="J263" s="33"/>
      <c r="K263" s="33"/>
      <c r="L263" s="33"/>
      <c r="M263" s="33"/>
      <c r="O263" s="34">
        <v>2</v>
      </c>
      <c r="P263" s="33" t="str">
        <f ca="1">IF(P$242&gt;=O194,INDEX('Spell Tables'!$P$242:$P$257,MATCH(O194,('Spell Tables'!$N$242:$N$257),0)),IF(P$244&gt;=O194,INDEX('Spell Tables'!$P$194:$P$201,MATCH(O194,('Spell Tables'!$N$194:$N$201),0)),IF(P$246&gt;=O194,INDEX('Spell Tables'!$P$168:$P$183,MATCH(O194,('Spell Tables'!$N$168:$N$183),0)),IF(P$248&gt;=O194,INDEX('Spell Tables'!$P$141:$P$156,MATCH(O194,('Spell Tables'!$N$141:$N$157),0)),IF(P$254&gt;=O194,INDEX('Spell Tables'!$P$70:$P$83,MATCH(O194,('Spell Tables'!$N$70:$N$83),0)),IF(P$256&gt;=O194,INDEX('Spell Tables'!$P$48:$P$55,MATCH(O194,('Spell Tables'!$N$48:$N$55),0)),IF(P$258&gt;=O194,INDEX('Spell Tables'!$P$26:$P$32,MATCH(O194,('Spell Tables'!$N$26:$N$32),0)),IF(P$260&gt;=O194,INDEX('Spell Tables'!$P$2:$P$12,MATCH(O194,('Spell Tables'!$N$2:$N$12),0))," "))))))))</f>
        <v xml:space="preserve"> </v>
      </c>
      <c r="Q263" s="33" t="str">
        <f ca="1">IF(AND($Q$15="Otherworldly patron - great old one",Q$244&gt;=O194),INDEX('Spell Tables'!$T$226:$T$238,MATCH(O194,('Spell Tables'!$R$226:$R$238),0)),IF(AND($Q$15="Otherworldly patron - fiend",Q$244&gt;=O194),INDEX('Spell Tables'!$T$210:$T$222,MATCH(O194,('Spell Tables'!$R$210:$R$222),0)),IF(Q$242&gt;=O194,INDEX($AL$44:$AL$53,MATCH(O194,($AJ$44:$AJ$53),0)),IF(AND($Q$15="Otherworldly patron - archfey",Q$244&gt;=O194),INDEX('Spell Tables'!T$206:$T295,MATCH(O194,('Spell Tables'!$R$194:$R$206),0)),IF(Q$246&gt;=O194,INDEX('Spell Tables'!T269:T288,MATCH(O194,('Spell Tables'!$R$168:$R$187),0)),IF(Q$248&gt;=O194,INDEX('Spell Tables'!T242:T248,MATCH(O194,('Spell Tables'!$R$141:$R$147),0)),IF(Q$250&gt;=O194,INDEX('Spell Tables'!$P$119:$P$131,MATCH(O194,('Spell Tables'!$N$119:$N$131),0)),IF(Q$252&gt;=O194,INDEX('Spell Tables'!$P$97:$P$111,MATCH(O194,('Spell Tables'!$N$97:$N$111),0)),IF(Q$254&gt;=O194,INDEX('Spell Tables'!$T$70:$T$78,MATCH(O194,('Spell Tables'!$R$70:$R$78),0)),IF(Q$256&gt;=O194,INDEX('Spell Tables'!$T$48:$T$63,MATCH(O194,('Spell Tables'!$R$48:$R$63),0)),IF(Q$258&gt;=O194,INDEX('Spell Tables'!$T$26:$T$40,MATCH(O194,('Spell Tables'!$R$26:$R$40),0)),IF(Q$260&gt;=O194,INDEX('Spell Tables'!$T$2:$T$22,MATCH(O194,('Spell Tables'!$R$2:$R$22),0))," "))))))))))))</f>
        <v xml:space="preserve"> </v>
      </c>
      <c r="R263" s="33" t="str">
        <f ca="1">IF(AND($Q$15="Otherworldly patron - great old one",R$244&gt;=O194),INDEX('Spell Tables'!$X$226:$X$239,MATCH(O194,('Spell Tables'!$V$226:$V$239),0)),IF(AND($Q$15="Otherworldly patron - fiend",R$244&gt;=O194),INDEX('Spell Tables'!$X$210:$X$223,MATCH(O194,('Spell Tables'!$V$210:$V$223),0)),IF(AND($Q$15="Otherworldly patron - archfey",R$244&gt;=O194),INDEX('Spell Tables'!$X$194:$X$207,MATCH(O194,('Spell Tables'!$V$194:$V$207),0)),IF($R$242&gt;=O194,INDEX($AL$56:$AL$65,MATCH(O194,($AJ$56:$AJ$65),0)),IF($R$246&gt;=O194,INDEX('Spell Tables'!$X$168:$X$191,MATCH(O194,('Spell Tables'!$V$168:$V$191),0)),IF($R$248&gt;=O194,INDEX('Spell Tables'!$AB$141:$AB$149,MATCH(O194,('Spell Tables'!$Z$141:$Z$149),0)),IF($R$250&gt;=O194,INDEX('Spell Tables'!T220:T232,MATCH(O194,('Spell Tables'!$R$119:$R$131),0)),IF($R$252&gt;=O194,INDEX('Spell Tables'!$T$97:T205,MATCH(O194,('Spell Tables'!$R$97:$R$104),0)),IF($R$254&gt;=O194,INDEX('Spell Tables'!$AB$70:$AB$75,MATCH(O194,('Spell Tables'!$Z$70:$Z$75),0)),IF($R$256&gt;=O194,INDEX('Spell Tables'!$X$48:$X$65,MATCH(O194,('Spell Tables'!$V$48:$V$65),0)),IF($R$258&gt;=O194,INDEX('Spell Tables'!$X$26:$X$42,MATCH(O194,('Spell Tables'!$V$26:$V$42),0)),IF($R$260&gt;=O194,INDEX('Spell Tables'!$X$2:$X$23,MATCH(O194,('Spell Tables'!$V$2:$V$23),0))," "))))))))))))</f>
        <v xml:space="preserve"> </v>
      </c>
      <c r="S263" s="33" t="str">
        <f ca="1">IF(AND($Q$15="Otherworldly patron - great old one",S$244&gt;=O194),INDEX('Spell Tables'!$AB$226:$AB$238,MATCH(O194,('Spell Tables'!$Z$226:$Z$238),0)),IF(AND($Q$15="Otherworldly patron - fiend",S$244&gt;=O194),INDEX('Spell Tables'!$AB$210:$AB$222,MATCH(O194,('Spell Tables'!$Z$210:$Z$222),0)),IF(AND($Q$15="Otherworldly patron - archfey",S$244&gt;=O194),INDEX('Spell Tables'!$AB$194:$AB$206,MATCH(O194,('Spell Tables'!$Z$194:$Z$206),0)),IF($S$242&gt;=O194,INDEX($AL$68:$AL$77,MATCH(O194,($AJ$68:$AJ$77),0)),IF($S$246&gt;=O194,INDEX('Spell Tables'!$AB$168:$AB$187,MATCH(O194,('Spell Tables'!$Z$168:$Z$187),0)),IF($S$248&gt;=O194,INDEX('Spell Tables'!$AJ$141:$AJ$144,MATCH(O194,('Spell Tables'!$AH$141:$AH$144),0)),IF($S$250&gt;=O194,INDEX('Spell Tables'!$X$119:$X$129,MATCH(O194,('Spell Tables'!$V$119:$V$129),0)),IF($S$252&gt;=O194,INDEX('Spell Tables'!$X$97:$X$106,MATCH(O194,('Spell Tables'!$V$97:$V$106),0)),IF($S$254&gt;=O194,INDEX('Spell Tables'!$AJ$70:$AJ$79,MATCH(O194,('Spell Tables'!$AH$70:$AH$79),0)),IF($S$256&gt;=O194,INDEX('Spell Tables'!$AB$48:$AB$60,MATCH(O194,('Spell Tables'!$Z$48:$Z$60),0)),IF($S$258&gt;=O194,INDEX('Spell Tables'!$AB$26:$AB$45,MATCH(O194,('Spell Tables'!$Z$26:$Z$45),0)),IF($S$260&gt;=O194,INDEX('Spell Tables'!$AB$2:$AB$17,MATCH(O194,('Spell Tables'!$Z$2:$Z$17),0))," "))))))))))))</f>
        <v xml:space="preserve"> </v>
      </c>
      <c r="T263" s="33" t="str">
        <f ca="1">IF(AND($Q$15="Otherworldly patron - great old one",T$244&gt;=O194),INDEX('Spell Tables'!$AF$226:$AF$231,MATCH(O194,('Spell Tables'!$AD$226:$AD$231),0)),IF(AND($Q$15="Otherworldly patron - fiend",T$244&gt;=O194),INDEX('Spell Tables'!$AF$210:$AF$215,MATCH(O194,('Spell Tables'!$AD$210:$AD$215),0)),IF(AND($Q$15="Otherworldly patron - archfey",T$244&gt;=O194),INDEX('Spell Tables'!$AF$194:$AF$199,MATCH(O194,('Spell Tables'!$AD$194:$AD$199),0)),IF($T$242&gt;=O194,INDEX($AL$80:$AL$89,MATCH(O194,($AJ$80:$AJ$89),0)),IF($T$246&gt;=O194,INDEX('Spell Tables'!$AF$168:$AF$177,MATCH(O194,('Spell Tables'!$AD$168:$AD$177),0)),IF($T$248&gt;=O194,INDEX('Spell Tables'!$AR$141:$AR$144,MATCH(O194,('Spell Tables'!$AP$141:$AP$144),0)),IF($T$250&gt;=O194,INDEX('Spell Tables'!$AB$119:$AB$123,MATCH(O194,('Spell Tables'!$Z$119:$Z$123),0)),IF($T$252&gt;=O194,INDEX('Spell Tables'!$AB$97:$AB$102,MATCH(O194,('Spell Tables'!$Z$97:$Z$102),0)),IF($T$254&gt;=O194,INDEX('Spell Tables'!$AR$70:$AR$75,MATCH(O194,('Spell Tables'!$AP$70:$AP$75),0)),IF($T$256&gt;=O194,INDEX('Spell Tables'!$AF$48:$AF$63,MATCH(O194,('Spell Tables'!$AD$48:$AD$63),0)),IF($T$258&gt;=O194,INDEX('Spell Tables'!$AF$26:$AF$33,MATCH(O194,('Spell Tables'!$AD$26:$AD$33),0)),IF($T$260&gt;=O194,INDEX('Spell Tables'!$AF$2:$AF$9,MATCH(O194,('Spell Tables'!$AD$2:$AD$9),0))," "))))))))))))</f>
        <v xml:space="preserve"> </v>
      </c>
    </row>
    <row r="264" spans="2:20" x14ac:dyDescent="0.3">
      <c r="B264" s="33" t="str">
        <f ca="1">IF(OR(Q11="bard",Q11="paladin",Q11="sorcerer",Q11="warlock"),P8+$N$43,IF(OR(Q11="druid",Q11="cleric",Q11="ranger"),P8+N42,IF(OR(R15="eldritch knight",R15="arcane trickster",Q11="wizard"),P8+N41," ")))</f>
        <v xml:space="preserve"> </v>
      </c>
      <c r="C264" s="33"/>
      <c r="D264" s="33"/>
      <c r="E264" s="33"/>
      <c r="F264" s="33"/>
      <c r="G264" s="33"/>
      <c r="H264" s="33"/>
      <c r="I264" s="33"/>
      <c r="J264" s="33"/>
      <c r="K264" s="33"/>
      <c r="L264" s="33"/>
      <c r="M264" s="33"/>
      <c r="O264" s="34">
        <v>3</v>
      </c>
      <c r="P264" s="33" t="str">
        <f ca="1">IF(P$242&gt;=O195,INDEX('Spell Tables'!$P$242:$P$257,MATCH(O195,('Spell Tables'!$N$242:$N$257),0)),IF(P$244&gt;=O195,INDEX('Spell Tables'!$P$194:$P$201,MATCH(O195,('Spell Tables'!$N$194:$N$201),0)),IF(P$246&gt;=O195,INDEX('Spell Tables'!$P$168:$P$183,MATCH(O195,('Spell Tables'!$N$168:$N$183),0)),IF(P$248&gt;=O195,INDEX('Spell Tables'!$P$141:$P$156,MATCH(O195,('Spell Tables'!$N$141:$N$157),0)),IF(P$254&gt;=O195,INDEX('Spell Tables'!$P$70:$P$83,MATCH(O195,('Spell Tables'!$N$70:$N$83),0)),IF(P$256&gt;=O195,INDEX('Spell Tables'!$P$48:$P$55,MATCH(O195,('Spell Tables'!$N$48:$N$55),0)),IF(P$258&gt;=O195,INDEX('Spell Tables'!$P$26:$P$32,MATCH(O195,('Spell Tables'!$N$26:$N$32),0)),IF(P$260&gt;=O195,INDEX('Spell Tables'!$P$2:$P$12,MATCH(O195,('Spell Tables'!$N$2:$N$12),0))," "))))))))</f>
        <v xml:space="preserve"> </v>
      </c>
      <c r="Q264" s="33" t="str">
        <f ca="1">IF(AND($Q$15="Otherworldly patron - great old one",Q$244&gt;=O195),INDEX('Spell Tables'!$T$226:$T$238,MATCH(O195,('Spell Tables'!$R$226:$R$238),0)),IF(AND($Q$15="Otherworldly patron - fiend",Q$244&gt;=O195),INDEX('Spell Tables'!$T$210:$T$222,MATCH(O195,('Spell Tables'!$R$210:$R$222),0)),IF(Q$242&gt;=O195,INDEX($AL$44:$AL$53,MATCH(O195,($AJ$44:$AJ$53),0)),IF(AND($Q$15="Otherworldly patron - archfey",Q$244&gt;=O195),INDEX('Spell Tables'!T$206:$T296,MATCH(O195,('Spell Tables'!$R$194:$R$206),0)),IF(Q$246&gt;=O195,INDEX('Spell Tables'!T270:T289,MATCH(O195,('Spell Tables'!$R$168:$R$187),0)),IF(Q$248&gt;=O195,INDEX('Spell Tables'!T243:T249,MATCH(O195,('Spell Tables'!$R$141:$R$147),0)),IF(Q$250&gt;=O195,INDEX('Spell Tables'!$P$119:$P$131,MATCH(O195,('Spell Tables'!$N$119:$N$131),0)),IF(Q$252&gt;=O195,INDEX('Spell Tables'!$P$97:$P$111,MATCH(O195,('Spell Tables'!$N$97:$N$111),0)),IF(Q$254&gt;=O195,INDEX('Spell Tables'!$T$70:$T$78,MATCH(O195,('Spell Tables'!$R$70:$R$78),0)),IF(Q$256&gt;=O195,INDEX('Spell Tables'!$T$48:$T$63,MATCH(O195,('Spell Tables'!$R$48:$R$63),0)),IF(Q$258&gt;=O195,INDEX('Spell Tables'!$T$26:$T$40,MATCH(O195,('Spell Tables'!$R$26:$R$40),0)),IF(Q$260&gt;=O195,INDEX('Spell Tables'!$T$2:$T$22,MATCH(O195,('Spell Tables'!$R$2:$R$22),0))," "))))))))))))</f>
        <v xml:space="preserve"> </v>
      </c>
      <c r="R264" s="33" t="str">
        <f ca="1">IF(AND($Q$15="Otherworldly patron - great old one",R$244&gt;=O195),INDEX('Spell Tables'!$X$226:$X$239,MATCH(O195,('Spell Tables'!$V$226:$V$239),0)),IF(AND($Q$15="Otherworldly patron - fiend",R$244&gt;=O195),INDEX('Spell Tables'!$X$210:$X$223,MATCH(O195,('Spell Tables'!$V$210:$V$223),0)),IF(AND($Q$15="Otherworldly patron - archfey",R$244&gt;=O195),INDEX('Spell Tables'!$X$194:$X$207,MATCH(O195,('Spell Tables'!$V$194:$V$207),0)),IF($R$242&gt;=O195,INDEX($AL$56:$AL$65,MATCH(O195,($AJ$56:$AJ$65),0)),IF($R$246&gt;=O195,INDEX('Spell Tables'!$X$168:$X$191,MATCH(O195,('Spell Tables'!$V$168:$V$191),0)),IF($R$248&gt;=O195,INDEX('Spell Tables'!$AB$141:$AB$149,MATCH(O195,('Spell Tables'!$Z$141:$Z$149),0)),IF($R$250&gt;=O195,INDEX('Spell Tables'!T221:T233,MATCH(O195,('Spell Tables'!$R$119:$R$131),0)),IF($R$252&gt;=O195,INDEX('Spell Tables'!$T$97:T206,MATCH(O195,('Spell Tables'!$R$97:$R$104),0)),IF($R$254&gt;=O195,INDEX('Spell Tables'!$AB$70:$AB$75,MATCH(O195,('Spell Tables'!$Z$70:$Z$75),0)),IF($R$256&gt;=O195,INDEX('Spell Tables'!$X$48:$X$65,MATCH(O195,('Spell Tables'!$V$48:$V$65),0)),IF($R$258&gt;=O195,INDEX('Spell Tables'!$X$26:$X$42,MATCH(O195,('Spell Tables'!$V$26:$V$42),0)),IF($R$260&gt;=O195,INDEX('Spell Tables'!$X$2:$X$23,MATCH(O195,('Spell Tables'!$V$2:$V$23),0))," "))))))))))))</f>
        <v xml:space="preserve"> </v>
      </c>
      <c r="S264" s="33" t="str">
        <f ca="1">IF(AND($Q$15="Otherworldly patron - great old one",S$244&gt;=O195),INDEX('Spell Tables'!$AB$226:$AB$238,MATCH(O195,('Spell Tables'!$Z$226:$Z$238),0)),IF(AND($Q$15="Otherworldly patron - fiend",S$244&gt;=O195),INDEX('Spell Tables'!$AB$210:$AB$222,MATCH(O195,('Spell Tables'!$Z$210:$Z$222),0)),IF(AND($Q$15="Otherworldly patron - archfey",S$244&gt;=O195),INDEX('Spell Tables'!$AB$194:$AB$206,MATCH(O195,('Spell Tables'!$Z$194:$Z$206),0)),IF($S$242&gt;=O195,INDEX($AL$68:$AL$77,MATCH(O195,($AJ$68:$AJ$77),0)),IF($S$246&gt;=O195,INDEX('Spell Tables'!$AB$168:$AB$187,MATCH(O195,('Spell Tables'!$Z$168:$Z$187),0)),IF($S$248&gt;=O195,INDEX('Spell Tables'!$AJ$141:$AJ$144,MATCH(O195,('Spell Tables'!$AH$141:$AH$144),0)),IF($S$250&gt;=O195,INDEX('Spell Tables'!$X$119:$X$129,MATCH(O195,('Spell Tables'!$V$119:$V$129),0)),IF($S$252&gt;=O195,INDEX('Spell Tables'!$X$97:$X$106,MATCH(O195,('Spell Tables'!$V$97:$V$106),0)),IF($S$254&gt;=O195,INDEX('Spell Tables'!$AJ$70:$AJ$79,MATCH(O195,('Spell Tables'!$AH$70:$AH$79),0)),IF($S$256&gt;=O195,INDEX('Spell Tables'!$AB$48:$AB$60,MATCH(O195,('Spell Tables'!$Z$48:$Z$60),0)),IF($S$258&gt;=O195,INDEX('Spell Tables'!$AB$26:$AB$45,MATCH(O195,('Spell Tables'!$Z$26:$Z$45),0)),IF($S$260&gt;=O195,INDEX('Spell Tables'!$AB$2:$AB$17,MATCH(O195,('Spell Tables'!$Z$2:$Z$17),0))," "))))))))))))</f>
        <v xml:space="preserve"> </v>
      </c>
      <c r="T264" s="33" t="str">
        <f ca="1">IF(AND($Q$15="Otherworldly patron - great old one",T$244&gt;=O195),INDEX('Spell Tables'!$AF$226:$AF$231,MATCH(O195,('Spell Tables'!$AD$226:$AD$231),0)),IF(AND($Q$15="Otherworldly patron - fiend",T$244&gt;=O195),INDEX('Spell Tables'!$AF$210:$AF$215,MATCH(O195,('Spell Tables'!$AD$210:$AD$215),0)),IF(AND($Q$15="Otherworldly patron - archfey",T$244&gt;=O195),INDEX('Spell Tables'!$AF$194:$AF$199,MATCH(O195,('Spell Tables'!$AD$194:$AD$199),0)),IF($T$242&gt;=O195,INDEX($AL$80:$AL$89,MATCH(O195,($AJ$80:$AJ$89),0)),IF($T$246&gt;=O195,INDEX('Spell Tables'!$AF$168:$AF$177,MATCH(O195,('Spell Tables'!$AD$168:$AD$177),0)),IF($T$248&gt;=O195,INDEX('Spell Tables'!$AR$141:$AR$144,MATCH(O195,('Spell Tables'!$AP$141:$AP$144),0)),IF($T$250&gt;=O195,INDEX('Spell Tables'!$AB$119:$AB$123,MATCH(O195,('Spell Tables'!$Z$119:$Z$123),0)),IF($T$252&gt;=O195,INDEX('Spell Tables'!$AB$97:$AB$102,MATCH(O195,('Spell Tables'!$Z$97:$Z$102),0)),IF($T$254&gt;=O195,INDEX('Spell Tables'!$AR$70:$AR$75,MATCH(O195,('Spell Tables'!$AP$70:$AP$75),0)),IF($T$256&gt;=O195,INDEX('Spell Tables'!$AF$48:$AF$63,MATCH(O195,('Spell Tables'!$AD$48:$AD$63),0)),IF($T$258&gt;=O195,INDEX('Spell Tables'!$AF$26:$AF$33,MATCH(O195,('Spell Tables'!$AD$26:$AD$33),0)),IF($T$260&gt;=O195,INDEX('Spell Tables'!$AF$2:$AF$9,MATCH(O195,('Spell Tables'!$AD$2:$AD$9),0))," "))))))))))))</f>
        <v xml:space="preserve"> </v>
      </c>
    </row>
    <row r="265" spans="2:20" x14ac:dyDescent="0.3">
      <c r="C265" s="33"/>
      <c r="D265" s="33"/>
      <c r="E265" s="33"/>
      <c r="F265" s="33"/>
      <c r="G265" s="33"/>
      <c r="H265" s="33"/>
      <c r="I265" s="33"/>
      <c r="J265" s="33"/>
      <c r="K265" s="33"/>
      <c r="L265" s="33"/>
      <c r="M265" s="33"/>
      <c r="O265" s="34">
        <v>4</v>
      </c>
      <c r="P265" s="33" t="str">
        <f ca="1">IF(P$242&gt;=O196,INDEX('Spell Tables'!$P$242:$P$257,MATCH(O196,('Spell Tables'!$N$242:$N$257),0)),IF(P$244&gt;=O196,INDEX('Spell Tables'!$P$194:$P$201,MATCH(O196,('Spell Tables'!$N$194:$N$201),0)),IF(P$246&gt;=O196,INDEX('Spell Tables'!$P$168:$P$183,MATCH(O196,('Spell Tables'!$N$168:$N$183),0)),IF(P$248&gt;=O196,INDEX('Spell Tables'!$P$141:$P$156,MATCH(O196,('Spell Tables'!$N$141:$N$157),0)),IF(P$254&gt;=O196,INDEX('Spell Tables'!$P$70:$P$83,MATCH(O196,('Spell Tables'!$N$70:$N$83),0)),IF(P$256&gt;=O196,INDEX('Spell Tables'!$P$48:$P$55,MATCH(O196,('Spell Tables'!$N$48:$N$55),0)),IF(P$258&gt;=O196,INDEX('Spell Tables'!$P$26:$P$32,MATCH(O196,('Spell Tables'!$N$26:$N$32),0)),IF(P$260&gt;=O196,INDEX('Spell Tables'!$P$2:$P$12,MATCH(O196,('Spell Tables'!$N$2:$N$12),0))," "))))))))</f>
        <v xml:space="preserve"> </v>
      </c>
      <c r="Q265" s="33" t="str">
        <f ca="1">IF(AND($Q$15="Otherworldly patron - great old one",Q$244&gt;=O196),INDEX('Spell Tables'!$T$226:$T$238,MATCH(O196,('Spell Tables'!$R$226:$R$238),0)),IF(AND($Q$15="Otherworldly patron - fiend",Q$244&gt;=O196),INDEX('Spell Tables'!$T$210:$T$222,MATCH(O196,('Spell Tables'!$R$210:$R$222),0)),IF(Q$242&gt;=O196,INDEX($AL$44:$AL$53,MATCH(O196,($AJ$44:$AJ$53),0)),IF(AND($Q$15="Otherworldly patron - archfey",Q$244&gt;=O196),INDEX('Spell Tables'!T$206:$T297,MATCH(O196,('Spell Tables'!$R$194:$R$206),0)),IF(Q$246&gt;=O196,INDEX('Spell Tables'!T271:T290,MATCH(O196,('Spell Tables'!$R$168:$R$187),0)),IF(Q$248&gt;=O196,INDEX('Spell Tables'!T244:T250,MATCH(O196,('Spell Tables'!$R$141:$R$147),0)),IF(Q$250&gt;=O196,INDEX('Spell Tables'!$P$119:$P$131,MATCH(O196,('Spell Tables'!$N$119:$N$131),0)),IF(Q$252&gt;=O196,INDEX('Spell Tables'!$P$97:$P$111,MATCH(O196,('Spell Tables'!$N$97:$N$111),0)),IF(Q$254&gt;=O196,INDEX('Spell Tables'!$T$70:$T$78,MATCH(O196,('Spell Tables'!$R$70:$R$78),0)),IF(Q$256&gt;=O196,INDEX('Spell Tables'!$T$48:$T$63,MATCH(O196,('Spell Tables'!$R$48:$R$63),0)),IF(Q$258&gt;=O196,INDEX('Spell Tables'!$T$26:$T$40,MATCH(O196,('Spell Tables'!$R$26:$R$40),0)),IF(Q$260&gt;=O196,INDEX('Spell Tables'!$T$2:$T$22,MATCH(O196,('Spell Tables'!$R$2:$R$22),0))," "))))))))))))</f>
        <v xml:space="preserve"> </v>
      </c>
      <c r="R265" s="33" t="str">
        <f ca="1">IF(AND($Q$15="Otherworldly patron - great old one",R$244&gt;=O196),INDEX('Spell Tables'!$X$226:$X$239,MATCH(O196,('Spell Tables'!$V$226:$V$239),0)),IF(AND($Q$15="Otherworldly patron - fiend",R$244&gt;=O196),INDEX('Spell Tables'!$X$210:$X$223,MATCH(O196,('Spell Tables'!$V$210:$V$223),0)),IF(AND($Q$15="Otherworldly patron - archfey",R$244&gt;=O196),INDEX('Spell Tables'!$X$194:$X$207,MATCH(O196,('Spell Tables'!$V$194:$V$207),0)),IF($R$242&gt;=O196,INDEX($AL$56:$AL$65,MATCH(O196,($AJ$56:$AJ$65),0)),IF($R$246&gt;=O196,INDEX('Spell Tables'!$X$168:$X$191,MATCH(O196,('Spell Tables'!$V$168:$V$191),0)),IF($R$248&gt;=O196,INDEX('Spell Tables'!$AB$141:$AB$149,MATCH(O196,('Spell Tables'!$Z$141:$Z$149),0)),IF($R$250&gt;=O196,INDEX('Spell Tables'!T222:T234,MATCH(O196,('Spell Tables'!$R$119:$R$131),0)),IF($R$252&gt;=O196,INDEX('Spell Tables'!$T$97:T207,MATCH(O196,('Spell Tables'!$R$97:$R$104),0)),IF($R$254&gt;=O196,INDEX('Spell Tables'!$AB$70:$AB$75,MATCH(O196,('Spell Tables'!$Z$70:$Z$75),0)),IF($R$256&gt;=O196,INDEX('Spell Tables'!$X$48:$X$65,MATCH(O196,('Spell Tables'!$V$48:$V$65),0)),IF($R$258&gt;=O196,INDEX('Spell Tables'!$X$26:$X$42,MATCH(O196,('Spell Tables'!$V$26:$V$42),0)),IF($R$260&gt;=O196,INDEX('Spell Tables'!$X$2:$X$23,MATCH(O196,('Spell Tables'!$V$2:$V$23),0))," "))))))))))))</f>
        <v xml:space="preserve"> </v>
      </c>
      <c r="S265" s="33" t="str">
        <f ca="1">IF(AND($Q$15="Otherworldly patron - great old one",S$244&gt;=O196),INDEX('Spell Tables'!$AB$226:$AB$238,MATCH(O196,('Spell Tables'!$Z$226:$Z$238),0)),IF(AND($Q$15="Otherworldly patron - fiend",S$244&gt;=O196),INDEX('Spell Tables'!$AB$210:$AB$222,MATCH(O196,('Spell Tables'!$Z$210:$Z$222),0)),IF(AND($Q$15="Otherworldly patron - archfey",S$244&gt;=O196),INDEX('Spell Tables'!$AB$194:$AB$206,MATCH(O196,('Spell Tables'!$Z$194:$Z$206),0)),IF($S$242&gt;=O196,INDEX($AL$68:$AL$77,MATCH(O196,($AJ$68:$AJ$77),0)),IF($S$246&gt;=O196,INDEX('Spell Tables'!$AB$168:$AB$187,MATCH(O196,('Spell Tables'!$Z$168:$Z$187),0)),IF($S$248&gt;=O196,INDEX('Spell Tables'!$AJ$141:$AJ$144,MATCH(O196,('Spell Tables'!$AH$141:$AH$144),0)),IF($S$250&gt;=O196,INDEX('Spell Tables'!$X$119:$X$129,MATCH(O196,('Spell Tables'!$V$119:$V$129),0)),IF($S$252&gt;=O196,INDEX('Spell Tables'!$X$97:$X$106,MATCH(O196,('Spell Tables'!$V$97:$V$106),0)),IF($S$254&gt;=O196,INDEX('Spell Tables'!$AJ$70:$AJ$79,MATCH(O196,('Spell Tables'!$AH$70:$AH$79),0)),IF($S$256&gt;=O196,INDEX('Spell Tables'!$AB$48:$AB$60,MATCH(O196,('Spell Tables'!$Z$48:$Z$60),0)),IF($S$258&gt;=O196,INDEX('Spell Tables'!$AB$26:$AB$45,MATCH(O196,('Spell Tables'!$Z$26:$Z$45),0)),IF($S$260&gt;=O196,INDEX('Spell Tables'!$AB$2:$AB$17,MATCH(O196,('Spell Tables'!$Z$2:$Z$17),0))," "))))))))))))</f>
        <v xml:space="preserve"> </v>
      </c>
      <c r="T265" s="33" t="str">
        <f ca="1">IF(AND($Q$15="Otherworldly patron - great old one",T$244&gt;=O196),INDEX('Spell Tables'!$AF$226:$AF$231,MATCH(O196,('Spell Tables'!$AD$226:$AD$231),0)),IF(AND($Q$15="Otherworldly patron - fiend",T$244&gt;=O196),INDEX('Spell Tables'!$AF$210:$AF$215,MATCH(O196,('Spell Tables'!$AD$210:$AD$215),0)),IF(AND($Q$15="Otherworldly patron - archfey",T$244&gt;=O196),INDEX('Spell Tables'!$AF$194:$AF$199,MATCH(O196,('Spell Tables'!$AD$194:$AD$199),0)),IF($T$242&gt;=O196,INDEX($AL$80:$AL$89,MATCH(O196,($AJ$80:$AJ$89),0)),IF($T$246&gt;=O196,INDEX('Spell Tables'!$AF$168:$AF$177,MATCH(O196,('Spell Tables'!$AD$168:$AD$177),0)),IF($T$248&gt;=O196,INDEX('Spell Tables'!$AR$141:$AR$144,MATCH(O196,('Spell Tables'!$AP$141:$AP$144),0)),IF($T$250&gt;=O196,INDEX('Spell Tables'!$AB$119:$AB$123,MATCH(O196,('Spell Tables'!$Z$119:$Z$123),0)),IF($T$252&gt;=O196,INDEX('Spell Tables'!$AB$97:$AB$102,MATCH(O196,('Spell Tables'!$Z$97:$Z$102),0)),IF($T$254&gt;=O196,INDEX('Spell Tables'!$AR$70:$AR$75,MATCH(O196,('Spell Tables'!$AP$70:$AP$75),0)),IF($T$256&gt;=O196,INDEX('Spell Tables'!$AF$48:$AF$63,MATCH(O196,('Spell Tables'!$AD$48:$AD$63),0)),IF($T$258&gt;=O196,INDEX('Spell Tables'!$AF$26:$AF$33,MATCH(O196,('Spell Tables'!$AD$26:$AD$33),0)),IF($T$260&gt;=O196,INDEX('Spell Tables'!$AF$2:$AF$9,MATCH(O196,('Spell Tables'!$AD$2:$AD$9),0))," "))))))))))))</f>
        <v xml:space="preserve"> </v>
      </c>
    </row>
    <row r="266" spans="2:20" x14ac:dyDescent="0.3">
      <c r="C266" s="33"/>
      <c r="D266" s="33"/>
      <c r="E266" s="33"/>
      <c r="F266" s="33"/>
      <c r="G266" s="33"/>
      <c r="H266" s="33"/>
      <c r="I266" s="33"/>
      <c r="J266" s="33"/>
      <c r="K266" s="33"/>
      <c r="L266" s="33"/>
      <c r="M266" s="33"/>
      <c r="O266" s="34">
        <v>5</v>
      </c>
      <c r="P266" s="33" t="str">
        <f ca="1">IF(P$242&gt;=O197,INDEX('Spell Tables'!$P$242:$P$257,MATCH(O197,('Spell Tables'!$N$242:$N$257),0)),IF(P$244&gt;=O197,INDEX('Spell Tables'!$P$194:$P$201,MATCH(O197,('Spell Tables'!$N$194:$N$201),0)),IF(P$246&gt;=O197,INDEX('Spell Tables'!$P$168:$P$183,MATCH(O197,('Spell Tables'!$N$168:$N$183),0)),IF(P$248&gt;=O197,INDEX('Spell Tables'!$P$141:$P$156,MATCH(O197,('Spell Tables'!$N$141:$N$157),0)),IF(P$254&gt;=O197,INDEX('Spell Tables'!$P$70:$P$83,MATCH(O197,('Spell Tables'!$N$70:$N$83),0)),IF(P$256&gt;=O197,INDEX('Spell Tables'!$P$48:$P$55,MATCH(O197,('Spell Tables'!$N$48:$N$55),0)),IF(P$258&gt;=O197,INDEX('Spell Tables'!$P$26:$P$32,MATCH(O197,('Spell Tables'!$N$26:$N$32),0)),IF(P$260&gt;=O197,INDEX('Spell Tables'!$P$2:$P$12,MATCH(O197,('Spell Tables'!$N$2:$N$12),0))," "))))))))</f>
        <v xml:space="preserve"> </v>
      </c>
      <c r="Q266" s="33" t="str">
        <f ca="1">IF(AND($Q$15="Otherworldly patron - great old one",Q$244&gt;=O197),INDEX('Spell Tables'!$T$226:$T$238,MATCH(O197,('Spell Tables'!$R$226:$R$238),0)),IF(AND($Q$15="Otherworldly patron - fiend",Q$244&gt;=O197),INDEX('Spell Tables'!$T$210:$T$222,MATCH(O197,('Spell Tables'!$R$210:$R$222),0)),IF(Q$242&gt;=O197,INDEX($AL$44:$AL$53,MATCH(O197,($AJ$44:$AJ$53),0)),IF(AND($Q$15="Otherworldly patron - archfey",Q$244&gt;=O197),INDEX('Spell Tables'!T$206:$T298,MATCH(O197,('Spell Tables'!$R$194:$R$206),0)),IF(Q$246&gt;=O197,INDEX('Spell Tables'!T272:T291,MATCH(O197,('Spell Tables'!$R$168:$R$187),0)),IF(Q$248&gt;=O197,INDEX('Spell Tables'!T245:T251,MATCH(O197,('Spell Tables'!$R$141:$R$147),0)),IF(Q$250&gt;=O197,INDEX('Spell Tables'!$P$119:$P$131,MATCH(O197,('Spell Tables'!$N$119:$N$131),0)),IF(Q$252&gt;=O197,INDEX('Spell Tables'!$P$97:$P$111,MATCH(O197,('Spell Tables'!$N$97:$N$111),0)),IF(Q$254&gt;=O197,INDEX('Spell Tables'!$T$70:$T$78,MATCH(O197,('Spell Tables'!$R$70:$R$78),0)),IF(Q$256&gt;=O197,INDEX('Spell Tables'!$T$48:$T$63,MATCH(O197,('Spell Tables'!$R$48:$R$63),0)),IF(Q$258&gt;=O197,INDEX('Spell Tables'!$T$26:$T$40,MATCH(O197,('Spell Tables'!$R$26:$R$40),0)),IF(Q$260&gt;=O197,INDEX('Spell Tables'!$T$2:$T$22,MATCH(O197,('Spell Tables'!$R$2:$R$22),0))," "))))))))))))</f>
        <v xml:space="preserve"> </v>
      </c>
      <c r="R266" s="33" t="str">
        <f ca="1">IF(AND($Q$15="Otherworldly patron - great old one",R$244&gt;=O197),INDEX('Spell Tables'!$X$226:$X$239,MATCH(O197,('Spell Tables'!$V$226:$V$239),0)),IF(AND($Q$15="Otherworldly patron - fiend",R$244&gt;=O197),INDEX('Spell Tables'!$X$210:$X$223,MATCH(O197,('Spell Tables'!$V$210:$V$223),0)),IF(AND($Q$15="Otherworldly patron - archfey",R$244&gt;=O197),INDEX('Spell Tables'!$X$194:$X$207,MATCH(O197,('Spell Tables'!$V$194:$V$207),0)),IF($R$242&gt;=O197,INDEX($AL$56:$AL$65,MATCH(O197,($AJ$56:$AJ$65),0)),IF($R$246&gt;=O197,INDEX('Spell Tables'!$X$168:$X$191,MATCH(O197,('Spell Tables'!$V$168:$V$191),0)),IF($R$248&gt;=O197,INDEX('Spell Tables'!$AB$141:$AB$149,MATCH(O197,('Spell Tables'!$Z$141:$Z$149),0)),IF($R$250&gt;=O197,INDEX('Spell Tables'!T223:T235,MATCH(O197,('Spell Tables'!$R$119:$R$131),0)),IF($R$252&gt;=O197,INDEX('Spell Tables'!$T$97:T208,MATCH(O197,('Spell Tables'!$R$97:$R$104),0)),IF($R$254&gt;=O197,INDEX('Spell Tables'!$AB$70:$AB$75,MATCH(O197,('Spell Tables'!$Z$70:$Z$75),0)),IF($R$256&gt;=O197,INDEX('Spell Tables'!$X$48:$X$65,MATCH(O197,('Spell Tables'!$V$48:$V$65),0)),IF($R$258&gt;=O197,INDEX('Spell Tables'!$X$26:$X$42,MATCH(O197,('Spell Tables'!$V$26:$V$42),0)),IF($R$260&gt;=O197,INDEX('Spell Tables'!$X$2:$X$23,MATCH(O197,('Spell Tables'!$V$2:$V$23),0))," "))))))))))))</f>
        <v xml:space="preserve"> </v>
      </c>
      <c r="S266" s="33" t="str">
        <f ca="1">IF(AND($Q$15="Otherworldly patron - great old one",S$244&gt;=O197),INDEX('Spell Tables'!$AB$226:$AB$238,MATCH(O197,('Spell Tables'!$Z$226:$Z$238),0)),IF(AND($Q$15="Otherworldly patron - fiend",S$244&gt;=O197),INDEX('Spell Tables'!$AB$210:$AB$222,MATCH(O197,('Spell Tables'!$Z$210:$Z$222),0)),IF(AND($Q$15="Otherworldly patron - archfey",S$244&gt;=O197),INDEX('Spell Tables'!$AB$194:$AB$206,MATCH(O197,('Spell Tables'!$Z$194:$Z$206),0)),IF($S$242&gt;=O197,INDEX($AL$68:$AL$77,MATCH(O197,($AJ$68:$AJ$77),0)),IF($S$246&gt;=O197,INDEX('Spell Tables'!$AB$168:$AB$187,MATCH(O197,('Spell Tables'!$Z$168:$Z$187),0)),IF($S$248&gt;=O197,INDEX('Spell Tables'!$AJ$141:$AJ$144,MATCH(O197,('Spell Tables'!$AH$141:$AH$144),0)),IF($S$250&gt;=O197,INDEX('Spell Tables'!$X$119:$X$129,MATCH(O197,('Spell Tables'!$V$119:$V$129),0)),IF($S$252&gt;=O197,INDEX('Spell Tables'!$X$97:$X$106,MATCH(O197,('Spell Tables'!$V$97:$V$106),0)),IF($S$254&gt;=O197,INDEX('Spell Tables'!$AJ$70:$AJ$79,MATCH(O197,('Spell Tables'!$AH$70:$AH$79),0)),IF($S$256&gt;=O197,INDEX('Spell Tables'!$AB$48:$AB$60,MATCH(O197,('Spell Tables'!$Z$48:$Z$60),0)),IF($S$258&gt;=O197,INDEX('Spell Tables'!$AB$26:$AB$45,MATCH(O197,('Spell Tables'!$Z$26:$Z$45),0)),IF($S$260&gt;=O197,INDEX('Spell Tables'!$AB$2:$AB$17,MATCH(O197,('Spell Tables'!$Z$2:$Z$17),0))," "))))))))))))</f>
        <v xml:space="preserve"> </v>
      </c>
      <c r="T266" s="33" t="str">
        <f ca="1">IF(AND($Q$15="Otherworldly patron - great old one",T$244&gt;=O197),INDEX('Spell Tables'!$AF$226:$AF$231,MATCH(O197,('Spell Tables'!$AD$226:$AD$231),0)),IF(AND($Q$15="Otherworldly patron - fiend",T$244&gt;=O197),INDEX('Spell Tables'!$AF$210:$AF$215,MATCH(O197,('Spell Tables'!$AD$210:$AD$215),0)),IF(AND($Q$15="Otherworldly patron - archfey",T$244&gt;=O197),INDEX('Spell Tables'!$AF$194:$AF$199,MATCH(O197,('Spell Tables'!$AD$194:$AD$199),0)),IF($T$242&gt;=O197,INDEX($AL$80:$AL$89,MATCH(O197,($AJ$80:$AJ$89),0)),IF($T$246&gt;=O197,INDEX('Spell Tables'!$AF$168:$AF$177,MATCH(O197,('Spell Tables'!$AD$168:$AD$177),0)),IF($T$248&gt;=O197,INDEX('Spell Tables'!$AR$141:$AR$144,MATCH(O197,('Spell Tables'!$AP$141:$AP$144),0)),IF($T$250&gt;=O197,INDEX('Spell Tables'!$AB$119:$AB$123,MATCH(O197,('Spell Tables'!$Z$119:$Z$123),0)),IF($T$252&gt;=O197,INDEX('Spell Tables'!$AB$97:$AB$102,MATCH(O197,('Spell Tables'!$Z$97:$Z$102),0)),IF($T$254&gt;=O197,INDEX('Spell Tables'!$AR$70:$AR$75,MATCH(O197,('Spell Tables'!$AP$70:$AP$75),0)),IF($T$256&gt;=O197,INDEX('Spell Tables'!$AF$48:$AF$63,MATCH(O197,('Spell Tables'!$AD$48:$AD$63),0)),IF($T$258&gt;=O197,INDEX('Spell Tables'!$AF$26:$AF$33,MATCH(O197,('Spell Tables'!$AD$26:$AD$33),0)),IF($T$260&gt;=O197,INDEX('Spell Tables'!$AF$2:$AF$9,MATCH(O197,('Spell Tables'!$AD$2:$AD$9),0))," "))))))))))))</f>
        <v xml:space="preserve"> </v>
      </c>
    </row>
    <row r="267" spans="2:20" x14ac:dyDescent="0.3">
      <c r="B267" s="33"/>
      <c r="C267" s="33"/>
      <c r="D267" s="33"/>
      <c r="E267" s="33"/>
      <c r="F267" s="33"/>
      <c r="G267" s="33"/>
      <c r="H267" s="33"/>
      <c r="I267" s="33"/>
      <c r="J267" s="33"/>
      <c r="K267" s="33"/>
      <c r="L267" s="33"/>
      <c r="M267" s="33"/>
      <c r="O267" s="34">
        <v>6</v>
      </c>
      <c r="P267" s="33" t="str">
        <f ca="1">IF(P$242&gt;=O198,INDEX('Spell Tables'!$P$242:$P$257,MATCH(O198,('Spell Tables'!$N$242:$N$257),0)),IF(P$244&gt;=O198,INDEX('Spell Tables'!$P$194:$P$201,MATCH(O198,('Spell Tables'!$N$194:$N$201),0)),IF(P$246&gt;=O198,INDEX('Spell Tables'!$P$168:$P$183,MATCH(O198,('Spell Tables'!$N$168:$N$183),0)),IF(P$248&gt;=O198,INDEX('Spell Tables'!$P$141:$P$156,MATCH(O198,('Spell Tables'!$N$141:$N$157),0)),IF(P$254&gt;=O198,INDEX('Spell Tables'!$P$70:$P$83,MATCH(O198,('Spell Tables'!$N$70:$N$83),0)),IF(P$256&gt;=O198,INDEX('Spell Tables'!$P$48:$P$55,MATCH(O198,('Spell Tables'!$N$48:$N$55),0)),IF(P$258&gt;=O198,INDEX('Spell Tables'!$P$26:$P$32,MATCH(O198,('Spell Tables'!$N$26:$N$32),0)),IF(P$260&gt;=O198,INDEX('Spell Tables'!$P$2:$P$12,MATCH(O198,('Spell Tables'!$N$2:$N$12),0))," "))))))))</f>
        <v xml:space="preserve"> </v>
      </c>
      <c r="Q267" s="33" t="str">
        <f ca="1">IF(AND($Q$15="Otherworldly patron - great old one",Q$244&gt;=O198),INDEX('Spell Tables'!$T$226:$T$238,MATCH(O198,('Spell Tables'!$R$226:$R$238),0)),IF(AND($Q$15="Otherworldly patron - fiend",Q$244&gt;=O198),INDEX('Spell Tables'!$T$210:$T$222,MATCH(O198,('Spell Tables'!$R$210:$R$222),0)),IF(Q$242&gt;=O198,INDEX($AL$44:$AL$53,MATCH(O198,($AJ$44:$AJ$53),0)),IF(AND($Q$15="Otherworldly patron - archfey",Q$244&gt;=O198),INDEX('Spell Tables'!T$206:$T299,MATCH(O198,('Spell Tables'!$R$194:$R$206),0)),IF(Q$246&gt;=O198,INDEX('Spell Tables'!T273:T292,MATCH(O198,('Spell Tables'!$R$168:$R$187),0)),IF(Q$248&gt;=O198,INDEX('Spell Tables'!T246:T252,MATCH(O198,('Spell Tables'!$R$141:$R$147),0)),IF(Q$250&gt;=O198,INDEX('Spell Tables'!$P$119:$P$131,MATCH(O198,('Spell Tables'!$N$119:$N$131),0)),IF(Q$252&gt;=O198,INDEX('Spell Tables'!$P$97:$P$111,MATCH(O198,('Spell Tables'!$N$97:$N$111),0)),IF(Q$254&gt;=O198,INDEX('Spell Tables'!$T$70:$T$78,MATCH(O198,('Spell Tables'!$R$70:$R$78),0)),IF(Q$256&gt;=O198,INDEX('Spell Tables'!$T$48:$T$63,MATCH(O198,('Spell Tables'!$R$48:$R$63),0)),IF(Q$258&gt;=O198,INDEX('Spell Tables'!$T$26:$T$40,MATCH(O198,('Spell Tables'!$R$26:$R$40),0)),IF(Q$260&gt;=O198,INDEX('Spell Tables'!$T$2:$T$22,MATCH(O198,('Spell Tables'!$R$2:$R$22),0))," "))))))))))))</f>
        <v xml:space="preserve"> </v>
      </c>
      <c r="R267" s="33" t="str">
        <f ca="1">IF(AND($Q$15="Otherworldly patron - great old one",R$244&gt;=O198),INDEX('Spell Tables'!$X$226:$X$239,MATCH(O198,('Spell Tables'!$V$226:$V$239),0)),IF(AND($Q$15="Otherworldly patron - fiend",R$244&gt;=O198),INDEX('Spell Tables'!$X$210:$X$223,MATCH(O198,('Spell Tables'!$V$210:$V$223),0)),IF(AND($Q$15="Otherworldly patron - archfey",R$244&gt;=O198),INDEX('Spell Tables'!$X$194:$X$207,MATCH(O198,('Spell Tables'!$V$194:$V$207),0)),IF($R$242&gt;=O198,INDEX($AL$56:$AL$65,MATCH(O198,($AJ$56:$AJ$65),0)),IF($R$246&gt;=O198,INDEX('Spell Tables'!$X$168:$X$191,MATCH(O198,('Spell Tables'!$V$168:$V$191),0)),IF($R$248&gt;=O198,INDEX('Spell Tables'!$AB$141:$AB$149,MATCH(O198,('Spell Tables'!$Z$141:$Z$149),0)),IF($R$250&gt;=O198,INDEX('Spell Tables'!T224:T236,MATCH(O198,('Spell Tables'!$R$119:$R$131),0)),IF($R$252&gt;=O198,INDEX('Spell Tables'!$T$97:T209,MATCH(O198,('Spell Tables'!$R$97:$R$104),0)),IF($R$254&gt;=O198,INDEX('Spell Tables'!$AB$70:$AB$75,MATCH(O198,('Spell Tables'!$Z$70:$Z$75),0)),IF($R$256&gt;=O198,INDEX('Spell Tables'!$X$48:$X$65,MATCH(O198,('Spell Tables'!$V$48:$V$65),0)),IF($R$258&gt;=O198,INDEX('Spell Tables'!$X$26:$X$42,MATCH(O198,('Spell Tables'!$V$26:$V$42),0)),IF($R$260&gt;=O198,INDEX('Spell Tables'!$X$2:$X$23,MATCH(O198,('Spell Tables'!$V$2:$V$23),0))," "))))))))))))</f>
        <v xml:space="preserve"> </v>
      </c>
      <c r="S267" s="33" t="str">
        <f ca="1">IF(AND($Q$15="Otherworldly patron - great old one",S$244&gt;=O198),INDEX('Spell Tables'!$AB$226:$AB$238,MATCH(O198,('Spell Tables'!$Z$226:$Z$238),0)),IF(AND($Q$15="Otherworldly patron - fiend",S$244&gt;=O198),INDEX('Spell Tables'!$AB$210:$AB$222,MATCH(O198,('Spell Tables'!$Z$210:$Z$222),0)),IF(AND($Q$15="Otherworldly patron - archfey",S$244&gt;=O198),INDEX('Spell Tables'!$AB$194:$AB$206,MATCH(O198,('Spell Tables'!$Z$194:$Z$206),0)),IF($S$242&gt;=O198,INDEX($AL$68:$AL$77,MATCH(O198,($AJ$68:$AJ$77),0)),IF($S$246&gt;=O198,INDEX('Spell Tables'!$AB$168:$AB$187,MATCH(O198,('Spell Tables'!$Z$168:$Z$187),0)),IF($S$248&gt;=O198,INDEX('Spell Tables'!$AJ$141:$AJ$144,MATCH(O198,('Spell Tables'!$AH$141:$AH$144),0)),IF($S$250&gt;=O198,INDEX('Spell Tables'!$X$119:$X$129,MATCH(O198,('Spell Tables'!$V$119:$V$129),0)),IF($S$252&gt;=O198,INDEX('Spell Tables'!$X$97:$X$106,MATCH(O198,('Spell Tables'!$V$97:$V$106),0)),IF($S$254&gt;=O198,INDEX('Spell Tables'!$AJ$70:$AJ$79,MATCH(O198,('Spell Tables'!$AH$70:$AH$79),0)),IF($S$256&gt;=O198,INDEX('Spell Tables'!$AB$48:$AB$60,MATCH(O198,('Spell Tables'!$Z$48:$Z$60),0)),IF($S$258&gt;=O198,INDEX('Spell Tables'!$AB$26:$AB$45,MATCH(O198,('Spell Tables'!$Z$26:$Z$45),0)),IF($S$260&gt;=O198,INDEX('Spell Tables'!$AB$2:$AB$17,MATCH(O198,('Spell Tables'!$Z$2:$Z$17),0))," "))))))))))))</f>
        <v xml:space="preserve"> </v>
      </c>
      <c r="T267" s="33" t="str">
        <f ca="1">IF(AND($Q$15="Otherworldly patron - great old one",T$244&gt;=O198),INDEX('Spell Tables'!$AF$226:$AF$231,MATCH(O198,('Spell Tables'!$AD$226:$AD$231),0)),IF(AND($Q$15="Otherworldly patron - fiend",T$244&gt;=O198),INDEX('Spell Tables'!$AF$210:$AF$215,MATCH(O198,('Spell Tables'!$AD$210:$AD$215),0)),IF(AND($Q$15="Otherworldly patron - archfey",T$244&gt;=O198),INDEX('Spell Tables'!$AF$194:$AF$199,MATCH(O198,('Spell Tables'!$AD$194:$AD$199),0)),IF($T$242&gt;=O198,INDEX($AL$80:$AL$89,MATCH(O198,($AJ$80:$AJ$89),0)),IF($T$246&gt;=O198,INDEX('Spell Tables'!$AF$168:$AF$177,MATCH(O198,('Spell Tables'!$AD$168:$AD$177),0)),IF($T$248&gt;=O198,INDEX('Spell Tables'!$AR$141:$AR$144,MATCH(O198,('Spell Tables'!$AP$141:$AP$144),0)),IF($T$250&gt;=O198,INDEX('Spell Tables'!$AB$119:$AB$123,MATCH(O198,('Spell Tables'!$Z$119:$Z$123),0)),IF($T$252&gt;=O198,INDEX('Spell Tables'!$AB$97:$AB$102,MATCH(O198,('Spell Tables'!$Z$97:$Z$102),0)),IF($T$254&gt;=O198,INDEX('Spell Tables'!$AR$70:$AR$75,MATCH(O198,('Spell Tables'!$AP$70:$AP$75),0)),IF($T$256&gt;=O198,INDEX('Spell Tables'!$AF$48:$AF$63,MATCH(O198,('Spell Tables'!$AD$48:$AD$63),0)),IF($T$258&gt;=O198,INDEX('Spell Tables'!$AF$26:$AF$33,MATCH(O198,('Spell Tables'!$AD$26:$AD$33),0)),IF($T$260&gt;=O198,INDEX('Spell Tables'!$AF$2:$AF$9,MATCH(O198,('Spell Tables'!$AD$2:$AD$9),0))," "))))))))))))</f>
        <v xml:space="preserve"> </v>
      </c>
    </row>
    <row r="268" spans="2:20" x14ac:dyDescent="0.3">
      <c r="B268" s="33"/>
      <c r="C268" s="33"/>
      <c r="D268" s="33"/>
      <c r="E268" s="33"/>
      <c r="F268" s="33"/>
      <c r="G268" s="33"/>
      <c r="H268" s="33"/>
      <c r="I268" s="33"/>
      <c r="J268" s="33"/>
      <c r="K268" s="33"/>
      <c r="L268" s="33"/>
      <c r="M268" s="33"/>
      <c r="O268" s="34">
        <v>7</v>
      </c>
      <c r="P268" s="33" t="str">
        <f ca="1">IF(P$242&gt;=O199,INDEX('Spell Tables'!$P$242:$P$257,MATCH(O199,('Spell Tables'!$N$242:$N$257),0)),IF(P$244&gt;=O199,INDEX('Spell Tables'!$P$194:$P$201,MATCH(O199,('Spell Tables'!$N$194:$N$201),0)),IF(P$246&gt;=O199,INDEX('Spell Tables'!$P$168:$P$183,MATCH(O199,('Spell Tables'!$N$168:$N$183),0)),IF(P$248&gt;=O199,INDEX('Spell Tables'!$P$141:$P$156,MATCH(O199,('Spell Tables'!$N$141:$N$157),0)),IF(P$254&gt;=O199,INDEX('Spell Tables'!$P$70:$P$83,MATCH(O199,('Spell Tables'!$N$70:$N$83),0)),IF(P$256&gt;=O199,INDEX('Spell Tables'!$P$48:$P$55,MATCH(O199,('Spell Tables'!$N$48:$N$55),0)),IF(P$258&gt;=O199,INDEX('Spell Tables'!$P$26:$P$32,MATCH(O199,('Spell Tables'!$N$26:$N$32),0)),IF(P$260&gt;=O199,INDEX('Spell Tables'!$P$2:$P$12,MATCH(O199,('Spell Tables'!$N$2:$N$12),0))," "))))))))</f>
        <v xml:space="preserve"> </v>
      </c>
      <c r="Q268" s="33" t="str">
        <f ca="1">IF(AND($Q$15="Otherworldly patron - great old one",Q$244&gt;=O199),INDEX('Spell Tables'!$T$226:$T$238,MATCH(O199,('Spell Tables'!$R$226:$R$238),0)),IF(AND($Q$15="Otherworldly patron - fiend",Q$244&gt;=O199),INDEX('Spell Tables'!$T$210:$T$222,MATCH(O199,('Spell Tables'!$R$210:$R$222),0)),IF(Q$242&gt;=O199,INDEX($AL$44:$AL$53,MATCH(O199,($AJ$44:$AJ$53),0)),IF(AND($Q$15="Otherworldly patron - archfey",Q$244&gt;=O199),INDEX('Spell Tables'!T$206:$T300,MATCH(O199,('Spell Tables'!$R$194:$R$206),0)),IF(Q$246&gt;=O199,INDEX('Spell Tables'!T274:T293,MATCH(O199,('Spell Tables'!$R$168:$R$187),0)),IF(Q$248&gt;=O199,INDEX('Spell Tables'!T247:T253,MATCH(O199,('Spell Tables'!$R$141:$R$147),0)),IF(Q$250&gt;=O199,INDEX('Spell Tables'!$P$119:$P$131,MATCH(O199,('Spell Tables'!$N$119:$N$131),0)),IF(Q$252&gt;=O199,INDEX('Spell Tables'!$P$97:$P$111,MATCH(O199,('Spell Tables'!$N$97:$N$111),0)),IF(Q$254&gt;=O199,INDEX('Spell Tables'!$T$70:$T$78,MATCH(O199,('Spell Tables'!$R$70:$R$78),0)),IF(Q$256&gt;=O199,INDEX('Spell Tables'!$T$48:$T$63,MATCH(O199,('Spell Tables'!$R$48:$R$63),0)),IF(Q$258&gt;=O199,INDEX('Spell Tables'!$T$26:$T$40,MATCH(O199,('Spell Tables'!$R$26:$R$40),0)),IF(Q$260&gt;=O199,INDEX('Spell Tables'!$T$2:$T$22,MATCH(O199,('Spell Tables'!$R$2:$R$22),0))," "))))))))))))</f>
        <v xml:space="preserve"> </v>
      </c>
      <c r="R268" s="33" t="str">
        <f ca="1">IF(AND($Q$15="Otherworldly patron - great old one",R$244&gt;=O199),INDEX('Spell Tables'!$X$226:$X$239,MATCH(O199,('Spell Tables'!$V$226:$V$239),0)),IF(AND($Q$15="Otherworldly patron - fiend",R$244&gt;=O199),INDEX('Spell Tables'!$X$210:$X$223,MATCH(O199,('Spell Tables'!$V$210:$V$223),0)),IF(AND($Q$15="Otherworldly patron - archfey",R$244&gt;=O199),INDEX('Spell Tables'!$X$194:$X$207,MATCH(O199,('Spell Tables'!$V$194:$V$207),0)),IF($R$242&gt;=O199,INDEX($AL$56:$AL$65,MATCH(O199,($AJ$56:$AJ$65),0)),IF($R$246&gt;=O199,INDEX('Spell Tables'!$X$168:$X$191,MATCH(O199,('Spell Tables'!$V$168:$V$191),0)),IF($R$248&gt;=O199,INDEX('Spell Tables'!$AB$141:$AB$149,MATCH(O199,('Spell Tables'!$Z$141:$Z$149),0)),IF($R$250&gt;=O199,INDEX('Spell Tables'!T225:T237,MATCH(O199,('Spell Tables'!$R$119:$R$131),0)),IF($R$252&gt;=O199,INDEX('Spell Tables'!$T$97:T210,MATCH(O199,('Spell Tables'!$R$97:$R$104),0)),IF($R$254&gt;=O199,INDEX('Spell Tables'!$AB$70:$AB$75,MATCH(O199,('Spell Tables'!$Z$70:$Z$75),0)),IF($R$256&gt;=O199,INDEX('Spell Tables'!$X$48:$X$65,MATCH(O199,('Spell Tables'!$V$48:$V$65),0)),IF($R$258&gt;=O199,INDEX('Spell Tables'!$X$26:$X$42,MATCH(O199,('Spell Tables'!$V$26:$V$42),0)),IF($R$260&gt;=O199,INDEX('Spell Tables'!$X$2:$X$23,MATCH(O199,('Spell Tables'!$V$2:$V$23),0))," "))))))))))))</f>
        <v xml:space="preserve"> </v>
      </c>
      <c r="S268" s="33" t="str">
        <f ca="1">IF(AND($Q$15="Otherworldly patron - great old one",S$244&gt;=O199),INDEX('Spell Tables'!$AB$226:$AB$238,MATCH(O199,('Spell Tables'!$Z$226:$Z$238),0)),IF(AND($Q$15="Otherworldly patron - fiend",S$244&gt;=O199),INDEX('Spell Tables'!$AB$210:$AB$222,MATCH(O199,('Spell Tables'!$Z$210:$Z$222),0)),IF(AND($Q$15="Otherworldly patron - archfey",S$244&gt;=O199),INDEX('Spell Tables'!$AB$194:$AB$206,MATCH(O199,('Spell Tables'!$Z$194:$Z$206),0)),IF($S$242&gt;=O199,INDEX($AL$68:$AL$77,MATCH(O199,($AJ$68:$AJ$77),0)),IF($S$246&gt;=O199,INDEX('Spell Tables'!$AB$168:$AB$187,MATCH(O199,('Spell Tables'!$Z$168:$Z$187),0)),IF($S$248&gt;=O199,INDEX('Spell Tables'!$AJ$141:$AJ$144,MATCH(O199,('Spell Tables'!$AH$141:$AH$144),0)),IF($S$250&gt;=O199,INDEX('Spell Tables'!$X$119:$X$129,MATCH(O199,('Spell Tables'!$V$119:$V$129),0)),IF($S$252&gt;=O199,INDEX('Spell Tables'!$X$97:$X$106,MATCH(O199,('Spell Tables'!$V$97:$V$106),0)),IF($S$254&gt;=O199,INDEX('Spell Tables'!$AJ$70:$AJ$79,MATCH(O199,('Spell Tables'!$AH$70:$AH$79),0)),IF($S$256&gt;=O199,INDEX('Spell Tables'!$AB$48:$AB$60,MATCH(O199,('Spell Tables'!$Z$48:$Z$60),0)),IF($S$258&gt;=O199,INDEX('Spell Tables'!$AB$26:$AB$45,MATCH(O199,('Spell Tables'!$Z$26:$Z$45),0)),IF($S$260&gt;=O199,INDEX('Spell Tables'!$AB$2:$AB$17,MATCH(O199,('Spell Tables'!$Z$2:$Z$17),0))," "))))))))))))</f>
        <v xml:space="preserve"> </v>
      </c>
      <c r="T268" s="33" t="str">
        <f ca="1">IF(AND($Q$15="Otherworldly patron - great old one",T$244&gt;=O199),INDEX('Spell Tables'!$AF$226:$AF$231,MATCH(O199,('Spell Tables'!$AD$226:$AD$231),0)),IF(AND($Q$15="Otherworldly patron - fiend",T$244&gt;=O199),INDEX('Spell Tables'!$AF$210:$AF$215,MATCH(O199,('Spell Tables'!$AD$210:$AD$215),0)),IF(AND($Q$15="Otherworldly patron - archfey",T$244&gt;=O199),INDEX('Spell Tables'!$AF$194:$AF$199,MATCH(O199,('Spell Tables'!$AD$194:$AD$199),0)),IF($T$242&gt;=O199,INDEX($AL$80:$AL$89,MATCH(O199,($AJ$80:$AJ$89),0)),IF($T$246&gt;=O199,INDEX('Spell Tables'!$AF$168:$AF$177,MATCH(O199,('Spell Tables'!$AD$168:$AD$177),0)),IF($T$248&gt;=O199,INDEX('Spell Tables'!$AR$141:$AR$144,MATCH(O199,('Spell Tables'!$AP$141:$AP$144),0)),IF($T$250&gt;=O199,INDEX('Spell Tables'!$AB$119:$AB$123,MATCH(O199,('Spell Tables'!$Z$119:$Z$123),0)),IF($T$252&gt;=O199,INDEX('Spell Tables'!$AB$97:$AB$102,MATCH(O199,('Spell Tables'!$Z$97:$Z$102),0)),IF($T$254&gt;=O199,INDEX('Spell Tables'!$AR$70:$AR$75,MATCH(O199,('Spell Tables'!$AP$70:$AP$75),0)),IF($T$256&gt;=O199,INDEX('Spell Tables'!$AF$48:$AF$63,MATCH(O199,('Spell Tables'!$AD$48:$AD$63),0)),IF($T$258&gt;=O199,INDEX('Spell Tables'!$AF$26:$AF$33,MATCH(O199,('Spell Tables'!$AD$26:$AD$33),0)),IF($T$260&gt;=O199,INDEX('Spell Tables'!$AF$2:$AF$9,MATCH(O199,('Spell Tables'!$AD$2:$AD$9),0))," "))))))))))))</f>
        <v xml:space="preserve"> </v>
      </c>
    </row>
    <row r="269" spans="2:20" x14ac:dyDescent="0.3">
      <c r="B269" s="33"/>
      <c r="C269" s="33"/>
      <c r="D269" s="33"/>
      <c r="E269" s="33"/>
      <c r="F269" s="33"/>
      <c r="G269" s="33"/>
      <c r="H269" s="33"/>
      <c r="I269" s="33"/>
      <c r="J269" s="33"/>
      <c r="K269" s="33"/>
      <c r="L269" s="33"/>
      <c r="M269" s="33"/>
      <c r="O269" s="34">
        <v>8</v>
      </c>
      <c r="P269" s="33" t="str">
        <f ca="1">IF(P$242&gt;=O200,INDEX('Spell Tables'!$P$242:$P$257,MATCH(O200,('Spell Tables'!$N$242:$N$257),0)),IF(P$244&gt;=O200,INDEX('Spell Tables'!$P$194:$P$201,MATCH(O200,('Spell Tables'!$N$194:$N$201),0)),IF(P$246&gt;=O200,INDEX('Spell Tables'!$P$168:$P$183,MATCH(O200,('Spell Tables'!$N$168:$N$183),0)),IF(P$248&gt;=O200,INDEX('Spell Tables'!$P$141:$P$156,MATCH(O200,('Spell Tables'!$N$141:$N$157),0)),IF(P$254&gt;=O200,INDEX('Spell Tables'!$P$70:$P$83,MATCH(O200,('Spell Tables'!$N$70:$N$83),0)),IF(P$256&gt;=O200,INDEX('Spell Tables'!$P$48:$P$55,MATCH(O200,('Spell Tables'!$N$48:$N$55),0)),IF(P$258&gt;=O200,INDEX('Spell Tables'!$P$26:$P$32,MATCH(O200,('Spell Tables'!$N$26:$N$32),0)),IF(P$260&gt;=O200,INDEX('Spell Tables'!$P$2:$P$12,MATCH(O200,('Spell Tables'!$N$2:$N$12),0))," "))))))))</f>
        <v xml:space="preserve"> </v>
      </c>
      <c r="Q269" s="33" t="str">
        <f ca="1">IF(AND($Q$15="Otherworldly patron - great old one",Q$244&gt;=O200),INDEX('Spell Tables'!$T$226:$T$238,MATCH(O200,('Spell Tables'!$R$226:$R$238),0)),IF(AND($Q$15="Otherworldly patron - fiend",Q$244&gt;=O200),INDEX('Spell Tables'!$T$210:$T$222,MATCH(O200,('Spell Tables'!$R$210:$R$222),0)),IF(Q$242&gt;=O200,INDEX($AL$44:$AL$53,MATCH(O200,($AJ$44:$AJ$53),0)),IF(AND($Q$15="Otherworldly patron - archfey",Q$244&gt;=O200),INDEX('Spell Tables'!T$206:$T301,MATCH(O200,('Spell Tables'!$R$194:$R$206),0)),IF(Q$246&gt;=O200,INDEX('Spell Tables'!T275:T294,MATCH(O200,('Spell Tables'!$R$168:$R$187),0)),IF(Q$248&gt;=O200,INDEX('Spell Tables'!T248:T254,MATCH(O200,('Spell Tables'!$R$141:$R$147),0)),IF(Q$250&gt;=O200,INDEX('Spell Tables'!$P$119:$P$131,MATCH(O200,('Spell Tables'!$N$119:$N$131),0)),IF(Q$252&gt;=O200,INDEX('Spell Tables'!$P$97:$P$111,MATCH(O200,('Spell Tables'!$N$97:$N$111),0)),IF(Q$254&gt;=O200,INDEX('Spell Tables'!$T$70:$T$78,MATCH(O200,('Spell Tables'!$R$70:$R$78),0)),IF(Q$256&gt;=O200,INDEX('Spell Tables'!$T$48:$T$63,MATCH(O200,('Spell Tables'!$R$48:$R$63),0)),IF(Q$258&gt;=O200,INDEX('Spell Tables'!$T$26:$T$40,MATCH(O200,('Spell Tables'!$R$26:$R$40),0)),IF(Q$260&gt;=O200,INDEX('Spell Tables'!$T$2:$T$22,MATCH(O200,('Spell Tables'!$R$2:$R$22),0))," "))))))))))))</f>
        <v xml:space="preserve"> </v>
      </c>
      <c r="R269" s="33" t="str">
        <f ca="1">IF(AND($Q$15="Otherworldly patron - great old one",R$244&gt;=O200),INDEX('Spell Tables'!$X$226:$X$239,MATCH(O200,('Spell Tables'!$V$226:$V$239),0)),IF(AND($Q$15="Otherworldly patron - fiend",R$244&gt;=O200),INDEX('Spell Tables'!$X$210:$X$223,MATCH(O200,('Spell Tables'!$V$210:$V$223),0)),IF(AND($Q$15="Otherworldly patron - archfey",R$244&gt;=O200),INDEX('Spell Tables'!$X$194:$X$207,MATCH(O200,('Spell Tables'!$V$194:$V$207),0)),IF($R$242&gt;=O200,INDEX($AL$56:$AL$65,MATCH(O200,($AJ$56:$AJ$65),0)),IF($R$246&gt;=O200,INDEX('Spell Tables'!$X$168:$X$191,MATCH(O200,('Spell Tables'!$V$168:$V$191),0)),IF($R$248&gt;=O200,INDEX('Spell Tables'!$AB$141:$AB$149,MATCH(O200,('Spell Tables'!$Z$141:$Z$149),0)),IF($R$250&gt;=O200,INDEX('Spell Tables'!T226:T238,MATCH(O200,('Spell Tables'!$R$119:$R$131),0)),IF($R$252&gt;=O200,INDEX('Spell Tables'!$T$97:T211,MATCH(O200,('Spell Tables'!$R$97:$R$104),0)),IF($R$254&gt;=O200,INDEX('Spell Tables'!$AB$70:$AB$75,MATCH(O200,('Spell Tables'!$Z$70:$Z$75),0)),IF($R$256&gt;=O200,INDEX('Spell Tables'!$X$48:$X$65,MATCH(O200,('Spell Tables'!$V$48:$V$65),0)),IF($R$258&gt;=O200,INDEX('Spell Tables'!$X$26:$X$42,MATCH(O200,('Spell Tables'!$V$26:$V$42),0)),IF($R$260&gt;=O200,INDEX('Spell Tables'!$X$2:$X$23,MATCH(O200,('Spell Tables'!$V$2:$V$23),0))," "))))))))))))</f>
        <v xml:space="preserve"> </v>
      </c>
      <c r="S269" s="33" t="str">
        <f ca="1">IF(AND($Q$15="Otherworldly patron - great old one",S$244&gt;=O200),INDEX('Spell Tables'!$AB$226:$AB$238,MATCH(O200,('Spell Tables'!$Z$226:$Z$238),0)),IF(AND($Q$15="Otherworldly patron - fiend",S$244&gt;=O200),INDEX('Spell Tables'!$AB$210:$AB$222,MATCH(O200,('Spell Tables'!$Z$210:$Z$222),0)),IF(AND($Q$15="Otherworldly patron - archfey",S$244&gt;=O200),INDEX('Spell Tables'!$AB$194:$AB$206,MATCH(O200,('Spell Tables'!$Z$194:$Z$206),0)),IF($S$242&gt;=O200,INDEX($AL$68:$AL$77,MATCH(O200,($AJ$68:$AJ$77),0)),IF($S$246&gt;=O200,INDEX('Spell Tables'!$AB$168:$AB$187,MATCH(O200,('Spell Tables'!$Z$168:$Z$187),0)),IF($S$248&gt;=O200,INDEX('Spell Tables'!$AJ$141:$AJ$144,MATCH(O200,('Spell Tables'!$AH$141:$AH$144),0)),IF($S$250&gt;=O200,INDEX('Spell Tables'!$X$119:$X$129,MATCH(O200,('Spell Tables'!$V$119:$V$129),0)),IF($S$252&gt;=O200,INDEX('Spell Tables'!$X$97:$X$106,MATCH(O200,('Spell Tables'!$V$97:$V$106),0)),IF($S$254&gt;=O200,INDEX('Spell Tables'!$AJ$70:$AJ$79,MATCH(O200,('Spell Tables'!$AH$70:$AH$79),0)),IF($S$256&gt;=O200,INDEX('Spell Tables'!$AB$48:$AB$60,MATCH(O200,('Spell Tables'!$Z$48:$Z$60),0)),IF($S$258&gt;=O200,INDEX('Spell Tables'!$AB$26:$AB$45,MATCH(O200,('Spell Tables'!$Z$26:$Z$45),0)),IF($S$260&gt;=O200,INDEX('Spell Tables'!$AB$2:$AB$17,MATCH(O200,('Spell Tables'!$Z$2:$Z$17),0))," "))))))))))))</f>
        <v xml:space="preserve"> </v>
      </c>
      <c r="T269" s="33" t="str">
        <f ca="1">IF(AND($Q$15="Otherworldly patron - great old one",T$244&gt;=O200),INDEX('Spell Tables'!$AF$226:$AF$231,MATCH(O200,('Spell Tables'!$AD$226:$AD$231),0)),IF(AND($Q$15="Otherworldly patron - fiend",T$244&gt;=O200),INDEX('Spell Tables'!$AF$210:$AF$215,MATCH(O200,('Spell Tables'!$AD$210:$AD$215),0)),IF(AND($Q$15="Otherworldly patron - archfey",T$244&gt;=O200),INDEX('Spell Tables'!$AF$194:$AF$199,MATCH(O200,('Spell Tables'!$AD$194:$AD$199),0)),IF($T$242&gt;=O200,INDEX($AL$80:$AL$89,MATCH(O200,($AJ$80:$AJ$89),0)),IF($T$246&gt;=O200,INDEX('Spell Tables'!$AF$168:$AF$177,MATCH(O200,('Spell Tables'!$AD$168:$AD$177),0)),IF($T$248&gt;=O200,INDEX('Spell Tables'!$AR$141:$AR$144,MATCH(O200,('Spell Tables'!$AP$141:$AP$144),0)),IF($T$250&gt;=O200,INDEX('Spell Tables'!$AB$119:$AB$123,MATCH(O200,('Spell Tables'!$Z$119:$Z$123),0)),IF($T$252&gt;=O200,INDEX('Spell Tables'!$AB$97:$AB$102,MATCH(O200,('Spell Tables'!$Z$97:$Z$102),0)),IF($T$254&gt;=O200,INDEX('Spell Tables'!$AR$70:$AR$75,MATCH(O200,('Spell Tables'!$AP$70:$AP$75),0)),IF($T$256&gt;=O200,INDEX('Spell Tables'!$AF$48:$AF$63,MATCH(O200,('Spell Tables'!$AD$48:$AD$63),0)),IF($T$258&gt;=O200,INDEX('Spell Tables'!$AF$26:$AF$33,MATCH(O200,('Spell Tables'!$AD$26:$AD$33),0)),IF($T$260&gt;=O200,INDEX('Spell Tables'!$AF$2:$AF$9,MATCH(O200,('Spell Tables'!$AD$2:$AD$9),0))," "))))))))))))</f>
        <v xml:space="preserve"> </v>
      </c>
    </row>
    <row r="270" spans="2:20" x14ac:dyDescent="0.3">
      <c r="B270" s="33"/>
      <c r="C270" s="33"/>
      <c r="D270" s="33"/>
      <c r="E270" s="33"/>
      <c r="F270" s="33"/>
      <c r="G270" s="33"/>
      <c r="H270" s="33"/>
      <c r="I270" s="33"/>
      <c r="J270" s="33"/>
      <c r="K270" s="33"/>
      <c r="L270" s="33"/>
      <c r="M270" s="33"/>
      <c r="O270" s="34">
        <v>9</v>
      </c>
      <c r="P270" s="33" t="str">
        <f ca="1">IF(P$242&gt;=O201,INDEX('Spell Tables'!$P$242:$P$257,MATCH(O201,('Spell Tables'!$N$242:$N$257),0)),IF(P$244&gt;=O201,INDEX('Spell Tables'!$P$194:$P$201,MATCH(O201,('Spell Tables'!$N$194:$N$201),0)),IF(P$246&gt;=O201,INDEX('Spell Tables'!$P$168:$P$183,MATCH(O201,('Spell Tables'!$N$168:$N$183),0)),IF(P$248&gt;=O201,INDEX('Spell Tables'!$P$141:$P$156,MATCH(O201,('Spell Tables'!$N$141:$N$157),0)),IF(P$254&gt;=O201,INDEX('Spell Tables'!$P$70:$P$83,MATCH(O201,('Spell Tables'!$N$70:$N$83),0)),IF(P$256&gt;=O201,INDEX('Spell Tables'!$P$48:$P$55,MATCH(O201,('Spell Tables'!$N$48:$N$55),0)),IF(P$258&gt;=O201,INDEX('Spell Tables'!$P$26:$P$32,MATCH(O201,('Spell Tables'!$N$26:$N$32),0)),IF(P$260&gt;=O201,INDEX('Spell Tables'!$P$2:$P$12,MATCH(O201,('Spell Tables'!$N$2:$N$12),0))," "))))))))</f>
        <v xml:space="preserve"> </v>
      </c>
      <c r="Q270" s="33" t="str">
        <f ca="1">IF(AND($Q$15="Otherworldly patron - great old one",Q$244&gt;=O201),INDEX('Spell Tables'!$T$226:$T$238,MATCH(O201,('Spell Tables'!$R$226:$R$238),0)),IF(AND($Q$15="Otherworldly patron - fiend",Q$244&gt;=O201),INDEX('Spell Tables'!$T$210:$T$222,MATCH(O201,('Spell Tables'!$R$210:$R$222),0)),IF(Q$242&gt;=O201,INDEX($AL$44:$AL$53,MATCH(O201,($AJ$44:$AJ$53),0)),IF(AND($Q$15="Otherworldly patron - archfey",Q$244&gt;=O201),INDEX('Spell Tables'!T$206:$T302,MATCH(O201,('Spell Tables'!$R$194:$R$206),0)),IF(Q$246&gt;=O201,INDEX('Spell Tables'!T276:T295,MATCH(O201,('Spell Tables'!$R$168:$R$187),0)),IF(Q$248&gt;=O201,INDEX('Spell Tables'!T249:T255,MATCH(O201,('Spell Tables'!$R$141:$R$147),0)),IF(Q$250&gt;=O201,INDEX('Spell Tables'!$P$119:$P$131,MATCH(O201,('Spell Tables'!$N$119:$N$131),0)),IF(Q$252&gt;=O201,INDEX('Spell Tables'!$P$97:$P$111,MATCH(O201,('Spell Tables'!$N$97:$N$111),0)),IF(Q$254&gt;=O201,INDEX('Spell Tables'!$T$70:$T$78,MATCH(O201,('Spell Tables'!$R$70:$R$78),0)),IF(Q$256&gt;=O201,INDEX('Spell Tables'!$T$48:$T$63,MATCH(O201,('Spell Tables'!$R$48:$R$63),0)),IF(Q$258&gt;=O201,INDEX('Spell Tables'!$T$26:$T$40,MATCH(O201,('Spell Tables'!$R$26:$R$40),0)),IF(Q$260&gt;=O201,INDEX('Spell Tables'!$T$2:$T$22,MATCH(O201,('Spell Tables'!$R$2:$R$22),0))," "))))))))))))</f>
        <v xml:space="preserve"> </v>
      </c>
      <c r="R270" s="33" t="str">
        <f ca="1">IF(AND($Q$15="Otherworldly patron - great old one",R$244&gt;=O201),INDEX('Spell Tables'!$X$226:$X$239,MATCH(O201,('Spell Tables'!$V$226:$V$239),0)),IF(AND($Q$15="Otherworldly patron - fiend",R$244&gt;=O201),INDEX('Spell Tables'!$X$210:$X$223,MATCH(O201,('Spell Tables'!$V$210:$V$223),0)),IF(AND($Q$15="Otherworldly patron - archfey",R$244&gt;=O201),INDEX('Spell Tables'!$X$194:$X$207,MATCH(O201,('Spell Tables'!$V$194:$V$207),0)),IF($R$242&gt;=O201,INDEX($AL$56:$AL$65,MATCH(O201,($AJ$56:$AJ$65),0)),IF($R$246&gt;=O201,INDEX('Spell Tables'!$X$168:$X$191,MATCH(O201,('Spell Tables'!$V$168:$V$191),0)),IF($R$248&gt;=O201,INDEX('Spell Tables'!$AB$141:$AB$149,MATCH(O201,('Spell Tables'!$Z$141:$Z$149),0)),IF($R$250&gt;=O201,INDEX('Spell Tables'!T227:T239,MATCH(O201,('Spell Tables'!$R$119:$R$131),0)),IF($R$252&gt;=O201,INDEX('Spell Tables'!$T$97:T212,MATCH(O201,('Spell Tables'!$R$97:$R$104),0)),IF($R$254&gt;=O201,INDEX('Spell Tables'!$AB$70:$AB$75,MATCH(O201,('Spell Tables'!$Z$70:$Z$75),0)),IF($R$256&gt;=O201,INDEX('Spell Tables'!$X$48:$X$65,MATCH(O201,('Spell Tables'!$V$48:$V$65),0)),IF($R$258&gt;=O201,INDEX('Spell Tables'!$X$26:$X$42,MATCH(O201,('Spell Tables'!$V$26:$V$42),0)),IF($R$260&gt;=O201,INDEX('Spell Tables'!$X$2:$X$23,MATCH(O201,('Spell Tables'!$V$2:$V$23),0))," "))))))))))))</f>
        <v xml:space="preserve"> </v>
      </c>
      <c r="S270" s="33" t="str">
        <f ca="1">IF(AND($Q$15="Otherworldly patron - great old one",S$244&gt;=O201),INDEX('Spell Tables'!$AB$226:$AB$238,MATCH(O201,('Spell Tables'!$Z$226:$Z$238),0)),IF(AND($Q$15="Otherworldly patron - fiend",S$244&gt;=O201),INDEX('Spell Tables'!$AB$210:$AB$222,MATCH(O201,('Spell Tables'!$Z$210:$Z$222),0)),IF(AND($Q$15="Otherworldly patron - archfey",S$244&gt;=O201),INDEX('Spell Tables'!$AB$194:$AB$206,MATCH(O201,('Spell Tables'!$Z$194:$Z$206),0)),IF($S$242&gt;=O201,INDEX($AL$68:$AL$77,MATCH(O201,($AJ$68:$AJ$77),0)),IF($S$246&gt;=O201,INDEX('Spell Tables'!$AB$168:$AB$187,MATCH(O201,('Spell Tables'!$Z$168:$Z$187),0)),IF($S$248&gt;=O201,INDEX('Spell Tables'!$AJ$141:$AJ$144,MATCH(O201,('Spell Tables'!$AH$141:$AH$144),0)),IF($S$250&gt;=O201,INDEX('Spell Tables'!$X$119:$X$129,MATCH(O201,('Spell Tables'!$V$119:$V$129),0)),IF($S$252&gt;=O201,INDEX('Spell Tables'!$X$97:$X$106,MATCH(O201,('Spell Tables'!$V$97:$V$106),0)),IF($S$254&gt;=O201,INDEX('Spell Tables'!$AJ$70:$AJ$79,MATCH(O201,('Spell Tables'!$AH$70:$AH$79),0)),IF($S$256&gt;=O201,INDEX('Spell Tables'!$AB$48:$AB$60,MATCH(O201,('Spell Tables'!$Z$48:$Z$60),0)),IF($S$258&gt;=O201,INDEX('Spell Tables'!$AB$26:$AB$45,MATCH(O201,('Spell Tables'!$Z$26:$Z$45),0)),IF($S$260&gt;=O201,INDEX('Spell Tables'!$AB$2:$AB$17,MATCH(O201,('Spell Tables'!$Z$2:$Z$17),0))," "))))))))))))</f>
        <v xml:space="preserve"> </v>
      </c>
      <c r="T270" s="33" t="str">
        <f ca="1">IF(AND($Q$15="Otherworldly patron - great old one",T$244&gt;=O201),INDEX('Spell Tables'!$AF$226:$AF$231,MATCH(O201,('Spell Tables'!$AD$226:$AD$231),0)),IF(AND($Q$15="Otherworldly patron - fiend",T$244&gt;=O201),INDEX('Spell Tables'!$AF$210:$AF$215,MATCH(O201,('Spell Tables'!$AD$210:$AD$215),0)),IF(AND($Q$15="Otherworldly patron - archfey",T$244&gt;=O201),INDEX('Spell Tables'!$AF$194:$AF$199,MATCH(O201,('Spell Tables'!$AD$194:$AD$199),0)),IF($T$242&gt;=O201,INDEX($AL$80:$AL$89,MATCH(O201,($AJ$80:$AJ$89),0)),IF($T$246&gt;=O201,INDEX('Spell Tables'!$AF$168:$AF$177,MATCH(O201,('Spell Tables'!$AD$168:$AD$177),0)),IF($T$248&gt;=O201,INDEX('Spell Tables'!$AR$141:$AR$144,MATCH(O201,('Spell Tables'!$AP$141:$AP$144),0)),IF($T$250&gt;=O201,INDEX('Spell Tables'!$AB$119:$AB$123,MATCH(O201,('Spell Tables'!$Z$119:$Z$123),0)),IF($T$252&gt;=O201,INDEX('Spell Tables'!$AB$97:$AB$102,MATCH(O201,('Spell Tables'!$Z$97:$Z$102),0)),IF($T$254&gt;=O201,INDEX('Spell Tables'!$AR$70:$AR$75,MATCH(O201,('Spell Tables'!$AP$70:$AP$75),0)),IF($T$256&gt;=O201,INDEX('Spell Tables'!$AF$48:$AF$63,MATCH(O201,('Spell Tables'!$AD$48:$AD$63),0)),IF($T$258&gt;=O201,INDEX('Spell Tables'!$AF$26:$AF$33,MATCH(O201,('Spell Tables'!$AD$26:$AD$33),0)),IF($T$260&gt;=O201,INDEX('Spell Tables'!$AF$2:$AF$9,MATCH(O201,('Spell Tables'!$AD$2:$AD$9),0))," "))))))))))))</f>
        <v xml:space="preserve"> </v>
      </c>
    </row>
    <row r="271" spans="2:20" x14ac:dyDescent="0.3">
      <c r="B271" s="33"/>
      <c r="C271" s="33"/>
      <c r="D271" s="33"/>
      <c r="E271" s="33"/>
      <c r="F271" s="33"/>
      <c r="G271" s="33"/>
      <c r="H271" s="33"/>
      <c r="I271" s="33"/>
      <c r="J271" s="33"/>
      <c r="K271" s="33"/>
      <c r="L271" s="33"/>
      <c r="M271" s="33"/>
      <c r="O271" s="34">
        <v>10</v>
      </c>
      <c r="P271" s="33" t="str">
        <f ca="1">IF(P$242&gt;=O202,INDEX('Spell Tables'!$P$242:$P$257,MATCH(O202,('Spell Tables'!$N$242:$N$257),0)),IF(P$244&gt;=O202,INDEX('Spell Tables'!$P$194:$P$201,MATCH(O202,('Spell Tables'!$N$194:$N$201),0)),IF(P$246&gt;=O202,INDEX('Spell Tables'!$P$168:$P$183,MATCH(O202,('Spell Tables'!$N$168:$N$183),0)),IF(P$248&gt;=O202,INDEX('Spell Tables'!$P$141:$P$156,MATCH(O202,('Spell Tables'!$N$141:$N$157),0)),IF(P$254&gt;=O202,INDEX('Spell Tables'!$P$70:$P$83,MATCH(O202,('Spell Tables'!$N$70:$N$83),0)),IF(P$256&gt;=O202,INDEX('Spell Tables'!$P$48:$P$55,MATCH(O202,('Spell Tables'!$N$48:$N$55),0)),IF(P$258&gt;=O202,INDEX('Spell Tables'!$P$26:$P$32,MATCH(O202,('Spell Tables'!$N$26:$N$32),0)),IF(P$260&gt;=O202,INDEX('Spell Tables'!$P$2:$P$12,MATCH(O202,('Spell Tables'!$N$2:$N$12),0))," "))))))))</f>
        <v xml:space="preserve"> </v>
      </c>
      <c r="Q271" s="33" t="str">
        <f ca="1">IF(AND($Q$15="Otherworldly patron - great old one",Q$244&gt;=O202),INDEX('Spell Tables'!$T$226:$T$238,MATCH(O202,('Spell Tables'!$R$226:$R$238),0)),IF(AND($Q$15="Otherworldly patron - fiend",Q$244&gt;=O202),INDEX('Spell Tables'!$T$210:$T$222,MATCH(O202,('Spell Tables'!$R$210:$R$222),0)),IF(Q$242&gt;=O202,INDEX($AL$44:$AL$53,MATCH(O202,($AJ$44:$AJ$53),0)),IF(AND($Q$15="Otherworldly patron - archfey",Q$244&gt;=O202),INDEX('Spell Tables'!T$206:$T303,MATCH(O202,('Spell Tables'!$R$194:$R$206),0)),IF(Q$246&gt;=O202,INDEX('Spell Tables'!T277:T296,MATCH(O202,('Spell Tables'!$R$168:$R$187),0)),IF(Q$248&gt;=O202,INDEX('Spell Tables'!T250:T256,MATCH(O202,('Spell Tables'!$R$141:$R$147),0)),IF(Q$250&gt;=O202,INDEX('Spell Tables'!$P$119:$P$131,MATCH(O202,('Spell Tables'!$N$119:$N$131),0)),IF(Q$252&gt;=O202,INDEX('Spell Tables'!$P$97:$P$111,MATCH(O202,('Spell Tables'!$N$97:$N$111),0)),IF(Q$254&gt;=O202,INDEX('Spell Tables'!$T$70:$T$78,MATCH(O202,('Spell Tables'!$R$70:$R$78),0)),IF(Q$256&gt;=O202,INDEX('Spell Tables'!$T$48:$T$63,MATCH(O202,('Spell Tables'!$R$48:$R$63),0)),IF(Q$258&gt;=O202,INDEX('Spell Tables'!$T$26:$T$40,MATCH(O202,('Spell Tables'!$R$26:$R$40),0)),IF(Q$260&gt;=O202,INDEX('Spell Tables'!$T$2:$T$22,MATCH(O202,('Spell Tables'!$R$2:$R$22),0))," "))))))))))))</f>
        <v xml:space="preserve"> </v>
      </c>
      <c r="R271" s="33" t="str">
        <f ca="1">IF(AND($Q$15="Otherworldly patron - great old one",R$244&gt;=O202),INDEX('Spell Tables'!$X$226:$X$239,MATCH(O202,('Spell Tables'!$V$226:$V$239),0)),IF(AND($Q$15="Otherworldly patron - fiend",R$244&gt;=O202),INDEX('Spell Tables'!$X$210:$X$223,MATCH(O202,('Spell Tables'!$V$210:$V$223),0)),IF(AND($Q$15="Otherworldly patron - archfey",R$244&gt;=O202),INDEX('Spell Tables'!$X$194:$X$207,MATCH(O202,('Spell Tables'!$V$194:$V$207),0)),IF($R$242&gt;=O202,INDEX($AL$56:$AL$65,MATCH(O202,($AJ$56:$AJ$65),0)),IF($R$246&gt;=O202,INDEX('Spell Tables'!$X$168:$X$191,MATCH(O202,('Spell Tables'!$V$168:$V$191),0)),IF($R$248&gt;=O202,INDEX('Spell Tables'!$AB$141:$AB$149,MATCH(O202,('Spell Tables'!$Z$141:$Z$149),0)),IF($R$250&gt;=O202,INDEX('Spell Tables'!T228:T240,MATCH(O202,('Spell Tables'!$R$119:$R$131),0)),IF($R$252&gt;=O202,INDEX('Spell Tables'!$T$97:T213,MATCH(O202,('Spell Tables'!$R$97:$R$104),0)),IF($R$254&gt;=O202,INDEX('Spell Tables'!$AB$70:$AB$75,MATCH(O202,('Spell Tables'!$Z$70:$Z$75),0)),IF($R$256&gt;=O202,INDEX('Spell Tables'!$X$48:$X$65,MATCH(O202,('Spell Tables'!$V$48:$V$65),0)),IF($R$258&gt;=O202,INDEX('Spell Tables'!$X$26:$X$42,MATCH(O202,('Spell Tables'!$V$26:$V$42),0)),IF($R$260&gt;=O202,INDEX('Spell Tables'!$X$2:$X$23,MATCH(O202,('Spell Tables'!$V$2:$V$23),0))," "))))))))))))</f>
        <v xml:space="preserve"> </v>
      </c>
      <c r="S271" s="33" t="str">
        <f ca="1">IF(AND($Q$15="Otherworldly patron - great old one",S$244&gt;=O202),INDEX('Spell Tables'!$AB$226:$AB$238,MATCH(O202,('Spell Tables'!$Z$226:$Z$238),0)),IF(AND($Q$15="Otherworldly patron - fiend",S$244&gt;=O202),INDEX('Spell Tables'!$AB$210:$AB$222,MATCH(O202,('Spell Tables'!$Z$210:$Z$222),0)),IF(AND($Q$15="Otherworldly patron - archfey",S$244&gt;=O202),INDEX('Spell Tables'!$AB$194:$AB$206,MATCH(O202,('Spell Tables'!$Z$194:$Z$206),0)),IF($S$242&gt;=O202,INDEX($AL$68:$AL$77,MATCH(O202,($AJ$68:$AJ$77),0)),IF($S$246&gt;=O202,INDEX('Spell Tables'!$AB$168:$AB$187,MATCH(O202,('Spell Tables'!$Z$168:$Z$187),0)),IF($S$248&gt;=O202,INDEX('Spell Tables'!$AJ$141:$AJ$144,MATCH(O202,('Spell Tables'!$AH$141:$AH$144),0)),IF($S$250&gt;=O202,INDEX('Spell Tables'!$X$119:$X$129,MATCH(O202,('Spell Tables'!$V$119:$V$129),0)),IF($S$252&gt;=O202,INDEX('Spell Tables'!$X$97:$X$106,MATCH(O202,('Spell Tables'!$V$97:$V$106),0)),IF($S$254&gt;=O202,INDEX('Spell Tables'!$AJ$70:$AJ$79,MATCH(O202,('Spell Tables'!$AH$70:$AH$79),0)),IF($S$256&gt;=O202,INDEX('Spell Tables'!$AB$48:$AB$60,MATCH(O202,('Spell Tables'!$Z$48:$Z$60),0)),IF($S$258&gt;=O202,INDEX('Spell Tables'!$AB$26:$AB$45,MATCH(O202,('Spell Tables'!$Z$26:$Z$45),0)),IF($S$260&gt;=O202,INDEX('Spell Tables'!$AB$2:$AB$17,MATCH(O202,('Spell Tables'!$Z$2:$Z$17),0))," "))))))))))))</f>
        <v xml:space="preserve"> </v>
      </c>
      <c r="T271" s="33" t="str">
        <f ca="1">IF(AND($Q$15="Otherworldly patron - great old one",T$244&gt;=O202),INDEX('Spell Tables'!$AF$226:$AF$231,MATCH(O202,('Spell Tables'!$AD$226:$AD$231),0)),IF(AND($Q$15="Otherworldly patron - fiend",T$244&gt;=O202),INDEX('Spell Tables'!$AF$210:$AF$215,MATCH(O202,('Spell Tables'!$AD$210:$AD$215),0)),IF(AND($Q$15="Otherworldly patron - archfey",T$244&gt;=O202),INDEX('Spell Tables'!$AF$194:$AF$199,MATCH(O202,('Spell Tables'!$AD$194:$AD$199),0)),IF($T$242&gt;=O202,INDEX($AL$80:$AL$89,MATCH(O202,($AJ$80:$AJ$89),0)),IF($T$246&gt;=O202,INDEX('Spell Tables'!$AF$168:$AF$177,MATCH(O202,('Spell Tables'!$AD$168:$AD$177),0)),IF($T$248&gt;=O202,INDEX('Spell Tables'!$AR$141:$AR$144,MATCH(O202,('Spell Tables'!$AP$141:$AP$144),0)),IF($T$250&gt;=O202,INDEX('Spell Tables'!$AB$119:$AB$123,MATCH(O202,('Spell Tables'!$Z$119:$Z$123),0)),IF($T$252&gt;=O202,INDEX('Spell Tables'!$AB$97:$AB$102,MATCH(O202,('Spell Tables'!$Z$97:$Z$102),0)),IF($T$254&gt;=O202,INDEX('Spell Tables'!$AR$70:$AR$75,MATCH(O202,('Spell Tables'!$AP$70:$AP$75),0)),IF($T$256&gt;=O202,INDEX('Spell Tables'!$AF$48:$AF$63,MATCH(O202,('Spell Tables'!$AD$48:$AD$63),0)),IF($T$258&gt;=O202,INDEX('Spell Tables'!$AF$26:$AF$33,MATCH(O202,('Spell Tables'!$AD$26:$AD$33),0)),IF($T$260&gt;=O202,INDEX('Spell Tables'!$AF$2:$AF$9,MATCH(O202,('Spell Tables'!$AD$2:$AD$9),0))," "))))))))))))</f>
        <v xml:space="preserve"> </v>
      </c>
    </row>
    <row r="272" spans="2:20" ht="19.5" thickBot="1" x14ac:dyDescent="0.35">
      <c r="B272" s="33"/>
      <c r="C272" s="38"/>
      <c r="D272" s="38"/>
      <c r="E272" s="38"/>
      <c r="F272" s="38"/>
      <c r="G272" s="38"/>
      <c r="H272" s="38"/>
      <c r="I272" s="38"/>
      <c r="J272" s="38"/>
      <c r="K272" s="38"/>
      <c r="L272" s="38"/>
      <c r="M272" s="38"/>
      <c r="N272" s="38"/>
      <c r="O272" s="38"/>
      <c r="P272" s="38"/>
      <c r="Q272" s="38"/>
      <c r="R272" s="38"/>
      <c r="S272" s="38"/>
      <c r="T272" s="38"/>
    </row>
    <row r="273" spans="15:19" hidden="1" x14ac:dyDescent="0.3">
      <c r="O273" s="108"/>
      <c r="P273" s="108"/>
      <c r="Q273" s="108"/>
      <c r="R273" s="108"/>
      <c r="S273" s="109"/>
    </row>
    <row r="274" spans="15:19" hidden="1" x14ac:dyDescent="0.3">
      <c r="O274" s="60" t="str">
        <f ca="1">IF(AND(Q11="wizard",Q12&gt;=11),"x",IF(AND($Q$11="wizard",$Q$12&gt;9),"xx",IF(AND(Q11="wizard",Q12=9),"xxx"," ")))</f>
        <v xml:space="preserve"> </v>
      </c>
      <c r="P274" s="60" t="str">
        <f ca="1">IF(AND(Q11="wizard",Q12&gt;=13),"x",IF(AND($Q$11="wizard",$Q$12&gt;11),"xx",IF(AND(Q11="wizard",Q12=11),"xxx"," ")))</f>
        <v xml:space="preserve"> </v>
      </c>
      <c r="Q274" s="60" t="str">
        <f ca="1">IF(AND(Q11="wizard",Q12&gt;=15),"x",IF(AND($Q$11="wizard",$Q$12&gt;13),"xx",IF(AND(Q11="wizard",Q12=13),"xxx"," ")))</f>
        <v xml:space="preserve"> </v>
      </c>
      <c r="R274" s="60" t="str">
        <f ca="1">IF(AND(Q11="wizard",Q12&gt;=17),"x",IF(AND($Q$11="wizard",$Q$12&gt;15),"xx",IF(AND(Q11="wizard",Q12=15),"xxx"," ")))</f>
        <v xml:space="preserve"> </v>
      </c>
      <c r="S274" s="63" t="str">
        <f ca="1">IF(AND($Q$11="wizard",$Q$12&gt;17),"xx",IF(AND(Q11="wizard",Q12=17),"xxx"," "))</f>
        <v xml:space="preserve"> </v>
      </c>
    </row>
    <row r="275" spans="15:19" hidden="1" x14ac:dyDescent="0.3">
      <c r="O275" s="65">
        <f ca="1">IF(O274="x",RANDBETWEEN(2,3),IF(O274="xx",RANDBETWEEN(2,3),IF(O274="xxx",RANDBETWEEN(1,2),0)))</f>
        <v>0</v>
      </c>
      <c r="P275" s="65">
        <f ca="1">IF(P274="x",RANDBETWEEN(2,3),IF(P274="xx",RANDBETWEEN(2,3),IF(P274="xxx",RANDBETWEEN(1,2),0)))</f>
        <v>0</v>
      </c>
      <c r="Q275" s="65">
        <f ca="1">IF(Q274="x",RANDBETWEEN(1,2),IF(Q274="xx",RANDBETWEEN(1,2),IF(Q274="xxx",RANDBETWEEN(1,2),0)))</f>
        <v>0</v>
      </c>
      <c r="R275" s="65">
        <f ca="1">IF(OR(R274="x",R274="xx"),RANDBETWEEN(1,2),IF(R274="xxx",RANDBETWEEN(1,2),0))</f>
        <v>0</v>
      </c>
      <c r="S275" s="66">
        <f ca="1">IF(S274="xx",RANDBETWEEN(1,2),IF(S274="xxx",RANDBETWEEN(1,2),0))</f>
        <v>0</v>
      </c>
    </row>
    <row r="276" spans="15:19" hidden="1" x14ac:dyDescent="0.3">
      <c r="O276" s="60" t="str">
        <f ca="1">IF(AND($Q$11="warlock",$Q$12&gt;=9),"xx"," ")</f>
        <v xml:space="preserve"> </v>
      </c>
      <c r="P276" s="60"/>
      <c r="Q276" s="60"/>
      <c r="R276" s="60"/>
      <c r="S276" s="63"/>
    </row>
    <row r="277" spans="15:19" hidden="1" x14ac:dyDescent="0.3">
      <c r="O277" s="65">
        <f ca="1">IF(O276="x",RANDBETWEEN(2,3),IF(O276="xx",RANDBETWEEN(2,3),0))</f>
        <v>0</v>
      </c>
      <c r="P277" s="65"/>
      <c r="Q277" s="65"/>
      <c r="R277" s="65"/>
      <c r="S277" s="66"/>
    </row>
    <row r="278" spans="15:19" hidden="1" x14ac:dyDescent="0.3">
      <c r="O278" s="60" t="str">
        <f ca="1">IF(AND($Q$11="sorcerer",$Q$12&gt;=11),"x",IF(AND($Q$11="sorcerer",$Q$12&gt;=9),"xx"," "))</f>
        <v xml:space="preserve"> </v>
      </c>
      <c r="P278" s="60" t="str">
        <f ca="1">IF(AND($Q$11="sorcerer",$Q$12&gt;=13),"x",IF(AND($Q$11="sorcerer",$Q$12&gt;=11),"xx"," "))</f>
        <v xml:space="preserve"> </v>
      </c>
      <c r="Q278" s="60" t="str">
        <f ca="1">IF(AND($Q$11="sorcerer",$Q$12&gt;=15),"x",IF(AND($Q$11="sorcerer",$Q$12&gt;=13),"xx"," "))</f>
        <v xml:space="preserve"> </v>
      </c>
      <c r="R278" s="60" t="str">
        <f ca="1">IF(AND($Q$11="sorcerer",$Q$12&gt;=17),"x",IF(AND($Q$11="sorcerer",$Q$12&gt;15),"xx"," "))</f>
        <v xml:space="preserve"> </v>
      </c>
      <c r="S278" s="63" t="str">
        <f ca="1">IF(AND($Q$11="sorcerer",$Q$12&gt;=17),"xx"," ")</f>
        <v xml:space="preserve"> </v>
      </c>
    </row>
    <row r="279" spans="15:19" hidden="1" x14ac:dyDescent="0.3">
      <c r="O279" s="65">
        <f ca="1">IF(O278="x",RANDBETWEEN(2,3),IF(O278="xx",RANDBETWEEN(2,3),0))</f>
        <v>0</v>
      </c>
      <c r="P279" s="65">
        <f ca="1">IF(P278="x",RANDBETWEEN(2,3),IF(P278="xx",RANDBETWEEN(2,3),0))</f>
        <v>0</v>
      </c>
      <c r="Q279" s="65">
        <f ca="1">IF(Q278="x",RANDBETWEEN(1,2),IF(Q278="xx",RANDBETWEEN(1,2),0))</f>
        <v>0</v>
      </c>
      <c r="R279" s="65">
        <f ca="1">IF(OR(R278="x",R278="xx"),RANDBETWEEN(1,2),0)</f>
        <v>0</v>
      </c>
      <c r="S279" s="66">
        <f ca="1">IF(S278="xx",RANDBETWEEN(1,2),0)</f>
        <v>0</v>
      </c>
    </row>
    <row r="280" spans="15:19" hidden="1" x14ac:dyDescent="0.3">
      <c r="O280" s="60"/>
      <c r="P280" s="60"/>
      <c r="Q280" s="60"/>
      <c r="R280" s="60"/>
      <c r="S280" s="63"/>
    </row>
    <row r="281" spans="15:19" hidden="1" x14ac:dyDescent="0.3">
      <c r="O281" s="65"/>
      <c r="P281" s="65"/>
      <c r="Q281" s="65"/>
      <c r="R281" s="65"/>
      <c r="S281" s="66"/>
    </row>
    <row r="282" spans="15:19" hidden="1" x14ac:dyDescent="0.3">
      <c r="O282" s="60" t="str">
        <f ca="1">IF(AND($Q$11="ranger",$Q$12&gt;=17),"xx"," ")</f>
        <v xml:space="preserve"> </v>
      </c>
      <c r="P282" s="60"/>
      <c r="Q282" s="60"/>
      <c r="R282" s="60"/>
      <c r="S282" s="63"/>
    </row>
    <row r="283" spans="15:19" hidden="1" x14ac:dyDescent="0.3">
      <c r="O283" s="65">
        <f ca="1">IF(O282="x",RANDBETWEEN(2,3),IF(O282="xx",RANDBETWEEN(2,3),0))</f>
        <v>0</v>
      </c>
      <c r="P283" s="65"/>
      <c r="Q283" s="65"/>
      <c r="R283" s="65"/>
      <c r="S283" s="66"/>
    </row>
    <row r="284" spans="15:19" hidden="1" x14ac:dyDescent="0.3">
      <c r="O284" s="60" t="str">
        <f ca="1">IF(AND(Q11="paladin",Q12&gt;=17),"xx"," ")</f>
        <v xml:space="preserve"> </v>
      </c>
      <c r="P284" s="60"/>
      <c r="Q284" s="60"/>
      <c r="R284" s="60"/>
      <c r="S284" s="63"/>
    </row>
    <row r="285" spans="15:19" hidden="1" x14ac:dyDescent="0.3">
      <c r="O285" s="65">
        <f ca="1">IF(O284="x",RANDBETWEEN(2,3),IF(O284="xx",RANDBETWEEN(2,3),0))</f>
        <v>0</v>
      </c>
      <c r="P285" s="65"/>
      <c r="Q285" s="65"/>
      <c r="R285" s="65"/>
      <c r="S285" s="66"/>
    </row>
    <row r="286" spans="15:19" hidden="1" x14ac:dyDescent="0.3">
      <c r="O286" s="60"/>
      <c r="P286" s="60"/>
      <c r="Q286" s="60"/>
      <c r="R286" s="60"/>
      <c r="S286" s="63"/>
    </row>
    <row r="287" spans="15:19" hidden="1" x14ac:dyDescent="0.3">
      <c r="O287" s="65"/>
      <c r="P287" s="65"/>
      <c r="Q287" s="65"/>
      <c r="R287" s="65"/>
      <c r="S287" s="66"/>
    </row>
    <row r="288" spans="15:19" hidden="1" x14ac:dyDescent="0.3">
      <c r="O288" s="60" t="str">
        <f ca="1">IF(AND($Q$11="druid",$Q$12&gt;=11),"x",IF(AND($Q$11="druid",$Q$12&gt;=9),"xx"," "))</f>
        <v xml:space="preserve"> </v>
      </c>
      <c r="P288" s="60" t="str">
        <f ca="1">IF(AND($Q$11="druid",$Q$12&gt;=13),"x",IF(AND($Q$11="druid",$Q$12&gt;=11),"xx"," "))</f>
        <v xml:space="preserve"> </v>
      </c>
      <c r="Q288" s="60" t="str">
        <f ca="1">IF(AND($Q$11="druid",$Q$12&gt;=15),"x",IF(AND($Q$11="druid",$Q$12&gt;=13),"xx"," "))</f>
        <v xml:space="preserve"> </v>
      </c>
      <c r="R288" s="60" t="str">
        <f ca="1">IF(AND($Q$11="druid",$Q$12&gt;=17),"x",IF(AND($Q$11="druid",$Q$12&gt;15),"xx"," "))</f>
        <v xml:space="preserve"> </v>
      </c>
      <c r="S288" s="63" t="str">
        <f ca="1">IF(AND($Q$11="druid",$Q$12&gt;=17),"xx"," ")</f>
        <v xml:space="preserve"> </v>
      </c>
    </row>
    <row r="289" spans="14:20" hidden="1" x14ac:dyDescent="0.3">
      <c r="O289" s="65">
        <f ca="1">IF(O288="x",RANDBETWEEN(2,3),IF(O288="xx",RANDBETWEEN(2,3),0))</f>
        <v>0</v>
      </c>
      <c r="P289" s="65">
        <f ca="1">IF(P288="x",RANDBETWEEN(2,3),IF(P288="xx",RANDBETWEEN(2,3),0))</f>
        <v>0</v>
      </c>
      <c r="Q289" s="65">
        <f ca="1">IF(Q288="x",RANDBETWEEN(1,2),IF(Q288="xx",RANDBETWEEN(1,2),0))</f>
        <v>0</v>
      </c>
      <c r="R289" s="65">
        <f ca="1">IF(OR(R288="x",R288="xx"),RANDBETWEEN(1,2),0)</f>
        <v>0</v>
      </c>
      <c r="S289" s="66">
        <f ca="1">IF(S288="xx",RANDBETWEEN(1,2),0)</f>
        <v>0</v>
      </c>
    </row>
    <row r="290" spans="14:20" hidden="1" x14ac:dyDescent="0.3">
      <c r="O290" s="60" t="str">
        <f ca="1">IF(AND(Q11="cleric",Q12&gt;=11),"x",IF(AND($Q$11="cleric",$Q$12&gt;=9),"xx"," "))</f>
        <v xml:space="preserve"> </v>
      </c>
      <c r="P290" s="60" t="str">
        <f ca="1">IF(AND(Q11="cleric",Q12&gt;=13),"x",IF(AND($Q$11="cleric",$Q$12&gt;=11),"xx"," "))</f>
        <v xml:space="preserve"> </v>
      </c>
      <c r="Q290" s="60" t="str">
        <f ca="1">IF(AND(Q11="cleric",Q12&gt;=15),"x",IF(AND($Q$11="cleric",$Q$12&gt;=13),"xx"," "))</f>
        <v xml:space="preserve"> </v>
      </c>
      <c r="R290" s="60" t="str">
        <f ca="1">IF(AND(Q11="cleric",Q12&gt;=17),"x",IF(AND($Q$11="cleric",$Q$12&gt;15),"xx"," "))</f>
        <v xml:space="preserve"> </v>
      </c>
      <c r="S290" s="63" t="str">
        <f ca="1">IF(AND($Q$11="cleric",$Q$12&gt;=17),"xx"," ")</f>
        <v xml:space="preserve"> </v>
      </c>
    </row>
    <row r="291" spans="14:20" hidden="1" x14ac:dyDescent="0.3">
      <c r="O291" s="65">
        <f ca="1">IF(O290="x",RANDBETWEEN(2,3),IF(O290="xx",RANDBETWEEN(2,3),0))</f>
        <v>0</v>
      </c>
      <c r="P291" s="65">
        <f ca="1">IF(P290="x",RANDBETWEEN(2,3),IF(P290="xx",RANDBETWEEN(2,3),0))</f>
        <v>0</v>
      </c>
      <c r="Q291" s="65">
        <f ca="1">IF(Q290="x",RANDBETWEEN(1,2),IF(Q290="xx",RANDBETWEEN(1,2),0))</f>
        <v>0</v>
      </c>
      <c r="R291" s="65">
        <f ca="1">IF(OR(R290="x",R290="xx"),RANDBETWEEN(1,2),0)</f>
        <v>0</v>
      </c>
      <c r="S291" s="66">
        <f ca="1">IF(S290="xx",RANDBETWEEN(1,2),0)</f>
        <v>0</v>
      </c>
    </row>
    <row r="292" spans="14:20" hidden="1" x14ac:dyDescent="0.3">
      <c r="O292" s="60" t="str">
        <f ca="1">IF(AND($Q$11="bard",$Q$12&gt;=11),"x",IF(AND($Q$11="bard",$Q$12&gt;=9),"xx"," "))</f>
        <v xml:space="preserve"> </v>
      </c>
      <c r="P292" s="60" t="str">
        <f ca="1">IF(AND($Q$11="bard",$Q$12&gt;=13),"x",IF(AND($Q$11="bard",$Q$12&gt;=11),"xx"," "))</f>
        <v xml:space="preserve"> </v>
      </c>
      <c r="Q292" s="60" t="str">
        <f ca="1">IF(AND($Q$11="bard",$Q$12&gt;=15),"x",IF(AND($Q$11="bard",$Q$12&gt;=13),"xx"," "))</f>
        <v xml:space="preserve"> </v>
      </c>
      <c r="R292" s="60" t="str">
        <f ca="1">IF(AND($Q$11="bard",$Q$12&gt;=17),"x",IF(AND($Q$11="bard",$Q$12&gt;15),"xx"," "))</f>
        <v xml:space="preserve"> </v>
      </c>
      <c r="S292" s="63" t="str">
        <f ca="1">IF(AND($Q$11="bard",$Q$12&gt;=17),"xx"," ")</f>
        <v xml:space="preserve"> </v>
      </c>
    </row>
    <row r="293" spans="14:20" hidden="1" x14ac:dyDescent="0.3">
      <c r="O293" s="65">
        <f ca="1">IF(O292="x",RANDBETWEEN(2,3),IF(O292="xx",RANDBETWEEN(2,3),0))</f>
        <v>0</v>
      </c>
      <c r="P293" s="65">
        <f ca="1">IF(P292="x",RANDBETWEEN(2,3),IF(P292="xx",RANDBETWEEN(2,3),0))</f>
        <v>0</v>
      </c>
      <c r="Q293" s="65">
        <f ca="1">IF(Q292="x",RANDBETWEEN(1,2),IF(Q292="xx",RANDBETWEEN(1,2),0))</f>
        <v>0</v>
      </c>
      <c r="R293" s="65">
        <f ca="1">IF(OR(R292="x",R292="xx"),RANDBETWEEN(1,2),0)</f>
        <v>0</v>
      </c>
      <c r="S293" s="66">
        <f ca="1">IF(S292="xx",RANDBETWEEN(1,2),0)</f>
        <v>0</v>
      </c>
    </row>
    <row r="294" spans="14:20" x14ac:dyDescent="0.3">
      <c r="N294" s="72"/>
      <c r="O294" s="136"/>
      <c r="P294" s="96" t="s">
        <v>750</v>
      </c>
      <c r="Q294" s="96" t="s">
        <v>1125</v>
      </c>
      <c r="R294" s="96" t="s">
        <v>1126</v>
      </c>
      <c r="S294" s="96" t="s">
        <v>1127</v>
      </c>
      <c r="T294" s="97" t="s">
        <v>751</v>
      </c>
    </row>
    <row r="295" spans="14:20" x14ac:dyDescent="0.3">
      <c r="N295" s="72"/>
      <c r="O295" s="86">
        <v>1</v>
      </c>
      <c r="P295" s="65" t="str">
        <f ca="1">IF(AND($Q$15="Otherworldly patron - great old one",O$277&gt;=O193),INDEX('Spell Tables'!$AJ$226:$AJ$231,MATCH(O193,('Spell Tables'!$AH$226:$AH$231),0)),IF(AND($Q$15="Otherworldly patron - fiend",O$277&gt;=O193),INDEX('Spell Tables'!$AJ$210:$AJ$215,MATCH(O193,('Spell Tables'!$AH$210:$AH$215),0)),IF(AND($Q$15="Otherworldly patron - archfey",O$277&gt;=O193),INDEX('Spell Tables'!$AJ$194:$AJ$199,MATCH(O193,('Spell Tables'!$AH$194:$AH$199),0)),IF($O$275&gt;=O193,INDEX($AL$92:$AL$101,MATCH(O193,($AJ$92:$AJ$101),0)),IF($O$279&gt;=O193,INDEX('Spell Tables'!$AJ$168:$AJ$178,MATCH(O193,('Spell Tables'!$AH$168:$AH$178),0)),IF($O$283&gt;=O193,INDEX('Spell Tables'!$AF$119:$AF$122,MATCH(O193,('Spell Tables'!$AD$119:$AD$122),0)),IF($O$285&gt;=O193,INDEX('Spell Tables'!$AF$97:$AF$102,MATCH(O193,('Spell Tables'!$AD$97:$AD$102),0)),IF($O$289&gt;=O193,INDEX('Spell Tables'!$AJ$48:$AJ$61,MATCH(O193,('Spell Tables'!$AH$48:$AH$61),0)),IF($O$291&gt;=O193,INDEX('Spell Tables'!$AJ$26:$AJ$38,MATCH(O193,('Spell Tables'!$AH$26:$AH$38),0)),IF($O$293&gt;=O193,INDEX('Spell Tables'!$AJ$2:$AJ$17,MATCH(O193,('Spell Tables'!$AH$2:$AH$17),0))," "))))))))))</f>
        <v xml:space="preserve"> </v>
      </c>
      <c r="Q295" s="65" t="str">
        <f ca="1">IF($P$275&gt;=O262,INDEX($AL$104:$AL$113,MATCH(O262,($AJ$104:$AJ$113),0)),IF($P$279&gt;=O262,INDEX('Spell Tables'!$AN$168:$AN$177,MATCH(O262,('Spell Tables'!$AL$168:$AL$177),0)),IF($P$289&gt;=O262,INDEX('Spell Tables'!$AN$48:$AN$56,MATCH(O262,('Spell Tables'!$AL$48:$AL$56),0)),IF($P$291&gt;=O262,INDEX('Spell Tables'!$AN$26:$AN$35,MATCH(O262,('Spell Tables'!$AL$26:$AL$35),0)),IF($P$293&gt;=O262,INDEX('Spell Tables'!$AN$2:$AN$8,MATCH(O262,('Spell Tables'!$AL$2:$AL$8),0))," ")))))</f>
        <v xml:space="preserve"> </v>
      </c>
      <c r="R295" s="65" t="str">
        <f ca="1">IF($Q$275&gt;=O262,INDEX($AL$116:$AL$125,MATCH(O262,($AJ$116:$AJ$125),0)),IF($Q$279&gt;=O262,INDEX('Spell Tables'!$AR$168:$AR$175,MATCH(O262,('Spell Tables'!$AP$168:$AP$175),0)),IF($Q$289&gt;=O262,INDEX('Spell Tables'!$AR$48:$AR$52,MATCH(O262,('Spell Tables'!$AP$48:$AP$52),0)),IF($Q$291&gt;=O262,INDEX('Spell Tables'!$AR$26:$AR$33,MATCH(O262,('Spell Tables'!$AP$26:$AP$33),0)),IF($Q$293&gt;=O262,INDEX('Spell Tables'!$AR$2:$AR$11,MATCH(O262,('Spell Tables'!$AL$2:$AL$11),0))," ")))))</f>
        <v xml:space="preserve"> </v>
      </c>
      <c r="S295" s="65" t="str">
        <f ca="1">IF($R$275&gt;=O262,INDEX($AL$128:$AL$137,MATCH(O262,($AJ$128:$AJ$137),0)),IF($R$279&gt;=O262,INDEX('Spell Tables'!$AV$168:$AV$172,MATCH(O262,('Spell Tables'!$AT$168:$AT$172),0)),IF($R$289&gt;=O262,INDEX('Spell Tables'!$AV$48:$AV$54,MATCH(O262,('Spell Tables'!$AT$48:$AT$54),0)),IF($R$291&gt;=O262,INDEX('Spell Tables'!$AV$26:$AV$29,MATCH(O262,('Spell Tables'!$AT$26:$AT$29),0)),IF($R$293&gt;=O262,INDEX('Spell Tables'!$AV$2:$AV$6,MATCH(O262,('Spell Tables'!$AT$2:$AT$6),0))," ")))))</f>
        <v xml:space="preserve"> </v>
      </c>
      <c r="T295" s="66" t="str">
        <f ca="1">IF($S$289&gt;=O262,INDEX($AL$140:$AL$149,MATCH(O262,($AJ$140:$AJ$149),0)),IF($S$275&gt;=O262,INDEX('Spell Tables'!$AZ$242:$AZ$253,MATCH(O262,('Spell Tables'!$AX$242:$AX$253),0)),IF($S$279&gt;=O262,INDEX('Spell Tables'!$AZ$168:$AZ$172,MATCH(O262,('Spell Tables'!$AX$168:$AX$172),0)),IF($S$291&gt;=O262,INDEX('Spell Tables'!$AZ$26:$AZ$29,MATCH(O262,('Spell Tables'!$AX$26:$AX$29),0)),IF($S$293&gt;=O262,INDEX('Spell Tables'!$AZ$2:$AZ$5,MATCH(O262,('Spell Tables'!$AX$2:$AX$5),0))," ")))))</f>
        <v xml:space="preserve"> </v>
      </c>
    </row>
    <row r="296" spans="14:20" x14ac:dyDescent="0.3">
      <c r="N296" s="72"/>
      <c r="O296" s="133">
        <v>2</v>
      </c>
      <c r="P296" s="60" t="str">
        <f ca="1">IF(AND($Q$15="Otherworldly patron - great old one",O$277&gt;=O194),INDEX('Spell Tables'!$AJ$226:$AJ$231,MATCH(O194,('Spell Tables'!$AH$226:$AH$231),0)),IF(AND($Q$15="Otherworldly patron - fiend",O$277&gt;=O194),INDEX('Spell Tables'!$AJ$210:$AJ$215,MATCH(O194,('Spell Tables'!$AH$210:$AH$215),0)),IF(AND($Q$15="Otherworldly patron - archfey",O$277&gt;=O194),INDEX('Spell Tables'!$AJ$194:$AJ$199,MATCH(O194,('Spell Tables'!$AH$194:$AH$199),0)),IF($O$275&gt;=O194,INDEX($AL$92:$AL$101,MATCH(O194,($AJ$92:$AJ$101),0)),IF($O$279&gt;=O194,INDEX('Spell Tables'!$AJ$168:$AJ$178,MATCH(O194,('Spell Tables'!$AH$168:$AH$178),0)),IF($O$283&gt;=O194,INDEX('Spell Tables'!$AF$119:$AF$122,MATCH(O194,('Spell Tables'!$AD$119:$AD$122),0)),IF($O$285&gt;=O194,INDEX('Spell Tables'!$AF$97:$AF$102,MATCH(O194,('Spell Tables'!$AD$97:$AD$102),0)),IF($O$289&gt;=O194,INDEX('Spell Tables'!$AJ$48:$AJ$61,MATCH(O194,('Spell Tables'!$AH$48:$AH$61),0)),IF($O$291&gt;=O194,INDEX('Spell Tables'!$AJ$26:$AJ$38,MATCH(O194,('Spell Tables'!$AH$26:$AH$38),0)),IF($O$293&gt;=O194,INDEX('Spell Tables'!$AJ$2:$AJ$17,MATCH(O194,('Spell Tables'!$AH$2:$AH$17),0))," "))))))))))</f>
        <v xml:space="preserve"> </v>
      </c>
      <c r="Q296" s="60" t="str">
        <f ca="1">IF($P$275&gt;=O263,INDEX($AL$104:$AL$113,MATCH(O263,($AJ$104:$AJ$113),0)),IF($P$279&gt;=O263,INDEX('Spell Tables'!$AN$168:$AN$177,MATCH(O263,('Spell Tables'!$AL$168:$AL$177),0)),IF($P$289&gt;=O263,INDEX('Spell Tables'!$AN$48:$AN$56,MATCH(O263,('Spell Tables'!$AL$48:$AL$56),0)),IF($P$291&gt;=O263,INDEX('Spell Tables'!$AN$26:$AN$35,MATCH(O263,('Spell Tables'!$AL$26:$AL$35),0)),IF($P$293&gt;=O263,INDEX('Spell Tables'!$AN$2:$AN$8,MATCH(O263,('Spell Tables'!$AL$2:$AL$8),0))," ")))))</f>
        <v xml:space="preserve"> </v>
      </c>
      <c r="R296" s="60" t="str">
        <f ca="1">IF($Q$275&gt;=O263,INDEX($AL$116:$AL$125,MATCH(O263,($AJ$116:$AJ$125),0)),IF($Q$279&gt;=O263,INDEX('Spell Tables'!$AR$168:$AR$175,MATCH(O263,('Spell Tables'!$AP$168:$AP$175),0)),IF($Q$289&gt;=O263,INDEX('Spell Tables'!$AR$48:$AR$52,MATCH(O263,('Spell Tables'!$AP$48:$AP$52),0)),IF($Q$291&gt;=O263,INDEX('Spell Tables'!$AR$26:$AR$33,MATCH(O263,('Spell Tables'!$AP$26:$AP$33),0)),IF($Q$293&gt;=O263,INDEX('Spell Tables'!$AR$2:$AR$11,MATCH(O263,('Spell Tables'!$AL$2:$AL$11),0))," ")))))</f>
        <v xml:space="preserve"> </v>
      </c>
      <c r="S296" s="60" t="str">
        <f ca="1">IF($R$275&gt;=O263,INDEX($AL$128:$AL$137,MATCH(O263,($AJ$128:$AJ$137),0)),IF($R$279&gt;=O263,INDEX('Spell Tables'!$AV$168:$AV$172,MATCH(O263,('Spell Tables'!$AT$168:$AT$172),0)),IF($R$289&gt;=O263,INDEX('Spell Tables'!$AV$48:$AV$54,MATCH(O263,('Spell Tables'!$AT$48:$AT$54),0)),IF($R$291&gt;=O263,INDEX('Spell Tables'!$AV$26:$AV$29,MATCH(O263,('Spell Tables'!$AT$26:$AT$29),0)),IF($R$293&gt;=O263,INDEX('Spell Tables'!$AV$2:$AV$6,MATCH(O263,('Spell Tables'!$AT$2:$AT$6),0))," ")))))</f>
        <v xml:space="preserve"> </v>
      </c>
      <c r="T296" s="63" t="str">
        <f ca="1">IF($S$289&gt;=O263,INDEX($AL$140:$AL$149,MATCH(O263,($AJ$140:$AJ$149),0)),IF($S$275&gt;=O263,INDEX('Spell Tables'!$AZ$242:$AZ$253,MATCH(O263,('Spell Tables'!$AX$242:$AX$253),0)),IF($S$279&gt;=O263,INDEX('Spell Tables'!$AZ$168:$AZ$172,MATCH(O263,('Spell Tables'!$AX$168:$AX$172),0)),IF($S$291&gt;=O263,INDEX('Spell Tables'!$AZ$26:$AZ$29,MATCH(O263,('Spell Tables'!$AX$26:$AX$29),0)),IF($S$293&gt;=O263,INDEX('Spell Tables'!$AZ$2:$AZ$5,MATCH(O263,('Spell Tables'!$AX$2:$AX$5),0))," ")))))</f>
        <v xml:space="preserve"> </v>
      </c>
    </row>
    <row r="297" spans="14:20" x14ac:dyDescent="0.3">
      <c r="N297" s="72"/>
      <c r="O297" s="86">
        <v>3</v>
      </c>
      <c r="P297" s="65" t="str">
        <f ca="1">IF(AND($Q$15="Otherworldly patron - great old one",O$277&gt;=O195),INDEX('Spell Tables'!$AJ$226:$AJ$231,MATCH(O195,('Spell Tables'!$AH$226:$AH$231),0)),IF(AND($Q$15="Otherworldly patron - fiend",O$277&gt;=O195),INDEX('Spell Tables'!$AJ$210:$AJ$215,MATCH(O195,('Spell Tables'!$AH$210:$AH$215),0)),IF(AND($Q$15="Otherworldly patron - archfey",O$277&gt;=O195),INDEX('Spell Tables'!$AJ$194:$AJ$199,MATCH(O195,('Spell Tables'!$AH$194:$AH$199),0)),IF($O$275&gt;=O195,INDEX($AL$92:$AL$101,MATCH(O195,($AJ$92:$AJ$101),0)),IF($O$279&gt;=O195,INDEX('Spell Tables'!$AJ$168:$AJ$178,MATCH(O195,('Spell Tables'!$AH$168:$AH$178),0)),IF($O$283&gt;=O195,INDEX('Spell Tables'!$AF$119:$AF$122,MATCH(O195,('Spell Tables'!$AD$119:$AD$122),0)),IF($O$285&gt;=O195,INDEX('Spell Tables'!$AF$97:$AF$102,MATCH(O195,('Spell Tables'!$AD$97:$AD$102),0)),IF($O$289&gt;=O195,INDEX('Spell Tables'!$AJ$48:$AJ$61,MATCH(O195,('Spell Tables'!$AH$48:$AH$61),0)),IF($O$291&gt;=O195,INDEX('Spell Tables'!$AJ$26:$AJ$38,MATCH(O195,('Spell Tables'!$AH$26:$AH$38),0)),IF($O$293&gt;=O195,INDEX('Spell Tables'!$AJ$2:$AJ$17,MATCH(O195,('Spell Tables'!$AH$2:$AH$17),0))," "))))))))))</f>
        <v xml:space="preserve"> </v>
      </c>
      <c r="Q297" s="65" t="str">
        <f ca="1">IF($P$275&gt;=O264,INDEX($AL$104:$AL$113,MATCH(O264,($AJ$104:$AJ$113),0)),IF($P$279&gt;=O264,INDEX('Spell Tables'!$AN$168:$AN$177,MATCH(O264,('Spell Tables'!$AL$168:$AL$177),0)),IF($P$289&gt;=O264,INDEX('Spell Tables'!$AN$48:$AN$56,MATCH(O264,('Spell Tables'!$AL$48:$AL$56),0)),IF($P$291&gt;=O264,INDEX('Spell Tables'!$AN$26:$AN$35,MATCH(O264,('Spell Tables'!$AL$26:$AL$35),0)),IF($P$293&gt;=O264,INDEX('Spell Tables'!$AN$2:$AN$8,MATCH(O264,('Spell Tables'!$AL$2:$AL$8),0))," ")))))</f>
        <v xml:space="preserve"> </v>
      </c>
      <c r="R297" s="65" t="str">
        <f ca="1">IF($Q$275&gt;=O264,INDEX($AL$116:$AL$125,MATCH(O264,($AJ$116:$AJ$125),0)),IF($Q$279&gt;=O264,INDEX('Spell Tables'!$AR$168:$AR$175,MATCH(O264,('Spell Tables'!$AP$168:$AP$175),0)),IF($Q$289&gt;=O264,INDEX('Spell Tables'!$AR$48:$AR$52,MATCH(O264,('Spell Tables'!$AP$48:$AP$52),0)),IF($Q$291&gt;=O264,INDEX('Spell Tables'!$AR$26:$AR$33,MATCH(O264,('Spell Tables'!$AP$26:$AP$33),0)),IF($Q$293&gt;=O264,INDEX('Spell Tables'!$AR$2:$AR$11,MATCH(O264,('Spell Tables'!$AL$2:$AL$11),0))," ")))))</f>
        <v xml:space="preserve"> </v>
      </c>
      <c r="S297" s="65" t="str">
        <f ca="1">IF($R$275&gt;=O264,INDEX($AL$128:$AL$137,MATCH(O264,($AJ$128:$AJ$137),0)),IF($R$279&gt;=O264,INDEX('Spell Tables'!$AV$168:$AV$172,MATCH(O264,('Spell Tables'!$AT$168:$AT$172),0)),IF($R$289&gt;=O264,INDEX('Spell Tables'!$AV$48:$AV$54,MATCH(O264,('Spell Tables'!$AT$48:$AT$54),0)),IF($R$291&gt;=O264,INDEX('Spell Tables'!$AV$26:$AV$29,MATCH(O264,('Spell Tables'!$AT$26:$AT$29),0)),IF($R$293&gt;=O264,INDEX('Spell Tables'!$AV$2:$AV$6,MATCH(O264,('Spell Tables'!$AT$2:$AT$6),0))," ")))))</f>
        <v xml:space="preserve"> </v>
      </c>
      <c r="T297" s="66" t="str">
        <f ca="1">IF($S$289&gt;=O264,INDEX($AL$140:$AL$149,MATCH(O264,($AJ$140:$AJ$149),0)),IF($S$275&gt;=O264,INDEX('Spell Tables'!$AZ$242:$AZ$253,MATCH(O264,('Spell Tables'!$AX$242:$AX$253),0)),IF($S$279&gt;=O264,INDEX('Spell Tables'!$AZ$168:$AZ$172,MATCH(O264,('Spell Tables'!$AX$168:$AX$172),0)),IF($S$291&gt;=O264,INDEX('Spell Tables'!$AZ$26:$AZ$29,MATCH(O264,('Spell Tables'!$AX$26:$AX$29),0)),IF($S$293&gt;=O264,INDEX('Spell Tables'!$AZ$2:$AZ$5,MATCH(O264,('Spell Tables'!$AX$2:$AX$5),0))," ")))))</f>
        <v xml:space="preserve"> </v>
      </c>
    </row>
    <row r="298" spans="14:20" x14ac:dyDescent="0.3">
      <c r="N298" s="72"/>
      <c r="O298" s="133">
        <v>4</v>
      </c>
      <c r="P298" s="60" t="str">
        <f ca="1">IF(AND($Q$15="Otherworldly patron - great old one",O$277&gt;=O196),INDEX('Spell Tables'!$AJ$226:$AJ$231,MATCH(O196,('Spell Tables'!$AH$226:$AH$231),0)),IF(AND($Q$15="Otherworldly patron - fiend",O$277&gt;=O196),INDEX('Spell Tables'!$AJ$210:$AJ$215,MATCH(O196,('Spell Tables'!$AH$210:$AH$215),0)),IF(AND($Q$15="Otherworldly patron - archfey",O$277&gt;=O196),INDEX('Spell Tables'!$AJ$194:$AJ$199,MATCH(O196,('Spell Tables'!$AH$194:$AH$199),0)),IF($O$275&gt;=O196,INDEX($AL$92:$AL$101,MATCH(O196,($AJ$92:$AJ$101),0)),IF($O$279&gt;=O196,INDEX('Spell Tables'!$AJ$168:$AJ$178,MATCH(O196,('Spell Tables'!$AH$168:$AH$178),0)),IF($O$283&gt;=O196,INDEX('Spell Tables'!$AF$119:$AF$122,MATCH(O196,('Spell Tables'!$AD$119:$AD$122),0)),IF($O$285&gt;=O196,INDEX('Spell Tables'!$AF$97:$AF$102,MATCH(O196,('Spell Tables'!$AD$97:$AD$102),0)),IF($O$289&gt;=O196,INDEX('Spell Tables'!$AJ$48:$AJ$61,MATCH(O196,('Spell Tables'!$AH$48:$AH$61),0)),IF($O$291&gt;=O196,INDEX('Spell Tables'!$AJ$26:$AJ$38,MATCH(O196,('Spell Tables'!$AH$26:$AH$38),0)),IF($O$293&gt;=O196,INDEX('Spell Tables'!$AJ$2:$AJ$17,MATCH(O196,('Spell Tables'!$AH$2:$AH$17),0))," "))))))))))</f>
        <v xml:space="preserve"> </v>
      </c>
      <c r="Q298" s="60" t="str">
        <f ca="1">IF($P$275&gt;=O265,INDEX($AL$104:$AL$113,MATCH(O265,($AJ$104:$AJ$113),0)),IF($P$279&gt;=O265,INDEX('Spell Tables'!$AN$168:$AN$177,MATCH(O265,('Spell Tables'!$AL$168:$AL$177),0)),IF($P$289&gt;=O265,INDEX('Spell Tables'!$AN$48:$AN$56,MATCH(O265,('Spell Tables'!$AL$48:$AL$56),0)),IF($P$291&gt;=O265,INDEX('Spell Tables'!$AN$26:$AN$35,MATCH(O265,('Spell Tables'!$AL$26:$AL$35),0)),IF($P$293&gt;=O265,INDEX('Spell Tables'!$AN$2:$AN$8,MATCH(O265,('Spell Tables'!$AL$2:$AL$8),0))," ")))))</f>
        <v xml:space="preserve"> </v>
      </c>
      <c r="R298" s="60" t="str">
        <f ca="1">IF($Q$275&gt;=O265,INDEX($AL$116:$AL$125,MATCH(O265,($AJ$116:$AJ$125),0)),IF($Q$279&gt;=O265,INDEX('Spell Tables'!$AR$168:$AR$175,MATCH(O265,('Spell Tables'!$AP$168:$AP$175),0)),IF($Q$289&gt;=O265,INDEX('Spell Tables'!$AR$48:$AR$52,MATCH(O265,('Spell Tables'!$AP$48:$AP$52),0)),IF($Q$291&gt;=O265,INDEX('Spell Tables'!$AR$26:$AR$33,MATCH(O265,('Spell Tables'!$AP$26:$AP$33),0)),IF($Q$293&gt;=O265,INDEX('Spell Tables'!$AR$2:$AR$11,MATCH(O265,('Spell Tables'!$AL$2:$AL$11),0))," ")))))</f>
        <v xml:space="preserve"> </v>
      </c>
      <c r="S298" s="60" t="str">
        <f ca="1">IF($R$275&gt;=O265,INDEX($AL$128:$AL$137,MATCH(O265,($AJ$128:$AJ$137),0)),IF($R$279&gt;=O265,INDEX('Spell Tables'!$AV$168:$AV$172,MATCH(O265,('Spell Tables'!$AT$168:$AT$172),0)),IF($R$289&gt;=O265,INDEX('Spell Tables'!$AV$48:$AV$54,MATCH(O265,('Spell Tables'!$AT$48:$AT$54),0)),IF($R$291&gt;=O265,INDEX('Spell Tables'!$AV$26:$AV$29,MATCH(O265,('Spell Tables'!$AT$26:$AT$29),0)),IF($R$293&gt;=O265,INDEX('Spell Tables'!$AV$2:$AV$6,MATCH(O265,('Spell Tables'!$AT$2:$AT$6),0))," ")))))</f>
        <v xml:space="preserve"> </v>
      </c>
      <c r="T298" s="63" t="str">
        <f ca="1">IF($S$289&gt;=O265,INDEX($AL$140:$AL$149,MATCH(O265,($AJ$140:$AJ$149),0)),IF($S$275&gt;=O265,INDEX('Spell Tables'!$AZ$242:$AZ$253,MATCH(O265,('Spell Tables'!$AX$242:$AX$253),0)),IF($S$279&gt;=O265,INDEX('Spell Tables'!$AZ$168:$AZ$172,MATCH(O265,('Spell Tables'!$AX$168:$AX$172),0)),IF($S$291&gt;=O265,INDEX('Spell Tables'!$AZ$26:$AZ$29,MATCH(O265,('Spell Tables'!$AX$26:$AX$29),0)),IF($S$293&gt;=O265,INDEX('Spell Tables'!$AZ$2:$AZ$5,MATCH(O265,('Spell Tables'!$AX$2:$AX$5),0))," ")))))</f>
        <v xml:space="preserve"> </v>
      </c>
    </row>
    <row r="299" spans="14:20" x14ac:dyDescent="0.3">
      <c r="N299" s="72"/>
      <c r="O299" s="86">
        <v>5</v>
      </c>
      <c r="P299" s="65" t="str">
        <f ca="1">IF(AND($Q$15="Otherworldly patron - great old one",O$277&gt;=O197),INDEX('Spell Tables'!$AJ$226:$AJ$231,MATCH(O197,('Spell Tables'!$AH$226:$AH$231),0)),IF(AND($Q$15="Otherworldly patron - fiend",O$277&gt;=O197),INDEX('Spell Tables'!$AJ$210:$AJ$215,MATCH(O197,('Spell Tables'!$AH$210:$AH$215),0)),IF(AND($Q$15="Otherworldly patron - archfey",O$277&gt;=O197),INDEX('Spell Tables'!$AJ$194:$AJ$199,MATCH(O197,('Spell Tables'!$AH$194:$AH$199),0)),IF($O$275&gt;=O197,INDEX($AL$92:$AL$101,MATCH(O197,($AJ$92:$AJ$101),0)),IF($O$279&gt;=O197,INDEX('Spell Tables'!$AJ$168:$AJ$178,MATCH(O197,('Spell Tables'!$AH$168:$AH$178),0)),IF($O$283&gt;=O197,INDEX('Spell Tables'!$AF$119:$AF$122,MATCH(O197,('Spell Tables'!$AD$119:$AD$122),0)),IF($O$285&gt;=O197,INDEX('Spell Tables'!$AF$97:$AF$102,MATCH(O197,('Spell Tables'!$AD$97:$AD$102),0)),IF($O$289&gt;=O197,INDEX('Spell Tables'!$AJ$48:$AJ$61,MATCH(O197,('Spell Tables'!$AH$48:$AH$61),0)),IF($O$291&gt;=O197,INDEX('Spell Tables'!$AJ$26:$AJ$38,MATCH(O197,('Spell Tables'!$AH$26:$AH$38),0)),IF($O$293&gt;=O197,INDEX('Spell Tables'!$AJ$2:$AJ$17,MATCH(O197,('Spell Tables'!$AH$2:$AH$17),0))," "))))))))))</f>
        <v xml:space="preserve"> </v>
      </c>
      <c r="Q299" s="65" t="str">
        <f ca="1">IF($P$275&gt;=O266,INDEX($AL$104:$AL$113,MATCH(O266,($AJ$104:$AJ$113),0)),IF($P$279&gt;=O266,INDEX('Spell Tables'!$AN$168:$AN$177,MATCH(O266,('Spell Tables'!$AL$168:$AL$177),0)),IF($P$289&gt;=O266,INDEX('Spell Tables'!$AN$48:$AN$56,MATCH(O266,('Spell Tables'!$AL$48:$AL$56),0)),IF($P$291&gt;=O266,INDEX('Spell Tables'!$AN$26:$AN$35,MATCH(O266,('Spell Tables'!$AL$26:$AL$35),0)),IF($P$293&gt;=O266,INDEX('Spell Tables'!$AN$2:$AN$8,MATCH(O266,('Spell Tables'!$AL$2:$AL$8),0))," ")))))</f>
        <v xml:space="preserve"> </v>
      </c>
      <c r="R299" s="65" t="str">
        <f ca="1">IF($Q$275&gt;=O266,INDEX($AL$116:$AL$125,MATCH(O266,($AJ$116:$AJ$125),0)),IF($Q$279&gt;=O266,INDEX('Spell Tables'!$AR$168:$AR$175,MATCH(O266,('Spell Tables'!$AP$168:$AP$175),0)),IF($Q$289&gt;=O266,INDEX('Spell Tables'!$AR$48:$AR$52,MATCH(O266,('Spell Tables'!$AP$48:$AP$52),0)),IF($Q$291&gt;=O266,INDEX('Spell Tables'!$AR$26:$AR$33,MATCH(O266,('Spell Tables'!$AP$26:$AP$33),0)),IF($Q$293&gt;=O266,INDEX('Spell Tables'!$AR$2:$AR$11,MATCH(O266,('Spell Tables'!$AL$2:$AL$11),0))," ")))))</f>
        <v xml:space="preserve"> </v>
      </c>
      <c r="S299" s="65" t="str">
        <f ca="1">IF($R$275&gt;=O266,INDEX($AL$128:$AL$137,MATCH(O266,($AJ$128:$AJ$137),0)),IF($R$279&gt;=O266,INDEX('Spell Tables'!$AV$168:$AV$172,MATCH(O266,('Spell Tables'!$AT$168:$AT$172),0)),IF($R$289&gt;=O266,INDEX('Spell Tables'!$AV$48:$AV$54,MATCH(O266,('Spell Tables'!$AT$48:$AT$54),0)),IF($R$291&gt;=O266,INDEX('Spell Tables'!$AV$26:$AV$29,MATCH(O266,('Spell Tables'!$AT$26:$AT$29),0)),IF($R$293&gt;=O266,INDEX('Spell Tables'!$AV$2:$AV$6,MATCH(O266,('Spell Tables'!$AT$2:$AT$6),0))," ")))))</f>
        <v xml:space="preserve"> </v>
      </c>
      <c r="T299" s="66" t="str">
        <f ca="1">IF($S$289&gt;=O266,INDEX($AL$140:$AL$149,MATCH(O266,($AJ$140:$AJ$149),0)),IF($S$275&gt;=O266,INDEX('Spell Tables'!$AZ$242:$AZ$253,MATCH(O266,('Spell Tables'!$AX$242:$AX$253),0)),IF($S$279&gt;=O266,INDEX('Spell Tables'!$AZ$168:$AZ$172,MATCH(O266,('Spell Tables'!$AX$168:$AX$172),0)),IF($S$291&gt;=O266,INDEX('Spell Tables'!$AZ$26:$AZ$29,MATCH(O266,('Spell Tables'!$AX$26:$AX$29),0)),IF($S$293&gt;=O266,INDEX('Spell Tables'!$AZ$2:$AZ$5,MATCH(O266,('Spell Tables'!$AX$2:$AX$5),0))," ")))))</f>
        <v xml:space="preserve"> </v>
      </c>
    </row>
    <row r="300" spans="14:20" x14ac:dyDescent="0.3">
      <c r="N300" s="72"/>
      <c r="O300" s="133">
        <v>6</v>
      </c>
      <c r="P300" s="60" t="str">
        <f ca="1">IF(AND($Q$15="Otherworldly patron - great old one",O$277&gt;=O198),INDEX('Spell Tables'!$AJ$226:$AJ$231,MATCH(O198,('Spell Tables'!$AH$226:$AH$231),0)),IF(AND($Q$15="Otherworldly patron - fiend",O$277&gt;=O198),INDEX('Spell Tables'!$AJ$210:$AJ$215,MATCH(O198,('Spell Tables'!$AH$210:$AH$215),0)),IF(AND($Q$15="Otherworldly patron - archfey",O$277&gt;=O198),INDEX('Spell Tables'!$AJ$194:$AJ$199,MATCH(O198,('Spell Tables'!$AH$194:$AH$199),0)),IF($O$275&gt;=O198,INDEX($AL$92:$AL$101,MATCH(O198,($AJ$92:$AJ$101),0)),IF($O$279&gt;=O198,INDEX('Spell Tables'!$AJ$168:$AJ$178,MATCH(O198,('Spell Tables'!$AH$168:$AH$178),0)),IF($O$283&gt;=O198,INDEX('Spell Tables'!$AF$119:$AF$122,MATCH(O198,('Spell Tables'!$AD$119:$AD$122),0)),IF($O$285&gt;=O198,INDEX('Spell Tables'!$AF$97:$AF$102,MATCH(O198,('Spell Tables'!$AD$97:$AD$102),0)),IF($O$289&gt;=O198,INDEX('Spell Tables'!$AJ$48:$AJ$61,MATCH(O198,('Spell Tables'!$AH$48:$AH$61),0)),IF($O$291&gt;=O198,INDEX('Spell Tables'!$AJ$26:$AJ$38,MATCH(O198,('Spell Tables'!$AH$26:$AH$38),0)),IF($O$293&gt;=O198,INDEX('Spell Tables'!$AJ$2:$AJ$17,MATCH(O198,('Spell Tables'!$AH$2:$AH$17),0))," "))))))))))</f>
        <v xml:space="preserve"> </v>
      </c>
      <c r="Q300" s="60" t="str">
        <f ca="1">IF($P$275&gt;=O267,INDEX($AL$104:$AL$113,MATCH(O267,($AJ$104:$AJ$113),0)),IF($P$279&gt;=O267,INDEX('Spell Tables'!$AN$168:$AN$177,MATCH(O267,('Spell Tables'!$AL$168:$AL$177),0)),IF($P$289&gt;=O267,INDEX('Spell Tables'!$AN$48:$AN$56,MATCH(O267,('Spell Tables'!$AL$48:$AL$56),0)),IF($P$291&gt;=O267,INDEX('Spell Tables'!$AN$26:$AN$35,MATCH(O267,('Spell Tables'!$AL$26:$AL$35),0)),IF($P$293&gt;=O267,INDEX('Spell Tables'!$AN$2:$AN$8,MATCH(O267,('Spell Tables'!$AL$2:$AL$8),0))," ")))))</f>
        <v xml:space="preserve"> </v>
      </c>
      <c r="R300" s="60" t="str">
        <f ca="1">IF($Q$275&gt;=O267,INDEX($AL$116:$AL$125,MATCH(O267,($AJ$116:$AJ$125),0)),IF($Q$279&gt;=O267,INDEX('Spell Tables'!$AR$168:$AR$175,MATCH(O267,('Spell Tables'!$AP$168:$AP$175),0)),IF($Q$289&gt;=O267,INDEX('Spell Tables'!$AR$48:$AR$52,MATCH(O267,('Spell Tables'!$AP$48:$AP$52),0)),IF($Q$291&gt;=O267,INDEX('Spell Tables'!$AR$26:$AR$33,MATCH(O267,('Spell Tables'!$AP$26:$AP$33),0)),IF($Q$293&gt;=O267,INDEX('Spell Tables'!$AR$2:$AR$11,MATCH(O267,('Spell Tables'!$AL$2:$AL$11),0))," ")))))</f>
        <v xml:space="preserve"> </v>
      </c>
      <c r="S300" s="60" t="str">
        <f ca="1">IF($R$275&gt;=O267,INDEX($AL$128:$AL$137,MATCH(O267,($AJ$128:$AJ$137),0)),IF($R$279&gt;=O267,INDEX('Spell Tables'!$AV$168:$AV$172,MATCH(O267,('Spell Tables'!$AT$168:$AT$172),0)),IF($R$289&gt;=O267,INDEX('Spell Tables'!$AV$48:$AV$54,MATCH(O267,('Spell Tables'!$AT$48:$AT$54),0)),IF($R$291&gt;=O267,INDEX('Spell Tables'!$AV$26:$AV$29,MATCH(O267,('Spell Tables'!$AT$26:$AT$29),0)),IF($R$293&gt;=O267,INDEX('Spell Tables'!$AV$2:$AV$6,MATCH(O267,('Spell Tables'!$AT$2:$AT$6),0))," ")))))</f>
        <v xml:space="preserve"> </v>
      </c>
      <c r="T300" s="63" t="str">
        <f ca="1">IF($S$289&gt;=O267,INDEX($AL$140:$AL$149,MATCH(O267,($AJ$140:$AJ$149),0)),IF($S$275&gt;=O267,INDEX('Spell Tables'!$AZ$242:$AZ$253,MATCH(O267,('Spell Tables'!$AX$242:$AX$253),0)),IF($S$279&gt;=O267,INDEX('Spell Tables'!$AZ$168:$AZ$172,MATCH(O267,('Spell Tables'!$AX$168:$AX$172),0)),IF($S$291&gt;=O267,INDEX('Spell Tables'!$AZ$26:$AZ$29,MATCH(O267,('Spell Tables'!$AX$26:$AX$29),0)),IF($S$293&gt;=O267,INDEX('Spell Tables'!$AZ$2:$AZ$5,MATCH(O267,('Spell Tables'!$AX$2:$AX$5),0))," ")))))</f>
        <v xml:space="preserve"> </v>
      </c>
    </row>
    <row r="301" spans="14:20" x14ac:dyDescent="0.3">
      <c r="N301" s="72"/>
      <c r="O301" s="86">
        <v>7</v>
      </c>
      <c r="P301" s="65" t="str">
        <f ca="1">IF(AND($Q$15="Otherworldly patron - great old one",O$277&gt;=O199),INDEX('Spell Tables'!$AJ$226:$AJ$231,MATCH(O199,('Spell Tables'!$AH$226:$AH$231),0)),IF(AND($Q$15="Otherworldly patron - fiend",O$277&gt;=O199),INDEX('Spell Tables'!$AJ$210:$AJ$215,MATCH(O199,('Spell Tables'!$AH$210:$AH$215),0)),IF(AND($Q$15="Otherworldly patron - archfey",O$277&gt;=O199),INDEX('Spell Tables'!$AJ$194:$AJ$199,MATCH(O199,('Spell Tables'!$AH$194:$AH$199),0)),IF($O$275&gt;=O199,INDEX($AL$92:$AL$101,MATCH(O199,($AJ$92:$AJ$101),0)),IF($O$279&gt;=O199,INDEX('Spell Tables'!$AJ$168:$AJ$178,MATCH(O199,('Spell Tables'!$AH$168:$AH$178),0)),IF($O$283&gt;=O199,INDEX('Spell Tables'!$AF$119:$AF$122,MATCH(O199,('Spell Tables'!$AD$119:$AD$122),0)),IF($O$285&gt;=O199,INDEX('Spell Tables'!$AF$97:$AF$102,MATCH(O199,('Spell Tables'!$AD$97:$AD$102),0)),IF($O$289&gt;=O199,INDEX('Spell Tables'!$AJ$48:$AJ$61,MATCH(O199,('Spell Tables'!$AH$48:$AH$61),0)),IF($O$291&gt;=O199,INDEX('Spell Tables'!$AJ$26:$AJ$38,MATCH(O199,('Spell Tables'!$AH$26:$AH$38),0)),IF($O$293&gt;=O199,INDEX('Spell Tables'!$AJ$2:$AJ$17,MATCH(O199,('Spell Tables'!$AH$2:$AH$17),0))," "))))))))))</f>
        <v xml:space="preserve"> </v>
      </c>
      <c r="Q301" s="65" t="str">
        <f ca="1">IF($P$275&gt;=O268,INDEX($AL$104:$AL$113,MATCH(O268,($AJ$104:$AJ$113),0)),IF($P$279&gt;=O268,INDEX('Spell Tables'!$AN$168:$AN$177,MATCH(O268,('Spell Tables'!$AL$168:$AL$177),0)),IF($P$289&gt;=O268,INDEX('Spell Tables'!$AN$48:$AN$56,MATCH(O268,('Spell Tables'!$AL$48:$AL$56),0)),IF($P$291&gt;=O268,INDEX('Spell Tables'!$AN$26:$AN$35,MATCH(O268,('Spell Tables'!$AL$26:$AL$35),0)),IF($P$293&gt;=O268,INDEX('Spell Tables'!$AN$2:$AN$8,MATCH(O268,('Spell Tables'!$AL$2:$AL$8),0))," ")))))</f>
        <v xml:space="preserve"> </v>
      </c>
      <c r="R301" s="65" t="str">
        <f ca="1">IF($Q$275&gt;=O268,INDEX($AL$116:$AL$125,MATCH(O268,($AJ$116:$AJ$125),0)),IF($Q$279&gt;=O268,INDEX('Spell Tables'!$AR$168:$AR$175,MATCH(O268,('Spell Tables'!$AP$168:$AP$175),0)),IF($Q$289&gt;=O268,INDEX('Spell Tables'!$AR$48:$AR$52,MATCH(O268,('Spell Tables'!$AP$48:$AP$52),0)),IF($Q$291&gt;=O268,INDEX('Spell Tables'!$AR$26:$AR$33,MATCH(O268,('Spell Tables'!$AP$26:$AP$33),0)),IF($Q$293&gt;=O268,INDEX('Spell Tables'!$AR$2:$AR$11,MATCH(O268,('Spell Tables'!$AL$2:$AL$11),0))," ")))))</f>
        <v xml:space="preserve"> </v>
      </c>
      <c r="S301" s="65" t="str">
        <f ca="1">IF($R$275&gt;=O268,INDEX($AL$128:$AL$137,MATCH(O268,($AJ$128:$AJ$137),0)),IF($R$279&gt;=O268,INDEX('Spell Tables'!$AV$168:$AV$172,MATCH(O268,('Spell Tables'!$AT$168:$AT$172),0)),IF($R$289&gt;=O268,INDEX('Spell Tables'!$AV$48:$AV$54,MATCH(O268,('Spell Tables'!$AT$48:$AT$54),0)),IF($R$291&gt;=O268,INDEX('Spell Tables'!$AV$26:$AV$29,MATCH(O268,('Spell Tables'!$AT$26:$AT$29),0)),IF($R$293&gt;=O268,INDEX('Spell Tables'!$AV$2:$AV$6,MATCH(O268,('Spell Tables'!$AT$2:$AT$6),0))," ")))))</f>
        <v xml:space="preserve"> </v>
      </c>
      <c r="T301" s="66" t="str">
        <f ca="1">IF($S$289&gt;=O268,INDEX($AL$140:$AL$149,MATCH(O268,($AJ$140:$AJ$149),0)),IF($S$275&gt;=O268,INDEX('Spell Tables'!$AZ$242:$AZ$253,MATCH(O268,('Spell Tables'!$AX$242:$AX$253),0)),IF($S$279&gt;=O268,INDEX('Spell Tables'!$AZ$168:$AZ$172,MATCH(O268,('Spell Tables'!$AX$168:$AX$172),0)),IF($S$291&gt;=O268,INDEX('Spell Tables'!$AZ$26:$AZ$29,MATCH(O268,('Spell Tables'!$AX$26:$AX$29),0)),IF($S$293&gt;=O268,INDEX('Spell Tables'!$AZ$2:$AZ$5,MATCH(O268,('Spell Tables'!$AX$2:$AX$5),0))," ")))))</f>
        <v xml:space="preserve"> </v>
      </c>
    </row>
    <row r="302" spans="14:20" x14ac:dyDescent="0.3">
      <c r="N302" s="72"/>
      <c r="O302" s="133">
        <v>8</v>
      </c>
      <c r="P302" s="60" t="str">
        <f ca="1">IF(AND($Q$15="Otherworldly patron - great old one",O$277&gt;=O200),INDEX('Spell Tables'!$AJ$226:$AJ$231,MATCH(O200,('Spell Tables'!$AH$226:$AH$231),0)),IF(AND($Q$15="Otherworldly patron - fiend",O$277&gt;=O200),INDEX('Spell Tables'!$AJ$210:$AJ$215,MATCH(O200,('Spell Tables'!$AH$210:$AH$215),0)),IF(AND($Q$15="Otherworldly patron - archfey",O$277&gt;=O200),INDEX('Spell Tables'!$AJ$194:$AJ$199,MATCH(O200,('Spell Tables'!$AH$194:$AH$199),0)),IF($O$275&gt;=O200,INDEX($AL$92:$AL$101,MATCH(O200,($AJ$92:$AJ$101),0)),IF($O$279&gt;=O200,INDEX('Spell Tables'!$AJ$168:$AJ$178,MATCH(O200,('Spell Tables'!$AH$168:$AH$178),0)),IF($O$283&gt;=O200,INDEX('Spell Tables'!$AF$119:$AF$122,MATCH(O200,('Spell Tables'!$AD$119:$AD$122),0)),IF($O$285&gt;=O200,INDEX('Spell Tables'!$AF$97:$AF$102,MATCH(O200,('Spell Tables'!$AD$97:$AD$102),0)),IF($O$289&gt;=O200,INDEX('Spell Tables'!$AJ$48:$AJ$61,MATCH(O200,('Spell Tables'!$AH$48:$AH$61),0)),IF($O$291&gt;=O200,INDEX('Spell Tables'!$AJ$26:$AJ$38,MATCH(O200,('Spell Tables'!$AH$26:$AH$38),0)),IF($O$293&gt;=O200,INDEX('Spell Tables'!$AJ$2:$AJ$17,MATCH(O200,('Spell Tables'!$AH$2:$AH$17),0))," "))))))))))</f>
        <v xml:space="preserve"> </v>
      </c>
      <c r="Q302" s="60" t="str">
        <f ca="1">IF($P$275&gt;=O269,INDEX($AL$104:$AL$113,MATCH(O269,($AJ$104:$AJ$113),0)),IF($P$279&gt;=O269,INDEX('Spell Tables'!$AN$168:$AN$177,MATCH(O269,('Spell Tables'!$AL$168:$AL$177),0)),IF($P$289&gt;=O269,INDEX('Spell Tables'!$AN$48:$AN$56,MATCH(O269,('Spell Tables'!$AL$48:$AL$56),0)),IF($P$291&gt;=O269,INDEX('Spell Tables'!$AN$26:$AN$35,MATCH(O269,('Spell Tables'!$AL$26:$AL$35),0)),IF($P$293&gt;=O269,INDEX('Spell Tables'!$AN$2:$AN$8,MATCH(O269,('Spell Tables'!$AL$2:$AL$8),0))," ")))))</f>
        <v xml:space="preserve"> </v>
      </c>
      <c r="R302" s="60" t="str">
        <f ca="1">IF($Q$275&gt;=O269,INDEX($AL$116:$AL$125,MATCH(O269,($AJ$116:$AJ$125),0)),IF($Q$279&gt;=O269,INDEX('Spell Tables'!$AR$168:$AR$175,MATCH(O269,('Spell Tables'!$AP$168:$AP$175),0)),IF($Q$289&gt;=O269,INDEX('Spell Tables'!$AR$48:$AR$52,MATCH(O269,('Spell Tables'!$AP$48:$AP$52),0)),IF($Q$291&gt;=O269,INDEX('Spell Tables'!$AR$26:$AR$33,MATCH(O269,('Spell Tables'!$AP$26:$AP$33),0)),IF($Q$293&gt;=O269,INDEX('Spell Tables'!$AR$2:$AR$11,MATCH(O269,('Spell Tables'!$AL$2:$AL$11),0))," ")))))</f>
        <v xml:space="preserve"> </v>
      </c>
      <c r="S302" s="60" t="str">
        <f ca="1">IF($R$275&gt;=O269,INDEX($AL$128:$AL$137,MATCH(O269,($AJ$128:$AJ$137),0)),IF($R$279&gt;=O269,INDEX('Spell Tables'!$AV$168:$AV$172,MATCH(O269,('Spell Tables'!$AT$168:$AT$172),0)),IF($R$289&gt;=O269,INDEX('Spell Tables'!$AV$48:$AV$54,MATCH(O269,('Spell Tables'!$AT$48:$AT$54),0)),IF($R$291&gt;=O269,INDEX('Spell Tables'!$AV$26:$AV$29,MATCH(O269,('Spell Tables'!$AT$26:$AT$29),0)),IF($R$293&gt;=O269,INDEX('Spell Tables'!$AV$2:$AV$6,MATCH(O269,('Spell Tables'!$AT$2:$AT$6),0))," ")))))</f>
        <v xml:space="preserve"> </v>
      </c>
      <c r="T302" s="63" t="str">
        <f ca="1">IF($S$289&gt;=O269,INDEX($AL$140:$AL$149,MATCH(O269,($AJ$140:$AJ$149),0)),IF($S$275&gt;=O269,INDEX('Spell Tables'!$AZ$242:$AZ$253,MATCH(O269,('Spell Tables'!$AX$242:$AX$253),0)),IF($S$279&gt;=O269,INDEX('Spell Tables'!$AZ$168:$AZ$172,MATCH(O269,('Spell Tables'!$AX$168:$AX$172),0)),IF($S$291&gt;=O269,INDEX('Spell Tables'!$AZ$26:$AZ$29,MATCH(O269,('Spell Tables'!$AX$26:$AX$29),0)),IF($S$293&gt;=O269,INDEX('Spell Tables'!$AZ$2:$AZ$5,MATCH(O269,('Spell Tables'!$AX$2:$AX$5),0))," ")))))</f>
        <v xml:space="preserve"> </v>
      </c>
    </row>
    <row r="303" spans="14:20" x14ac:dyDescent="0.3">
      <c r="N303" s="72"/>
      <c r="O303" s="86">
        <v>9</v>
      </c>
      <c r="P303" s="65" t="str">
        <f ca="1">IF(AND($Q$15="Otherworldly patron - great old one",O$277&gt;=O201),INDEX('Spell Tables'!$AJ$226:$AJ$231,MATCH(O201,('Spell Tables'!$AH$226:$AH$231),0)),IF(AND($Q$15="Otherworldly patron - fiend",O$277&gt;=O201),INDEX('Spell Tables'!$AJ$210:$AJ$215,MATCH(O201,('Spell Tables'!$AH$210:$AH$215),0)),IF(AND($Q$15="Otherworldly patron - archfey",O$277&gt;=O201),INDEX('Spell Tables'!$AJ$194:$AJ$199,MATCH(O201,('Spell Tables'!$AH$194:$AH$199),0)),IF($O$275&gt;=O201,INDEX($AL$92:$AL$101,MATCH(O201,($AJ$92:$AJ$101),0)),IF($O$279&gt;=O201,INDEX('Spell Tables'!$AJ$168:$AJ$178,MATCH(O201,('Spell Tables'!$AH$168:$AH$178),0)),IF($O$283&gt;=O201,INDEX('Spell Tables'!$AF$119:$AF$122,MATCH(O201,('Spell Tables'!$AD$119:$AD$122),0)),IF($O$285&gt;=O201,INDEX('Spell Tables'!$AF$97:$AF$102,MATCH(O201,('Spell Tables'!$AD$97:$AD$102),0)),IF($O$289&gt;=O201,INDEX('Spell Tables'!$AJ$48:$AJ$61,MATCH(O201,('Spell Tables'!$AH$48:$AH$61),0)),IF($O$291&gt;=O201,INDEX('Spell Tables'!$AJ$26:$AJ$38,MATCH(O201,('Spell Tables'!$AH$26:$AH$38),0)),IF($O$293&gt;=O201,INDEX('Spell Tables'!$AJ$2:$AJ$17,MATCH(O201,('Spell Tables'!$AH$2:$AH$17),0))," "))))))))))</f>
        <v xml:space="preserve"> </v>
      </c>
      <c r="Q303" s="65" t="str">
        <f ca="1">IF($P$275&gt;=O270,INDEX($AL$104:$AL$113,MATCH(O270,($AJ$104:$AJ$113),0)),IF($P$279&gt;=O270,INDEX('Spell Tables'!$AN$168:$AN$177,MATCH(O270,('Spell Tables'!$AL$168:$AL$177),0)),IF($P$289&gt;=O270,INDEX('Spell Tables'!$AN$48:$AN$56,MATCH(O270,('Spell Tables'!$AL$48:$AL$56),0)),IF($P$291&gt;=O270,INDEX('Spell Tables'!$AN$26:$AN$35,MATCH(O270,('Spell Tables'!$AL$26:$AL$35),0)),IF($P$293&gt;=O270,INDEX('Spell Tables'!$AN$2:$AN$8,MATCH(O270,('Spell Tables'!$AL$2:$AL$8),0))," ")))))</f>
        <v xml:space="preserve"> </v>
      </c>
      <c r="R303" s="65" t="str">
        <f ca="1">IF($Q$275&gt;=O270,INDEX($AL$116:$AL$125,MATCH(O270,($AJ$116:$AJ$125),0)),IF($Q$279&gt;=O270,INDEX('Spell Tables'!$AR$168:$AR$175,MATCH(O270,('Spell Tables'!$AP$168:$AP$175),0)),IF($Q$289&gt;=O270,INDEX('Spell Tables'!$AR$48:$AR$52,MATCH(O270,('Spell Tables'!$AP$48:$AP$52),0)),IF($Q$291&gt;=O270,INDEX('Spell Tables'!$AR$26:$AR$33,MATCH(O270,('Spell Tables'!$AP$26:$AP$33),0)),IF($Q$293&gt;=O270,INDEX('Spell Tables'!$AR$2:$AR$11,MATCH(O270,('Spell Tables'!$AL$2:$AL$11),0))," ")))))</f>
        <v xml:space="preserve"> </v>
      </c>
      <c r="S303" s="65" t="str">
        <f ca="1">IF($R$275&gt;=O270,INDEX($AL$128:$AL$137,MATCH(O270,($AJ$128:$AJ$137),0)),IF($R$279&gt;=O270,INDEX('Spell Tables'!$AV$168:$AV$172,MATCH(O270,('Spell Tables'!$AT$168:$AT$172),0)),IF($R$289&gt;=O270,INDEX('Spell Tables'!$AV$48:$AV$54,MATCH(O270,('Spell Tables'!$AT$48:$AT$54),0)),IF($R$291&gt;=O270,INDEX('Spell Tables'!$AV$26:$AV$29,MATCH(O270,('Spell Tables'!$AT$26:$AT$29),0)),IF($R$293&gt;=O270,INDEX('Spell Tables'!$AV$2:$AV$6,MATCH(O270,('Spell Tables'!$AT$2:$AT$6),0))," ")))))</f>
        <v xml:space="preserve"> </v>
      </c>
      <c r="T303" s="66" t="str">
        <f ca="1">IF($S$289&gt;=O270,INDEX($AL$140:$AL$149,MATCH(O270,($AJ$140:$AJ$149),0)),IF($S$275&gt;=O270,INDEX('Spell Tables'!$AZ$242:$AZ$253,MATCH(O270,('Spell Tables'!$AX$242:$AX$253),0)),IF($S$279&gt;=O270,INDEX('Spell Tables'!$AZ$168:$AZ$172,MATCH(O270,('Spell Tables'!$AX$168:$AX$172),0)),IF($S$291&gt;=O270,INDEX('Spell Tables'!$AZ$26:$AZ$29,MATCH(O270,('Spell Tables'!$AX$26:$AX$29),0)),IF($S$293&gt;=O270,INDEX('Spell Tables'!$AZ$2:$AZ$5,MATCH(O270,('Spell Tables'!$AX$2:$AX$5),0))," ")))))</f>
        <v xml:space="preserve"> </v>
      </c>
    </row>
    <row r="304" spans="14:20" ht="19.5" thickBot="1" x14ac:dyDescent="0.35">
      <c r="N304" s="72"/>
      <c r="O304" s="134">
        <v>10</v>
      </c>
      <c r="P304" s="67" t="str">
        <f ca="1">IF(AND($Q$15="Otherworldly patron - great old one",O$277&gt;=O202),INDEX('Spell Tables'!$AJ$226:$AJ$231,MATCH(O202,('Spell Tables'!$AH$226:$AH$231),0)),IF(AND($Q$15="Otherworldly patron - fiend",O$277&gt;=O202),INDEX('Spell Tables'!$AJ$210:$AJ$215,MATCH(O202,('Spell Tables'!$AH$210:$AH$215),0)),IF(AND($Q$15="Otherworldly patron - archfey",O$277&gt;=O202),INDEX('Spell Tables'!$AJ$194:$AJ$199,MATCH(O202,('Spell Tables'!$AH$194:$AH$199),0)),IF($O$275&gt;=O202,INDEX($AL$92:$AL$101,MATCH(O202,($AJ$92:$AJ$101),0)),IF($O$279&gt;=O202,INDEX('Spell Tables'!$AJ$168:$AJ$178,MATCH(O202,('Spell Tables'!$AH$168:$AH$178),0)),IF($O$283&gt;=O202,INDEX('Spell Tables'!$AF$119:$AF$122,MATCH(O202,('Spell Tables'!$AD$119:$AD$122),0)),IF($O$285&gt;=O202,INDEX('Spell Tables'!$AF$97:$AF$102,MATCH(O202,('Spell Tables'!$AD$97:$AD$102),0)),IF($O$289&gt;=O202,INDEX('Spell Tables'!$AJ$48:$AJ$61,MATCH(O202,('Spell Tables'!$AH$48:$AH$61),0)),IF($O$291&gt;=O202,INDEX('Spell Tables'!$AJ$26:$AJ$38,MATCH(O202,('Spell Tables'!$AH$26:$AH$38),0)),IF($O$293&gt;=O202,INDEX('Spell Tables'!$AJ$2:$AJ$17,MATCH(O202,('Spell Tables'!$AH$2:$AH$17),0))," "))))))))))</f>
        <v xml:space="preserve"> </v>
      </c>
      <c r="Q304" s="67" t="str">
        <f ca="1">IF($P$275&gt;=O271,INDEX($AL$104:$AL$113,MATCH(O271,($AJ$104:$AJ$113),0)),IF($P$279&gt;=O271,INDEX('Spell Tables'!$AN$168:$AN$177,MATCH(O271,('Spell Tables'!$AL$168:$AL$177),0)),IF($P$289&gt;=O271,INDEX('Spell Tables'!$AN$48:$AN$56,MATCH(O271,('Spell Tables'!$AL$48:$AL$56),0)),IF($P$291&gt;=O271,INDEX('Spell Tables'!$AN$26:$AN$35,MATCH(O271,('Spell Tables'!$AL$26:$AL$35),0)),IF($P$293&gt;=O271,INDEX('Spell Tables'!$AN$2:$AN$8,MATCH(O271,('Spell Tables'!$AL$2:$AL$8),0))," ")))))</f>
        <v xml:space="preserve"> </v>
      </c>
      <c r="R304" s="67" t="str">
        <f ca="1">IF($Q$275&gt;=O271,INDEX($AL$116:$AL$125,MATCH(O271,($AJ$116:$AJ$125),0)),IF($Q$279&gt;=O271,INDEX('Spell Tables'!$AR$168:$AR$175,MATCH(O271,('Spell Tables'!$AP$168:$AP$175),0)),IF($Q$289&gt;=O271,INDEX('Spell Tables'!$AR$48:$AR$52,MATCH(O271,('Spell Tables'!$AP$48:$AP$52),0)),IF($Q$291&gt;=O271,INDEX('Spell Tables'!$AR$26:$AR$33,MATCH(O271,('Spell Tables'!$AP$26:$AP$33),0)),IF($Q$293&gt;=O271,INDEX('Spell Tables'!$AR$2:$AR$11,MATCH(O271,('Spell Tables'!$AL$2:$AL$11),0))," ")))))</f>
        <v xml:space="preserve"> </v>
      </c>
      <c r="S304" s="67" t="str">
        <f ca="1">IF($R$275&gt;=O271,INDEX($AL$128:$AL$137,MATCH(O271,($AJ$128:$AJ$137),0)),IF($R$279&gt;=O271,INDEX('Spell Tables'!$AV$168:$AV$172,MATCH(O271,('Spell Tables'!$AT$168:$AT$172),0)),IF($R$289&gt;=O271,INDEX('Spell Tables'!$AV$48:$AV$54,MATCH(O271,('Spell Tables'!$AT$48:$AT$54),0)),IF($R$291&gt;=O271,INDEX('Spell Tables'!$AV$26:$AV$29,MATCH(O271,('Spell Tables'!$AT$26:$AT$29),0)),IF($R$293&gt;=O271,INDEX('Spell Tables'!$AV$2:$AV$6,MATCH(O271,('Spell Tables'!$AT$2:$AT$6),0))," ")))))</f>
        <v xml:space="preserve"> </v>
      </c>
      <c r="T304" s="68" t="str">
        <f ca="1">IF($S$289&gt;=O271,INDEX($AL$140:$AL$149,MATCH(O271,($AJ$140:$AJ$149),0)),IF($S$275&gt;=O271,INDEX('Spell Tables'!$AZ$242:$AZ$253,MATCH(O271,('Spell Tables'!$AX$242:$AX$253),0)),IF($S$279&gt;=O271,INDEX('Spell Tables'!$AZ$168:$AZ$172,MATCH(O271,('Spell Tables'!$AX$168:$AX$172),0)),IF($S$291&gt;=O271,INDEX('Spell Tables'!$AZ$26:$AZ$29,MATCH(O271,('Spell Tables'!$AX$26:$AX$29),0)),IF($S$293&gt;=O271,INDEX('Spell Tables'!$AZ$2:$AZ$5,MATCH(O271,('Spell Tables'!$AX$2:$AX$5),0))," ")))))</f>
        <v xml:space="preserve"> </v>
      </c>
    </row>
    <row r="305" spans="2:20" ht="19.5" thickBot="1" x14ac:dyDescent="0.35"/>
    <row r="306" spans="2:20" ht="30.75" thickBot="1" x14ac:dyDescent="0.45">
      <c r="B306" s="105" t="s">
        <v>1271</v>
      </c>
    </row>
    <row r="307" spans="2:20" ht="19.5" hidden="1" thickBot="1" x14ac:dyDescent="0.35">
      <c r="P307" s="29" t="s">
        <v>1166</v>
      </c>
      <c r="Q307" s="29" t="s">
        <v>1167</v>
      </c>
      <c r="R307" s="29" t="s">
        <v>1168</v>
      </c>
      <c r="S307" s="29" t="s">
        <v>676</v>
      </c>
    </row>
    <row r="308" spans="2:20" ht="19.5" hidden="1" thickBot="1" x14ac:dyDescent="0.35">
      <c r="B308" s="29" t="s">
        <v>1270</v>
      </c>
      <c r="O308" s="29" t="s">
        <v>530</v>
      </c>
      <c r="P308" s="29" t="str">
        <f ca="1">IF(AND(O11="wizard",O12&gt;=3),"x",IF(O11="wizard","xx"," "))</f>
        <v xml:space="preserve"> </v>
      </c>
      <c r="Q308" s="29" t="str">
        <f ca="1">IF(AND(O11="wizard",O12&gt;=9),"xxxx",IF(AND(O11="wizard",O12&gt;=5),"x",IF(AND($O$11="wizard",$O$12&gt;3),"xx",IF(AND(O11="wizard",O12=3),"xxx"," "))))</f>
        <v xml:space="preserve"> </v>
      </c>
      <c r="R308" s="29" t="str">
        <f ca="1">IF(AND(O11="wizard",O12&gt;=11),"xxxx",IF(AND(O11="wizard",O12&gt;=7),"x",IF(AND($O$11="wizard",$O$12&gt;5),"xx",IF(AND(O11="wizard",O12=5),"xxx"," "))))</f>
        <v xml:space="preserve"> </v>
      </c>
      <c r="S308" s="29" t="str">
        <f ca="1">IF(AND(O11="wizard",O12&gt;=13),"xxxx",IF(AND(O11="wizard",O12&gt;=9),"x",IF(AND($O$11="wizard",$O$12&gt;7),"xx",IF(AND(O11="wizard",O12=7),"xxx"," "))))</f>
        <v xml:space="preserve"> </v>
      </c>
    </row>
    <row r="309" spans="2:20" ht="19.5" hidden="1" thickBot="1" x14ac:dyDescent="0.35">
      <c r="B309" s="29" t="s">
        <v>1271</v>
      </c>
      <c r="O309" s="29" t="str">
        <f ca="1">IF(O11="wizard",((O12-1)*2)+6," ")</f>
        <v xml:space="preserve"> </v>
      </c>
      <c r="P309" s="29">
        <f ca="1">IF(AND(O11="wizard",O12=2),O309,IF(AND(O11="wizard",O12=1),$O$309,IF(AND(O11="wizard",O12&gt;=3),MAX(8,O309-SUM(U216:X216)),0)))</f>
        <v>0</v>
      </c>
      <c r="Q309" s="29">
        <f ca="1">IF(Q$308="xxxx",MAX(R173,(RANDBETWEEN(5,6))),IF(Q308="x",MAX(R173,(RANDBETWEEN(3,6))),IF(Q308="xx",MAX(R173,(RANDBETWEEN(2,4))),IF(Q308="xxx",MAX(R173,(2)),0))))</f>
        <v>0</v>
      </c>
      <c r="R309" s="29">
        <f ca="1">IF($R308="xxxx",MAX(S173,(RANDBETWEEN(5,6))),IF(R308="x",MAX(S173,(RANDBETWEEN(3,6))),IF(R308="xx",MAX(S173,(RANDBETWEEN(2,4))),IF(R308="xxx",MAX(S173,(2)),0))))</f>
        <v>0</v>
      </c>
      <c r="S309" s="29">
        <f ca="1">IF(S$308="xxxx",MAX(T173,(RANDBETWEEN(5,6))),IF(S308="x",MAX(T173,(RANDBETWEEN(3,6))),IF(S308="xx",MAX(T173,(RANDBETWEEN(2,4))),IF(S308="xxx",MAX(T173,(2)),0))))</f>
        <v>0</v>
      </c>
    </row>
    <row r="310" spans="2:20" ht="19.5" hidden="1" thickBot="1" x14ac:dyDescent="0.35">
      <c r="P310" s="98" t="s">
        <v>1166</v>
      </c>
      <c r="Q310" s="98" t="s">
        <v>1167</v>
      </c>
      <c r="R310" s="98" t="s">
        <v>1168</v>
      </c>
      <c r="S310" s="98" t="s">
        <v>676</v>
      </c>
    </row>
    <row r="311" spans="2:20" ht="19.5" hidden="1" thickBot="1" x14ac:dyDescent="0.35">
      <c r="P311" s="98" t="str">
        <f ca="1">IF(AND(Q11="wizard",Q12&gt;=3),"x",IF(Q11="wizard","xx"," "))</f>
        <v xml:space="preserve"> </v>
      </c>
      <c r="Q311" s="98" t="str">
        <f ca="1">IF(AND(Q11="wizard",Q12&gt;=9),"xxxx",IF(AND(Q11="wizard",Q12&gt;=5),"x",IF(AND($Q$11="wizard",$Q$12&gt;3),"xx",IF(AND(Q11="wizard",Q12=3),"xxx"," "))))</f>
        <v xml:space="preserve"> </v>
      </c>
      <c r="R311" s="98" t="str">
        <f ca="1">IF(AND(Q11="wizard",Q12&gt;=11),"xxxx",IF(AND(Q11="wizard",Q12&gt;=7),"x",IF(AND($Q$11="wizard",$Q$12&gt;5),"xx",IF(AND(Q11="wizard",Q12=5),"xxx"," "))))</f>
        <v xml:space="preserve"> </v>
      </c>
      <c r="S311" s="98" t="str">
        <f ca="1">IF(AND(Q11="wizard",Q12&gt;=13),"xxxx",IF(AND(Q11="wizard",Q12&gt;=9),"x",IF(AND($Q$11="wizard",$Q$12&gt;7),"xx",IF(AND(Q11="wizard",Q12=7),"xxx"," "))))</f>
        <v xml:space="preserve"> </v>
      </c>
    </row>
    <row r="312" spans="2:20" ht="19.5" hidden="1" thickBot="1" x14ac:dyDescent="0.35">
      <c r="P312" s="98">
        <f ca="1">IF(AND(Q11="wizard",Q12=2),AK41,IF(AND(Q11="wizard",Q12=1),$AK$41,IF(AND(Q11="wizard",Q12&gt;=3),MAX(8,AK41-SUM(U219:X219)),0)))</f>
        <v>0</v>
      </c>
      <c r="Q312" s="98">
        <f ca="1">IF(Q$311="xxxx",MAX(R242,(RANDBETWEEN(5,6))),IF(Q311="x",MAX(R242,(RANDBETWEEN(3,6))),IF(Q311="xx",MAX(R242,(RANDBETWEEN(2,4))),IF(Q311="xxx",MAX(R242,(2)),0))))</f>
        <v>0</v>
      </c>
      <c r="R312" s="98">
        <f ca="1">IF($R311="xxxx",MAX(S242,(RANDBETWEEN(5,6))),IF(R311="x",MAX(S242,(RANDBETWEEN(3,6))),IF(R311="xx",MAX(S242,(RANDBETWEEN(2,4))),IF(R311="xxx",MAX(S242,(2)),0))))</f>
        <v>0</v>
      </c>
      <c r="S312" s="98">
        <f ca="1">IF(S$311="xxxx",MAX(T242,(RANDBETWEEN(5,6))),IF(S311="x",MAX(T242,(RANDBETWEEN(3,6))),IF(S311="xx",MAX(T242,(RANDBETWEEN(2,4))),IF(S311="xxx",MAX(T242,(2)),0))))</f>
        <v>0</v>
      </c>
    </row>
    <row r="313" spans="2:20" ht="19.5" hidden="1" thickBot="1" x14ac:dyDescent="0.35"/>
    <row r="314" spans="2:20" x14ac:dyDescent="0.3">
      <c r="B314" s="79"/>
      <c r="C314" s="27"/>
      <c r="D314" s="27"/>
      <c r="E314" s="27"/>
      <c r="F314" s="27"/>
      <c r="G314" s="27"/>
      <c r="H314" s="27"/>
      <c r="I314" s="27"/>
      <c r="J314" s="27"/>
      <c r="K314" s="27"/>
      <c r="L314" s="27"/>
      <c r="M314" s="27"/>
      <c r="N314" s="27"/>
      <c r="O314" s="27"/>
      <c r="P314" s="76" t="s">
        <v>1124</v>
      </c>
      <c r="Q314" s="76" t="s">
        <v>1166</v>
      </c>
      <c r="R314" s="76" t="s">
        <v>1167</v>
      </c>
      <c r="S314" s="76" t="s">
        <v>1168</v>
      </c>
      <c r="T314" s="77" t="s">
        <v>676</v>
      </c>
    </row>
    <row r="315" spans="2:20" x14ac:dyDescent="0.3">
      <c r="B315" s="79"/>
      <c r="C315" s="33"/>
      <c r="D315" s="33"/>
      <c r="E315" s="33"/>
      <c r="F315" s="33"/>
      <c r="G315" s="33"/>
      <c r="H315" s="33"/>
      <c r="I315" s="33"/>
      <c r="J315" s="33"/>
      <c r="K315" s="33"/>
      <c r="L315" s="33"/>
      <c r="M315" s="33"/>
      <c r="N315" s="33"/>
      <c r="O315" s="34">
        <v>1</v>
      </c>
      <c r="P315" s="33" t="str">
        <f t="shared" ref="P315:P324" ca="1" si="67">IF($O$11="wizard",P193,IF($Q$11="wizard",P262," "))</f>
        <v xml:space="preserve"> </v>
      </c>
      <c r="Q315" s="33" t="str">
        <f ca="1">IF(AND($O$11="wizard",$P$309&gt;=O315),INDEX('Spell Tables'!$T$242:$T$271,MATCH(1,(O315:O324),0)),IF(AND($Q$11="wizard",$P$312&gt;=O315),INDEX('Spell Tables'!$T$242:$T$271,MATCH(O315,('Spell Tables'!$R$242:$R$271),0))," "))</f>
        <v xml:space="preserve"> </v>
      </c>
      <c r="R315" s="33" t="str">
        <f ca="1">IF($Q$309&gt;=O315,INDEX('Spell Tables'!$X$242:$X$275,MATCH(O315,('Spell Tables'!$V$242:$V$275),0)),IF(AND($Q$11="wizard",$Q$312&gt;=O315),INDEX('Spell Tables'!$X$242:$X$275,MATCH(O315,('Spell Tables'!$V$242:$V$275),0))," "))</f>
        <v xml:space="preserve"> </v>
      </c>
      <c r="S315" s="33" t="str">
        <f ca="1">IF($R$309&gt;=O315,INDEX('Spell Tables'!$AB$242:$AB$270,MATCH(O315,('Spell Tables'!$Z$242:$Z$270),0)),IF(AND($Q$11="wizard",$R$312&gt;=O315),INDEX('Spell Tables'!$AB$242:$AB$270,MATCH(O315,('Spell Tables'!$Z$242:$Z$270),0))," "))</f>
        <v xml:space="preserve"> </v>
      </c>
      <c r="T315" s="72" t="str">
        <f ca="1">IF($S$309&gt;=O315,INDEX('Spell Tables'!$AF$242:$AF$264,MATCH(O315,('Spell Tables'!$AD$242:$AD$264),0)),IF(AND($Q$11="wizard",$S$312&gt;=O315),INDEX('Spell Tables'!$AF$242:$AF$264,MATCH(O315,('Spell Tables'!$AD$242:$AD$264),0))," "))</f>
        <v xml:space="preserve"> </v>
      </c>
    </row>
    <row r="316" spans="2:20" x14ac:dyDescent="0.3">
      <c r="B316" s="79"/>
      <c r="C316" s="33"/>
      <c r="D316" s="33"/>
      <c r="E316" s="33"/>
      <c r="F316" s="33"/>
      <c r="G316" s="33"/>
      <c r="H316" s="33"/>
      <c r="I316" s="33"/>
      <c r="J316" s="33"/>
      <c r="K316" s="33"/>
      <c r="L316" s="33"/>
      <c r="M316" s="33"/>
      <c r="N316" s="33"/>
      <c r="O316" s="34">
        <v>2</v>
      </c>
      <c r="P316" s="33" t="str">
        <f t="shared" ca="1" si="67"/>
        <v xml:space="preserve"> </v>
      </c>
      <c r="Q316" s="33" t="str">
        <f ca="1">IF(AND($O$11="wizard",$P$309&gt;=O316),INDEX('Spell Tables'!$T$242:$T$271,MATCH(O316,('Spell Tables'!$R$242:$R$271),0)),IF(AND($Q$11="wizard",$P$312&gt;=O316),INDEX('Spell Tables'!$T$242:$T$271,MATCH(O316,('Spell Tables'!$R$242:$R$271),0))," "))</f>
        <v xml:space="preserve"> </v>
      </c>
      <c r="R316" s="33" t="str">
        <f ca="1">IF($Q$309&gt;=O316,INDEX('Spell Tables'!$X$242:$X$275,MATCH(O316,('Spell Tables'!$V$242:$V$275),0)),IF(AND($Q$11="wizard",$Q$312&gt;=O316),INDEX('Spell Tables'!$X$242:$X$275,MATCH(O316,('Spell Tables'!$V$242:$V$275),0))," "))</f>
        <v xml:space="preserve"> </v>
      </c>
      <c r="S316" s="33" t="str">
        <f ca="1">IF($R$309&gt;=O316,INDEX('Spell Tables'!$AB$242:$AB$270,MATCH(O316,('Spell Tables'!$Z$242:$Z$270),0)),IF(AND($Q$11="wizard",$R$312&gt;=O316),INDEX('Spell Tables'!$AB$242:$AB$270,MATCH(O316,('Spell Tables'!$Z$242:$Z$270),0))," "))</f>
        <v xml:space="preserve"> </v>
      </c>
      <c r="T316" s="72" t="str">
        <f ca="1">IF($S$309&gt;=O316,INDEX('Spell Tables'!$AF$242:$AF$264,MATCH(O316,('Spell Tables'!$AD$242:$AD$264),0)),IF(AND($Q$11="wizard",$S$312&gt;=O316),INDEX('Spell Tables'!$AF$242:$AF$264,MATCH(O316,('Spell Tables'!$AD$242:$AD$264),0))," "))</f>
        <v xml:space="preserve"> </v>
      </c>
    </row>
    <row r="317" spans="2:20" x14ac:dyDescent="0.3">
      <c r="B317" s="79"/>
      <c r="C317" s="33"/>
      <c r="D317" s="33"/>
      <c r="E317" s="33"/>
      <c r="F317" s="33"/>
      <c r="G317" s="33"/>
      <c r="H317" s="33"/>
      <c r="I317" s="33"/>
      <c r="J317" s="33"/>
      <c r="K317" s="33"/>
      <c r="L317" s="33"/>
      <c r="M317" s="33"/>
      <c r="N317" s="33"/>
      <c r="O317" s="34">
        <v>3</v>
      </c>
      <c r="P317" s="33" t="str">
        <f t="shared" ca="1" si="67"/>
        <v xml:space="preserve"> </v>
      </c>
      <c r="Q317" s="33" t="str">
        <f ca="1">IF(AND($O$11="wizard",$P$309&gt;=O317),INDEX('Spell Tables'!$T$242:$T$271,MATCH(O317,('Spell Tables'!$R$242:$R$271),0)),IF(AND($Q$11="wizard",$P$312&gt;=O317),INDEX('Spell Tables'!$T$242:$T$271,MATCH(O317,('Spell Tables'!$R$242:$R$271),0))," "))</f>
        <v xml:space="preserve"> </v>
      </c>
      <c r="R317" s="33" t="str">
        <f ca="1">IF($Q$309&gt;=O317,INDEX('Spell Tables'!$X$242:$X$275,MATCH(O317,('Spell Tables'!$V$242:$V$275),0)),IF(AND($Q$11="wizard",$Q$312&gt;=O317),INDEX('Spell Tables'!$X$242:$X$275,MATCH(O317,('Spell Tables'!$V$242:$V$275),0))," "))</f>
        <v xml:space="preserve"> </v>
      </c>
      <c r="S317" s="33" t="str">
        <f ca="1">IF($R$309&gt;=O317,INDEX('Spell Tables'!$AB$242:$AB$270,MATCH(O317,('Spell Tables'!$Z$242:$Z$270),0)),IF(AND($Q$11="wizard",$R$312&gt;=O317),INDEX('Spell Tables'!$AB$242:$AB$270,MATCH(O317,('Spell Tables'!$Z$242:$Z$270),0))," "))</f>
        <v xml:space="preserve"> </v>
      </c>
      <c r="T317" s="72" t="str">
        <f ca="1">IF($S$309&gt;=O317,INDEX('Spell Tables'!$AF$242:$AF$264,MATCH(O317,('Spell Tables'!$AD$242:$AD$264),0)),IF(AND($Q$11="wizard",$S$312&gt;=O317),INDEX('Spell Tables'!$AF$242:$AF$264,MATCH(O317,('Spell Tables'!$AD$242:$AD$264),0))," "))</f>
        <v xml:space="preserve"> </v>
      </c>
    </row>
    <row r="318" spans="2:20" x14ac:dyDescent="0.3">
      <c r="B318" s="79"/>
      <c r="C318" s="33"/>
      <c r="D318" s="33"/>
      <c r="E318" s="33"/>
      <c r="F318" s="33"/>
      <c r="G318" s="33"/>
      <c r="H318" s="33"/>
      <c r="I318" s="33"/>
      <c r="J318" s="33"/>
      <c r="K318" s="33"/>
      <c r="L318" s="33"/>
      <c r="M318" s="33"/>
      <c r="N318" s="33"/>
      <c r="O318" s="34">
        <v>4</v>
      </c>
      <c r="P318" s="33" t="str">
        <f t="shared" ca="1" si="67"/>
        <v xml:space="preserve"> </v>
      </c>
      <c r="Q318" s="33" t="str">
        <f ca="1">IF(AND($O$11="wizard",$P$309&gt;=O318),INDEX('Spell Tables'!$T$242:$T$271,MATCH(O318,('Spell Tables'!$R$242:$R$271),0)),IF(AND($Q$11="wizard",$P$312&gt;=O318),INDEX('Spell Tables'!$T$242:$T$271,MATCH(O318,('Spell Tables'!$R$242:$R$271),0))," "))</f>
        <v xml:space="preserve"> </v>
      </c>
      <c r="R318" s="33" t="str">
        <f ca="1">IF($Q$309&gt;=O318,INDEX('Spell Tables'!$X$242:$X$275,MATCH(O318,('Spell Tables'!$V$242:$V$275),0)),IF(AND($Q$11="wizard",$Q$312&gt;=O318),INDEX('Spell Tables'!$X$242:$X$275,MATCH(O318,('Spell Tables'!$V$242:$V$275),0))," "))</f>
        <v xml:space="preserve"> </v>
      </c>
      <c r="S318" s="33" t="str">
        <f ca="1">IF($R$309&gt;=O318,INDEX('Spell Tables'!$AB$242:$AB$270,MATCH(O318,('Spell Tables'!$Z$242:$Z$270),0)),IF(AND($Q$11="wizard",$R$312&gt;=O318),INDEX('Spell Tables'!$AB$242:$AB$270,MATCH(O318,('Spell Tables'!$Z$242:$Z$270),0))," "))</f>
        <v xml:space="preserve"> </v>
      </c>
      <c r="T318" s="72" t="str">
        <f ca="1">IF($S$309&gt;=O318,INDEX('Spell Tables'!$AF$242:$AF$264,MATCH(O318,('Spell Tables'!$AD$242:$AD$264),0)),IF(AND($Q$11="wizard",$S$312&gt;=O318),INDEX('Spell Tables'!$AF$242:$AF$264,MATCH(O318,('Spell Tables'!$AD$242:$AD$264),0))," "))</f>
        <v xml:space="preserve"> </v>
      </c>
    </row>
    <row r="319" spans="2:20" x14ac:dyDescent="0.3">
      <c r="B319" s="79"/>
      <c r="C319" s="33"/>
      <c r="D319" s="33"/>
      <c r="E319" s="33"/>
      <c r="F319" s="33"/>
      <c r="G319" s="33"/>
      <c r="H319" s="33"/>
      <c r="I319" s="33"/>
      <c r="J319" s="33"/>
      <c r="K319" s="33"/>
      <c r="L319" s="33"/>
      <c r="M319" s="33"/>
      <c r="N319" s="33"/>
      <c r="O319" s="34">
        <v>5</v>
      </c>
      <c r="P319" s="33" t="str">
        <f t="shared" ca="1" si="67"/>
        <v xml:space="preserve"> </v>
      </c>
      <c r="Q319" s="33" t="str">
        <f ca="1">IF(AND($O$11="wizard",$P$309&gt;=O319),INDEX('Spell Tables'!$T$242:$T$271,MATCH(O319,('Spell Tables'!$R$242:$R$271),0)),IF(AND($Q$11="wizard",$P$312&gt;=O319),INDEX('Spell Tables'!$T$242:$T$271,MATCH(O319,('Spell Tables'!$R$242:$R$271),0))," "))</f>
        <v xml:space="preserve"> </v>
      </c>
      <c r="R319" s="33" t="str">
        <f ca="1">IF($Q$309&gt;=O319,INDEX('Spell Tables'!$X$242:$X$275,MATCH(O319,('Spell Tables'!$V$242:$V$275),0)),IF(AND($Q$11="wizard",$Q$312&gt;=O319),INDEX('Spell Tables'!$X$242:$X$275,MATCH(O319,('Spell Tables'!$V$242:$V$275),0))," "))</f>
        <v xml:space="preserve"> </v>
      </c>
      <c r="S319" s="33" t="str">
        <f ca="1">IF($R$309&gt;=O319,INDEX('Spell Tables'!$AB$242:$AB$270,MATCH(O319,('Spell Tables'!$Z$242:$Z$270),0)),IF(AND($Q$11="wizard",$R$312&gt;=O319),INDEX('Spell Tables'!$AB$242:$AB$270,MATCH(O319,('Spell Tables'!$Z$242:$Z$270),0))," "))</f>
        <v xml:space="preserve"> </v>
      </c>
      <c r="T319" s="72" t="str">
        <f ca="1">IF($S$309&gt;=O319,INDEX('Spell Tables'!$AF$242:$AF$264,MATCH(O319,('Spell Tables'!$AD$242:$AD$264),0)),IF(AND($Q$11="wizard",$S$312&gt;=O319),INDEX('Spell Tables'!$AF$242:$AF$264,MATCH(O319,('Spell Tables'!$AD$242:$AD$264),0))," "))</f>
        <v xml:space="preserve"> </v>
      </c>
    </row>
    <row r="320" spans="2:20" x14ac:dyDescent="0.3">
      <c r="B320" s="79"/>
      <c r="C320" s="33"/>
      <c r="D320" s="33"/>
      <c r="E320" s="33"/>
      <c r="F320" s="33"/>
      <c r="G320" s="33"/>
      <c r="H320" s="33"/>
      <c r="I320" s="33"/>
      <c r="J320" s="33"/>
      <c r="K320" s="33"/>
      <c r="L320" s="33"/>
      <c r="M320" s="33"/>
      <c r="N320" s="33"/>
      <c r="O320" s="34">
        <v>6</v>
      </c>
      <c r="P320" s="33" t="str">
        <f t="shared" ca="1" si="67"/>
        <v xml:space="preserve"> </v>
      </c>
      <c r="Q320" s="33" t="str">
        <f ca="1">IF(AND($O$11="wizard",$P$309&gt;=O320),INDEX('Spell Tables'!$T$242:$T$271,MATCH(O320,('Spell Tables'!$R$242:$R$271),0)),IF(AND($Q$11="wizard",$P$312&gt;=O320),INDEX('Spell Tables'!$T$242:$T$271,MATCH(O320,('Spell Tables'!$R$242:$R$271),0))," "))</f>
        <v xml:space="preserve"> </v>
      </c>
      <c r="R320" s="33" t="str">
        <f ca="1">IF($Q$309&gt;=O320,INDEX('Spell Tables'!$X$242:$X$275,MATCH(O320,('Spell Tables'!$V$242:$V$275),0)),IF(AND($Q$11="wizard",$Q$312&gt;=O320),INDEX('Spell Tables'!$X$242:$X$275,MATCH(O320,('Spell Tables'!$V$242:$V$275),0))," "))</f>
        <v xml:space="preserve"> </v>
      </c>
      <c r="S320" s="33" t="str">
        <f ca="1">IF($R$309&gt;=O320,INDEX('Spell Tables'!$AB$242:$AB$270,MATCH(O320,('Spell Tables'!$Z$242:$Z$270),0)),IF(AND($Q$11="wizard",$R$312&gt;=O320),INDEX('Spell Tables'!$AB$242:$AB$270,MATCH(O320,('Spell Tables'!$Z$242:$Z$270),0))," "))</f>
        <v xml:space="preserve"> </v>
      </c>
      <c r="T320" s="72" t="str">
        <f ca="1">IF($S$309&gt;=O320,INDEX('Spell Tables'!$AF$242:$AF$264,MATCH(O320,('Spell Tables'!$AD$242:$AD$264),0)),IF(AND($Q$11="wizard",$S$312&gt;=O320),INDEX('Spell Tables'!$AF$242:$AF$264,MATCH(O320,('Spell Tables'!$AD$242:$AD$264),0))," "))</f>
        <v xml:space="preserve"> </v>
      </c>
    </row>
    <row r="321" spans="1:20" x14ac:dyDescent="0.3">
      <c r="B321" s="79"/>
      <c r="C321" s="33"/>
      <c r="D321" s="33"/>
      <c r="E321" s="33"/>
      <c r="F321" s="33"/>
      <c r="G321" s="33"/>
      <c r="H321" s="33"/>
      <c r="I321" s="33"/>
      <c r="J321" s="33"/>
      <c r="K321" s="33"/>
      <c r="L321" s="33"/>
      <c r="M321" s="33"/>
      <c r="N321" s="33"/>
      <c r="O321" s="34">
        <v>7</v>
      </c>
      <c r="P321" s="33" t="str">
        <f t="shared" ca="1" si="67"/>
        <v xml:space="preserve"> </v>
      </c>
      <c r="Q321" s="33" t="str">
        <f ca="1">IF(AND($O$11="wizard",$P$309&gt;=O321),INDEX('Spell Tables'!$T$242:$T$271,MATCH(O321,('Spell Tables'!$R$242:$R$271),0)),IF(AND($Q$11="wizard",$P$312&gt;=O321),INDEX('Spell Tables'!$T$242:$T$271,MATCH(O321,('Spell Tables'!$R$242:$R$271),0))," "))</f>
        <v xml:space="preserve"> </v>
      </c>
      <c r="R321" s="33" t="str">
        <f ca="1">IF($Q$309&gt;=O321,INDEX('Spell Tables'!$X$242:$X$275,MATCH(O321,('Spell Tables'!$V$242:$V$275),0)),IF(AND($Q$11="wizard",$Q$312&gt;=O321),INDEX('Spell Tables'!$X$242:$X$275,MATCH(O321,('Spell Tables'!$V$242:$V$275),0))," "))</f>
        <v xml:space="preserve"> </v>
      </c>
      <c r="S321" s="33" t="str">
        <f ca="1">IF($R$309&gt;=O321,INDEX('Spell Tables'!$AB$242:$AB$270,MATCH(O321,('Spell Tables'!$Z$242:$Z$270),0)),IF(AND($Q$11="wizard",$R$312&gt;=O321),INDEX('Spell Tables'!$AB$242:$AB$270,MATCH(O321,('Spell Tables'!$Z$242:$Z$270),0))," "))</f>
        <v xml:space="preserve"> </v>
      </c>
      <c r="T321" s="72" t="str">
        <f ca="1">IF($S$309&gt;=O321,INDEX('Spell Tables'!$AF$242:$AF$264,MATCH(O321,('Spell Tables'!$AD$242:$AD$264),0)),IF(AND($Q$11="wizard",$S$312&gt;=O321),INDEX('Spell Tables'!$AF$242:$AF$264,MATCH(O321,('Spell Tables'!$AD$242:$AD$264),0))," "))</f>
        <v xml:space="preserve"> </v>
      </c>
    </row>
    <row r="322" spans="1:20" x14ac:dyDescent="0.3">
      <c r="B322" s="79"/>
      <c r="C322" s="33"/>
      <c r="D322" s="33"/>
      <c r="E322" s="33"/>
      <c r="F322" s="33"/>
      <c r="G322" s="33"/>
      <c r="H322" s="33"/>
      <c r="I322" s="33"/>
      <c r="J322" s="33"/>
      <c r="K322" s="33"/>
      <c r="L322" s="33"/>
      <c r="M322" s="33"/>
      <c r="N322" s="33"/>
      <c r="O322" s="34">
        <v>8</v>
      </c>
      <c r="P322" s="33" t="str">
        <f t="shared" ca="1" si="67"/>
        <v xml:space="preserve"> </v>
      </c>
      <c r="Q322" s="33" t="str">
        <f ca="1">IF(AND($O$11="wizard",$P$309&gt;=O322),INDEX('Spell Tables'!$T$242:$T$271,MATCH(O322,('Spell Tables'!$R$242:$R$271),0)),IF(AND($Q$11="wizard",$P$312&gt;=O322),INDEX('Spell Tables'!$T$242:$T$271,MATCH(O322,('Spell Tables'!$R$242:$R$271),0))," "))</f>
        <v xml:space="preserve"> </v>
      </c>
      <c r="R322" s="33" t="str">
        <f ca="1">IF($Q$309&gt;=O322,INDEX('Spell Tables'!$X$242:$X$275,MATCH(O322,('Spell Tables'!$V$242:$V$275),0)),IF(AND($Q$11="wizard",$Q$312&gt;=O322),INDEX('Spell Tables'!$X$242:$X$275,MATCH(O322,('Spell Tables'!$V$242:$V$275),0))," "))</f>
        <v xml:space="preserve"> </v>
      </c>
      <c r="S322" s="33" t="str">
        <f ca="1">IF($R$309&gt;=O322,INDEX('Spell Tables'!$AB$242:$AB$270,MATCH(O322,('Spell Tables'!$Z$242:$Z$270),0)),IF(AND($Q$11="wizard",$R$312&gt;=O322),INDEX('Spell Tables'!$AB$242:$AB$270,MATCH(O322,('Spell Tables'!$Z$242:$Z$270),0))," "))</f>
        <v xml:space="preserve"> </v>
      </c>
      <c r="T322" s="72" t="str">
        <f ca="1">IF($S$309&gt;=O322,INDEX('Spell Tables'!$AF$242:$AF$264,MATCH(O322,('Spell Tables'!$AD$242:$AD$264),0)),IF(AND($Q$11="wizard",$S$312&gt;=O322),INDEX('Spell Tables'!$AF$242:$AF$264,MATCH(O322,('Spell Tables'!$AD$242:$AD$264),0))," "))</f>
        <v xml:space="preserve"> </v>
      </c>
    </row>
    <row r="323" spans="1:20" x14ac:dyDescent="0.3">
      <c r="B323" s="79"/>
      <c r="C323" s="33"/>
      <c r="D323" s="33"/>
      <c r="E323" s="33"/>
      <c r="F323" s="33"/>
      <c r="G323" s="33"/>
      <c r="H323" s="33"/>
      <c r="I323" s="33"/>
      <c r="J323" s="33"/>
      <c r="K323" s="33"/>
      <c r="L323" s="33"/>
      <c r="M323" s="33"/>
      <c r="N323" s="33"/>
      <c r="O323" s="34">
        <v>9</v>
      </c>
      <c r="P323" s="33" t="str">
        <f t="shared" ca="1" si="67"/>
        <v xml:space="preserve"> </v>
      </c>
      <c r="Q323" s="33" t="str">
        <f ca="1">IF(AND($O$11="wizard",$P$309&gt;=O323),INDEX('Spell Tables'!$T$242:$T$271,MATCH(O323,('Spell Tables'!$R$242:$R$271),0)),IF(AND($Q$11="wizard",$P$312&gt;=O323),INDEX('Spell Tables'!$T$242:$T$271,MATCH(O323,('Spell Tables'!$R$242:$R$271),0))," "))</f>
        <v xml:space="preserve"> </v>
      </c>
      <c r="R323" s="33" t="str">
        <f ca="1">IF($Q$309&gt;=O323,INDEX('Spell Tables'!$X$242:$X$275,MATCH(O323,('Spell Tables'!$V$242:$V$275),0)),IF(AND($Q$11="wizard",$Q$312&gt;=O323),INDEX('Spell Tables'!$X$242:$X$275,MATCH(O323,('Spell Tables'!$V$242:$V$275),0))," "))</f>
        <v xml:space="preserve"> </v>
      </c>
      <c r="S323" s="33" t="str">
        <f ca="1">IF($R$309&gt;=O323,INDEX('Spell Tables'!$AB$242:$AB$270,MATCH(O323,('Spell Tables'!$Z$242:$Z$270),0)),IF(AND($Q$11="wizard",$R$312&gt;=O323),INDEX('Spell Tables'!$AB$242:$AB$270,MATCH(O323,('Spell Tables'!$Z$242:$Z$270),0))," "))</f>
        <v xml:space="preserve"> </v>
      </c>
      <c r="T323" s="72" t="str">
        <f ca="1">IF($S$309&gt;=O323,INDEX('Spell Tables'!$AF$242:$AF$264,MATCH(O323,('Spell Tables'!$AD$242:$AD$264),0)),IF(AND($Q$11="wizard",$S$312&gt;=O323),INDEX('Spell Tables'!$AF$242:$AF$264,MATCH(O323,('Spell Tables'!$AD$242:$AD$264),0))," "))</f>
        <v xml:space="preserve"> </v>
      </c>
    </row>
    <row r="324" spans="1:20" ht="19.5" thickBot="1" x14ac:dyDescent="0.35">
      <c r="B324" s="80"/>
      <c r="C324" s="38"/>
      <c r="D324" s="38"/>
      <c r="E324" s="38"/>
      <c r="F324" s="38"/>
      <c r="G324" s="38"/>
      <c r="H324" s="38"/>
      <c r="I324" s="38"/>
      <c r="J324" s="38"/>
      <c r="K324" s="38"/>
      <c r="L324" s="38"/>
      <c r="M324" s="38"/>
      <c r="N324" s="38"/>
      <c r="O324" s="82">
        <v>10</v>
      </c>
      <c r="P324" s="38" t="str">
        <f t="shared" ca="1" si="67"/>
        <v xml:space="preserve"> </v>
      </c>
      <c r="Q324" s="38" t="str">
        <f ca="1">IF(AND($O$11="wizard",$P$309&gt;=O324),INDEX('Spell Tables'!$T$242:$T$271,MATCH(O324,('Spell Tables'!$R$242:$R$271),0)),IF(AND($Q$11="wizard",$P$312&gt;=O324),INDEX('Spell Tables'!$T$242:$T$271,MATCH(O324,('Spell Tables'!$R$242:$R$271),0))," "))</f>
        <v xml:space="preserve"> </v>
      </c>
      <c r="R324" s="38" t="str">
        <f ca="1">IF($Q$309&gt;=O324,INDEX('Spell Tables'!$X$242:$X$275,MATCH(O324,('Spell Tables'!$V$242:$V$275),0)),IF(AND($Q$11="wizard",$Q$312&gt;=O324),INDEX('Spell Tables'!$X$242:$X$275,MATCH(O324,('Spell Tables'!$V$242:$V$275),0))," "))</f>
        <v xml:space="preserve"> </v>
      </c>
      <c r="S324" s="38" t="str">
        <f ca="1">IF($R$309&gt;=O324,INDEX('Spell Tables'!$AB$242:$AB$270,MATCH(O324,('Spell Tables'!$Z$242:$Z$270),0)),IF(AND($Q$11="wizard",$R$312&gt;=O324),INDEX('Spell Tables'!$AB$242:$AB$270,MATCH(O324,('Spell Tables'!$Z$242:$Z$270),0))," "))</f>
        <v xml:space="preserve"> </v>
      </c>
      <c r="T324" s="73" t="str">
        <f ca="1">IF($S$309&gt;=O324,INDEX('Spell Tables'!$AF$242:$AF$264,MATCH(O324,('Spell Tables'!$AD$242:$AD$264),0)),IF(AND($Q$11="wizard",$S$312&gt;=O324),INDEX('Spell Tables'!$AF$242:$AF$264,MATCH(O324,('Spell Tables'!$AD$242:$AD$264),0))," "))</f>
        <v xml:space="preserve"> </v>
      </c>
    </row>
    <row r="325" spans="1:20" ht="19.5" thickBot="1" x14ac:dyDescent="0.35">
      <c r="K325" s="100"/>
      <c r="L325" s="60"/>
      <c r="O325" s="99"/>
    </row>
    <row r="326" spans="1:20" ht="19.5" hidden="1" thickBot="1" x14ac:dyDescent="0.35">
      <c r="K326" s="100"/>
      <c r="L326" s="60"/>
      <c r="O326" s="65" t="s">
        <v>1169</v>
      </c>
      <c r="P326" s="65" t="s">
        <v>1170</v>
      </c>
      <c r="Q326" s="65" t="s">
        <v>1171</v>
      </c>
      <c r="R326" s="65" t="s">
        <v>677</v>
      </c>
      <c r="S326" s="101" t="s">
        <v>1172</v>
      </c>
    </row>
    <row r="327" spans="1:20" ht="19.5" hidden="1" thickBot="1" x14ac:dyDescent="0.35">
      <c r="K327" s="100"/>
      <c r="L327" s="60"/>
      <c r="O327" s="60" t="str">
        <f ca="1">IF(AND(O11="wizard",O12&gt;=15),"xxxx",IF(AND(O11="wizard",O12&gt;=11),"x",IF(AND($O$11="wizard",$O$12&gt;9),"xx",IF(AND(O11="wizard",O12=9),"xxx"," "))))</f>
        <v xml:space="preserve"> </v>
      </c>
      <c r="P327" s="60" t="str">
        <f ca="1">IF(AND(O11="wizard",O12&gt;=17),"xxxx",IF(AND(O11="wizard",O12&gt;=13),"x",IF(AND($O$11="wizard",$O$12&gt;11),"xx",IF(AND(O11="wizard",O12=11),"xxx"," "))))</f>
        <v xml:space="preserve"> </v>
      </c>
      <c r="Q327" s="60" t="str">
        <f ca="1">IF(AND(O11="wizard",O12&gt;=19),"xxxx",IF(AND(O11="wizard",O12&gt;=15),"x",IF(AND($O$11="wizard",$O$12&gt;13),"xx",IF(AND(O11="wizard",O12=13),"xxx"," "))))</f>
        <v xml:space="preserve"> </v>
      </c>
      <c r="R327" s="60" t="str">
        <f ca="1">IF(AND(O11="wizard",O12&gt;=17),"x",IF(AND($O$11="wizard",$O$12&gt;15),"xx",IF(AND(O11="wizard",O12=15),"xxx"," ")))</f>
        <v xml:space="preserve"> </v>
      </c>
      <c r="S327" s="102" t="str">
        <f ca="1">IF(AND($O$11="wizard",$O$12&gt;17),"xx",IF(AND(O11="wizard",O12=17),"xxx"," "))</f>
        <v xml:space="preserve"> </v>
      </c>
    </row>
    <row r="328" spans="1:20" ht="19.5" hidden="1" thickBot="1" x14ac:dyDescent="0.35">
      <c r="K328" s="100"/>
      <c r="L328" s="60"/>
      <c r="O328" s="65">
        <f ca="1">IF($O327="xxxx",MAX(P208,(RANDBETWEEN(5,6))),IF(O327="x",MAX(P208,(RANDBETWEEN(3,6))),IF(O327="xx",MAX(P208,(RANDBETWEEN(2,4))),IF(O327="xxx",MAX(P208,(2)),0))))</f>
        <v>0</v>
      </c>
      <c r="P328" s="65">
        <f ca="1">IF($P327="xxxx",RANDBETWEEN(5,6),IF(P327="x",RANDBETWEEN(3,6),IF(P327="xx",RANDBETWEEN(2,4),IF(P327="xxx",2,0))))</f>
        <v>0</v>
      </c>
      <c r="Q328" s="65">
        <f ca="1">IF($Q327="xxxx",RANDBETWEEN(5,6),IF(Q327="x",RANDBETWEEN(3,6),IF(Q327="xx",RANDBETWEEN(2,4),IF(Q327="xxx",2,0))))</f>
        <v>0</v>
      </c>
      <c r="R328" s="65">
        <f ca="1">IF(OR(R327="x",R327="xx"),RANDBETWEEN(2,4),IF(R327="xxx",2,0))</f>
        <v>0</v>
      </c>
      <c r="S328" s="101">
        <f ca="1">IF(S327="xx",RANDBETWEEN(2,4),IF(S327="xxx",2,0))</f>
        <v>0</v>
      </c>
    </row>
    <row r="329" spans="1:20" ht="19.5" hidden="1" thickBot="1" x14ac:dyDescent="0.35">
      <c r="K329" s="100"/>
      <c r="L329" s="60"/>
      <c r="O329" s="60" t="s">
        <v>1169</v>
      </c>
      <c r="P329" s="60" t="s">
        <v>1170</v>
      </c>
      <c r="Q329" s="60" t="s">
        <v>1171</v>
      </c>
      <c r="R329" s="60" t="s">
        <v>677</v>
      </c>
      <c r="S329" s="102" t="s">
        <v>1172</v>
      </c>
    </row>
    <row r="330" spans="1:20" ht="19.5" hidden="1" thickBot="1" x14ac:dyDescent="0.35">
      <c r="K330" s="100"/>
      <c r="L330" s="60"/>
      <c r="O330" s="65" t="str">
        <f ca="1">IF(AND(Q11="wizard",Q12&gt;=15),"xxxx",IF(AND(Q11="wizard",Q12&gt;=11),"x",IF(AND($Q$11="wizard",$Q$12&gt;9),"xx",IF(AND(Q11="wizard",Q12=9),"xxx"," "))))</f>
        <v xml:space="preserve"> </v>
      </c>
      <c r="P330" s="65" t="str">
        <f ca="1">IF(AND(Q11="wizard",Q12&gt;=17),"xxxx",IF(AND(Q11="wizard",Q12&gt;=13),"x",IF(AND($Q$11="wizard",$Q$12&gt;11),"xx",IF(AND(Q11="wizard",Q12=11),"xxx"," "))))</f>
        <v xml:space="preserve"> </v>
      </c>
      <c r="Q330" s="65" t="str">
        <f ca="1">IF(AND(Q11="wizard",Q12&gt;=19),"xxxx",IF(AND(Q11="wizard",Q12&gt;=15),"x",IF(AND($Q$11="wizard",$Q$12&gt;13),"xx",IF(AND(Q11="wizard",Q12=13),"xxx"," "))))</f>
        <v xml:space="preserve"> </v>
      </c>
      <c r="R330" s="65" t="str">
        <f ca="1">IF(AND(Q11="wizard",Q12&gt;=17),"x",IF(AND($Q$11="wizard",$Q$12&gt;15),"xx",IF(AND(Q11="wizard",Q12=15),"xxx"," ")))</f>
        <v xml:space="preserve"> </v>
      </c>
      <c r="S330" s="101" t="str">
        <f ca="1">IF(AND($Q$11="wizard",$Q$12&gt;17),"xx",IF(AND(Q11="wizard",Q12=17),"xxx"," "))</f>
        <v xml:space="preserve"> </v>
      </c>
    </row>
    <row r="331" spans="1:20" ht="19.5" hidden="1" thickBot="1" x14ac:dyDescent="0.35">
      <c r="K331" s="100"/>
      <c r="L331" s="60"/>
      <c r="O331" s="60">
        <f ca="1">IF($O330="xxxx",MAX(O275,(RANDBETWEEN(5,6))),IF(O330="x",MAX(O275,(RANDBETWEEN(3,6))),IF(O330="xx",MAX(O275,(RANDBETWEEN(2,4))),IF(O330="xxx",MAX(O275,(2)),0))))</f>
        <v>0</v>
      </c>
      <c r="P331" s="60">
        <f ca="1">IF($P330="xxxx",RANDBETWEEN(5,6),IF(P330="x",RANDBETWEEN(3,6),IF(P330="xx",RANDBETWEEN(2,4),IF(P330="xxx",2,0))))</f>
        <v>0</v>
      </c>
      <c r="Q331" s="60">
        <f ca="1">IF($Q330="xxxx",RANDBETWEEN(5,6),IF(Q330="x",RANDBETWEEN(3,6),IF(Q330="xx",RANDBETWEEN(2,4),IF(Q330="xxx",2,0))))</f>
        <v>0</v>
      </c>
      <c r="R331" s="60">
        <f ca="1">IF(OR(R330="x",R330="xx"),RANDBETWEEN(2,4),IF(R330="xxx",2,0))</f>
        <v>0</v>
      </c>
      <c r="S331" s="102">
        <f ca="1">IF(S330="xx",RANDBETWEEN(2,4),IF(S330="xxx",2,0))</f>
        <v>0</v>
      </c>
    </row>
    <row r="332" spans="1:20" ht="19.5" hidden="1" thickBot="1" x14ac:dyDescent="0.35">
      <c r="K332" s="100"/>
      <c r="L332" s="60"/>
      <c r="O332" s="65"/>
      <c r="P332" s="65"/>
      <c r="Q332" s="65"/>
      <c r="R332" s="65"/>
      <c r="S332" s="101"/>
    </row>
    <row r="333" spans="1:20" x14ac:dyDescent="0.3">
      <c r="A333" s="33"/>
      <c r="B333" s="72"/>
      <c r="K333" s="100"/>
      <c r="L333" s="60"/>
      <c r="P333" s="103" t="s">
        <v>1169</v>
      </c>
      <c r="Q333" s="103" t="s">
        <v>1170</v>
      </c>
      <c r="R333" s="103" t="s">
        <v>1171</v>
      </c>
      <c r="S333" s="103" t="s">
        <v>677</v>
      </c>
      <c r="T333" s="104" t="s">
        <v>1172</v>
      </c>
    </row>
    <row r="334" spans="1:20" x14ac:dyDescent="0.3">
      <c r="A334" s="33"/>
      <c r="B334" s="72"/>
      <c r="K334" s="100"/>
      <c r="L334" s="60"/>
      <c r="O334" s="83">
        <v>1</v>
      </c>
      <c r="P334" s="65" t="str">
        <f ca="1">IF($O$328&gt;=O315,INDEX('Spell Tables'!$AJ$242:$AJ$264,MATCH(O315,('Spell Tables'!$AH$242:$AH$264),0)),IF(AND($Q$11="wizard",$O$331&gt;=O315),INDEX('Spell Tables'!$AJ$242:$AJ$264,MATCH(O315,('Spell Tables'!$AH$242:$AH$264),0))," "))</f>
        <v xml:space="preserve"> </v>
      </c>
      <c r="Q334" s="65" t="str">
        <f ca="1">IF($P$328&gt;=O$315,INDEX('Spell Tables'!$AN$242:$AN$260,MATCH(O$315,('Spell Tables'!$AL$242:$AL$260),0))," ")</f>
        <v xml:space="preserve"> </v>
      </c>
      <c r="R334" s="65" t="str">
        <f ca="1">IF($Q$328&gt;=O$315,INDEX('Spell Tables'!$AR$242:$AR$256,MATCH(O$315,('Spell Tables'!$AP$242:$AP$256),0))," ")</f>
        <v xml:space="preserve"> </v>
      </c>
      <c r="S334" s="65" t="str">
        <f ca="1">IF($R$328&gt;=O$315,INDEX('Spell Tables'!$AV$242:$AV$255,MATCH(O$315,('Spell Tables'!$AT$242:$AT$255),0))," ")</f>
        <v xml:space="preserve"> </v>
      </c>
      <c r="T334" s="66" t="str">
        <f ca="1">IF($S$328&gt;=O$315,INDEX('Spell Tables'!$AZ$242:$AZ$253,MATCH(O$315,('Spell Tables'!$AX$242:$AX$253),0))," ")</f>
        <v xml:space="preserve"> </v>
      </c>
    </row>
    <row r="335" spans="1:20" x14ac:dyDescent="0.3">
      <c r="A335" s="33"/>
      <c r="B335" s="72"/>
      <c r="O335" s="84">
        <v>2</v>
      </c>
      <c r="P335" s="60" t="str">
        <f ca="1">IF($O$328&gt;=O316,INDEX('Spell Tables'!$AJ$242:$AJ$264,MATCH(O316,('Spell Tables'!$AH$242:$AH$264),0)),IF(AND($Q$11="wizard",$O$331&gt;=O316),INDEX('Spell Tables'!$AJ$242:$AJ$264,MATCH(O316,('Spell Tables'!$AH$242:$AH$264),0))," "))</f>
        <v xml:space="preserve"> </v>
      </c>
      <c r="Q335" s="60" t="str">
        <f ca="1">IF($P$328&gt;=O$316,INDEX('Spell Tables'!$AN$242:$AN$260,MATCH(O$316,('Spell Tables'!$AL$242:$AL$260),0))," ")</f>
        <v xml:space="preserve"> </v>
      </c>
      <c r="R335" s="60" t="str">
        <f ca="1">IF($Q$328&gt;=O$316,INDEX('Spell Tables'!$AR$242:$AR$256,MATCH(O$316,('Spell Tables'!$AP$242:$AP$256),0))," ")</f>
        <v xml:space="preserve"> </v>
      </c>
      <c r="S335" s="60" t="str">
        <f ca="1">IF($R$328&gt;=O$316,INDEX('Spell Tables'!$AV$242:$AV$255,MATCH(O$316,('Spell Tables'!$AT$242:$AT$255),0))," ")</f>
        <v xml:space="preserve"> </v>
      </c>
      <c r="T335" s="63" t="str">
        <f ca="1">IF($S$328&gt;=O$316,INDEX('Spell Tables'!$AZ$242:$AZ$253,MATCH(O$316,('Spell Tables'!$AX$242:$AX$253),0))," ")</f>
        <v xml:space="preserve"> </v>
      </c>
    </row>
    <row r="336" spans="1:20" x14ac:dyDescent="0.3">
      <c r="A336" s="33"/>
      <c r="B336" s="72"/>
      <c r="O336" s="83">
        <v>3</v>
      </c>
      <c r="P336" s="65" t="str">
        <f ca="1">IF($O$328&gt;=O317,INDEX('Spell Tables'!$AJ$242:$AJ$264,MATCH(O317,('Spell Tables'!$AH$242:$AH$264),0)),IF(AND($Q$11="wizard",$O$331&gt;=O317),INDEX('Spell Tables'!$AJ$242:$AJ$264,MATCH(O317,('Spell Tables'!$AH$242:$AH$264),0))," "))</f>
        <v xml:space="preserve"> </v>
      </c>
      <c r="Q336" s="65" t="str">
        <f ca="1">IF($P$328&gt;=O$317,INDEX('Spell Tables'!$AN$242:$AN$260,MATCH(O$317,('Spell Tables'!$AL$242:$AL$260),0))," ")</f>
        <v xml:space="preserve"> </v>
      </c>
      <c r="R336" s="65" t="str">
        <f ca="1">IF($Q$328&gt;=O$317,INDEX('Spell Tables'!$AR$242:$AR$256,MATCH(O$317,('Spell Tables'!$AP$242:$AP$256),0))," ")</f>
        <v xml:space="preserve"> </v>
      </c>
      <c r="S336" s="65" t="str">
        <f ca="1">IF($R$328&gt;=O$317,INDEX('Spell Tables'!$AV$242:$AV$255,MATCH(O$317,('Spell Tables'!$AT$242:$AT$255),0))," ")</f>
        <v xml:space="preserve"> </v>
      </c>
      <c r="T336" s="66" t="str">
        <f ca="1">IF($S$328&gt;=O$317,INDEX('Spell Tables'!$AZ$242:$AZ$253,MATCH(O$317,('Spell Tables'!$AX$242:$AX$253),0))," ")</f>
        <v xml:space="preserve"> </v>
      </c>
    </row>
    <row r="337" spans="1:20" x14ac:dyDescent="0.3">
      <c r="A337" s="33"/>
      <c r="B337" s="72"/>
      <c r="O337" s="84">
        <v>4</v>
      </c>
      <c r="P337" s="60" t="str">
        <f ca="1">IF($O$328&gt;=O318,INDEX('Spell Tables'!$AJ$242:$AJ$264,MATCH(O318,('Spell Tables'!$AH$242:$AH$264),0)),IF(AND($Q$11="wizard",$O$331&gt;=O318),INDEX('Spell Tables'!$AJ$242:$AJ$264,MATCH(O318,('Spell Tables'!$AH$242:$AH$264),0))," "))</f>
        <v xml:space="preserve"> </v>
      </c>
      <c r="Q337" s="60" t="str">
        <f ca="1">IF($P$328&gt;=O$318,INDEX('Spell Tables'!$AN$242:$AN$260,MATCH(O$318,('Spell Tables'!$AL$242:$AL$260),0))," ")</f>
        <v xml:space="preserve"> </v>
      </c>
      <c r="R337" s="60" t="str">
        <f ca="1">IF($Q$328&gt;=O$318,INDEX('Spell Tables'!$AR$242:$AR$256,MATCH(O$318,('Spell Tables'!$AP$242:$AP$256),0))," ")</f>
        <v xml:space="preserve"> </v>
      </c>
      <c r="S337" s="60" t="str">
        <f ca="1">IF($R$328&gt;=O$318,INDEX('Spell Tables'!$AV$242:$AV$255,MATCH(O$318,('Spell Tables'!$AT$242:$AT$255),0))," ")</f>
        <v xml:space="preserve"> </v>
      </c>
      <c r="T337" s="63" t="str">
        <f ca="1">IF($S$328&gt;=O$318,INDEX('Spell Tables'!$AZ$242:$AZ$253,MATCH(O$318,('Spell Tables'!$AX$242:$AX$253),0))," ")</f>
        <v xml:space="preserve"> </v>
      </c>
    </row>
    <row r="338" spans="1:20" x14ac:dyDescent="0.3">
      <c r="A338" s="33"/>
      <c r="B338" s="72"/>
      <c r="O338" s="83">
        <v>5</v>
      </c>
      <c r="P338" s="65" t="str">
        <f ca="1">IF($O$328&gt;=O319,INDEX('Spell Tables'!$AJ$242:$AJ$264,MATCH(O319,('Spell Tables'!$AH$242:$AH$264),0)),IF(AND($Q$11="wizard",$O$331&gt;=O319),INDEX('Spell Tables'!$AJ$242:$AJ$264,MATCH(O319,('Spell Tables'!$AH$242:$AH$264),0))," "))</f>
        <v xml:space="preserve"> </v>
      </c>
      <c r="Q338" s="65" t="str">
        <f ca="1">IF($P$328&gt;=O$319,INDEX('Spell Tables'!$AN$242:$AN$260,MATCH(O$319,('Spell Tables'!$AL$242:$AL$260),0))," ")</f>
        <v xml:space="preserve"> </v>
      </c>
      <c r="R338" s="65" t="str">
        <f ca="1">IF($Q$328&gt;=O$319,INDEX('Spell Tables'!$AR$242:$AR$256,MATCH(O$319,('Spell Tables'!$AP$242:$AP$256),0))," ")</f>
        <v xml:space="preserve"> </v>
      </c>
      <c r="S338" s="65" t="str">
        <f ca="1">IF($R$328&gt;=O$319,INDEX('Spell Tables'!$AV$242:$AV$255,MATCH(O$319,('Spell Tables'!$AT$242:$AT$255),0))," ")</f>
        <v xml:space="preserve"> </v>
      </c>
      <c r="T338" s="66" t="str">
        <f ca="1">IF($S$328&gt;=O$319,INDEX('Spell Tables'!$AZ$242:$AZ$253,MATCH(O$319,('Spell Tables'!$AX$242:$AX$253),0))," ")</f>
        <v xml:space="preserve"> </v>
      </c>
    </row>
    <row r="339" spans="1:20" x14ac:dyDescent="0.3">
      <c r="A339" s="33"/>
      <c r="B339" s="72"/>
      <c r="K339" s="100"/>
      <c r="L339" s="60"/>
      <c r="O339" s="84">
        <v>6</v>
      </c>
      <c r="P339" s="60" t="str">
        <f ca="1">IF($O$328&gt;=O320,INDEX('Spell Tables'!$AJ$242:$AJ$264,MATCH(O320,('Spell Tables'!$AH$242:$AH$264),0)),IF(AND($Q$11="wizard",$O$331&gt;=O320),INDEX('Spell Tables'!$AJ$242:$AJ$264,MATCH(O320,('Spell Tables'!$AH$242:$AH$264),0))," "))</f>
        <v xml:space="preserve"> </v>
      </c>
      <c r="Q339" s="60" t="str">
        <f ca="1">IF($P$328&gt;=O$320,INDEX('Spell Tables'!$AN$242:$AN$260,MATCH(O$320,('Spell Tables'!$AL$242:$AL$260),0))," ")</f>
        <v xml:space="preserve"> </v>
      </c>
      <c r="R339" s="60" t="str">
        <f ca="1">IF($Q$328&gt;=O$320,INDEX('Spell Tables'!$AR$242:$AR$256,MATCH(O$320,('Spell Tables'!$AP$242:$AP$256),0))," ")</f>
        <v xml:space="preserve"> </v>
      </c>
      <c r="S339" s="60" t="str">
        <f ca="1">IF($R$328&gt;=O$320,INDEX('Spell Tables'!$AV$242:$AV$255,MATCH(O$320,('Spell Tables'!$AT$242:$AT$255),0))," ")</f>
        <v xml:space="preserve"> </v>
      </c>
      <c r="T339" s="63" t="str">
        <f ca="1">IF($S$328&gt;=O$320,INDEX('Spell Tables'!$AZ$242:$AZ$253,MATCH(O$320,('Spell Tables'!$AX$242:$AX$253),0))," ")</f>
        <v xml:space="preserve"> </v>
      </c>
    </row>
    <row r="340" spans="1:20" x14ac:dyDescent="0.3">
      <c r="A340" s="33"/>
      <c r="B340" s="72"/>
      <c r="K340" s="100"/>
      <c r="L340" s="60"/>
      <c r="O340" s="83">
        <v>7</v>
      </c>
      <c r="P340" s="65" t="str">
        <f ca="1">IF($O$328&gt;=O321,INDEX('Spell Tables'!$AJ$242:$AJ$264,MATCH(O321,('Spell Tables'!$AH$242:$AH$264),0)),IF(AND($Q$11="wizard",$O$331&gt;=O321),INDEX('Spell Tables'!$AJ$242:$AJ$264,MATCH(O321,('Spell Tables'!$AH$242:$AH$264),0))," "))</f>
        <v xml:space="preserve"> </v>
      </c>
      <c r="Q340" s="65" t="str">
        <f ca="1">IF($P$328&gt;=O$321,INDEX('Spell Tables'!$AN$242:$AN$260,MATCH(O$321,('Spell Tables'!$AL$242:$AL$260),0))," ")</f>
        <v xml:space="preserve"> </v>
      </c>
      <c r="R340" s="65" t="str">
        <f ca="1">IF($Q$328&gt;=O$321,INDEX('Spell Tables'!$AR$242:$AR$256,MATCH(O$321,('Spell Tables'!$AP$242:$AP$256),0))," ")</f>
        <v xml:space="preserve"> </v>
      </c>
      <c r="S340" s="65" t="str">
        <f ca="1">IF($R$328&gt;=O$321,INDEX('Spell Tables'!$AV$242:$AV$255,MATCH(O$321,('Spell Tables'!$AT$242:$AT$255),0))," ")</f>
        <v xml:space="preserve"> </v>
      </c>
      <c r="T340" s="66" t="str">
        <f ca="1">IF($S$328&gt;=O$321,INDEX('Spell Tables'!$AZ$242:$AZ$253,MATCH(O$321,('Spell Tables'!$AX$242:$AX$253),0))," ")</f>
        <v xml:space="preserve"> </v>
      </c>
    </row>
    <row r="341" spans="1:20" x14ac:dyDescent="0.3">
      <c r="A341" s="33"/>
      <c r="B341" s="72"/>
      <c r="K341" s="100"/>
      <c r="L341" s="60"/>
      <c r="O341" s="84">
        <v>8</v>
      </c>
      <c r="P341" s="60" t="str">
        <f ca="1">IF($O$328&gt;=O322,INDEX('Spell Tables'!$AJ$242:$AJ$264,MATCH(O322,('Spell Tables'!$AH$242:$AH$264),0)),IF(AND($Q$11="wizard",$O$331&gt;=O322),INDEX('Spell Tables'!$AJ$242:$AJ$264,MATCH(O322,('Spell Tables'!$AH$242:$AH$264),0))," "))</f>
        <v xml:space="preserve"> </v>
      </c>
      <c r="Q341" s="60" t="str">
        <f ca="1">IF($P$328&gt;=O$322,INDEX('Spell Tables'!$AN$242:$AN$260,MATCH(O$322,('Spell Tables'!$AL$242:$AL$260),0))," ")</f>
        <v xml:space="preserve"> </v>
      </c>
      <c r="R341" s="60" t="str">
        <f ca="1">IF($Q$328&gt;=O$322,INDEX('Spell Tables'!$AR$242:$AR$256,MATCH(O$322,('Spell Tables'!$AP$242:$AP$256),0))," ")</f>
        <v xml:space="preserve"> </v>
      </c>
      <c r="S341" s="60" t="str">
        <f ca="1">IF($R$328&gt;=O$322,INDEX('Spell Tables'!$AV$242:$AV$255,MATCH(O$322,('Spell Tables'!$AT$242:$AT$255),0))," ")</f>
        <v xml:space="preserve"> </v>
      </c>
      <c r="T341" s="63" t="str">
        <f ca="1">IF($S$328&gt;=O$322,INDEX('Spell Tables'!$AZ$242:$AZ$253,MATCH(O$322,('Spell Tables'!$AX$242:$AX$253),0))," ")</f>
        <v xml:space="preserve"> </v>
      </c>
    </row>
    <row r="342" spans="1:20" x14ac:dyDescent="0.3">
      <c r="A342" s="33"/>
      <c r="B342" s="72"/>
      <c r="O342" s="83">
        <v>9</v>
      </c>
      <c r="P342" s="65" t="str">
        <f ca="1">IF($O$328&gt;=O323,INDEX('Spell Tables'!$AJ$242:$AJ$264,MATCH(O323,('Spell Tables'!$AH$242:$AH$264),0)),IF(AND($Q$11="wizard",$O$331&gt;=O323),INDEX('Spell Tables'!$AJ$242:$AJ$264,MATCH(O323,('Spell Tables'!$AH$242:$AH$264),0))," "))</f>
        <v xml:space="preserve"> </v>
      </c>
      <c r="Q342" s="65" t="str">
        <f ca="1">IF($P$328&gt;=O$323,INDEX('Spell Tables'!$AN$242:$AN$260,MATCH(O$323,('Spell Tables'!$AL$242:$AL$260),0))," ")</f>
        <v xml:space="preserve"> </v>
      </c>
      <c r="R342" s="65" t="str">
        <f ca="1">IF($Q$328&gt;=O$323,INDEX('Spell Tables'!$AR$242:$AR$256,MATCH(O$323,('Spell Tables'!$AP$242:$AP$256),0))," ")</f>
        <v xml:space="preserve"> </v>
      </c>
      <c r="S342" s="65" t="str">
        <f ca="1">IF($R$328&gt;=O$323,INDEX('Spell Tables'!$AV$242:$AV$255,MATCH(O$323,('Spell Tables'!$AT$242:$AT$255),0))," ")</f>
        <v xml:space="preserve"> </v>
      </c>
      <c r="T342" s="66" t="str">
        <f ca="1">IF($S$328&gt;=O$323,INDEX('Spell Tables'!$AZ$242:$AZ$253,MATCH(O$323,('Spell Tables'!$AX$242:$AX$253),0))," ")</f>
        <v xml:space="preserve"> </v>
      </c>
    </row>
    <row r="343" spans="1:20" ht="19.5" thickBot="1" x14ac:dyDescent="0.35">
      <c r="A343" s="33"/>
      <c r="B343" s="72"/>
      <c r="K343" s="31"/>
      <c r="O343" s="85">
        <v>10</v>
      </c>
      <c r="P343" s="67" t="str">
        <f ca="1">IF($O$328&gt;=O324,INDEX('Spell Tables'!$AJ$242:$AJ$264,MATCH(O324,('Spell Tables'!$AH$242:$AH$264),0)),IF(AND($Q$11="wizard",$O$331&gt;=O324),INDEX('Spell Tables'!$AJ$242:$AJ$264,MATCH(O324,('Spell Tables'!$AH$242:$AH$264),0))," "))</f>
        <v xml:space="preserve"> </v>
      </c>
      <c r="Q343" s="67" t="str">
        <f ca="1">IF($P$328&gt;=O$324,INDEX('Spell Tables'!$AN$242:$AN$260,MATCH(O$324,('Spell Tables'!$AL$242:$AL$260),0))," ")</f>
        <v xml:space="preserve"> </v>
      </c>
      <c r="R343" s="67" t="str">
        <f ca="1">IF($Q$328&gt;=O$324,INDEX('Spell Tables'!$AR$242:$AR$256,MATCH(O$324,('Spell Tables'!$AP$242:$AP$256),0))," ")</f>
        <v xml:space="preserve"> </v>
      </c>
      <c r="S343" s="67" t="str">
        <f ca="1">IF($R$328&gt;=O$324,INDEX('Spell Tables'!$AV$242:$AV$255,MATCH(O$324,('Spell Tables'!$AT$242:$AT$255),0))," ")</f>
        <v xml:space="preserve"> </v>
      </c>
      <c r="T343" s="68" t="str">
        <f ca="1">IF($S$328&gt;=O$324,INDEX('Spell Tables'!$AZ$242:$AZ$253,MATCH(O$324,('Spell Tables'!$AX$242:$AX$253),0))," ")</f>
        <v xml:space="preserve"> </v>
      </c>
    </row>
  </sheetData>
  <sheetProtection sheet="1" objects="1" scenarios="1"/>
  <hyperlinks>
    <hyperlink ref="A1" location="'Character Overview'!A1" display="Back to Overview" xr:uid="{A5A906C2-68A8-486B-866B-56A17E098915}"/>
  </hyperlinks>
  <pageMargins left="0.25" right="0.25" top="0.75" bottom="0.75" header="0.3" footer="0.3"/>
  <pageSetup scale="34" orientation="landscape" horizontalDpi="4294967293" r:id="rId1"/>
  <drawing r:id="rId2"/>
  <tableParts count="56">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 r:id="rId50"/>
    <tablePart r:id="rId51"/>
    <tablePart r:id="rId52"/>
    <tablePart r:id="rId53"/>
    <tablePart r:id="rId54"/>
    <tablePart r:id="rId55"/>
    <tablePart r:id="rId56"/>
    <tablePart r:id="rId57"/>
    <tablePart r:id="rId58"/>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1038B-2CE6-4E55-9008-7174A5E2D209}">
  <sheetPr codeName="Аркуш11">
    <pageSetUpPr fitToPage="1"/>
  </sheetPr>
  <dimension ref="A1:CJ343"/>
  <sheetViews>
    <sheetView showGridLines="0" showRowColHeaders="0" zoomScale="54" zoomScaleNormal="54" workbookViewId="0"/>
  </sheetViews>
  <sheetFormatPr defaultColWidth="8.85546875" defaultRowHeight="18.75" x14ac:dyDescent="0.3"/>
  <cols>
    <col min="1" max="1" width="23.140625" style="29" customWidth="1"/>
    <col min="2" max="2" width="62.7109375" style="29" customWidth="1"/>
    <col min="3" max="3" width="13.7109375" style="29" hidden="1" customWidth="1"/>
    <col min="4" max="5" width="3.85546875" style="29" hidden="1" customWidth="1"/>
    <col min="6" max="8" width="5" style="29" hidden="1" customWidth="1"/>
    <col min="9" max="9" width="11.7109375" style="29" hidden="1" customWidth="1"/>
    <col min="10" max="10" width="2.28515625" style="29" hidden="1" customWidth="1"/>
    <col min="11" max="11" width="14.7109375" style="29" hidden="1" customWidth="1"/>
    <col min="12" max="12" width="13.28515625" style="29" hidden="1" customWidth="1"/>
    <col min="13" max="13" width="7.28515625" style="29" hidden="1" customWidth="1"/>
    <col min="14" max="14" width="2.140625" style="29" hidden="1" customWidth="1"/>
    <col min="15" max="19" width="50.7109375" style="29" customWidth="1"/>
    <col min="20" max="20" width="34" style="29" customWidth="1"/>
    <col min="21" max="21" width="34.28515625" style="29" customWidth="1"/>
    <col min="22" max="22" width="34.140625" style="29" customWidth="1"/>
    <col min="23" max="23" width="29.85546875" style="29" customWidth="1"/>
    <col min="24" max="24" width="18.5703125" style="29" customWidth="1"/>
    <col min="25" max="25" width="34.28515625" style="29" bestFit="1" customWidth="1"/>
    <col min="26" max="26" width="32.7109375" style="29" customWidth="1"/>
    <col min="27" max="27" width="9.7109375" style="29" bestFit="1" customWidth="1"/>
    <col min="28" max="28" width="12.140625" style="29" bestFit="1" customWidth="1"/>
    <col min="29" max="29" width="8.85546875" style="29"/>
    <col min="30" max="30" width="0" style="29" hidden="1" customWidth="1"/>
    <col min="31" max="31" width="10.28515625" style="29" hidden="1" customWidth="1"/>
    <col min="32" max="32" width="23.5703125" style="29" hidden="1" customWidth="1"/>
    <col min="33" max="33" width="8.85546875" style="29" hidden="1" customWidth="1"/>
    <col min="34" max="34" width="17.85546875" style="29" hidden="1" customWidth="1"/>
    <col min="35" max="35" width="3.5703125" style="29" hidden="1" customWidth="1"/>
    <col min="36" max="36" width="21.85546875" style="29" hidden="1" customWidth="1"/>
    <col min="37" max="37" width="14.140625" style="29" hidden="1" customWidth="1"/>
    <col min="38" max="38" width="21.85546875" style="29" hidden="1" customWidth="1"/>
    <col min="39" max="39" width="5.7109375" style="29" hidden="1" customWidth="1"/>
    <col min="40" max="40" width="27.7109375" style="29" hidden="1" customWidth="1"/>
    <col min="41" max="41" width="10.7109375" style="29" hidden="1" customWidth="1"/>
    <col min="42" max="42" width="13.28515625" style="29" hidden="1" customWidth="1"/>
    <col min="43" max="43" width="13" style="29" hidden="1" customWidth="1"/>
    <col min="44" max="44" width="8.85546875" style="29" hidden="1" customWidth="1"/>
    <col min="45" max="45" width="11.7109375" style="29" hidden="1" customWidth="1"/>
    <col min="46" max="47" width="8.85546875" style="29" hidden="1" customWidth="1"/>
    <col min="48" max="49" width="15.28515625" style="29" hidden="1" customWidth="1"/>
    <col min="50" max="50" width="14.140625" style="29" hidden="1" customWidth="1"/>
    <col min="51" max="51" width="9.85546875" style="29" hidden="1" customWidth="1"/>
    <col min="52" max="52" width="12.140625" style="29" hidden="1" customWidth="1"/>
    <col min="53" max="53" width="15.28515625" style="29" hidden="1" customWidth="1"/>
    <col min="54" max="54" width="12.140625" style="29" hidden="1" customWidth="1"/>
    <col min="55" max="55" width="9" style="29" hidden="1" customWidth="1"/>
    <col min="56" max="57" width="10.42578125" style="29" hidden="1" customWidth="1"/>
    <col min="58" max="58" width="9.7109375" style="29" hidden="1" customWidth="1"/>
    <col min="59" max="59" width="10.42578125" style="29" hidden="1" customWidth="1"/>
    <col min="60" max="60" width="7.140625" style="29" hidden="1" customWidth="1"/>
    <col min="61" max="61" width="10.42578125" style="29" hidden="1" customWidth="1"/>
    <col min="62" max="62" width="11.7109375" style="29" hidden="1" customWidth="1"/>
    <col min="63" max="63" width="14.140625" style="29" hidden="1" customWidth="1"/>
    <col min="64" max="64" width="8.85546875" style="29" hidden="1" customWidth="1"/>
    <col min="65" max="65" width="15.7109375" style="29" hidden="1" customWidth="1"/>
    <col min="66" max="66" width="10" style="29" hidden="1" customWidth="1"/>
    <col min="67" max="67" width="13.42578125" style="29" hidden="1" customWidth="1"/>
    <col min="68" max="68" width="15.28515625" style="29" hidden="1" customWidth="1"/>
    <col min="69" max="69" width="15" style="29" hidden="1" customWidth="1"/>
    <col min="70" max="70" width="7.28515625" style="29" hidden="1" customWidth="1"/>
    <col min="71" max="71" width="17.85546875" style="29" hidden="1" customWidth="1"/>
    <col min="72" max="72" width="14.140625" style="29" hidden="1" customWidth="1"/>
    <col min="73" max="73" width="8.28515625" style="29" hidden="1" customWidth="1"/>
    <col min="74" max="74" width="15.28515625" style="29" hidden="1" customWidth="1"/>
    <col min="75" max="79" width="8.85546875" style="29" hidden="1" customWidth="1"/>
    <col min="80" max="80" width="21.140625" style="29" hidden="1" customWidth="1"/>
    <col min="81" max="81" width="12" style="29" hidden="1" customWidth="1"/>
    <col min="82" max="82" width="15.28515625" style="29" hidden="1" customWidth="1"/>
    <col min="83" max="88" width="8.85546875" style="29" hidden="1" customWidth="1"/>
    <col min="89" max="115" width="8.85546875" style="29" customWidth="1"/>
    <col min="116" max="16384" width="8.85546875" style="29"/>
  </cols>
  <sheetData>
    <row r="1" spans="1:83" ht="26.25" thickBot="1" x14ac:dyDescent="0.4">
      <c r="A1" s="153" t="s">
        <v>2755</v>
      </c>
      <c r="B1" s="30"/>
      <c r="C1" s="99"/>
      <c r="D1" s="99"/>
      <c r="E1" s="99"/>
      <c r="F1" s="99"/>
      <c r="G1" s="99"/>
      <c r="H1" s="99"/>
      <c r="I1" s="99"/>
      <c r="J1" s="99"/>
      <c r="K1" s="99"/>
      <c r="L1" s="99"/>
      <c r="M1" s="99"/>
      <c r="N1" s="99"/>
      <c r="O1" s="125" t="s">
        <v>0</v>
      </c>
      <c r="P1" s="126" t="str">
        <f ca="1">IF(AND(Q2="dwarf",O2="male"),VLOOKUP(RANDBETWEEN(1,30),Table4[],2),IF(AND(Q2="dwarf",O2="female"),VLOOKUP(RANDBETWEEN(1,23),Table13[],2),IF(AND(Q2="elf",O2="male"),VLOOKUP(RANDBETWEEN(1,38),Table6[],2),IF(AND(Q2="elf",O2="female"),VLOOKUP(RANDBETWEEN(1,36),Table15[],2),IF(AND(Q2="halfling",O2="male"),VLOOKUP(RANDBETWEEN(1,17),Table10[],2),IF(AND(Q2="halfling",O2="female"),VLOOKUP(RANDBETWEEN(1,18),Table16[],2),IF(AND(Q2="human",O2="male"),VLOOKUP(RANDBETWEEN(1,70),Table17[],2),IF(AND(Q2="human",O2="female"),VLOOKUP(RANDBETWEEN(1,67),Table19[],2),IF(AND(Q2="dragonborn",O2="male"),VLOOKUP(RANDBETWEEN(1,17),Table21[],2),IF(AND(Q2="dragonborn",O2="female"),VLOOKUP(RANDBETWEEN(1,17),Table22[],2),IF(AND(Q2="gnome",O2="male"),VLOOKUP(RANDBETWEEN(1,23),Table28[],2),IF(AND(Q2="gnome",O2="female"),VLOOKUP(RANDBETWEEN(1,22),Table29[],2),IF(AND(Q2="half-elf",O2="male"),VLOOKUP(RANDBETWEEN(1,108),Table31[],2),IF(AND(Q2="half-elf",O2="female"),VLOOKUP(RANDBETWEEN(1,103),Table32[],2),IF(AND(Q2="half-orc",O2="male"),VLOOKUP(RANDBETWEEN(1,10),Table35[],2),IF(AND(Q2="half-orc",O2="female"),VLOOKUP(RANDBETWEEN(1,13),Table36[],2),IF(AND(Q2="tiefling",O2="male"),VLOOKUP(RANDBETWEEN(1,33),Table37[],2),IF(AND(Q2="tiefling",O2="female"),VLOOKUP(RANDBETWEEN(1,34),Table38[],2)," "))))))))))))))))))</f>
        <v>Bryn</v>
      </c>
      <c r="Q1" s="127" t="str">
        <f ca="1">IF(Q2="dwarf",VLOOKUP(RANDBETWEEN(1,53),Table5[],2),IF(Q2="elf",VLOOKUP(RANDBETWEEN(1,73),Table7[],2),IF(Q2="halfling",VLOOKUP(RANDBETWEEN(1,20),Table11[],2),IF(Q2="human",VLOOKUP(RANDBETWEEN(1,52),Table18[],2),IF(Q2="dragonborn",VLOOKUP(RANDBETWEEN(1,18),Table24[],2),IF(Q2="gnome",VLOOKUP(RANDBETWEEN(1,13),Table27[],2),IF(Q2="half-elf",VLOOKUP(RANDBETWEEN(1,62),Table33[],2)," ")))))))</f>
        <v>Xiloscient</v>
      </c>
      <c r="R1" s="30"/>
      <c r="S1" s="30"/>
      <c r="AF1" s="29" t="s">
        <v>674</v>
      </c>
      <c r="AH1" s="29" t="s">
        <v>711</v>
      </c>
      <c r="AI1" s="29">
        <f ca="1">IF(O11="non-classed",RANDBETWEEN(1,10),IF(O11="wizard",SUM(6,4*O12,-4),IF(O11="warlock",SUM(8,5*O12,-5),IF(O11="sorcerer",SUM(6,4*O12,-6),IF(O11="rogue",SUM(8,5*O12,-5),IF(O11="ranger",SUM(10,6*O12,-6),IF(O11="paladin",SUM(10,6*O12,-6),IF(O11="barbarian",SUM(12,7*O12,-7),IF(O11="bard",SUM(8,5*O12,-5),IF(O11="cleric",SUM(8,5*O12,-5),IF(O11="druid",SUM(8,5*O12,-5),IF(O11="fighter",SUM(10,6*O12,-6),IF(O11="monk",SUM(8,5*O12,-5)," ")))))))))))))</f>
        <v>40</v>
      </c>
      <c r="AJ1" s="29" t="s">
        <v>714</v>
      </c>
      <c r="AK1" s="29">
        <f ca="1">(P40*P6)</f>
        <v>50</v>
      </c>
      <c r="CB1" s="31" t="s">
        <v>670</v>
      </c>
      <c r="CE1" s="31"/>
    </row>
    <row r="2" spans="1:83" x14ac:dyDescent="0.3">
      <c r="A2" s="30"/>
      <c r="B2" s="30"/>
      <c r="C2" s="33"/>
      <c r="D2" s="33"/>
      <c r="E2" s="33"/>
      <c r="F2" s="33"/>
      <c r="G2" s="33"/>
      <c r="H2" s="33"/>
      <c r="I2" s="33"/>
      <c r="J2" s="33"/>
      <c r="K2" s="33"/>
      <c r="L2" s="33"/>
      <c r="M2" s="33"/>
      <c r="N2" s="33"/>
      <c r="O2" s="110" t="str">
        <f ca="1">VLOOKUP(RANDBETWEEN(1,2),Table14[],2)</f>
        <v>Female</v>
      </c>
      <c r="P2" s="33" t="str">
        <f ca="1">IF(Q2="dwarf",VLOOKUP(RANDBETWEEN(1,2),Table8[],2),IF(Q2="elf",VLOOKUP(RANDBETWEEN(1,3),Table9[],2),IF(Q2="halfling",VLOOKUP(RANDBETWEEN(1,2),Table12[],2),IF(Q2="Dragonborn",VLOOKUP(RANDBETWEEN(1,10),Table25[],2),IF(Q2="Gnome",VLOOKUP(RANDBETWEEN(1,2),Table30[],2)," ")))))</f>
        <v>Dark</v>
      </c>
      <c r="Q2" s="72" t="str">
        <f ca="1">VLOOKUP(RANDBETWEEN(1,9),Table2[],2)</f>
        <v>Elf</v>
      </c>
      <c r="R2" s="30"/>
      <c r="S2" s="30"/>
      <c r="AE2" s="29" t="s">
        <v>676</v>
      </c>
      <c r="AF2" s="29" t="str">
        <f ca="1">IF($P$6&gt;=4,VLOOKUP(RANDBETWEEN(1,6),Table41[],2)," ")</f>
        <v>Wisdom</v>
      </c>
      <c r="AH2" s="29" t="s">
        <v>712</v>
      </c>
      <c r="AI2" s="29" t="str">
        <f ca="1">IF(Q11="wizard",4*Q12,IF(Q11="warlock",5*Q12,IF(Q11="sorcerer",4*Q12,IF(Q11="rogue",5*Q12,IF(Q11="ranger",6*Q12,IF(Q11="paladin",6*Q12,IF(Q11="barbarian",7*Q12,IF(Q11="bard",5*Q12,IF(Q11="cleric",5*Q12,IF(Q11="druid",5*Q12,IF(Q11="fighter",6*Q12,IF(Q11="monk",5*Q12," "))))))))))))</f>
        <v xml:space="preserve"> </v>
      </c>
      <c r="CB2" s="35">
        <f t="shared" ref="CB2:CB7" ca="1" si="0">_xlfn.RANK.EQ(CC2,$CC$2:$CC$7)</f>
        <v>1</v>
      </c>
      <c r="CC2" s="36">
        <f ca="1">IF(BM7&gt;0,0,RAND())</f>
        <v>0.6562682573768126</v>
      </c>
      <c r="CD2" s="29" t="s">
        <v>29</v>
      </c>
    </row>
    <row r="3" spans="1:83" ht="19.5" thickBot="1" x14ac:dyDescent="0.35">
      <c r="A3" s="30"/>
      <c r="B3" s="30"/>
      <c r="C3" s="38"/>
      <c r="D3" s="38"/>
      <c r="E3" s="38"/>
      <c r="F3" s="38"/>
      <c r="G3" s="38"/>
      <c r="H3" s="38"/>
      <c r="I3" s="38"/>
      <c r="J3" s="38"/>
      <c r="K3" s="38"/>
      <c r="L3" s="38"/>
      <c r="M3" s="38"/>
      <c r="N3" s="38"/>
      <c r="O3" s="37" t="str">
        <f ca="1">VLOOKUP(RANDBETWEEN(1,20),Table253[],2)</f>
        <v>Elderly</v>
      </c>
      <c r="P3" s="38" t="str">
        <f ca="1">IF(AND(Q2="tiefling",O3="young adult"),SUM(17,RANDBETWEEN(1,23))&amp;" years old",IF(AND(Q2="tiefling",O3="adult"),SUM(40,RANDBETWEEN(1,30))&amp;" years old",IF(AND(Q2="tiefling",O3="elderly"),SUM(70,RANDBETWEEN(1,30))&amp;" years old",IF(AND(Q2="half-orc",O3="young adult"),SUM(13,RANDBETWEEN(1,32))&amp;" years old",IF(AND(Q2="half-orc",O3="adult"),SUM(45,RANDBETWEEN(1,15))&amp;" years old",IF(AND(Q2="half-orc",O3="elderly"),SUM(60,RANDBETWEEN(1,15))&amp;" years old",IF(AND(Q2="half-elf",O3="young adult"),SUM(19,RANDBETWEEN(1,30))&amp;" years old",IF(AND(Q2="half-elf",O3="adult"),SUM(50,RANDBETWEEN(1,100))&amp;" years old",IF(AND(Q2="half-elf",O3="elderly"),SUM(150,RANDBETWEEN(1,30))&amp;" years old",IF(AND(Q2="gnome",O3="young adult"),SUM(19,RANDBETWEEN(1,20))&amp;" years old",IF(AND(Q2="gnome",O3="adult"),SUM(40,RANDBETWEEN(1,160))&amp;" years old",IF(AND(Q2="gnome",O3="elderly"),SUM(200,RANDBETWEEN(1,200))&amp;" years old",IF(AND(Q2="dragonborn",O3="young adult"),SUM(14,RANDBETWEEN(1,5))&amp;" years old",IF(AND(Q2="dragonborn",O3="adult"),SUM(20,RANDBETWEEN(1,30))&amp;" years old",IF(AND(Q2="dragonborn",O3="elderly"),SUM(50,RANDBETWEEN(1,30))&amp;" years old",IF(AND(Q2="halfling",O3="young adult"),SUM(19,RANDBETWEEN(1,20))&amp;" years old",IF(AND(Q2="halfling",O3="adult"),SUM(40,RANDBETWEEN(1,110))&amp;" years old",IF(AND(Q2="halfling",O3="elderly"),SUM(150,RANDBETWEEN(1,100))&amp;" years old",IF(AND(Q2="elf",O3="young adult"),SUM(99,RANDBETWEEN(1,350))&amp;" years old",IF(AND(Q2="elf",O3="adult"),SUM(450,RANDBETWEEN(1,200))&amp;" years old",IF(AND(Q2="elf",O3="elderly"),SUM(650,RANDBETWEEN(1,100))&amp;" years old",IF(AND(Q2="dwarf",O3="young adult"),SUM(17,RANDBETWEEN(1,32))&amp;" years old",IF(AND(Q2="dwarf",O3="adult"),SUM(50,RANDBETWEEN(1,150))&amp;" years old",IF(AND(Q2="dwarf",O3="elderly"),SUM(200,RANDBETWEEN(1,150))&amp;" years old",IF(AND(Q2="human",O3="young adult"),SUM(17,RANDBETWEEN(1,12))&amp;" years old",IF(AND(Q2="human",O3="adult"),SUM(30,RANDBETWEEN(1,35))&amp;" years old",IF(AND(Q2="human",O3="elderly"),SUM(65,RANDBETWEEN(1,25))&amp;" years old"," ")))))))))))))))))))))))))))</f>
        <v>717 years old</v>
      </c>
      <c r="Q3" s="113"/>
      <c r="R3" s="30"/>
      <c r="AE3" s="29" t="s">
        <v>676</v>
      </c>
      <c r="AF3" s="29" t="str">
        <f ca="1">IF($P$6&gt;=4,VLOOKUP(RANDBETWEEN(1,6),Table41[],2)," ")</f>
        <v>Constitution</v>
      </c>
      <c r="AH3" s="29" t="s">
        <v>713</v>
      </c>
      <c r="AI3" s="29" t="str">
        <f ca="1">IF(P2="hill",(P6)," ")</f>
        <v xml:space="preserve"> </v>
      </c>
      <c r="CB3" s="35">
        <f t="shared" ca="1" si="0"/>
        <v>3</v>
      </c>
      <c r="CC3" s="36">
        <f ca="1">IF(BM9&gt;0,0,RAND())</f>
        <v>0.45350204417685624</v>
      </c>
      <c r="CD3" s="29" t="s">
        <v>14</v>
      </c>
    </row>
    <row r="4" spans="1:83" ht="19.5" thickBot="1" x14ac:dyDescent="0.35">
      <c r="A4" s="33"/>
      <c r="B4" s="30"/>
      <c r="C4" s="39"/>
      <c r="D4" s="39"/>
      <c r="E4" s="39"/>
      <c r="F4" s="39"/>
      <c r="G4" s="39"/>
      <c r="H4" s="39"/>
      <c r="I4" s="39"/>
      <c r="J4" s="39"/>
      <c r="K4" s="39"/>
      <c r="L4" s="39"/>
      <c r="M4" s="39"/>
      <c r="N4" s="39"/>
      <c r="O4" s="40"/>
      <c r="Q4" s="41"/>
      <c r="R4" s="41"/>
      <c r="AE4" s="29" t="s">
        <v>677</v>
      </c>
      <c r="AF4" s="29" t="str">
        <f ca="1">IF($P$6&gt;=8,VLOOKUP(RANDBETWEEN(1,6),Table41[],2)," ")</f>
        <v>Constitution</v>
      </c>
      <c r="AH4" s="29" t="s">
        <v>1592</v>
      </c>
      <c r="AI4" s="29">
        <f ca="1">IF(OR(P15="draconic bloodline",R15="draconic bloodline"),O12," ")</f>
        <v>10</v>
      </c>
      <c r="CB4" s="35">
        <f t="shared" ca="1" si="0"/>
        <v>2</v>
      </c>
      <c r="CC4" s="36">
        <f ca="1">IF(BM13&gt;0,0,RAND())</f>
        <v>0.50322671463725344</v>
      </c>
      <c r="CD4" s="29" t="s">
        <v>18</v>
      </c>
    </row>
    <row r="5" spans="1:83" ht="19.5" thickBot="1" x14ac:dyDescent="0.35">
      <c r="B5" s="42" t="s">
        <v>35</v>
      </c>
      <c r="O5" s="43" t="s">
        <v>41</v>
      </c>
      <c r="P5" s="43" t="s">
        <v>1881</v>
      </c>
      <c r="Q5" s="44" t="str">
        <f ca="1">"Max. HP: "&amp;SUM(AI1,AI2,AI3,AK1,AI4)</f>
        <v>Max. HP: 100</v>
      </c>
      <c r="R5" s="45" t="s">
        <v>33</v>
      </c>
      <c r="AE5" s="29" t="s">
        <v>677</v>
      </c>
      <c r="AF5" s="29" t="str">
        <f ca="1">IF($P$6&gt;=8,VLOOKUP(RANDBETWEEN(1,6),Table41[],2)," ")</f>
        <v>Constitution</v>
      </c>
      <c r="AV5" s="29" t="s">
        <v>744</v>
      </c>
      <c r="BM5" s="29" t="s">
        <v>1825</v>
      </c>
      <c r="BN5" s="29" t="s">
        <v>744</v>
      </c>
      <c r="BO5" s="29" t="s">
        <v>728</v>
      </c>
      <c r="BP5" s="29" t="s">
        <v>745</v>
      </c>
      <c r="BQ5" s="29" t="s">
        <v>1569</v>
      </c>
      <c r="BR5" s="29" t="s">
        <v>211</v>
      </c>
      <c r="BS5" s="29" t="s">
        <v>1343</v>
      </c>
      <c r="BT5" s="29" t="s">
        <v>1344</v>
      </c>
      <c r="BU5" s="29" t="s">
        <v>739</v>
      </c>
      <c r="CB5" s="35">
        <f t="shared" ca="1" si="0"/>
        <v>6</v>
      </c>
      <c r="CC5" s="36">
        <f ca="1">IF(BM16&gt;0,0,RAND())</f>
        <v>1.9209074473582555E-2</v>
      </c>
      <c r="CD5" s="29" t="s">
        <v>21</v>
      </c>
    </row>
    <row r="6" spans="1:83" ht="20.25" thickTop="1" thickBot="1" x14ac:dyDescent="0.35">
      <c r="B6" s="32">
        <f ca="1">P39</f>
        <v>0</v>
      </c>
      <c r="O6" s="46" t="str">
        <f ca="1">IF(OR(Q2="dwarf",Q2="elf",Q2="human",Q2="dragonborn",Q2="half-elf",Q2="half-orc",Q2="tiefling"),"Medium",IF(OR(Q2="gnome",Q2="halfling"),"Small"," "))</f>
        <v>Medium</v>
      </c>
      <c r="P6" s="47">
        <f ca="1">IF(AF14=1,O12,IF(AF14=2,SUM(O12,Q12)))</f>
        <v>10</v>
      </c>
      <c r="Q6" s="48" t="s">
        <v>1882</v>
      </c>
      <c r="R6" s="47" t="str">
        <f ca="1">VLOOKUP(RANDBETWEEN(1,100),Table92[],2)</f>
        <v>Neutral Good</v>
      </c>
      <c r="U6" s="49"/>
      <c r="AE6" s="29" t="s">
        <v>678</v>
      </c>
      <c r="AF6" s="29" t="str">
        <f ca="1">IF($P$6&gt;=12,VLOOKUP(RANDBETWEEN(1,6),Table41[],2)," ")</f>
        <v xml:space="preserve"> </v>
      </c>
      <c r="AH6" s="29" t="s">
        <v>12</v>
      </c>
      <c r="AI6" s="29">
        <f ca="1">$P$39</f>
        <v>0</v>
      </c>
      <c r="AJ6" s="29" t="str">
        <f t="shared" ref="AJ6:AU6" ca="1" si="1">IF(COUNTIF(AJ$27:AJ$33,$AH$6),$P$8," ")</f>
        <v xml:space="preserve"> </v>
      </c>
      <c r="AK6" s="29" t="str">
        <f t="shared" ca="1" si="1"/>
        <v xml:space="preserve"> </v>
      </c>
      <c r="AL6" s="29" t="str">
        <f t="shared" ca="1" si="1"/>
        <v xml:space="preserve"> </v>
      </c>
      <c r="AM6" s="29" t="str">
        <f t="shared" ca="1" si="1"/>
        <v xml:space="preserve"> </v>
      </c>
      <c r="AN6" s="29" t="str">
        <f t="shared" ca="1" si="1"/>
        <v xml:space="preserve"> </v>
      </c>
      <c r="AO6" s="29" t="str">
        <f t="shared" ca="1" si="1"/>
        <v xml:space="preserve"> </v>
      </c>
      <c r="AP6" s="29" t="str">
        <f t="shared" ca="1" si="1"/>
        <v xml:space="preserve"> </v>
      </c>
      <c r="AQ6" s="29" t="str">
        <f t="shared" ca="1" si="1"/>
        <v xml:space="preserve"> </v>
      </c>
      <c r="AR6" s="29" t="str">
        <f t="shared" ca="1" si="1"/>
        <v xml:space="preserve"> </v>
      </c>
      <c r="AS6" s="29" t="str">
        <f t="shared" ca="1" si="1"/>
        <v xml:space="preserve"> </v>
      </c>
      <c r="AT6" s="29" t="str">
        <f t="shared" ca="1" si="1"/>
        <v xml:space="preserve"> </v>
      </c>
      <c r="AU6" s="29" t="str">
        <f t="shared" ca="1" si="1"/>
        <v xml:space="preserve"> </v>
      </c>
      <c r="AV6" s="29">
        <f ca="1">SUM(AJ6:AU6)</f>
        <v>0</v>
      </c>
      <c r="AW6" s="29" t="s">
        <v>12</v>
      </c>
      <c r="BA6" s="29" t="str">
        <f ca="1">IF(S11="Entertainer",P8," ")</f>
        <v xml:space="preserve"> </v>
      </c>
      <c r="BM6" s="29">
        <f t="shared" ref="BM6:BM23" ca="1" si="2">SUM(AX6:BL6)</f>
        <v>0</v>
      </c>
      <c r="BN6" s="29">
        <f ca="1">AV6</f>
        <v>0</v>
      </c>
      <c r="BO6" s="29" t="str">
        <f t="shared" ref="BO6:BO23" ca="1" si="3">IF(AND($O$11="bard",$O$12&gt;=3,BN26=1),$P$8,IF(AND($O$11="bard",$O$12&gt;=3,BN26=2),$P$8,IF(AND($O$11="bard",$O$12&gt;=10,BN26=3,$P$15="college of lore"),$P$8,IF(AND($O$11="bard",$O$12&gt;=10,BN26=4,$P$15="college of lore"),$P$8,IF(AND($Q$11="bard",$Q$12&gt;=3,BN26=1),$P$8,IF(AND($Q$11="bard",$Q$12&gt;=3,BN26=2),$P$8,IF(AND($Q$11="bard",$Q$12&gt;=10,BN26=3,$P$15="college of lore"),$P$8,IF(AND($Q$11="bard",$Q$12&gt;=10,BN26=4,$P$15="college of lore"),$P$8," "))))))))</f>
        <v xml:space="preserve"> </v>
      </c>
      <c r="BP6" s="29" t="str">
        <f t="shared" ref="BP6:BP23" ca="1" si="4">IF(AND($O$11="bard",$O$12&gt;=2,AV6&lt;=0),ROUNDDOWN($P$8*0.5,0),IF(AND($Q$11="bard",$Q$12&gt;=2,AV6&lt;=0),ROUNDDOWN($P$8*0.5,0)," "))</f>
        <v xml:space="preserve"> </v>
      </c>
      <c r="BQ6" s="29" t="str">
        <f t="shared" ref="BQ6:BQ23" ca="1" si="5">IF(AND($O$11="rogue",BN26=1),$P$8,IF(AND($O$11="rogue",BN26=2,$AF$25=1),$P$8,IF(AND($O$11="rogue",$O$12&gt;6,BN26=3),$P$8,IF(AND($O$11="rogue",$O$12&gt;6,BN26=4),$P$8," "))))</f>
        <v xml:space="preserve"> </v>
      </c>
      <c r="BR6" s="29">
        <f t="shared" ref="BR6:BR23" ca="1" si="6">IF(AND($Q$2="half-elf",BR26=1),$P$8,IF(AND($Q$2="half-elf",BR26=2),$P$8,0))</f>
        <v>0</v>
      </c>
      <c r="BU6" s="29">
        <f ca="1">SUM(BM6:BT6,AI6)</f>
        <v>0</v>
      </c>
      <c r="BV6" s="29" t="s">
        <v>12</v>
      </c>
      <c r="CB6" s="35">
        <f t="shared" ca="1" si="0"/>
        <v>4</v>
      </c>
      <c r="CC6" s="36">
        <f ca="1">IF(BM17&gt;0,0,RAND())</f>
        <v>0.40463525716742332</v>
      </c>
      <c r="CD6" s="29" t="s">
        <v>22</v>
      </c>
      <c r="CE6" s="31"/>
    </row>
    <row r="7" spans="1:83" ht="19.5" thickBot="1" x14ac:dyDescent="0.35">
      <c r="B7" s="42" t="s">
        <v>36</v>
      </c>
      <c r="O7" s="50" t="str">
        <f ca="1">IF(Q2="Tiefling","Height: "&amp;SUM(57,AE31)&amp;" inches",IF(Q2="half-orc","Height: "&amp;SUM(58,AE32)&amp;" inches",IF(Q2="Half-elf","Height: "&amp;SUM(57,AE31)&amp;" inches",IF(Q2="Gnome","Height: "&amp;SUM(35,AE29)&amp;" inches",IF(Q2="Dragonborn","Height: "&amp;SUM(66,AE31)&amp;" inches",IF(Q2="Halfling","Height: "&amp;SUM(31,AE29)&amp;" inches",IF(P2="dark","Height: "&amp;SUM(53,AE30)&amp;" inches",IF(P2="wood","Height: "&amp;SUM(54,AE32)&amp;" inches",IF(P2="high","Height: "&amp;SUM(54,AE32)&amp;" inches",IF(P2="mountain","Height: "&amp;SUM(48,AE29)&amp;" inches",IF(P2="hill","Height: "&amp;SUM(44,AE29)&amp;" inches",IF(Q2="human","Height: "&amp;SUM(56,AE32)&amp;" inches"," "))))))))))))</f>
        <v>Height: 60 inches</v>
      </c>
      <c r="P7" s="43" t="s">
        <v>34</v>
      </c>
      <c r="AE7" s="29" t="s">
        <v>678</v>
      </c>
      <c r="AF7" s="29" t="str">
        <f ca="1">IF($P$6&gt;=12,VLOOKUP(RANDBETWEEN(1,6),Table41[],2)," ")</f>
        <v xml:space="preserve"> </v>
      </c>
      <c r="AH7" s="29" t="s">
        <v>29</v>
      </c>
      <c r="AI7" s="29">
        <f ca="1">$P$42</f>
        <v>4</v>
      </c>
      <c r="AJ7" s="29" t="str">
        <f t="shared" ref="AJ7:AU7" ca="1" si="7">IF(COUNTIF(AJ$27:AJ$33,$AH$7),$P$8," ")</f>
        <v xml:space="preserve"> </v>
      </c>
      <c r="AK7" s="29" t="str">
        <f t="shared" ca="1" si="7"/>
        <v xml:space="preserve"> </v>
      </c>
      <c r="AL7" s="29" t="str">
        <f t="shared" ca="1" si="7"/>
        <v xml:space="preserve"> </v>
      </c>
      <c r="AM7" s="29" t="str">
        <f t="shared" ca="1" si="7"/>
        <v xml:space="preserve"> </v>
      </c>
      <c r="AN7" s="29" t="str">
        <f t="shared" ca="1" si="7"/>
        <v xml:space="preserve"> </v>
      </c>
      <c r="AO7" s="29" t="str">
        <f t="shared" ca="1" si="7"/>
        <v xml:space="preserve"> </v>
      </c>
      <c r="AP7" s="29" t="str">
        <f t="shared" ca="1" si="7"/>
        <v xml:space="preserve"> </v>
      </c>
      <c r="AQ7" s="29" t="str">
        <f t="shared" ca="1" si="7"/>
        <v xml:space="preserve"> </v>
      </c>
      <c r="AR7" s="29" t="str">
        <f t="shared" ca="1" si="7"/>
        <v xml:space="preserve"> </v>
      </c>
      <c r="AS7" s="29" t="str">
        <f t="shared" ca="1" si="7"/>
        <v xml:space="preserve"> </v>
      </c>
      <c r="AT7" s="29" t="str">
        <f t="shared" ca="1" si="7"/>
        <v xml:space="preserve"> </v>
      </c>
      <c r="AU7" s="29" t="str">
        <f t="shared" ca="1" si="7"/>
        <v xml:space="preserve"> </v>
      </c>
      <c r="AV7" s="29">
        <f t="shared" ref="AV7:AV23" ca="1" si="8">SUM(AJ7:AU7)</f>
        <v>0</v>
      </c>
      <c r="AW7" s="29" t="s">
        <v>29</v>
      </c>
      <c r="BB7" s="29" t="str">
        <f ca="1">IF(S11="Folk Hero",P8," ")</f>
        <v xml:space="preserve"> </v>
      </c>
      <c r="BM7" s="29">
        <f t="shared" ca="1" si="2"/>
        <v>0</v>
      </c>
      <c r="BN7" s="29">
        <f t="shared" ref="BN7:BN23" ca="1" si="9">AV7</f>
        <v>0</v>
      </c>
      <c r="BO7" s="29" t="str">
        <f t="shared" ca="1" si="3"/>
        <v xml:space="preserve"> </v>
      </c>
      <c r="BP7" s="29" t="str">
        <f t="shared" ca="1" si="4"/>
        <v xml:space="preserve"> </v>
      </c>
      <c r="BQ7" s="29" t="str">
        <f t="shared" ca="1" si="5"/>
        <v xml:space="preserve"> </v>
      </c>
      <c r="BR7" s="29">
        <f t="shared" ca="1" si="6"/>
        <v>0</v>
      </c>
      <c r="BT7" s="29">
        <f ca="1">IF(AND(BY30=1,OR($P$15="nature",$R$15="nature")),$P$8,0)</f>
        <v>0</v>
      </c>
      <c r="BU7" s="29">
        <f t="shared" ref="BU7:BU23" ca="1" si="10">SUM(BM7:BT7)</f>
        <v>0</v>
      </c>
      <c r="BV7" s="29" t="s">
        <v>29</v>
      </c>
      <c r="CB7" s="35">
        <f t="shared" ca="1" si="0"/>
        <v>5</v>
      </c>
      <c r="CC7" s="36">
        <f ca="1">IF(BM23&gt;0,0,RAND())</f>
        <v>7.5707808706734547E-2</v>
      </c>
      <c r="CD7" s="29" t="s">
        <v>28</v>
      </c>
    </row>
    <row r="8" spans="1:83" ht="20.25" thickTop="1" thickBot="1" x14ac:dyDescent="0.35">
      <c r="B8" s="51" t="str">
        <f ca="1">IF(AND(B89="unarmored defense",B90&lt;&gt;"shield",Q12&gt;=2,Q11="monk",OR(Q2="dwarf",Q2="halfling",Q2="gnome")),SUM(15,INDEX('Class Tables'!L98:L117,MATCH(O12,('Class Tables'!I98:I117),0)))&amp;" ft.",IF(AND(B89="unarmored defense",B90&lt;&gt;"Shield",Q12&gt;=2,Q11="monk",P2="wood"),SUM(25,INDEX('Class Tables'!L98:L117,MATCH(O12,('Class Tables'!I98:I117),0)))&amp;" ft.",IF(AND(B89="unarmored defense",B90&lt;&gt;"shield",Q12&gt;=2,Q11="monk",OR(Q2="human",Q2="elf",Q2="dragonborn",Q2="half-elf",Q2="half-orc",Q2="tiefling")),SUM(20,INDEX('Class Tables'!L98:L117,MATCH(O12,('Class Tables'!I98:I117),0)))&amp;" ft.",IF(AND(B89="unarmored defense",B90&lt;&gt;"shield",O12&gt;=2,O11="monk",OR(Q2="dwarf",Q2="halfling",Q2="gnome")),SUM(25,INDEX('Class Tables'!L98:L117,MATCH(O12,('Class Tables'!I98:I117),0)))&amp;" ft.",IF(AND(B89="unarmored defense",B90&lt;&gt;"Shield",O12&gt;=2,O11="monk",P2="wood"),SUM(35,INDEX('Class Tables'!L98:L117,MATCH(O12,('Class Tables'!I98:I117),0)))&amp;" ft.",IF(AND(B89="unarmored defense",B90&lt;&gt;"shield",O12&gt;=2,O11="monk",OR(Q2="human",Q2="elf",Q2="dragonborn",Q2="half-elf",Q2="half-orc",Q2="tiefling")),SUM(30,INDEX('Class Tables'!L98:L117,MATCH(O12,('Class Tables'!I98:I117),0)))&amp;" ft.",IF(AND(B89="unarmored defense",Q12&gt;=5,Q11="barbarian",OR(Q2="dwarf",Q2="halfling",Q2="gnome")),"35 ft.",IF(AND(B89="unarmored defense",Q12&gt;=5,Q11="barbarian",P2="wood"),"45 ft.",IF(AND(B89="unarmored defense",Q12&gt;=5,Q11="barbarian",OR(Q2="human",Q2="elf",Q2="dragonborn",Q2="half-elf",Q2="half-orc",Q2="tiefling")),"40 ft.",IF(AND(B89="unarmored defense",O12&gt;=5,O11="barbarian",OR(Q2="dwarf",Q2="halfling",Q2="gnome")),"35 ft.",IF(AND(B89="unarmored defense",O12&gt;=O11="barbarian",P2="wood"),"45 ft.",IF(AND(B89="unarmored defense",O12&gt;=5,O11="barbarian",OR(Q2="human",Q2="elf",Q2="dragonborn",Q2="half-elf",Q2="half-orc",Q2="tiefling")),"40 ft.",IF(OR(Q2="dwarf",Q2="halfling",Q2="gnome"),"25 ft.",IF(P2="wood","35 ft.",IF(OR(Q2="human",Q2="elf",Q2="dragonborn",Q2="half-elf",Q2="half-orc",Q2="tiefling"),"30 ft."," ")))))))))))))))</f>
        <v>30 ft.</v>
      </c>
      <c r="O8" s="47" t="str">
        <f ca="1">IF(P2="dark","Weight: "&amp;SUM(AE30*RANDBETWEEN(1,6),75)&amp;" lbs.",IF(P2="wood","Weight: "&amp;SUM(AE32*RANDBETWEEN(1,4),100)&amp;" lbs.",IF(P2="high","Weight: "&amp;SUM(AE32*RANDBETWEEN(1,4),90)&amp;" lbs.",IF(P2="mountain","Weight: "&amp;SUM(AE29*RANDBETWEEN(2,12),130)&amp;" lbs.",IF(P2="hill","Weight: "&amp;SUM(AE29*RANDBETWEEN(2,12),115)&amp;" lbs.",IF(Q2="tiefling","Weight: "&amp;SUM(AE31*RANDBETWEEN(2,8),110)&amp;" lbs.",IF(Q2="Half-orc","Weight: "&amp;SUM(AE32*RANDBETWEEN(2,12),140),IF(Q2="Half-elf","Weight: "&amp;SUM(AE31*RANDBETWEEN(2,8),110),IF(Q2="Gnome","Weight: "&amp;SUM(AE29,35),IF(Q2="Dragonborn","Weight: "&amp;SUM(AE31*RANDBETWEEN(2,12),175)&amp;" lbs.",IF(Q2="Halfling","Weight: "&amp;SUM(AE29,35)&amp;" lbs.",IF(Q2="Human","Weight: "&amp;SUM(AE32*RANDBETWEEN(2,8),110)&amp;" lbs."," "))))))))))))</f>
        <v>Weight: 103 lbs.</v>
      </c>
      <c r="P8" s="111">
        <f ca="1">VLOOKUP(P6,Table26[],2)</f>
        <v>4</v>
      </c>
      <c r="Q8" s="33"/>
      <c r="R8" s="33"/>
      <c r="AE8" s="29" t="s">
        <v>679</v>
      </c>
      <c r="AF8" s="29" t="str">
        <f ca="1">IF($P$6&gt;=16,VLOOKUP(RANDBETWEEN(1,6),Table41[],2)," ")</f>
        <v xml:space="preserve"> </v>
      </c>
      <c r="AH8" s="29" t="s">
        <v>13</v>
      </c>
      <c r="AI8" s="29">
        <f ca="1">$P$41</f>
        <v>3</v>
      </c>
      <c r="AJ8" s="29" t="str">
        <f t="shared" ref="AJ8:AU8" ca="1" si="11">IF(COUNTIF(AJ$27:AJ$33,$AH$8),$P$8," ")</f>
        <v xml:space="preserve"> </v>
      </c>
      <c r="AK8" s="29" t="str">
        <f t="shared" ca="1" si="11"/>
        <v xml:space="preserve"> </v>
      </c>
      <c r="AL8" s="29" t="str">
        <f t="shared" ca="1" si="11"/>
        <v xml:space="preserve"> </v>
      </c>
      <c r="AM8" s="29" t="str">
        <f t="shared" ca="1" si="11"/>
        <v xml:space="preserve"> </v>
      </c>
      <c r="AN8" s="29" t="str">
        <f t="shared" ca="1" si="11"/>
        <v xml:space="preserve"> </v>
      </c>
      <c r="AO8" s="29" t="str">
        <f t="shared" ca="1" si="11"/>
        <v xml:space="preserve"> </v>
      </c>
      <c r="AP8" s="29" t="str">
        <f t="shared" ca="1" si="11"/>
        <v xml:space="preserve"> </v>
      </c>
      <c r="AQ8" s="29" t="str">
        <f t="shared" ca="1" si="11"/>
        <v xml:space="preserve"> </v>
      </c>
      <c r="AR8" s="29" t="str">
        <f t="shared" ca="1" si="11"/>
        <v xml:space="preserve"> </v>
      </c>
      <c r="AS8" s="29" t="str">
        <f t="shared" ca="1" si="11"/>
        <v xml:space="preserve"> </v>
      </c>
      <c r="AT8" s="29" t="str">
        <f t="shared" ca="1" si="11"/>
        <v xml:space="preserve"> </v>
      </c>
      <c r="AU8" s="29" t="str">
        <f t="shared" ca="1" si="11"/>
        <v xml:space="preserve"> </v>
      </c>
      <c r="AV8" s="29">
        <f t="shared" ca="1" si="8"/>
        <v>0</v>
      </c>
      <c r="AW8" s="29" t="s">
        <v>13</v>
      </c>
      <c r="BI8" s="29">
        <f ca="1">IF(S11="Sage",P8," ")</f>
        <v>4</v>
      </c>
      <c r="BM8" s="29">
        <f t="shared" ca="1" si="2"/>
        <v>4</v>
      </c>
      <c r="BN8" s="29">
        <f t="shared" ca="1" si="9"/>
        <v>0</v>
      </c>
      <c r="BO8" s="29" t="str">
        <f t="shared" ca="1" si="3"/>
        <v xml:space="preserve"> </v>
      </c>
      <c r="BP8" s="29" t="str">
        <f t="shared" ca="1" si="4"/>
        <v xml:space="preserve"> </v>
      </c>
      <c r="BQ8" s="29" t="str">
        <f t="shared" ca="1" si="5"/>
        <v xml:space="preserve"> </v>
      </c>
      <c r="BR8" s="29">
        <f t="shared" ca="1" si="6"/>
        <v>0</v>
      </c>
      <c r="BS8" s="29">
        <f ca="1">IF(AND($BY$26=1,OR($P$15="knowledge",$R$15="knowledge")),$P$8*2,IF(AND($BY$26=2,OR($P$15="knowledge",$R$15="knowledge")),$P$8*2,0))</f>
        <v>0</v>
      </c>
      <c r="BU8" s="29">
        <f t="shared" ca="1" si="10"/>
        <v>4</v>
      </c>
      <c r="BV8" s="29" t="s">
        <v>13</v>
      </c>
      <c r="CB8" s="52"/>
      <c r="CC8" s="52"/>
    </row>
    <row r="9" spans="1:83" ht="19.5" thickBot="1" x14ac:dyDescent="0.35">
      <c r="AE9" s="29" t="s">
        <v>679</v>
      </c>
      <c r="AF9" s="29" t="str">
        <f ca="1">IF($P$6&gt;=16,VLOOKUP(RANDBETWEEN(1,6),Table41[],2)," ")</f>
        <v xml:space="preserve"> </v>
      </c>
      <c r="AH9" s="29" t="s">
        <v>14</v>
      </c>
      <c r="AI9" s="29">
        <f ca="1">$P$38</f>
        <v>1</v>
      </c>
      <c r="AJ9" s="29" t="str">
        <f t="shared" ref="AJ9:AU9" ca="1" si="12">IF(COUNTIF(AJ$27:AJ$33,$AH$9),$P$8," ")</f>
        <v xml:space="preserve"> </v>
      </c>
      <c r="AK9" s="29" t="str">
        <f t="shared" ca="1" si="12"/>
        <v xml:space="preserve"> </v>
      </c>
      <c r="AL9" s="29" t="str">
        <f t="shared" ca="1" si="12"/>
        <v xml:space="preserve"> </v>
      </c>
      <c r="AM9" s="29" t="str">
        <f t="shared" ca="1" si="12"/>
        <v xml:space="preserve"> </v>
      </c>
      <c r="AN9" s="29" t="str">
        <f t="shared" ca="1" si="12"/>
        <v xml:space="preserve"> </v>
      </c>
      <c r="AO9" s="29" t="str">
        <f t="shared" ca="1" si="12"/>
        <v xml:space="preserve"> </v>
      </c>
      <c r="AP9" s="29" t="str">
        <f t="shared" ca="1" si="12"/>
        <v xml:space="preserve"> </v>
      </c>
      <c r="AQ9" s="29" t="str">
        <f t="shared" ca="1" si="12"/>
        <v xml:space="preserve"> </v>
      </c>
      <c r="AR9" s="29" t="str">
        <f t="shared" ca="1" si="12"/>
        <v xml:space="preserve"> </v>
      </c>
      <c r="AS9" s="29" t="str">
        <f t="shared" ca="1" si="12"/>
        <v xml:space="preserve"> </v>
      </c>
      <c r="AT9" s="29" t="str">
        <f t="shared" ca="1" si="12"/>
        <v xml:space="preserve"> </v>
      </c>
      <c r="AU9" s="29" t="str">
        <f t="shared" ca="1" si="12"/>
        <v xml:space="preserve"> </v>
      </c>
      <c r="AV9" s="29">
        <f t="shared" ca="1" si="8"/>
        <v>0</v>
      </c>
      <c r="AW9" s="29" t="s">
        <v>14</v>
      </c>
      <c r="BG9" s="29" t="str">
        <f ca="1">IF(S11="Outlander",P8," ")</f>
        <v xml:space="preserve"> </v>
      </c>
      <c r="BH9" s="29" t="str">
        <f ca="1">IF(S11="Pirate",P8," ")</f>
        <v xml:space="preserve"> </v>
      </c>
      <c r="BJ9" s="29" t="str">
        <f ca="1">IF(S11="Sailor",P8," ")</f>
        <v xml:space="preserve"> </v>
      </c>
      <c r="BK9" s="29" t="str">
        <f ca="1">IF(S11="Soldier",P8," ")</f>
        <v xml:space="preserve"> </v>
      </c>
      <c r="BM9" s="29">
        <f t="shared" ca="1" si="2"/>
        <v>0</v>
      </c>
      <c r="BN9" s="29">
        <f t="shared" ca="1" si="9"/>
        <v>0</v>
      </c>
      <c r="BO9" s="29" t="str">
        <f t="shared" ca="1" si="3"/>
        <v xml:space="preserve"> </v>
      </c>
      <c r="BP9" s="29" t="str">
        <f t="shared" ca="1" si="4"/>
        <v xml:space="preserve"> </v>
      </c>
      <c r="BQ9" s="29" t="str">
        <f t="shared" ca="1" si="5"/>
        <v xml:space="preserve"> </v>
      </c>
      <c r="BR9" s="29">
        <f t="shared" ca="1" si="6"/>
        <v>0</v>
      </c>
      <c r="BU9" s="29">
        <f t="shared" ca="1" si="10"/>
        <v>0</v>
      </c>
      <c r="BV9" s="29" t="s">
        <v>14</v>
      </c>
      <c r="CB9" s="31" t="s">
        <v>740</v>
      </c>
      <c r="CC9" s="31" t="s">
        <v>742</v>
      </c>
      <c r="CD9" s="31"/>
    </row>
    <row r="10" spans="1:83" ht="26.25" thickBot="1" x14ac:dyDescent="0.4">
      <c r="O10" s="124" t="s">
        <v>681</v>
      </c>
      <c r="Q10" s="124" t="s">
        <v>682</v>
      </c>
      <c r="R10" s="49"/>
      <c r="S10" s="123" t="s">
        <v>32</v>
      </c>
      <c r="AE10" s="29" t="s">
        <v>680</v>
      </c>
      <c r="AF10" s="29" t="str">
        <f ca="1">IF($P$6&gt;=19,VLOOKUP(RANDBETWEEN(1,6),Table41[],2)," ")</f>
        <v xml:space="preserve"> </v>
      </c>
      <c r="AH10" s="29" t="s">
        <v>15</v>
      </c>
      <c r="AI10" s="29">
        <f ca="1">$P$43</f>
        <v>1</v>
      </c>
      <c r="AJ10" s="29" t="str">
        <f t="shared" ref="AJ10:AU10" ca="1" si="13">IF(COUNTIF(AJ$27:AJ$33,$AH$10),$P$8," ")</f>
        <v xml:space="preserve"> </v>
      </c>
      <c r="AK10" s="29" t="str">
        <f t="shared" ca="1" si="13"/>
        <v xml:space="preserve"> </v>
      </c>
      <c r="AL10" s="29" t="str">
        <f t="shared" ca="1" si="13"/>
        <v xml:space="preserve"> </v>
      </c>
      <c r="AM10" s="29" t="str">
        <f t="shared" ca="1" si="13"/>
        <v xml:space="preserve"> </v>
      </c>
      <c r="AN10" s="29" t="str">
        <f t="shared" ca="1" si="13"/>
        <v xml:space="preserve"> </v>
      </c>
      <c r="AO10" s="29" t="str">
        <f t="shared" ca="1" si="13"/>
        <v xml:space="preserve"> </v>
      </c>
      <c r="AP10" s="29" t="str">
        <f t="shared" ca="1" si="13"/>
        <v xml:space="preserve"> </v>
      </c>
      <c r="AQ10" s="29" t="str">
        <f t="shared" ca="1" si="13"/>
        <v xml:space="preserve"> </v>
      </c>
      <c r="AR10" s="29" t="str">
        <f t="shared" ca="1" si="13"/>
        <v xml:space="preserve"> </v>
      </c>
      <c r="AS10" s="29" t="str">
        <f t="shared" ca="1" si="13"/>
        <v xml:space="preserve"> </v>
      </c>
      <c r="AT10" s="29" t="str">
        <f t="shared" ca="1" si="13"/>
        <v xml:space="preserve"> </v>
      </c>
      <c r="AU10" s="29" t="str">
        <f t="shared" ca="1" si="13"/>
        <v xml:space="preserve"> </v>
      </c>
      <c r="AV10" s="29">
        <f t="shared" ca="1" si="8"/>
        <v>0</v>
      </c>
      <c r="AW10" s="29" t="s">
        <v>15</v>
      </c>
      <c r="AY10" s="29" t="str">
        <f ca="1">IF(S11="Charlatan",P8," ")</f>
        <v xml:space="preserve"> </v>
      </c>
      <c r="AZ10" s="29" t="str">
        <f ca="1">IF(S11="Criminal",P8," ")</f>
        <v xml:space="preserve"> </v>
      </c>
      <c r="BE10" s="29" t="str">
        <f ca="1">IF(S11="Knight",P8," ")</f>
        <v xml:space="preserve"> </v>
      </c>
      <c r="BF10" s="29" t="str">
        <f ca="1">IF(S11="Noble",P8," ")</f>
        <v xml:space="preserve"> </v>
      </c>
      <c r="BM10" s="29">
        <f t="shared" ca="1" si="2"/>
        <v>0</v>
      </c>
      <c r="BN10" s="29">
        <f t="shared" ca="1" si="9"/>
        <v>0</v>
      </c>
      <c r="BO10" s="29" t="str">
        <f t="shared" ca="1" si="3"/>
        <v xml:space="preserve"> </v>
      </c>
      <c r="BP10" s="29" t="str">
        <f t="shared" ca="1" si="4"/>
        <v xml:space="preserve"> </v>
      </c>
      <c r="BQ10" s="29" t="str">
        <f t="shared" ca="1" si="5"/>
        <v xml:space="preserve"> </v>
      </c>
      <c r="BR10" s="29">
        <f t="shared" ca="1" si="6"/>
        <v>0</v>
      </c>
      <c r="BU10" s="29">
        <f t="shared" ca="1" si="10"/>
        <v>0</v>
      </c>
      <c r="BV10" s="29" t="s">
        <v>15</v>
      </c>
      <c r="CB10" s="35">
        <f t="shared" ref="CB10:CB27" ca="1" si="14">_xlfn.RANK.EQ(CC10,$CC$10:$CC$27)</f>
        <v>11</v>
      </c>
      <c r="CC10" s="36">
        <f t="shared" ref="CC10:CC27" ca="1" si="15">IF(BM6&gt;0,0,RAND())</f>
        <v>0.54652349351349905</v>
      </c>
      <c r="CD10" s="29" t="s">
        <v>12</v>
      </c>
    </row>
    <row r="11" spans="1:83" ht="19.5" thickTop="1" x14ac:dyDescent="0.3">
      <c r="O11" s="46" t="str">
        <f ca="1">VLOOKUP(RANDBETWEEN(1,16),Table43[],2)</f>
        <v>Sorcerer</v>
      </c>
      <c r="Q11" s="139" t="str">
        <f ca="1">IF(O11="non-classed",VLOOKUP(RANDBETWEEN(1,124),Table252[],2),IF(AND(O11="barbarian",AF14=2),VLOOKUP(RANDBETWEEN(1,11),Table43[],3),IF(AND(O11="bard",AF14=2),VLOOKUP(RANDBETWEEN(1,11),Table43[],4),IF(AND(O11="cleric",AF14=2),VLOOKUP(RANDBETWEEN(1,11),Table43[],5),IF(AND(O11="druid",AF14=2),VLOOKUP(RANDBETWEEN(1,11),Table43[],6),IF(AND(O11="fighter",AF14=2),VLOOKUP(RANDBETWEEN(1,11),Table43[],7),IF(AND(O11="Monk",AF14=2),VLOOKUP(RANDBETWEEN(1,11),Table43[],8),IF(AND(O11="Paladin",AF14=2),VLOOKUP(RANDBETWEEN(1,11),Table43[],9),IF(AND(O11="Ranger",AF14=2),VLOOKUP(RANDBETWEEN(1,11),Table43[],10),IF(AND(O11="Rogue",AF14=2),VLOOKUP(RANDBETWEEN(1,11),Table43[],11),IF(AND(O11="sorcerer",AF14=2),VLOOKUP(RANDBETWEEN(1,11),Table43[],12),IF(AND(O11="warlock",AF14=2),VLOOKUP(RANDBETWEEN(1,11),Table43[],13),IF(AND(O11="wizard",AF14=2),VLOOKUP(RANDBETWEEN(1,11),Table43[],14)," ")))))))))))))</f>
        <v xml:space="preserve"> </v>
      </c>
      <c r="R11" s="49"/>
      <c r="S11" s="33" t="str">
        <f ca="1">IF(O11&lt;&gt;"non-classed",VLOOKUP(RANDBETWEEN(1,15),Table254[],2)," ")</f>
        <v>Sage</v>
      </c>
      <c r="AE11" s="29" t="s">
        <v>680</v>
      </c>
      <c r="AF11" s="29" t="str">
        <f ca="1">IF($P$6&gt;=19,VLOOKUP(RANDBETWEEN(1,6),Table41[],2)," ")</f>
        <v xml:space="preserve"> </v>
      </c>
      <c r="AH11" s="29" t="s">
        <v>16</v>
      </c>
      <c r="AI11" s="29">
        <f ca="1">$P$41</f>
        <v>3</v>
      </c>
      <c r="AJ11" s="29" t="str">
        <f t="shared" ref="AJ11:AU11" ca="1" si="16">IF(COUNTIF(AJ$27:AJ$33,$AH$11),$P$8," ")</f>
        <v xml:space="preserve"> </v>
      </c>
      <c r="AK11" s="29" t="str">
        <f t="shared" ca="1" si="16"/>
        <v xml:space="preserve"> </v>
      </c>
      <c r="AL11" s="29" t="str">
        <f t="shared" ca="1" si="16"/>
        <v xml:space="preserve"> </v>
      </c>
      <c r="AM11" s="29" t="str">
        <f t="shared" ca="1" si="16"/>
        <v xml:space="preserve"> </v>
      </c>
      <c r="AN11" s="29" t="str">
        <f t="shared" ca="1" si="16"/>
        <v xml:space="preserve"> </v>
      </c>
      <c r="AO11" s="29" t="str">
        <f t="shared" ca="1" si="16"/>
        <v xml:space="preserve"> </v>
      </c>
      <c r="AP11" s="29" t="str">
        <f t="shared" ca="1" si="16"/>
        <v xml:space="preserve"> </v>
      </c>
      <c r="AQ11" s="29" t="str">
        <f t="shared" ca="1" si="16"/>
        <v xml:space="preserve"> </v>
      </c>
      <c r="AR11" s="29" t="str">
        <f t="shared" ca="1" si="16"/>
        <v xml:space="preserve"> </v>
      </c>
      <c r="AS11" s="29" t="str">
        <f t="shared" ca="1" si="16"/>
        <v xml:space="preserve"> </v>
      </c>
      <c r="AT11" s="29" t="str">
        <f t="shared" ca="1" si="16"/>
        <v xml:space="preserve"> </v>
      </c>
      <c r="AU11" s="29" t="str">
        <f t="shared" ca="1" si="16"/>
        <v xml:space="preserve"> </v>
      </c>
      <c r="AV11" s="29">
        <f t="shared" ca="1" si="8"/>
        <v>0</v>
      </c>
      <c r="AW11" s="29" t="s">
        <v>16</v>
      </c>
      <c r="BI11" s="29">
        <f ca="1">IF(S11="Sage",P8," ")</f>
        <v>4</v>
      </c>
      <c r="BM11" s="29">
        <f t="shared" ca="1" si="2"/>
        <v>4</v>
      </c>
      <c r="BN11" s="29">
        <f t="shared" ca="1" si="9"/>
        <v>0</v>
      </c>
      <c r="BO11" s="29" t="str">
        <f t="shared" ca="1" si="3"/>
        <v xml:space="preserve"> </v>
      </c>
      <c r="BP11" s="29" t="str">
        <f t="shared" ca="1" si="4"/>
        <v xml:space="preserve"> </v>
      </c>
      <c r="BQ11" s="29" t="str">
        <f t="shared" ca="1" si="5"/>
        <v xml:space="preserve"> </v>
      </c>
      <c r="BR11" s="29">
        <f t="shared" ca="1" si="6"/>
        <v>0</v>
      </c>
      <c r="BS11" s="29">
        <f ca="1">IF(AND($BY$27=1,OR($P$15="knowledge",$R$15="knowledge")),$P$8*2,IF(AND($BY$27=2,OR($P$15="knowledge",$R$15="knowledge")),$P$8*2,0))</f>
        <v>0</v>
      </c>
      <c r="BU11" s="29">
        <f t="shared" ca="1" si="10"/>
        <v>4</v>
      </c>
      <c r="BV11" s="29" t="s">
        <v>16</v>
      </c>
      <c r="CB11" s="35">
        <f t="shared" ca="1" si="14"/>
        <v>1</v>
      </c>
      <c r="CC11" s="36">
        <f t="shared" ca="1" si="15"/>
        <v>0.99722057414092335</v>
      </c>
      <c r="CD11" s="29" t="s">
        <v>29</v>
      </c>
    </row>
    <row r="12" spans="1:83" ht="19.5" thickBot="1" x14ac:dyDescent="0.35">
      <c r="O12" s="24">
        <f ca="1">IF($AF$14=1,RANDBETWEEN(1,20),IF(Q12=1,RANDBETWEEN(1,19),IF(Q12=2,RANDBETWEEN(2,18),IF(Q12=3,RANDBETWEEN(3,17),IF(Q12=4,RANDBETWEEN(4,16),IF(Q12=5,RANDBETWEEN(5,15),IF(Q12=6,RANDBETWEEN(6,14),IF(Q12=7,RANDBETWEEN(7,13),IF(Q12=8,RANDBETWEEN(8,12),IF(Q12=9,RANDBETWEEN(9,11),IF(Q12=10,10," ")))))))))))</f>
        <v>10</v>
      </c>
      <c r="Q12" s="54" t="str">
        <f ca="1">IF(O11="non-classed"," ",IF(AF14=1," ",IF(AF14=2,RANDBETWEEN(1,10))))</f>
        <v xml:space="preserve"> </v>
      </c>
      <c r="AH12" s="29" t="s">
        <v>17</v>
      </c>
      <c r="AI12" s="29">
        <f ca="1">$P$42</f>
        <v>4</v>
      </c>
      <c r="AJ12" s="29" t="str">
        <f t="shared" ref="AJ12:AU12" ca="1" si="17">IF(COUNTIF(AJ$27:AJ$33,$AH$12),$P$8," ")</f>
        <v xml:space="preserve"> </v>
      </c>
      <c r="AK12" s="29" t="str">
        <f t="shared" ca="1" si="17"/>
        <v xml:space="preserve"> </v>
      </c>
      <c r="AL12" s="29" t="str">
        <f t="shared" ca="1" si="17"/>
        <v xml:space="preserve"> </v>
      </c>
      <c r="AM12" s="29" t="str">
        <f t="shared" ca="1" si="17"/>
        <v xml:space="preserve"> </v>
      </c>
      <c r="AN12" s="29" t="str">
        <f t="shared" ca="1" si="17"/>
        <v xml:space="preserve"> </v>
      </c>
      <c r="AO12" s="29" t="str">
        <f t="shared" ca="1" si="17"/>
        <v xml:space="preserve"> </v>
      </c>
      <c r="AP12" s="29" t="str">
        <f t="shared" ca="1" si="17"/>
        <v xml:space="preserve"> </v>
      </c>
      <c r="AQ12" s="29" t="str">
        <f t="shared" ca="1" si="17"/>
        <v xml:space="preserve"> </v>
      </c>
      <c r="AR12" s="29" t="str">
        <f t="shared" ca="1" si="17"/>
        <v xml:space="preserve"> </v>
      </c>
      <c r="AS12" s="29" t="str">
        <f t="shared" ca="1" si="17"/>
        <v xml:space="preserve"> </v>
      </c>
      <c r="AT12" s="29" t="str">
        <f t="shared" ca="1" si="17"/>
        <v xml:space="preserve"> </v>
      </c>
      <c r="AU12" s="29" t="str">
        <f t="shared" ca="1" si="17"/>
        <v xml:space="preserve"> </v>
      </c>
      <c r="AV12" s="29">
        <f t="shared" ca="1" si="8"/>
        <v>0</v>
      </c>
      <c r="AW12" s="29" t="s">
        <v>17</v>
      </c>
      <c r="AX12" s="29" t="str">
        <f ca="1">IF(S11="acolyte",P8," ")</f>
        <v xml:space="preserve"> </v>
      </c>
      <c r="BC12" s="29" t="str">
        <f ca="1">IF(S11="Guild Artisan",P8," ")</f>
        <v xml:space="preserve"> </v>
      </c>
      <c r="BM12" s="29">
        <f t="shared" ca="1" si="2"/>
        <v>0</v>
      </c>
      <c r="BN12" s="29">
        <f t="shared" ca="1" si="9"/>
        <v>0</v>
      </c>
      <c r="BO12" s="29" t="str">
        <f t="shared" ca="1" si="3"/>
        <v xml:space="preserve"> </v>
      </c>
      <c r="BP12" s="29" t="str">
        <f t="shared" ca="1" si="4"/>
        <v xml:space="preserve"> </v>
      </c>
      <c r="BQ12" s="29" t="str">
        <f t="shared" ca="1" si="5"/>
        <v xml:space="preserve"> </v>
      </c>
      <c r="BR12" s="29">
        <f t="shared" ca="1" si="6"/>
        <v>0</v>
      </c>
      <c r="BU12" s="29">
        <f t="shared" ca="1" si="10"/>
        <v>0</v>
      </c>
      <c r="BV12" s="29" t="s">
        <v>17</v>
      </c>
      <c r="CB12" s="35">
        <f t="shared" ca="1" si="14"/>
        <v>17</v>
      </c>
      <c r="CC12" s="36">
        <f t="shared" ca="1" si="15"/>
        <v>0</v>
      </c>
      <c r="CD12" s="29" t="s">
        <v>13</v>
      </c>
    </row>
    <row r="13" spans="1:83" x14ac:dyDescent="0.3">
      <c r="AF13" s="29" t="s">
        <v>683</v>
      </c>
      <c r="AH13" s="29" t="s">
        <v>18</v>
      </c>
      <c r="AI13" s="29">
        <f ca="1">$P$43</f>
        <v>1</v>
      </c>
      <c r="AJ13" s="29" t="str">
        <f t="shared" ref="AJ13:AU13" ca="1" si="18">IF(COUNTIF(AJ$27:AJ$33,$AH$13),$P$8," ")</f>
        <v xml:space="preserve"> </v>
      </c>
      <c r="AK13" s="29" t="str">
        <f t="shared" ca="1" si="18"/>
        <v xml:space="preserve"> </v>
      </c>
      <c r="AL13" s="29" t="str">
        <f t="shared" ca="1" si="18"/>
        <v xml:space="preserve"> </v>
      </c>
      <c r="AM13" s="29" t="str">
        <f t="shared" ca="1" si="18"/>
        <v xml:space="preserve"> </v>
      </c>
      <c r="AN13" s="29" t="str">
        <f t="shared" ca="1" si="18"/>
        <v xml:space="preserve"> </v>
      </c>
      <c r="AO13" s="29" t="str">
        <f t="shared" ca="1" si="18"/>
        <v xml:space="preserve"> </v>
      </c>
      <c r="AP13" s="29" t="str">
        <f t="shared" ca="1" si="18"/>
        <v xml:space="preserve"> </v>
      </c>
      <c r="AQ13" s="29" t="str">
        <f t="shared" ca="1" si="18"/>
        <v xml:space="preserve"> </v>
      </c>
      <c r="AR13" s="29" t="str">
        <f t="shared" ca="1" si="18"/>
        <v xml:space="preserve"> </v>
      </c>
      <c r="AS13" s="29" t="str">
        <f t="shared" ca="1" si="18"/>
        <v xml:space="preserve"> </v>
      </c>
      <c r="AT13" s="29" t="str">
        <f t="shared" ca="1" si="18"/>
        <v xml:space="preserve"> </v>
      </c>
      <c r="AU13" s="29" t="str">
        <f t="shared" ca="1" si="18"/>
        <v xml:space="preserve"> </v>
      </c>
      <c r="AV13" s="29">
        <f t="shared" ca="1" si="8"/>
        <v>0</v>
      </c>
      <c r="AW13" s="29" t="s">
        <v>18</v>
      </c>
      <c r="BK13" s="29" t="str">
        <f ca="1">IF(S11="Soldier",P8," ")</f>
        <v xml:space="preserve"> </v>
      </c>
      <c r="BM13" s="29">
        <f t="shared" ca="1" si="2"/>
        <v>0</v>
      </c>
      <c r="BN13" s="29">
        <f t="shared" ca="1" si="9"/>
        <v>0</v>
      </c>
      <c r="BO13" s="29" t="str">
        <f t="shared" ca="1" si="3"/>
        <v xml:space="preserve"> </v>
      </c>
      <c r="BP13" s="29" t="str">
        <f t="shared" ca="1" si="4"/>
        <v xml:space="preserve"> </v>
      </c>
      <c r="BQ13" s="29" t="str">
        <f t="shared" ca="1" si="5"/>
        <v xml:space="preserve"> </v>
      </c>
      <c r="BR13" s="29">
        <f t="shared" ca="1" si="6"/>
        <v>0</v>
      </c>
      <c r="BU13" s="29">
        <f t="shared" ca="1" si="10"/>
        <v>0</v>
      </c>
      <c r="BV13" s="29" t="s">
        <v>18</v>
      </c>
      <c r="CB13" s="35">
        <f t="shared" ca="1" si="14"/>
        <v>10</v>
      </c>
      <c r="CC13" s="36">
        <f t="shared" ca="1" si="15"/>
        <v>0.5672410545590163</v>
      </c>
      <c r="CD13" s="29" t="s">
        <v>14</v>
      </c>
    </row>
    <row r="14" spans="1:83" ht="26.25" thickBot="1" x14ac:dyDescent="0.4">
      <c r="B14" s="123" t="s">
        <v>45</v>
      </c>
      <c r="O14" s="123" t="s">
        <v>709</v>
      </c>
      <c r="P14" s="123" t="s">
        <v>743</v>
      </c>
      <c r="Q14" s="123" t="s">
        <v>698</v>
      </c>
      <c r="R14" s="123" t="s">
        <v>743</v>
      </c>
      <c r="S14" s="123" t="s">
        <v>1826</v>
      </c>
      <c r="AF14" s="29">
        <f ca="1">IF(O11="non-classed",1,VLOOKUP(RANDBETWEEN(1,10),Table42[],2))</f>
        <v>1</v>
      </c>
      <c r="AH14" s="29" t="s">
        <v>19</v>
      </c>
      <c r="AI14" s="29">
        <f ca="1">$P$41</f>
        <v>3</v>
      </c>
      <c r="AJ14" s="29" t="str">
        <f t="shared" ref="AJ14:AU14" ca="1" si="19">IF(COUNTIF(AJ$27:AJ$33,$AH$14),$P$8," ")</f>
        <v xml:space="preserve"> </v>
      </c>
      <c r="AK14" s="29" t="str">
        <f t="shared" ca="1" si="19"/>
        <v xml:space="preserve"> </v>
      </c>
      <c r="AL14" s="29" t="str">
        <f t="shared" ca="1" si="19"/>
        <v xml:space="preserve"> </v>
      </c>
      <c r="AM14" s="29" t="str">
        <f t="shared" ca="1" si="19"/>
        <v xml:space="preserve"> </v>
      </c>
      <c r="AN14" s="29" t="str">
        <f t="shared" ca="1" si="19"/>
        <v xml:space="preserve"> </v>
      </c>
      <c r="AO14" s="29" t="str">
        <f t="shared" ca="1" si="19"/>
        <v xml:space="preserve"> </v>
      </c>
      <c r="AP14" s="29" t="str">
        <f t="shared" ca="1" si="19"/>
        <v xml:space="preserve"> </v>
      </c>
      <c r="AQ14" s="29" t="str">
        <f t="shared" ca="1" si="19"/>
        <v xml:space="preserve"> </v>
      </c>
      <c r="AR14" s="29" t="str">
        <f t="shared" ca="1" si="19"/>
        <v xml:space="preserve"> </v>
      </c>
      <c r="AS14" s="29" t="str">
        <f t="shared" ca="1" si="19"/>
        <v xml:space="preserve"> </v>
      </c>
      <c r="AT14" s="29" t="str">
        <f t="shared" ca="1" si="19"/>
        <v xml:space="preserve"> </v>
      </c>
      <c r="AU14" s="29" t="str">
        <f t="shared" ca="1" si="19"/>
        <v xml:space="preserve"> </v>
      </c>
      <c r="AV14" s="29">
        <f t="shared" ca="1" si="8"/>
        <v>0</v>
      </c>
      <c r="AW14" s="29" t="s">
        <v>19</v>
      </c>
      <c r="BM14" s="29">
        <f t="shared" si="2"/>
        <v>0</v>
      </c>
      <c r="BN14" s="29">
        <f t="shared" ca="1" si="9"/>
        <v>0</v>
      </c>
      <c r="BO14" s="29" t="str">
        <f t="shared" ca="1" si="3"/>
        <v xml:space="preserve"> </v>
      </c>
      <c r="BP14" s="29" t="str">
        <f t="shared" ca="1" si="4"/>
        <v xml:space="preserve"> </v>
      </c>
      <c r="BQ14" s="29" t="str">
        <f t="shared" ca="1" si="5"/>
        <v xml:space="preserve"> </v>
      </c>
      <c r="BR14" s="29">
        <f t="shared" ca="1" si="6"/>
        <v>0</v>
      </c>
      <c r="BU14" s="29">
        <f t="shared" ca="1" si="10"/>
        <v>0</v>
      </c>
      <c r="BV14" s="29" t="s">
        <v>19</v>
      </c>
      <c r="CB14" s="35">
        <f t="shared" ca="1" si="14"/>
        <v>5</v>
      </c>
      <c r="CC14" s="36">
        <f t="shared" ca="1" si="15"/>
        <v>0.8114038476794021</v>
      </c>
      <c r="CD14" s="29" t="s">
        <v>15</v>
      </c>
      <c r="CE14" s="31"/>
    </row>
    <row r="15" spans="1:83" ht="19.5" thickTop="1" x14ac:dyDescent="0.3">
      <c r="B15" s="33" t="str">
        <f ca="1">IF(P2="dark","Darkvision 120 ft.",IF(OR(Q2="dwarf",Q2="elf",Q2="gnome",Q2="half-elf",Q2="half-orc",Q2="tiefling"),"Darkvision 60 ft.",IF(Q2="halfling","Lucky",IF(Q2="dragonborn","Breath Weapon"," "))))</f>
        <v>Darkvision 120 ft.</v>
      </c>
      <c r="O15" s="33" t="str">
        <f ca="1">IF(O11="wizard","Ritual Casting",IF(O11="warlock","Otherworldly Patron - "&amp;VLOOKUP(RANDBETWEEN(1,2),Table226[],2),IF(O11="sorcerer","Spellcasting Focus",IF(O11="rogue","Sneak Attack - "&amp;INDEX('Class Tables'!E56:E75,MATCH(O12,('Class Tables'!D56:D75),0)),IF(AND(O11="ranger",AF24=2),"Favored Enemy - "&amp;INDEX('Class Tables'!S177:S220,MATCH(1,('Class Tables'!Q177:Q220),0)),IF(AND(O11="ranger",AF24=1),"Favored Enemy - "&amp;INDEX('Class Tables'!R162:R174,MATCH(1,('Class Tables'!Q162:Q174),0)),IF(O11="paladin","Divine Sense - "&amp;SUM(1,P43)&amp;" Uses",IF(O11="monk","Unarmored Defense",IF(O11="fighter",INDEX('Class Tables'!F48:F53,MATCH(1,('Class Tables'!D48:D53),0)),IF(O11="barbarian","Rage "&amp;INDEX('Class Tables'!J141:J160,MATCH(O12,('Class Tables'!I141:I160),0))&amp; " times, "&amp;INDEX('Class Tables'!K141:K160,MATCH(O12,('Class Tables'!I141:I160),0)),IF(O11="bard","Bardic Inspiration "&amp;P43&amp;" uses at "&amp;INDEX('Class Tables'!M58:M77,MATCH(O12,('Class Tables'!L58:L77),0)),IF(OR(O11="cleric",O11="druid"),"Ritual Casting"," "))))))))))))</f>
        <v>Spellcasting Focus</v>
      </c>
      <c r="P15" s="33" t="str">
        <f ca="1">IF(AND(O11="wizard",O12&gt;=2),VLOOKUP(RANDBETWEEN(1,8),Table251[],2),IF(O11="warlock",O15,IF(O11="sorcerer",VLOOKUP(RANDBETWEEN(1,2),Table224[],2),IF(AND(O11="ranger",O12&gt;=3),VLOOKUP(RANDBETWEEN(1,2),Table97[],2),IF(AND(O11="paladin",O12&gt;=3),VLOOKUP(RANDBETWEEN(1,3),Table90[],2),IF(AND(O11="monk",O12&gt;=3),VLOOKUP(RANDBETWEEN(1,3),Table82[],2),IF(AND(O11="druid",O12&gt;=2),VLOOKUP(RANDBETWEEN(1,2),Table73[],2),IF(O11="cleric",VLOOKUP(RANDBETWEEN(1,7),Table65[],2),IF(AND($O$11="barbarian",$O$12&gt;=3),VLOOKUP(RANDBETWEEN(1,2),Table40[],2),IF(AND(O11="bard",O12&gt;=3),VLOOKUP(RANDBETWEEN(1,2),Table47[],2),IF(AND(O11="fighter",O12&gt;=3),VLOOKUP(RANDBETWEEN(1,3),Table178[],2),IF(AND(O11="rogue",O12&gt;=3),VLOOKUP(RANDBETWEEN(1,3),Table189[],2)," "))))))))))))</f>
        <v>Draconic Bloodline</v>
      </c>
      <c r="Q15" s="33" t="str">
        <f ca="1">IF(Q11="wizard","Ritual Casting",IF(Q11="warlock","Otherworldly Patron - "&amp;VLOOKUP(RANDBETWEEN(1,2),Table226[],2),IF(Q11="sorcerer","Spellcasting Focus",IF(Q11="rogue","Sneak Attack - "&amp;INDEX('Class Tables'!E56:E75,MATCH(Q12,('Class Tables'!D56:D75),0)),IF(AND(Q11="ranger",AF24=2),"Favored Enemy - "&amp;INDEX('Class Tables'!S177:S220,MATCH(1,('Class Tables'!Q177:Q220),0)),IF(AND(Q11="ranger",AF24=1),"Favored Enemy - "&amp;INDEX('Class Tables'!R162:R174,MATCH(1,('Class Tables'!Q162:Q174),0)),IF(Q11="paladin","Divine Sense - "&amp;SUM(1,P43)&amp;" Uses",IF(Q11="monk","Unarmored Defense",IF(Q11="fighter",INDEX('Class Tables'!F48:F53,MATCH(1,('Class Tables'!D48:D53),0)),IF(Q11="barbarian","Rage "&amp;INDEX('Class Tables'!J141:J160,MATCH(Q12,('Class Tables'!I141:I160),0))&amp; " times, "&amp;INDEX('Class Tables'!K141:K160,MATCH(Q12,('Class Tables'!I141:I160),0)),IF(Q11="bard","Bardic Inspiration - "&amp;P43&amp;" uses at "&amp;INDEX('Class Tables'!M58:M77,MATCH(Q12,('Class Tables'!L58:L77),0)),IF(OR(Q11="cleric",Q11="druid"),"Ritual Casting"," "))))))))))))</f>
        <v xml:space="preserve"> </v>
      </c>
      <c r="R15" s="33" t="str">
        <f ca="1">IF(Q11="warlock",O15,IF(Q11="sorcerer",VLOOKUP(RANDBETWEEN(1,2),Table224[],2),IF(AND(Q11="ranger",Q12&gt;=3),VLOOKUP(RANDBETWEEN(1,2),Table97[],2),IF(AND(Q11="paladin",Q12&gt;=3),VLOOKUP(RANDBETWEEN(1,3),Table90[],2),IF(AND(Q11="monk",Q12&gt;=3),VLOOKUP(RANDBETWEEN(1,3),Table82[],2),IF(AND(Q11="druid",Q12&gt;=2),VLOOKUP(RANDBETWEEN(1,2),Table73[],2),IF(Q11="cleric",VLOOKUP(RANDBETWEEN(1,7),Table65[],2),IF(AND($Q$11="barbarian",$Q$12&gt;=3),VLOOKUP(RANDBETWEEN(1,2),Table40[],2),IF(AND(Q11="bard",Q12&gt;=3),VLOOKUP(RANDBETWEEN(1,2),Table47[],2),IF(AND($Q$11="fighter",$Q$12&gt;=3),VLOOKUP(RANDBETWEEN(1,3),Table178[],2),IF(AND(Q11="rogue",Q12&gt;=3),VLOOKUP(RANDBETWEEN(1,3),Table189[],2)," ")))))))))))</f>
        <v xml:space="preserve"> </v>
      </c>
      <c r="S15" s="33" t="str">
        <f ca="1">IF(S11="urchin","City Secrets",IF(S11="soldier",VLOOKUP(RANDBETWEEN(1,8),Table263[],2),IF(S11="pirate","Bad Reputation",IF(S11="Sailor","Ship's Passage",IF(S11="sage",VLOOKUP(RANDBETWEEN(1,8),Table262[],2),IF(S11="outlander",VLOOKUP(RANDBETWEEN(1,10),Table261[],2),IF(S11="knight","Retainers",IF(S11="noble","Position of Privlege",IF(S11="hermit","Discovery",IF(S11="guild artisan",VLOOKUP(RANDBETWEEN(1,20),Table260[],2),IF(S11="folk hero","Rustic Hospitality",IF(S11="entertainer",VLOOKUP(RANDBETWEEN(1,10),Table259[],2),IF(S11="Criminal","Criminal Contact",IF(S11="Charlatan","False Identity",IF(S11="acolyte","Shelter of the Faithful"," ")))))))))))))))</f>
        <v>Professor</v>
      </c>
      <c r="AF15" s="29" t="s">
        <v>1336</v>
      </c>
      <c r="AH15" s="29" t="s">
        <v>20</v>
      </c>
      <c r="AI15" s="29">
        <f ca="1">$P$42</f>
        <v>4</v>
      </c>
      <c r="AJ15" s="29" t="str">
        <f t="shared" ref="AJ15:AU15" ca="1" si="20">IF(COUNTIF(AJ$27:AJ$33,$AH$15),$P$8," ")</f>
        <v xml:space="preserve"> </v>
      </c>
      <c r="AK15" s="29" t="str">
        <f t="shared" ca="1" si="20"/>
        <v xml:space="preserve"> </v>
      </c>
      <c r="AL15" s="29" t="str">
        <f t="shared" ca="1" si="20"/>
        <v xml:space="preserve"> </v>
      </c>
      <c r="AM15" s="29" t="str">
        <f t="shared" ca="1" si="20"/>
        <v xml:space="preserve"> </v>
      </c>
      <c r="AN15" s="29" t="str">
        <f t="shared" ca="1" si="20"/>
        <v xml:space="preserve"> </v>
      </c>
      <c r="AO15" s="29" t="str">
        <f t="shared" ca="1" si="20"/>
        <v xml:space="preserve"> </v>
      </c>
      <c r="AP15" s="29" t="str">
        <f t="shared" ca="1" si="20"/>
        <v xml:space="preserve"> </v>
      </c>
      <c r="AQ15" s="29" t="str">
        <f t="shared" ca="1" si="20"/>
        <v xml:space="preserve"> </v>
      </c>
      <c r="AR15" s="29" t="str">
        <f t="shared" ca="1" si="20"/>
        <v xml:space="preserve"> </v>
      </c>
      <c r="AS15" s="29" t="str">
        <f t="shared" ca="1" si="20"/>
        <v xml:space="preserve"> </v>
      </c>
      <c r="AT15" s="29" t="str">
        <f t="shared" ca="1" si="20"/>
        <v xml:space="preserve"> </v>
      </c>
      <c r="AU15" s="29" t="str">
        <f t="shared" ca="1" si="20"/>
        <v xml:space="preserve"> </v>
      </c>
      <c r="AV15" s="29">
        <f t="shared" ca="1" si="8"/>
        <v>0</v>
      </c>
      <c r="AW15" s="29" t="s">
        <v>20</v>
      </c>
      <c r="BD15" s="29" t="str">
        <f ca="1">IF(S11="Hermit",P8," ")</f>
        <v xml:space="preserve"> </v>
      </c>
      <c r="BM15" s="29">
        <f t="shared" ca="1" si="2"/>
        <v>0</v>
      </c>
      <c r="BN15" s="29">
        <f t="shared" ca="1" si="9"/>
        <v>0</v>
      </c>
      <c r="BO15" s="29" t="str">
        <f t="shared" ca="1" si="3"/>
        <v xml:space="preserve"> </v>
      </c>
      <c r="BP15" s="29" t="str">
        <f t="shared" ca="1" si="4"/>
        <v xml:space="preserve"> </v>
      </c>
      <c r="BQ15" s="29" t="str">
        <f t="shared" ca="1" si="5"/>
        <v xml:space="preserve"> </v>
      </c>
      <c r="BR15" s="29">
        <f t="shared" ca="1" si="6"/>
        <v>0</v>
      </c>
      <c r="BU15" s="29">
        <f t="shared" ca="1" si="10"/>
        <v>0</v>
      </c>
      <c r="BV15" s="29" t="s">
        <v>20</v>
      </c>
      <c r="CB15" s="35">
        <f t="shared" ca="1" si="14"/>
        <v>17</v>
      </c>
      <c r="CC15" s="36">
        <f t="shared" ca="1" si="15"/>
        <v>0</v>
      </c>
      <c r="CD15" s="29" t="s">
        <v>16</v>
      </c>
    </row>
    <row r="16" spans="1:83" x14ac:dyDescent="0.3">
      <c r="B16" s="33" t="str">
        <f ca="1">IF(Q2="dwarf","Dwarven Resilience",IF(OR(Q2="half-elf",Q2="elf"),"Fey Ancestry",IF(Q2="halfling","Brave",IF(Q2="dragonborn","Damage Resistance",IF(Q2="gnome","Gnome Cunning",IF(Q2="half-orc","Menacing",IF(Q2="tiefling","Hellish Resistance"," ")))))))</f>
        <v>Fey Ancestry</v>
      </c>
      <c r="O16" s="33" t="str">
        <f ca="1">IF(O11="wizard","Spellcasting Focus",IF(AND(O11="warlock",O12&gt;=3),VLOOKUP(RANDBETWEEN(1,3),Table227[],2),IF(AND(O11="sorcerer",O12&gt;=2),"Sorcery Points - "&amp;O12,IF(AND(O11="rogue",O12&gt;=2),"Cunning Action",IF(AND(O11="ranger",AF24=2),"Favored Enemy - "&amp;INDEX('Class Tables'!S177:S220,MATCH(2,('Class Tables'!Q177:Q220),0)),IF(O11="paladin","Lay On Hands "&amp;O12*5&amp;" HP",IF(O11="monk","Martial Arts - "&amp;INDEX('Class Tables'!J98:J117,MATCH(O12,('Class Tables'!I98:I117),0)),IF(O11="fighter","Second Wind - 1d10+"&amp;O12&amp;" hp",IF(O11="barbarian","Unarmored Defense",IF(AND(O11="bard",O12&gt;=2),"Jack of All Trades",IF(OR(O11="cleric",O11="druid"),"Spellcasting Focus"," ")))))))))))</f>
        <v>Sorcery Points - 10</v>
      </c>
      <c r="P16" s="33" t="str">
        <f ca="1">IF(AND(P15="school of transmutation",O12&gt;=2),"Transmutation Savant",IF(AND(P15="school of necromancy",O12&gt;=2),"Necromancy Savant",IF(AND(P15="school of illusion",O12&gt;=2),"Illusion Savant",IF(AND(P15="school of evocation",O12&gt;=2),"Evocation Savant",IF(AND(P15="school of enchantment",O12&gt;=2),"Enchantment Savant",IF(AND(P15="school of divination",O12&gt;=2),"Divination Savant",IF(AND(P15="school of conjuration",O12&gt;=2),"Conjuration Savant",IF(P15="school of abjuration","Abjuration Savant",IF(AND(P15="otherworldly patron - great old one",O12&gt;=1),"Awakened Mind",IF(AND(P15="otherworldly patron - fiend",O12&gt;=3),"Dark One's Blessing - "&amp;SUM(O12,P43)&amp;" hp",IF(P15="otherworldly patron - Archfey","Fey Presence",IF(P15="wild magic","Wild Magic Surge",IF(P15="draconic bloodline",VLOOKUP(RANDBETWEEN(1,10),Table25[],2)&amp;" Dragon Ancestry",IF(P15="arcane trickster","Mage Hand Legerdemain",IF(P15="assassin","Assassinate",IF(P15="thief","Fast Hands",IF(P15="beastmaster","Companion - "&amp;VLOOKUP(RANDBETWEEN(1,39),Table218[],2),IF(P15="hunter",VLOOKUP(RANDBETWEEN(1,3),Table108[],2),IF(P15="oath of vengeance","Channel Divinity: Abjure Enemy",IF(P15="oath of the ancients","Channel Divinity: Nature's Wrath",IF(P15="Oath of Devotion","Channel Divinity: Sacred Weapon",IF(AND(P15="way of the four elements",O12&gt;=5),"Max. Ki Point for Spell - "&amp;INDEX('Class Tables'!N120:N137,MATCH(O12,('Class Tables'!M120:M137),0)),IF(AND(P15="way of the shadow",O12&gt;=6),"Shadow Step",IF(P15="way of the open hand","Open Hand Technique",IF(P15="eldritch Knight","Weapon Bond",IF(AND(P15="battle master",O12&gt;=7),"Know Your Enemy",IF(P15="champion","Improved Critical",IF(P15="moon","Combat Wild Shape",IF(P15="land","Natural Recovery - "&amp;ROUNDUP(O12*0.5,0)&amp;" slots",IF(AND(P15="war",O12&gt;=1),"War Priest",IF(AND(P15="trickery",O12&gt;=1),"Blessing of the Trickster",IF(AND(P15="tempest",O12&gt;=1),"Wrath of the Storm",IF(AND(P15="nature",O12&gt;=2),"Channel Divinity: Charm Animals and Plants",IF(AND(P15="light",O12&gt;=1),"Warding Flare",IF(P15="life","Disciple of Life",IF(AND(P15="knowledge",O12&gt;=2),"Channel Divinity: Knowledge of the Ages",IF(P15="path of the berserker","Frenzy",IF(P15="path of the totem warrior","Spirit Seeker",IF(P15="college of lore","Cutting Words",IF(P15="college of valor","Combat Inspiration"," "))))))))))))))))))))))))))))))))))))))))</f>
        <v>Blue (Lightning) Dragon Ancestry</v>
      </c>
      <c r="Q16" s="33" t="str">
        <f ca="1">IF(Q11="wizard","Spellcasting Focus",IF(AND(Q11="warlock",Q12&gt;=3),VLOOKUP(RANDBETWEEN(1,3),Table227[],2),IF(AND(Q11="sorcerer",Q12&gt;=2),"Sorcery Points - "&amp;Q12,IF(AND(Q11="rogue",Q12&gt;=2),"Cunning Action",IF(AND(Q11="ranger",AF24=2),"Favored Enemy - "&amp;INDEX('Class Tables'!S177:S220,MATCH(2,('Class Tables'!Q177:Q220),0)),IF(Q11="paladin","Lay On Hands "&amp;Q12*5&amp;" HP",IF(Q11="monk","Martial Arts - "&amp;INDEX('Class Tables'!J98:J117,MATCH(Q12,('Class Tables'!I98:I117),0)),IF(Q11="fighter","Second Wind - 1d10+"&amp;Q12&amp;" hp",IF(Q11="barbarian","Unarmored Defense AC "&amp;SUM(10,P39,P40),IF(AND(Q11="bard",Q12&gt;=2),"Jack of All Trades",IF(OR(Q11="cleric",Q11="druid"),"Spellcasting Focus"," ")))))))))))</f>
        <v xml:space="preserve"> </v>
      </c>
      <c r="R16" s="33" t="str">
        <f ca="1">IF(AND(R15="otherworldly patron - great old one",Q12&gt;=1),"Awakened Mind",IF(AND(R15="otherworldly patron - fiend",Q12&gt;=3),"Dark One's Blessing - "&amp;SUM(O12,P43)&amp;" hp",IF(R15="otherworldly patron - Archfey","Fey Presence",IF(R15="wild magic","Wild Magic Surge",IF(R15="draconic bloodline",VLOOKUP(RANDBETWEEN(1,10),Table25[],2)&amp;" Dragon Ancestry",IF(R15="arcane trickster","Mage Hand Legerdemain",IF(R15="assassin","Assassinate",IF(R15="thief","Fast Hands",IF(R15="beastmaster","Companion - "&amp;VLOOKUP(RANDBETWEEN(1,39),Table218[],2),IF(R15="hunter",VLOOKUP(RANDBETWEEN(1,3),Table108[],2),IF(R15="oath of vengeance","Channel Divinity: Abjure Enemy",IF(R15="oath of the ancients","Channel Divinity: Nature's Wrath",IF(R15="Oath of Devotion","Channel Divinity: Sacred Weapon",IF(AND(R15="way of the four elements",Q12&gt;=5),"Max. Ki Point for Spell - "&amp;INDEX('Class Tables'!N120:N137,MATCH(Q12,('Class Tables'!M120:M137),0)),IF(AND(R15="way of the shadow",Q12&gt;=6),"Shadow Step",IF(R15="way of the open hand","Open Hand Technique",IF(R15="eldritch knight","Weapon Bond",IF(AND(R15="battle master",Q12&gt;=7),"Know Your Enemy",IF(R15="champion","Improved Critical",IF(R15="moon","Combat Wild Shape",IF(R15="land","Natural Recovery",IF(AND(R15="war",Q12&gt;=1),"War Priest",IF(AND(R15="trickery",Q12&gt;=1),"Blessing of the Trickster",IF(AND(R15="nature",Q12&gt;=1),"Wrath of the Storm",IF(AND(R15="Nature",Q12&gt;=2),"Channel Divinity: Charm Animals and Plants",IF(AND(R15="light",Q12&gt;=1),"Warding Flare",IF(R15="life","Disciple of Life",IF(AND(R15="knowledge",Q12&gt;=2),"Channel Divinity: Knowledge of the Ages",IF(R15="path of the berserker","Frenzy",IF(R15="path of the totem warrior","Spirit Seeker",IF(R15="college of lore","Cutting Words",IF(R15="college of valor","Combat Inspiration"," "))))))))))))))))))))))))))))))))</f>
        <v xml:space="preserve"> </v>
      </c>
      <c r="S16" s="33" t="str">
        <f ca="1">IF(S11="soldier","Military Rank",IF(S11="sage","Researcher",IF(S11="outlander","Wanderer",IF(S11="guild artisan","Guild Membership",IF(S11="entertainer","By Popular Demand",IF(S11="criminal",VLOOKUP(RANDBETWEEN(1,8),Table256[],2)," "))))))</f>
        <v>Researcher</v>
      </c>
      <c r="AE16" s="29" t="s">
        <v>1339</v>
      </c>
      <c r="AF16" s="29">
        <f ca="1">IF(AND(AF14=2,OR(Q11="monk",Q11="barbarian",Q11="warlock"),OR(O11="paladin",O11="ranger",P15="arcane trickster",P15="eldritch knight")),Q12,IF(AND($AF$14=2,OR(O11="bard",O11="druid",O11="cleric",O11="sorcerer",O11="wizard")),O12,IF(AND($AF$14=2,OR(O11="paladin",O11="ranger")),O12*0.5,IF(AND($AF$14=2,OR($P$15="arcane trickster",$P$15="eldritch knight")),O12*0.33,0))))</f>
        <v>0</v>
      </c>
      <c r="AH16" s="29" t="s">
        <v>21</v>
      </c>
      <c r="AI16" s="29">
        <f ca="1">$P$41</f>
        <v>3</v>
      </c>
      <c r="AJ16" s="29" t="str">
        <f t="shared" ref="AJ16:AU16" ca="1" si="21">IF(COUNTIF(AJ$27:AJ$33,$AH$16),$P$8," ")</f>
        <v xml:space="preserve"> </v>
      </c>
      <c r="AK16" s="29" t="str">
        <f t="shared" ca="1" si="21"/>
        <v xml:space="preserve"> </v>
      </c>
      <c r="AL16" s="29" t="str">
        <f t="shared" ca="1" si="21"/>
        <v xml:space="preserve"> </v>
      </c>
      <c r="AM16" s="29" t="str">
        <f t="shared" ca="1" si="21"/>
        <v xml:space="preserve"> </v>
      </c>
      <c r="AN16" s="29" t="str">
        <f t="shared" ca="1" si="21"/>
        <v xml:space="preserve"> </v>
      </c>
      <c r="AO16" s="29" t="str">
        <f t="shared" ca="1" si="21"/>
        <v xml:space="preserve"> </v>
      </c>
      <c r="AP16" s="29" t="str">
        <f t="shared" ca="1" si="21"/>
        <v xml:space="preserve"> </v>
      </c>
      <c r="AQ16" s="29" t="str">
        <f t="shared" ca="1" si="21"/>
        <v xml:space="preserve"> </v>
      </c>
      <c r="AR16" s="29" t="str">
        <f t="shared" ca="1" si="21"/>
        <v xml:space="preserve"> </v>
      </c>
      <c r="AS16" s="29" t="str">
        <f t="shared" ca="1" si="21"/>
        <v xml:space="preserve"> </v>
      </c>
      <c r="AT16" s="29" t="str">
        <f t="shared" ca="1" si="21"/>
        <v xml:space="preserve"> </v>
      </c>
      <c r="AU16" s="29" t="str">
        <f t="shared" ca="1" si="21"/>
        <v xml:space="preserve"> </v>
      </c>
      <c r="AV16" s="29">
        <f t="shared" ca="1" si="8"/>
        <v>0</v>
      </c>
      <c r="AW16" s="29" t="s">
        <v>21</v>
      </c>
      <c r="BM16" s="29">
        <f t="shared" si="2"/>
        <v>0</v>
      </c>
      <c r="BN16" s="29">
        <f t="shared" ca="1" si="9"/>
        <v>0</v>
      </c>
      <c r="BO16" s="29" t="str">
        <f t="shared" ca="1" si="3"/>
        <v xml:space="preserve"> </v>
      </c>
      <c r="BP16" s="29" t="str">
        <f t="shared" ca="1" si="4"/>
        <v xml:space="preserve"> </v>
      </c>
      <c r="BQ16" s="29" t="str">
        <f t="shared" ca="1" si="5"/>
        <v xml:space="preserve"> </v>
      </c>
      <c r="BR16" s="29">
        <f t="shared" ca="1" si="6"/>
        <v>0</v>
      </c>
      <c r="BS16" s="29">
        <f ca="1">IF(AND($BY$28=1,OR($P$15="knowledge",$R$15="knowledge")),$P$8*2,IF(AND($BY$28=2,OR($P$15="knowledge",$R$15="knowledge")),$P$8*2,0))</f>
        <v>0</v>
      </c>
      <c r="BT16" s="29">
        <f ca="1">IF(AND(BY31=1,OR($P$15="nature",$R$15="nature")),$P$8,0)</f>
        <v>0</v>
      </c>
      <c r="BU16" s="29">
        <f t="shared" ca="1" si="10"/>
        <v>0</v>
      </c>
      <c r="BV16" s="29" t="s">
        <v>21</v>
      </c>
      <c r="CB16" s="35">
        <f t="shared" ca="1" si="14"/>
        <v>13</v>
      </c>
      <c r="CC16" s="36">
        <f t="shared" ca="1" si="15"/>
        <v>0.24961794064082676</v>
      </c>
      <c r="CD16" s="29" t="s">
        <v>17</v>
      </c>
    </row>
    <row r="17" spans="2:83" ht="26.25" thickBot="1" x14ac:dyDescent="0.4">
      <c r="B17" s="33" t="str">
        <f ca="1">IF(Q2="dwarf","Stonecunning",IF(Q2="elf","Trance",IF(Q2="halfling","Halfling Nimbleness",IF(P2="forest","Speak with Small Beasts",IF(P2="rock","Artificer's Lore",IF(Q2="half-orc","Relentless Endurance",IF(Q2="tiefling","Infernal Legacy"," ")))))))</f>
        <v>Trance</v>
      </c>
      <c r="O17" s="33" t="str">
        <f ca="1">IF(O11="wizard","Arcane Recovery - "&amp;ROUNDDOWN(O12*0.5,0)&amp;" slots",IF(AND(O11="warlock",O12&gt;=20),"Eldritch Master",IF(AND(O11="sorcerer",O12&gt;=2),"Flexible Casting",IF(AND(O11="rogue",O12&gt;=5),"Uncanny Dodge",IF(O11="ranger","Natural Explorer: "&amp;INDEX('Class Tables'!F212:F219,MATCH(1,('Class Tables'!D212:D219),0)),IF(AND(O11="paladin",O12&gt;=2),VLOOKUP(RANDBETWEEN(1,4),Table89[],2),IF(AND(O11="monk",O12&gt;=2),"Ki Points - "&amp;INDEX('Class Tables'!K98:K117,MATCH(O12,('Class Tables'!I98:I117),0)),IF(AND(O11="fighter",O12&gt;=2),"Action Surge",IF(AND($O$11="barbarian",$O$12&gt;=2),"Reckless Attack",IF(AND(O11="bard",O12&gt;=2),"Song of Rest - "&amp;INDEX('Class Tables'!N58:N77,MATCH(O12,('Class Tables'!L58:L77),0))&amp;" hp",IF(AND(O11="druid",O12&gt;=2),"Wild Shape - "&amp;INDEX('Class Tables'!R140:R159,MATCH(O12,('Class Tables'!Q140:Q159),0)),IF(AND(O11="cleric",O12&gt;=2),"Channel Divinity - "&amp;INDEX('Class Tables'!N140:N159,MATCH(O12,('Class Tables'!M140:M159),0))&amp;" uses"," "))))))))))))</f>
        <v>Flexible Casting</v>
      </c>
      <c r="P17" s="33" t="str">
        <f ca="1">IF(AND(P15="school of transmutation",O12&gt;=2),"Minor Alchemy",IF(AND(P15="school of necromancy",O12&gt;=2),"Grim Harvest",IF(AND(P15="school of illusion",O12&gt;=2),"Improved Minor Illusion",IF(AND(P15="school of evocation",O12&gt;=2),"Sculpt Spells",IF(AND(P15="school of enchantment",O12&gt;=2),"Hypnotic Gaze",IF(AND(P15="school of divination",O12&gt;=2),"Portent",IF(AND(P15="school of conjuration",O12&gt;=2),"Minor Conjuration",IF(P15="school of abjuration","Arcane Ward - "&amp;SUM(O12,P41)&amp;" hp",IF(AND(P15="otherworldly patron - great old one",O12&gt;=6),"Entropic Ward",IF(AND(P15="otherworldly patron - fiend",O12&gt;=10),"Fiendish Resilience",IF(AND(P15="otherworldly patron - Archfey",O12&gt;=6),"Misty Escape",IF(P15="wild magic","Tides of Chaos",IF(P15="draconic bloodline","Draconic Resilience - AC "&amp;SUM(13+P39),IF(AND(P15="arcane trickster",O12&gt;=9),"Magical Ambush",IF(AND(P15="assassin",O12&gt;=9),"Infiltration Expertise",IF(P15="thief","Second-Story Work",IF(AND(P15="beastmaster",O12&gt;=7),"Exceptional Training",IF(AND(P15="hunter",O12&gt;=7),VLOOKUP(RANDBETWEEN(1,3),Table126[],2),IF(P15="oath of vengeance","Channel Divinity: Vow of Enmity",IF(P15="oath of the ancients","Channel Divinity: Turn the Faithless",IF(P15="oath of devotion","Channel Divinity: Turn the Unholy",IF(P15="way of the four elements","Elemental Attunement",IF(AND(P15="way of the shadow",O12&gt;=11),"Cloak of Shadows",IF(AND(P15="way of the open hand",O12&gt;=6),"Wholeness of Body "&amp;O12*3&amp;" hp",IF(AND(P15="eldritch knight",O12&gt;=7),"War Magic",IF(AND(P15="battle master",O12&gt;=15),"Relentless",IF(AND(P15="champion",O12&gt;=7),"Remarkable Athlete",IF(P15="moon","Circle Forms - CR: "&amp;ROUNDDOWN(O12*0.33,0),IF(AND(P15="land",O12&gt;=6),"Land's Stride",IF(AND(P15="war",O12&gt;=2),"Channel Divinity: Guided Strike",IF(AND(P15="trickery",O12&gt;=2),"Channel Divinity: Invoke Duplicity",IF(AND(P15="tempest",O12&gt;=2),"Channel Divinity: Destructive Wrath",IF(AND(P15="nature",O12&gt;=6),"Dampen Elements",IF(AND(P15="light",O12&gt;=2),"Channel Divinity: Radiance of the Dawn",IF(AND(P15="life",O12&gt;=2),"Channel Divinity: Preserve Life - "&amp;O12*5&amp;" hp",IF(AND(P15="knowledge",O12&gt;=6),"Channel Divinity: Read Thoughts",IF($P$15="path of the totem warrior",VLOOKUP(RANDBETWEEN(1,3),Table44[],2),IF(AND(P15="college of lore",O12&gt;=14),"Peerless Skill",IF(AND(P15="college of valor",O12&gt;=6),"Extra Attack"," ")))))))))))))))))))))))))))))))))))))))</f>
        <v>Draconic Resilience - AC 13</v>
      </c>
      <c r="Q17" s="33" t="str">
        <f ca="1">IF(Q11="wizard","Arcane Recovery - "&amp;ROUNDDOWN(Q12*0.5,0)&amp;" slots",IF(AND(Q11="sorcerer",Q12&gt;=2),"Flexible Casting",IF(AND(Q11="rogue",Q12&gt;=5),"Uncanny Dodge",IF(Q11="ranger","Natural Explorer: "&amp;INDEX('Class Tables'!F212:F219,MATCH(1,('Class Tables'!D212:D219),0)),IF(AND(Q11="paladin",Q12&gt;=2),VLOOKUP(RANDBETWEEN(1,4),Table89[],2),IF(AND(Q11="monk",Q12&gt;=2),"Ki Points - "&amp;INDEX('Class Tables'!K98:K117,MATCH(Q12,('Class Tables'!I98:I117),0)),IF(AND(Q11="fighter",Q12&gt;=2),"Action Surge",IF(AND($Q$11="barbarian",$Q$12&gt;=2),"Reckless Attack",IF(AND(Q11="bard",Q12&gt;=2),"Song of Rest - "&amp;INDEX('Class Tables'!N58:N77,MATCH(Q12,('Class Tables'!L58:L77),0))&amp;" hp",IF(AND(Q11="cleric",Q12&gt;=2),"Channel Divinity - "&amp;INDEX('Class Tables'!N140:N159,MATCH(Q12,('Class Tables'!M140:M159),0))&amp;" uses",IF(AND(Q11="druid",Q12&gt;=2),"Wild Shape - "&amp;INDEX('Class Tables'!R140:R159,MATCH(Q12,('Class Tables'!Q140:Q159),0))," ")))))))))))</f>
        <v xml:space="preserve"> </v>
      </c>
      <c r="R17" s="33" t="str">
        <f ca="1">IF(AND(R15="otherworldly patron - great old one",Q12&gt;=6),"Entropic Ward",IF(AND(R15="otherworldly patron - fiend",Q12&gt;=10),"Fiendish Resilience",IF(AND(R15="otherworldly patron - Archfey",Q12&gt;=6),"Misty Escape",IF(R15="wild magic","Tides of Chaos",IF(R15="draconic bloodline","Draconic Resilience - AC "&amp;SUM(13+P39),IF(AND(R15="arcane trickster",Q12&gt;=9),"Magical Ambush",IF(AND(R15="assassin",Q12&gt;=9),"Infiltration Expertise",IF(R15="thief","Second-Story Work",IF(AND(R15="beastmaster",Q12&gt;=7),"Exceptional Training",IF(AND(R15="hunter",Q12&gt;=7),VLOOKUP(RANDBETWEEN(1,3),Table126[],2),IF(R15="oath of vengeance","Channel Divinity: Vow of Enmity",IF(R15="oath of the ancients","Channel Divinity: Turn the Faithless",IF(R15="oath of devotion","Channel Divinity: Turn the Unholy",IF(R15="way of the four elements","Elemental Attunement",IF(AND(R15="way of the open hand",Q12&gt;=6),"Wholeness of Body "&amp;Q12*3&amp;" hp",IF(AND(R15="eldritch knight",Q12&gt;=7),"War Magic",IF(AND(R15="champion",Q12&gt;=7),"Remarkable Athlete",IF(R15="moon","Circle Forms",IF(AND(R15="land",Q12&gt;=6),"Land's Stride",IF(AND(R15="war",Q12&gt;=2),"Channel Divinity: Guided Strike",IF(AND(R15="trickery",Q12&gt;=2),"Channel Divinity: Invoke Duplicity",IF(AND(R15="nature",Q12&gt;=2),"Channel Divinity: Destructive Wrath",IF(AND(R15="nature",Q12&gt;=6),"Dampen Elements",IF(AND(R15="light",Q12&gt;=2),"Channel Divinity: Radiance of the Dawn",IF(AND(R15="life",Q12&gt;=2),"Channel Divinity: Preserve Life - "&amp;Q12*5&amp;" hp",IF(AND(R15="knowledge",Q12&gt;=6),"Channel Divinity: Read Thoughts",IF($R$15="path of the totem warrior",VLOOKUP(RANDBETWEEN(1,3),Table44[],2),IF(AND(Q12&gt;=14,R15="college of lore"),"Peerless Skill",IF(AND(Q12&gt;=6,R15="College of Valor"),"Extra Attack"," ")))))))))))))))))))))))))))))</f>
        <v xml:space="preserve"> </v>
      </c>
      <c r="S17" s="123" t="s">
        <v>40</v>
      </c>
      <c r="AE17" s="29" t="s">
        <v>1337</v>
      </c>
      <c r="AF17" s="29">
        <f ca="1">IF(AND(AF14=2,OR(O11="monk",O11="barbarian",O11="warlock"),OR(Q11="paladin",Q11="ranger",R15="arcane trickster",R15="eldritch knight")),Q12,IF(AND($AF$14=2,OR(Q11="bard",Q11="druid",Q11="cleric",Q11="sorcerer",Q11="wizard")),Q12,IF(AND($AF$14=2,OR(Q11="paladin",Q11="ranger")),Q12*0.5,IF(AND($AF$14=2,OR($R$15="arcane trickster",$R$15="eldritch knight")),Q12*0.33,0))))</f>
        <v>0</v>
      </c>
      <c r="AH17" s="29" t="s">
        <v>22</v>
      </c>
      <c r="AI17" s="29">
        <f ca="1">$P$42</f>
        <v>4</v>
      </c>
      <c r="AJ17" s="29" t="str">
        <f t="shared" ref="AJ17:AU17" ca="1" si="22">IF(COUNTIF(AJ$27:AJ$33,$AH$17),$P$8," ")</f>
        <v xml:space="preserve"> </v>
      </c>
      <c r="AK17" s="29" t="str">
        <f t="shared" ca="1" si="22"/>
        <v xml:space="preserve"> </v>
      </c>
      <c r="AL17" s="29" t="str">
        <f t="shared" ca="1" si="22"/>
        <v xml:space="preserve"> </v>
      </c>
      <c r="AM17" s="29" t="str">
        <f t="shared" ca="1" si="22"/>
        <v xml:space="preserve"> </v>
      </c>
      <c r="AN17" s="29" t="str">
        <f t="shared" ca="1" si="22"/>
        <v xml:space="preserve"> </v>
      </c>
      <c r="AO17" s="29" t="str">
        <f t="shared" ca="1" si="22"/>
        <v xml:space="preserve"> </v>
      </c>
      <c r="AP17" s="29" t="str">
        <f t="shared" ca="1" si="22"/>
        <v xml:space="preserve"> </v>
      </c>
      <c r="AQ17" s="29" t="str">
        <f t="shared" ca="1" si="22"/>
        <v xml:space="preserve"> </v>
      </c>
      <c r="AR17" s="29" t="str">
        <f t="shared" ca="1" si="22"/>
        <v xml:space="preserve"> </v>
      </c>
      <c r="AS17" s="29" t="str">
        <f t="shared" ca="1" si="22"/>
        <v xml:space="preserve"> </v>
      </c>
      <c r="AT17" s="29" t="str">
        <f t="shared" ca="1" si="22"/>
        <v xml:space="preserve"> </v>
      </c>
      <c r="AU17" s="29" t="str">
        <f t="shared" ca="1" si="22"/>
        <v xml:space="preserve"> </v>
      </c>
      <c r="AV17" s="29">
        <f t="shared" ca="1" si="8"/>
        <v>0</v>
      </c>
      <c r="AW17" s="29" t="s">
        <v>22</v>
      </c>
      <c r="BH17" s="29" t="str">
        <f ca="1">IF(S11="Pirate",P8," ")</f>
        <v xml:space="preserve"> </v>
      </c>
      <c r="BJ17" s="29" t="str">
        <f ca="1">IF(S11="Sailor",P8," ")</f>
        <v xml:space="preserve"> </v>
      </c>
      <c r="BM17" s="29">
        <f t="shared" ca="1" si="2"/>
        <v>0</v>
      </c>
      <c r="BN17" s="29">
        <f t="shared" ca="1" si="9"/>
        <v>0</v>
      </c>
      <c r="BO17" s="29" t="str">
        <f t="shared" ca="1" si="3"/>
        <v xml:space="preserve"> </v>
      </c>
      <c r="BP17" s="29" t="str">
        <f t="shared" ca="1" si="4"/>
        <v xml:space="preserve"> </v>
      </c>
      <c r="BQ17" s="29" t="str">
        <f t="shared" ca="1" si="5"/>
        <v xml:space="preserve"> </v>
      </c>
      <c r="BR17" s="29">
        <f t="shared" ca="1" si="6"/>
        <v>0</v>
      </c>
      <c r="BU17" s="29">
        <f t="shared" ca="1" si="10"/>
        <v>0</v>
      </c>
      <c r="BV17" s="29" t="s">
        <v>22</v>
      </c>
      <c r="CB17" s="35">
        <f t="shared" ca="1" si="14"/>
        <v>4</v>
      </c>
      <c r="CC17" s="36">
        <f t="shared" ca="1" si="15"/>
        <v>0.83386774342856296</v>
      </c>
      <c r="CD17" s="29" t="s">
        <v>18</v>
      </c>
    </row>
    <row r="18" spans="2:83" ht="19.5" thickTop="1" x14ac:dyDescent="0.3">
      <c r="B18" s="33" t="str">
        <f ca="1">IF(P2="wood","Mask of the Wild",IF(P2="dark","Sunlight Sensitivity",IF(P2="lightfoot","Naturally Stealthy",IF(P2="stout","Stout Resilience",IF(P2="rock","Tinker",IF(Q2="half-orc","Savage Attacks"," "))))))</f>
        <v>Sunlight Sensitivity</v>
      </c>
      <c r="O18" s="33" t="str">
        <f ca="1">IF(AND(O11="wizard",O12&gt;=18),"Spell Mastery - "&amp;INDEX(Q193:Q202,MATCH(1,(O193:O202),0)),IF(AND(AF26=2,O11="warlock",O12&gt;=2,COUNTIF(P193:P202,"*"&amp;"eldritch blast"&amp;"*")),"Invocation - Agonizing Blast",IF(AND(O11="warlock",O12&gt;=15),"Invocation - "&amp;INDEX('Class Tables'!F164:F187,MATCH(1,('Class Tables'!D164:D187),0)),IF(AND(O11="warlock",O12&gt;=9),"Invocation - "&amp;INDEX('Class Tables'!F141:F161,MATCH(1,('Class Tables'!D141:D161),0)),IF(AND(O11="warlock",O12&gt;=7),"Invocation - "&amp;INDEX('Class Tables'!F122:F138,MATCH(1,('Class Tables'!D122:D138),0)),IF(AND(O11="warlock",O12&gt;=5),"Invocation - "&amp;INDEX('Class Tables'!F106:F119,MATCH(1,('Class Tables'!D106:D119),0)),IF(AND(O11="warlock",O12&gt;=2),"Invocation - "&amp;INDEX('Class Tables'!F93:F103,MATCH(1,('Class Tables'!D93:D103),0)),IF(AND(O11="sorcerer",O12&gt;=3),"MM - "&amp;INDEX('Class Tables'!F78:F85,MATCH(1,('Class Tables'!D78:D85),0)),IF(AND(O11="rogue",O12&gt;=7),"Evasion",IF(AND(O11="ranger",O12&gt;=2),VLOOKUP(RANDBETWEEN(1,4),Table96[],2),IF(AND(O11="paladin",O12&gt;=2),"Spellcasting Focus",IF(AND(O11="monk",O12&gt;=2),"Ki DC - "&amp;SUM(8,P8,P42),IF(AND(O11="fighter",O12&gt;=5),"Extra Attack -"&amp;INDEX('Class Tables'!U140:U159,MATCH(O12,('Class Tables'!T140:T159),0)),IF(AND($O$11="barbarian",$O$12&gt;=2),"Danger Sense",IF(AND(O11="bard",O12&gt;=5),"Font of Inspiration",IF(AND(O11="druid",O12&gt;=18),"Timeless Body",IF(AND(O11="cleric",O12&gt;=2),"Channel Divinity: Turn Undead"," ")))))))))))))))))</f>
        <v>MM - Distant Spell</v>
      </c>
      <c r="P18" s="33" t="str">
        <f ca="1">IF(AND(P15="school of transmutation",O12&gt;=6),"Transmuter's Stone",IF(AND(P15="school of necromancy",O12&gt;=6),"Undead Thralls",IF(AND(P15="school of illusion",O12&gt;=6),"Malleable Illusions",IF(AND(P15="school of evocation",O12&gt;=6),"Potent Cantrip",IF(AND(P15="school of enchantment",O12&gt;=6),"Instinctive Charm",IF(AND(P15="school of divination",O12&gt;=6),"Expert Divination",IF(AND(P15="school of conjuration",O12&gt;=6),"Benign Transposition",IF(AND(P15="school of abjuration",O12&gt;=6),"Projected Ward",IF(AND(P15="otherworldly patron - great old one",O12&gt;=10),"Thought Shield",IF(AND(P15="otherworldly patron - fiend",O12&gt;=14),"Hurl Through Hell",IF(AND(P15="otherworldly patron - Archfey",O12&gt;=10),"Beguiling Defenses",IF(AND(P15="wild magic",O12&gt;=6),"Bend Luck",IF(AND(P15="draconic bloodline",O12&gt;=6),"Elemental Affinity",IF(AND(P15="arcane trickster",O12&gt;=13),"Versatile Trickster",IF(AND(P15="assassin",O12&gt;=13),"Imposter",IF(AND(P15="thief",O12&gt;=9),"Supreme Sneak",IF(AND(P15="beastmaster",O12&gt;=11),"Beastial Fury",IF(AND(P15="hunter",O12&gt;=11),VLOOKUP(RANDBETWEEN(1,2),Table179[],2),IF(AND(P15="oath of vengeance",O12&gt;=7),"Relentless Avenger",IF(AND(P15="oath of the ancients",O12&gt;=7),"Aura of Warding",IF(AND(P15="oath of devotion",O12&gt;=7),"Aura of Devotion",IF(P15="way of the four elements",INDEX('Class Tables'!K120:K126,MATCH(1,('Class Tables'!I120:I126),0)),IF(AND(P15="way of the shadow",O12&gt;=17),"Opportunist",IF(AND(P15="way of the open hand",O12&gt;=11),"Tranquility DC "&amp;SUM(8,P42,P8),IF(AND(P15="eldritch knight",O12&gt;=10),"Eldritch Strike",IF(P15="battle Master",INDEX('Class Tables'!J58:J77,MATCH(O12,('Class Tables'!I58:I77),0)),IF(AND(P15="champion",O12&gt;=10),INDEX('Class Tables'!F48:F53,MATCH(2,('Class Tables'!D48:D53),0)),IF(AND(P15="moon",O12&gt;=6),"Primal Strike",IF(AND(P15="land",O12&gt;=10),"Nature's Ward",IF(AND(P15="war",O12&gt;=6),"Channel Divinity: War God's Blessing",IF(AND(P15="trickery",O12&gt;=6),"Channel Divinity: Cloak of Shadows",IF(AND(P15="nature",O12&gt;=6),"Thunderbolt Strike",IF(AND(P15="nature",O12&gt;=8),"Divine Strike",IF(AND(P15="light",O12&gt;=6),"Improved Flare",IF(AND(P15="life",O12&gt;=6),"Blessed Healer",IF(AND(P15="knowledge",O12&gt;=8),"Potent Spellcasting",IF(AND(P15="path of the berserker",O12&gt;=6,O11="barbarian"),"Mindless Rage",IF(AND(P15="path of the totem warrior",O12&gt;=6,O11="barbarian"),VLOOKUP(RANDBETWEEN(1,3),Table44[],3),IF(AND(P15="college of valor",O12&gt;=14),"Battle Magic"," ")))))))))))))))))))))))))))))))))))))))</f>
        <v>Elemental Affinity</v>
      </c>
      <c r="Q18" s="33" t="str">
        <f ca="1">IF(AND(Q11="warlock",Q12&gt;=9),"Invocation - "&amp;INDEX('Class Tables'!F141:F161,MATCH(1,('Class Tables'!D141:D161),0)),IF(AND(Q11="warlock",Q12&gt;=7),"Invocation - "&amp;INDEX('Class Tables'!F122:F138,MATCH(1,('Class Tables'!D122:D138),0)),IF(AND(Q11="warlock",Q12&gt;=5),"Invocation - "&amp;INDEX('Class Tables'!F106:F119,MATCH(1,('Class Tables'!D106:D119),0)),IF(AND(Q11="warlock",Q12&gt;=2),"Invocation - "&amp;INDEX('Class Tables'!F93:F103,MATCH(1,('Class Tables'!D93:D103),0)),IF(AND(Q11="sorcerer",Q12&gt;=3),"MM - "&amp;INDEX('Class Tables'!F78:F85,MATCH(1,('Class Tables'!D78:D85),0)),IF(AND(Q11="rogue",Q12&gt;=7),"Evasion",IF(AND(Q11="ranger",Q12&gt;=2),VLOOKUP(RANDBETWEEN(1,4),Table96[],2),IF(AND(Q11="paladin",Q12&gt;=2),"Spellcasting Focus",IF(AND(Q11="monk",Q12&gt;=2),"Ki DC - "&amp;SUM(8,P8,P42),IF(AND(Q11="fighter",Q12&gt;=5),"Extra Attack - "&amp;INDEX('Class Tables'!U140:U159,MATCH(Q12,('Class Tables'!T140:T159),0)),IF(AND($Q$11="barbarian",$Q$12&gt;=2),"Danger Sense",IF(AND(Q11="bard",Q12&gt;=5),"Font of Inspiration",IF(AND(Q11="cleric",Q12&gt;=2),"Channel Divinity: Turn Undead",IF(AND(Q11="druid",Q12&gt;=18),"Timeless Body"," "))))))))))))))</f>
        <v xml:space="preserve"> </v>
      </c>
      <c r="R18" s="33" t="str">
        <f ca="1">IF(AND(R15="otherworldly patron - great old one",Q12&gt;=10),"Thought Shield",IF(AND(R15="otherworldly patron - Archfey",Q12&gt;=10),"Beguiling Defenses",IF(AND(R15="wild magic",Q12&gt;=6),"Bend Luck",IF(AND(R15="draconic bloodline",Q12&gt;=6),"Elemental Affinity",IF(AND(R15="thief",Q12&gt;=9),"Supreme Sneak",IF(AND(R15="oath of vengeance",Q12&gt;=7),"Relentless Avenger",IF(AND(R15="oath of the ancients",Q12&gt;=7),"Aura of Warding",IF(AND(R15="oath of devotion",Q12&gt;=7),"Aura of Devotion",IF(R15="way of the four elements",INDEX('Class Tables'!K120:K126,MATCH(1,('Class Tables'!I120:I126),0)),IF(AND(R15="eldritch knight",Q12&gt;=10),"Eldritch Strike",IF(R15="battle Master",INDEX('Class Tables'!J58:J77,MATCH(Q12,('Class Tables'!I58:I77),0)),IF(AND(R15="champion",Q12&gt;=10),INDEX('Class Tables'!F48:F53,MATCH(2,('Class Tables'!D48:D53),0)),IF(AND(R15="moon",Q12&gt;=6),"Primal Strike",IF(AND(R15="land",Q12&gt;=10),"Nature's Ward",IF(AND(R15="war",Q12&gt;=6),"War God's Blessing",IF(AND(R15="trickery",Q12&gt;=6),"Channel Divinity: Cloak of Shadows",IF(AND(R15="nature",Q12&gt;=6),"Thunderbolt Strike",IF(AND(R15="nature",Q12&gt;=8),"Divine Strike",IF(AND(R15="light",Q12&gt;=6),"Improved Flare",IF(AND(R15="life",Q12&gt;=6),"Blessed Healer",IF(AND(R15="knowledge",Q12&gt;=8),"Potent Spellcasting",IF(AND(R15="path of the berserker",Q12&gt;=6),"Mindless Rage",IF(AND(R15="path of the totem warrior",Q12&gt;=6),VLOOKUP(RANDBETWEEN(1,3),Table44[],3)," ")))))))))))))))))))))))</f>
        <v xml:space="preserve"> </v>
      </c>
      <c r="S18" s="33" t="s">
        <v>51</v>
      </c>
      <c r="AE18" s="29" t="s">
        <v>1338</v>
      </c>
      <c r="AF18" s="29">
        <f ca="1">ROUNDDOWN(SUM(AF16:AF17),0)</f>
        <v>0</v>
      </c>
      <c r="AH18" s="29" t="s">
        <v>23</v>
      </c>
      <c r="AI18" s="29">
        <f ca="1">$P$43</f>
        <v>1</v>
      </c>
      <c r="AJ18" s="29" t="str">
        <f t="shared" ref="AJ18:AU18" ca="1" si="23">IF(COUNTIF(AJ$27:AJ$33,$AH$18),$P$8," ")</f>
        <v xml:space="preserve"> </v>
      </c>
      <c r="AK18" s="29" t="str">
        <f t="shared" ca="1" si="23"/>
        <v xml:space="preserve"> </v>
      </c>
      <c r="AL18" s="29" t="str">
        <f t="shared" ca="1" si="23"/>
        <v xml:space="preserve"> </v>
      </c>
      <c r="AM18" s="29" t="str">
        <f t="shared" ca="1" si="23"/>
        <v xml:space="preserve"> </v>
      </c>
      <c r="AN18" s="29" t="str">
        <f t="shared" ca="1" si="23"/>
        <v xml:space="preserve"> </v>
      </c>
      <c r="AO18" s="29" t="str">
        <f t="shared" ca="1" si="23"/>
        <v xml:space="preserve"> </v>
      </c>
      <c r="AP18" s="29" t="str">
        <f t="shared" ca="1" si="23"/>
        <v xml:space="preserve"> </v>
      </c>
      <c r="AQ18" s="29" t="str">
        <f t="shared" ca="1" si="23"/>
        <v xml:space="preserve"> </v>
      </c>
      <c r="AR18" s="29" t="str">
        <f t="shared" ca="1" si="23"/>
        <v xml:space="preserve"> </v>
      </c>
      <c r="AS18" s="29" t="str">
        <f t="shared" ca="1" si="23"/>
        <v xml:space="preserve"> </v>
      </c>
      <c r="AT18" s="29" t="str">
        <f t="shared" ca="1" si="23"/>
        <v xml:space="preserve"> </v>
      </c>
      <c r="AU18" s="29" t="str">
        <f t="shared" ca="1" si="23"/>
        <v xml:space="preserve"> </v>
      </c>
      <c r="AV18" s="29">
        <f t="shared" ca="1" si="8"/>
        <v>0</v>
      </c>
      <c r="AW18" s="29" t="s">
        <v>23</v>
      </c>
      <c r="BA18" s="29" t="str">
        <f ca="1">IF(S11="Entertainer",P8," ")</f>
        <v xml:space="preserve"> </v>
      </c>
      <c r="BM18" s="29">
        <f t="shared" ca="1" si="2"/>
        <v>0</v>
      </c>
      <c r="BN18" s="29">
        <f t="shared" ca="1" si="9"/>
        <v>0</v>
      </c>
      <c r="BO18" s="29" t="str">
        <f t="shared" ca="1" si="3"/>
        <v xml:space="preserve"> </v>
      </c>
      <c r="BP18" s="29" t="str">
        <f t="shared" ca="1" si="4"/>
        <v xml:space="preserve"> </v>
      </c>
      <c r="BQ18" s="29" t="str">
        <f t="shared" ca="1" si="5"/>
        <v xml:space="preserve"> </v>
      </c>
      <c r="BR18" s="29">
        <f t="shared" ca="1" si="6"/>
        <v>0</v>
      </c>
      <c r="BU18" s="29">
        <f t="shared" ca="1" si="10"/>
        <v>0</v>
      </c>
      <c r="BV18" s="29" t="s">
        <v>23</v>
      </c>
      <c r="CB18" s="35">
        <f t="shared" ca="1" si="14"/>
        <v>14</v>
      </c>
      <c r="CC18" s="36">
        <f t="shared" ca="1" si="15"/>
        <v>0.16816232978801327</v>
      </c>
      <c r="CD18" s="29" t="s">
        <v>19</v>
      </c>
    </row>
    <row r="19" spans="2:83" x14ac:dyDescent="0.3">
      <c r="B19" s="33" t="str">
        <f ca="1">IF(P2="dark","Drow Magic"," ")</f>
        <v>Drow Magic</v>
      </c>
      <c r="O19" s="33" t="str">
        <f ca="1">IF(AND(O11="wizard",O12&gt;=18),"Spell Mastery - "&amp;INDEX(R193:R202,MATCH(1,(O193:O202),0)),IF(AND(O12&gt;=2,O16="pact of the chain",AF26=1),"Invocation - Voice of the Chain Master",IF(AND(O12&gt;=5,O16="pact of the blade",AF26=1),"Invocation - Thirsting Blade",IF(AND(O11="warlock",O12&gt;=2,O16="pact of the tome",AF26=1),"Invocation - Book of Ancient Secrets",IF(AND(O11="warlock",O12&gt;=2,COUNTIF(P193:P202,"*"&amp;"Eldritch blast"&amp;"*")),"Invocation - Repelling Blast",IF(AND(O11="warlock",O12&gt;=15),"Invocation - "&amp;INDEX('Class Tables'!F164:F187,MATCH(2,('Class Tables'!D164:D187),0)),IF(AND(O11="warlock",O12&gt;=9),"Invocation - "&amp;INDEX('Class Tables'!F141:F161,MATCH(2,('Class Tables'!D141:D161),0)),IF(AND(O11="warlock",O12&gt;=7),"Invocation - "&amp;INDEX('Class Tables'!F122:F138,MATCH(2,('Class Tables'!D122:D138),0)),IF(AND(O11="warlock",O12&gt;=5),"Invocation - "&amp;INDEX('Class Tables'!F106:F119,MATCH(2,('Class Tables'!D106:D119),0)),IF(AND(O11="warlock",O12&gt;=2),"Invocation - "&amp;INDEX('Class Tables'!F93:F103,MATCH(2,('Class Tables'!D93:D103),0)),IF(AND(O11="sorcerer",O12&gt;=10),"MM - "&amp;INDEX('Class Tables'!F78:F85,MATCH(2,('Class Tables'!D78:D85),0)),IF(AND(O11="rogue",O12&gt;=11),"Reliable Talent",IF(AND(O11="ranger",O12&gt;=3),"Primeval Awareness",IF(AND(O11="paladin",O12&gt;=2),"Divine Smite",IF(AND(O11="monk",O12&gt;=2),"Flurry of Blows",IF(AND(O11="fighter",O12&gt;=9),"Indomitable",IF(AND($O$11="barbarian",$O$12&gt;=5),"Extra Attack",IF(AND(O11="bard",O12&gt;=6),"Countercharm",IF(AND(O11="cleric",O12&gt;=5),"Destroy Undead - "&amp;INDEX('Class Tables'!O140:O159,MATCH(O12,('Class Tables'!M140:M159),0)),IF(AND(O11="druid",O12&gt;=18),"Beast Spells"," "))))))))))))))))))))</f>
        <v>MM - Quickened Spell</v>
      </c>
      <c r="P19" s="33" t="str">
        <f ca="1">IF(AND(P15="school of transmutation",O12&gt;=10),"Shapechanger",IF(AND(P15="school of necromancy",O12&gt;=10),"Inured to Undeath",IF(AND(P15="school of illusion",O12&gt;=10),"Illusory Self",IF(AND(P15="school of evocation",O12&gt;=10),"Empowered Evocation",IF(AND(P15="school of enchantment",O12&gt;=10),"Split Enchantment",IF(AND(P15="school of divination",O12&gt;=10),"The Third Eye",IF(AND(P15="school of conjuration",O12&gt;=10),"Focused Conjuration",IF(AND(P15="school of abjuration",O12&gt;=10),"Improved Abjuration",IF(AND(P15="otherworldly patron - great old one",O12&gt;=14),"Create Thrall",IF(AND(P15="otherworldly patron - Archfey",O12&gt;=14),"Dark Delirium",IF(AND(P15="wild magic",O12&gt;=14),"Controlled Chaos",IF(AND(P15="draconic bloodline",O12&gt;=14),"Dragon Wings",IF(AND(P15="arcane trickster",O12&gt;=17),"Spell Thief",IF(AND(P15="assassin",O12&gt;=17),"Death Strike DC"&amp;SUM(8,P8,P39),IF(AND(P15="thief",O12&gt;=13),"Use Magic Device",IF(AND(P15="beastmaster",O12&gt;=15),"Share Spells",IF(AND(P15="hunter",O12&gt;=15),VLOOKUP(RANDBETWEEN(1,3),Table199[],2),IF(AND(P15="oath of vengeance",O12&gt;=15),"Soul of Vengeance",IF(AND(P15="oath of the ancients",O12&gt;=15),"Undying Sentinel",(IF(AND(P15="oath of devotion",O12&gt;=15),"Purity of Spirit",IF(P15="way of the four elements",INDEX('Class Tables'!K120:K126,MATCH(2,('Class Tables'!I120:I126),0)),IF(AND(P15="way of the open hand",O12&gt;=17),"Quivering Palm",IF(AND(P15="eldritch Knight",O12&gt;=15),"Arcane Charge",IF(P15="battle master","Maneuver DC "&amp;SUM(P8,8,AF22),IF(AND(P15="champion",O12&gt;=15),"Superior Critcial",IF(AND(P15="moon",O12&gt;=10),"Elemental Wild Strike",IF(AND(P15="land",O12&gt;=14),"Nature's Sanctuary",IF(AND(P15="war",O12&gt;=8),"Divine Strike",IF(AND(P15="trickery",O12&gt;=8),"Divine Strike",IF(AND(P15="nature",O12&gt;=8),"Divine Strike",IF(AND(P15="nature",O12&gt;=17),"Master of Nature",IF(AND(P15="light",O12&gt;=8),"Potent Spellcasting",IF(AND(P15="life",O12&gt;=8),"Divine Strike",IF(AND(P15="knowledge",O12&gt;=17),"Visions of the Past",IF(AND(O12&gt;=10,P15="path of the berserker"),"Intimidating Presence DC "&amp;SUM(8,P8,P43),IF(AND(O12&gt;=10,P15="path of the totem warrior"),"Spirit Walker"," ")))))))))))))))))))))))))))))))))))))</f>
        <v xml:space="preserve"> </v>
      </c>
      <c r="Q19" s="33" t="str">
        <f ca="1">IF(AND(Q11="warlock",Q12&gt;=9),"Invocation - "&amp;INDEX('Class Tables'!F141:F161,MATCH(2,('Class Tables'!D141:D161),0)),IF(AND(Q11="warlock",Q12&gt;=7),"Invocation - "&amp;INDEX('Class Tables'!F122:F138,MATCH(2,('Class Tables'!D122:D138),0)),IF(AND(Q11="warlock",Q12&gt;=5),"Invocation - "&amp;INDEX('Class Tables'!F106:F119,MATCH(2,('Class Tables'!D106:D119),0)),IF(AND(Q11="warlock",Q12&gt;=2),"Invocation - "&amp;INDEX('Class Tables'!F93:F103,MATCH(2,('Class Tables'!D93:D103),0)),IF(AND(Q11="sorcerer",Q12&gt;=10),"MM - "&amp;INDEX('Class Tables'!F78:F85,MATCH(2,('Class Tables'!D78:D85),0)),IF(AND(Q11="ranger",Q12&gt;=3),"Primeval Awareness",IF(AND(Q11="paladin",Q12&gt;=2),"Divine Smite",IF(AND(Q11="monk",Q12&gt;=2),"Flurry of Blows",IF(AND(Q11="fighter",Q12&gt;=9),"Indomitable",IF(AND($Q$11="barbarian",$Q$12&gt;=5),"Extra Attack",IF(AND(Q11="bard",Q12&gt;=6),"Countercharm",IF(AND(Q11="cleric",Q12&gt;=5),"Destroy Undead - "&amp;INDEX('Class Tables'!O140:O159,MATCH(Q12,('Class Tables'!M140:M159),0)),IF(AND(Q11="druid",Q12&gt;=18),"Beast Spells"," ")))))))))))))</f>
        <v xml:space="preserve"> </v>
      </c>
      <c r="R19" s="33" t="str">
        <f ca="1">IF(R15="way of the four elements",INDEX('Class Tables'!K120:K126,MATCH(2,('Class Tables'!I120:I126),0)),IF(R15="battle master","Maneuver DC "&amp;SUM(P8,8,AF22),IF(AND(R15="moon",Q12&gt;=10),"Elemental Wild Shape",IF(AND(R15="war",Q12&gt;=8),"Divine Strike",IF(AND(R15="trickery",Q12&gt;=8),"Divine Strike",IF(AND(R15="nature",Q12&gt;=8),"Divine Strike",IF(AND(R15="light",Q12&gt;=8),"Potent Spellcasting",IF(AND(R15="life",Q12&gt;=8),"Divine Strike",IF(AND(R15="knowledge",Q12&gt;=17),"Visions of the Past",IF(AND(Q12&gt;=10,R15="path of the berserker"),"Intimidating Presence DC "&amp;SUM(8,P8,P43),IF(AND(Q12&gt;=10,R15="path of the totem warrior"),"Spirit Walker"," ")))))))))))</f>
        <v xml:space="preserve"> </v>
      </c>
      <c r="S19" s="33" t="str">
        <f ca="1">IF(Q2="dwarf","Dwarvish",IF(OR(Q2="half-elf",Q2="elf"),"Elvish",IF(Q2="halfling","Halfling",IF(Q2="human",VLOOKUP(RANDBETWEEN(1,8),Table20[],2),IF(Q2="gnome","Gnomish",IF(Q2="half-orc","Orc",IF(Q2="tiefling","Infernal"," ")))))))</f>
        <v>Elvish</v>
      </c>
      <c r="AH19" s="29" t="s">
        <v>24</v>
      </c>
      <c r="AI19" s="29">
        <f ca="1">$P$43</f>
        <v>1</v>
      </c>
      <c r="AJ19" s="29" t="str">
        <f t="shared" ref="AJ19:AU19" ca="1" si="24">IF(COUNTIF(AJ$27:AJ$33,$AH$19),$P$8," ")</f>
        <v xml:space="preserve"> </v>
      </c>
      <c r="AK19" s="29" t="str">
        <f t="shared" ca="1" si="24"/>
        <v xml:space="preserve"> </v>
      </c>
      <c r="AL19" s="29" t="str">
        <f t="shared" ca="1" si="24"/>
        <v xml:space="preserve"> </v>
      </c>
      <c r="AM19" s="29" t="str">
        <f t="shared" ca="1" si="24"/>
        <v xml:space="preserve"> </v>
      </c>
      <c r="AN19" s="29" t="str">
        <f t="shared" ca="1" si="24"/>
        <v xml:space="preserve"> </v>
      </c>
      <c r="AO19" s="29" t="str">
        <f t="shared" ca="1" si="24"/>
        <v xml:space="preserve"> </v>
      </c>
      <c r="AP19" s="29" t="str">
        <f t="shared" ca="1" si="24"/>
        <v xml:space="preserve"> </v>
      </c>
      <c r="AQ19" s="29" t="str">
        <f t="shared" ca="1" si="24"/>
        <v xml:space="preserve"> </v>
      </c>
      <c r="AR19" s="29" t="str">
        <f t="shared" ca="1" si="24"/>
        <v xml:space="preserve"> </v>
      </c>
      <c r="AS19" s="29" t="str">
        <f t="shared" ca="1" si="24"/>
        <v xml:space="preserve"> </v>
      </c>
      <c r="AT19" s="29" t="str">
        <f t="shared" ca="1" si="24"/>
        <v xml:space="preserve"> </v>
      </c>
      <c r="AU19" s="29" t="str">
        <f t="shared" ca="1" si="24"/>
        <v xml:space="preserve"> </v>
      </c>
      <c r="AV19" s="29">
        <f t="shared" ca="1" si="8"/>
        <v>0</v>
      </c>
      <c r="AW19" s="29" t="s">
        <v>24</v>
      </c>
      <c r="BE19" s="29" t="str">
        <f ca="1">IF(S11="Knight",P8," ")</f>
        <v xml:space="preserve"> </v>
      </c>
      <c r="BF19" s="29" t="str">
        <f ca="1">IF(S11="Noble",P8," ")</f>
        <v xml:space="preserve"> </v>
      </c>
      <c r="BM19" s="29">
        <f t="shared" ca="1" si="2"/>
        <v>0</v>
      </c>
      <c r="BN19" s="29">
        <f t="shared" ca="1" si="9"/>
        <v>0</v>
      </c>
      <c r="BO19" s="29" t="str">
        <f t="shared" ca="1" si="3"/>
        <v xml:space="preserve"> </v>
      </c>
      <c r="BP19" s="29" t="str">
        <f t="shared" ca="1" si="4"/>
        <v xml:space="preserve"> </v>
      </c>
      <c r="BQ19" s="29" t="str">
        <f t="shared" ca="1" si="5"/>
        <v xml:space="preserve"> </v>
      </c>
      <c r="BR19" s="29">
        <f t="shared" ca="1" si="6"/>
        <v>0</v>
      </c>
      <c r="BU19" s="29">
        <f t="shared" ca="1" si="10"/>
        <v>0</v>
      </c>
      <c r="BV19" s="29" t="s">
        <v>24</v>
      </c>
      <c r="CB19" s="35">
        <f t="shared" ca="1" si="14"/>
        <v>12</v>
      </c>
      <c r="CC19" s="36">
        <f t="shared" ca="1" si="15"/>
        <v>0.27046776809309836</v>
      </c>
      <c r="CD19" s="29" t="s">
        <v>20</v>
      </c>
      <c r="CE19" s="31"/>
    </row>
    <row r="20" spans="2:83" x14ac:dyDescent="0.3">
      <c r="O20" s="33" t="str">
        <f ca="1">IF(AND(O11="warlock",O12&gt;=2,AF26=2,COUNTIF(P193:P202,"*"&amp;"Eldritch blast"&amp;"*")),"Invocation - Eldritch Spear",IF(AND(O11="warlock",O12&gt;=15),"Invocation - "&amp;INDEX('Class Tables'!F164:F187,MATCH(3,('Class Tables'!D164:D187),0)),IF(AND(O11="warlock",O12&gt;=9),"Invocation - "&amp;INDEX('Class Tables'!F141:F161,MATCH(3,('Class Tables'!D141:D161),0)),IF(AND(O11="warlock",O12&gt;=7),"Invocation - "&amp;INDEX('Class Tables'!F122:F138,MATCH(3,('Class Tables'!D122:D138),0)),IF(AND(O11="warlock",O12&gt;=5),"Invocation - "&amp;INDEX('Class Tables'!F106:F119,MATCH(3,('Class Tables'!D106:D119),0)),IF(AND(O11="sorcerer",O12&gt;=20),"Sorcerous Restoration",IF(AND(O11="sorcerer",O12&gt;=17),"MM - "&amp;INDEX('Class Tables'!F78:F85,MATCH(3,('Class Tables'!D78:D85),0)),IF(AND(O11="rogue",O12&gt;=14),"Blindsense",IF(AND(O11="ranger",O12&gt;=5),"Extra Attack",IF(AND(O11="paladin",O12&gt;=3),"Divine Health",IF(AND(O11="monk",O12&gt;=2),"Patient Defense",IF(AND(O11="barbarian",O12&gt;=5),"Fast Movement",IF(AND(O11="bard",O12&gt;=20),"Superior Inspiration",IF(AND(O11="druid",O12&gt;=20),"Archdruid",IF(AND(O11="cleric",O12&gt;=10),"Divine Intervention"," ")))))))))))))))</f>
        <v xml:space="preserve"> </v>
      </c>
      <c r="P20" s="33" t="str">
        <f ca="1">IF(AND(P15="school of transmutation",O12&gt;=14),"Master Transmuter",IF(AND(P15="school of necromancy",O12&gt;=14),"Command Undead",IF(AND(P15="school of illusion",O12&gt;=14),"Illusory Reality",IF(AND(P15="school of evocation",O12&gt;=14),"Overchannel",IF(AND(P15="school of enchantment",O12&gt;=14),"Alter Memories",IF(AND(P15="school of divination",O12&gt;=14),"Greater Portent",IF(AND(P15="school of conjuration",O12&gt;=14),"Durable Summons",IF(AND(P15="school of abjuration",O12&gt;=14),"Spell Resistance",IF(AND(P15="wild magic",O12&gt;=18),"Spell Bombardment",IF(AND(P15="Draconic Bloodline",O12&gt;=18),"Draconic Presence",IF(AND(P15="thief",O12&gt;=17),"Thief's Reflexes",IF(AND(P15="oath of vengeance",O12&gt;=20),"Avenging Angel",IF(AND(P15="oath of the ancients",O12&gt;=20),"Elder Champion",IF(AND(P15="Oath of Devotion",O12&gt;=20),"Holy Nimbus",IF(AND(P15="way of the four elements",O12&gt;=6),INDEX('Class Tables'!K128:K129,MATCH(1,('Class Tables'!I128:I129),0)),IF(AND(P15="eldritch knight",O12&gt;=18),"Improved War Magic",IF(P15="battle master",INDEX('Class Tables'!K40:K55,MATCH(1,('Class Tables'!I40:I55),0)),IF(AND(P15="champion",O12&gt;=18),"Survivor - "&amp;SUM(5+P48)&amp;" hp",IF(AND(P15="moon",O12&gt;=14),"Thousand Forms",IF(P15="land",VLOOKUP(RANDBETWEEN(1,8),Table74[],2),IF(AND(P15="war",O12&gt;=17),"Avatar of Battle",IF(AND(P15="trickery",O12&gt;=17),"Improved Duplicity",IF(AND(P15="nature",O12&gt;=17),"Stormborn",IF(AND(P15="light",O12&gt;=17),"Corona of Light",IF(AND(P15="life",O12&gt;=17),"Supreme Healing",IF(AND(P15="path of the totem warrior",O12&gt;=14),VLOOKUP(RANDBETWEEN(1,3),Table44[],4)," "))))))))))))))))))))))))))</f>
        <v xml:space="preserve"> </v>
      </c>
      <c r="Q20" s="33" t="str">
        <f ca="1">IF(AND(Q11="warlock",Q12&gt;=9),"Invocation - "&amp;INDEX('Class Tables'!F141:F161,MATCH(3,('Class Tables'!D141:D161),0)),IF(AND(Q11="warlock",Q12&gt;=7),"Invocation - "&amp;INDEX('Class Tables'!F122:F138,MATCH(3,('Class Tables'!D122:D138),0)),IF(AND(Q11="warlock",Q12&gt;=5),"Invocation - "&amp;INDEX('Class Tables'!F106:F119,MATCH(3,('Class Tables'!D106:D119),0)),IF(AND(Q11="ranger",Q12&gt;=5),"Extra Attack",IF(AND(Q11="paladin",Q12&gt;=3),"Divine Health",IF(AND(Q11="monk",Q12&gt;=2),"Patient Defense",IF(AND(Q11="barbarian",Q12&gt;=5),"Fast Movement",IF(AND(Q11="cleric",Q12&gt;=10),"Divine Intervention"," "))))))))</f>
        <v xml:space="preserve"> </v>
      </c>
      <c r="R20" s="33" t="str">
        <f ca="1">IF(AND(R15="way of the four elements",Q12&gt;=6),INDEX('Class Tables'!K128:K129,MATCH(1,('Class Tables'!I128:I129),0)),IF(R15="battle master",INDEX('Class Tables'!K40:K55,MATCH(1,('Class Tables'!I40:I55),0)),IF(R15="land",VLOOKUP(RANDBETWEEN(1,8),Table74[],2)," ")))</f>
        <v xml:space="preserve"> </v>
      </c>
      <c r="S20" s="33" t="str">
        <f ca="1">IF(P2="high",INDEX('Class Tables'!S177:S220,MATCH(1,('Class Tables'!Q177:Q220),0))," ")</f>
        <v xml:space="preserve"> </v>
      </c>
      <c r="AE20" s="29" t="s">
        <v>1990</v>
      </c>
      <c r="AF20" s="29">
        <f ca="1">RANDBETWEEN(1,3)</f>
        <v>3</v>
      </c>
      <c r="AH20" s="29" t="s">
        <v>25</v>
      </c>
      <c r="AI20" s="29">
        <f ca="1">$P$41</f>
        <v>3</v>
      </c>
      <c r="AJ20" s="29" t="str">
        <f t="shared" ref="AJ20:AU20" ca="1" si="25">IF(COUNTIF(AJ$27:AJ$33,$AH$20),$P$8," ")</f>
        <v xml:space="preserve"> </v>
      </c>
      <c r="AK20" s="29" t="str">
        <f t="shared" ca="1" si="25"/>
        <v xml:space="preserve"> </v>
      </c>
      <c r="AL20" s="29" t="str">
        <f t="shared" ca="1" si="25"/>
        <v xml:space="preserve"> </v>
      </c>
      <c r="AM20" s="29" t="str">
        <f t="shared" ca="1" si="25"/>
        <v xml:space="preserve"> </v>
      </c>
      <c r="AN20" s="29" t="str">
        <f t="shared" ca="1" si="25"/>
        <v xml:space="preserve"> </v>
      </c>
      <c r="AO20" s="29" t="str">
        <f t="shared" ca="1" si="25"/>
        <v xml:space="preserve"> </v>
      </c>
      <c r="AP20" s="29" t="str">
        <f t="shared" ca="1" si="25"/>
        <v xml:space="preserve"> </v>
      </c>
      <c r="AQ20" s="29" t="str">
        <f t="shared" ca="1" si="25"/>
        <v xml:space="preserve"> </v>
      </c>
      <c r="AR20" s="29" t="str">
        <f t="shared" ca="1" si="25"/>
        <v xml:space="preserve"> </v>
      </c>
      <c r="AS20" s="29" t="str">
        <f t="shared" ca="1" si="25"/>
        <v xml:space="preserve"> </v>
      </c>
      <c r="AT20" s="29" t="str">
        <f t="shared" ca="1" si="25"/>
        <v xml:space="preserve"> </v>
      </c>
      <c r="AU20" s="29" t="str">
        <f t="shared" ca="1" si="25"/>
        <v xml:space="preserve"> </v>
      </c>
      <c r="AV20" s="29">
        <f t="shared" ca="1" si="8"/>
        <v>0</v>
      </c>
      <c r="AW20" s="29" t="s">
        <v>25</v>
      </c>
      <c r="AX20" s="29" t="str">
        <f ca="1">IF(S11="acolyte",P8," ")</f>
        <v xml:space="preserve"> </v>
      </c>
      <c r="BC20" s="29" t="str">
        <f ca="1">IF(S11="Guild Artisan",P8," ")</f>
        <v xml:space="preserve"> </v>
      </c>
      <c r="BD20" s="29" t="str">
        <f ca="1">IF(S11="Hermit",P8," ")</f>
        <v xml:space="preserve"> </v>
      </c>
      <c r="BM20" s="29">
        <f t="shared" ca="1" si="2"/>
        <v>0</v>
      </c>
      <c r="BN20" s="29">
        <f t="shared" ca="1" si="9"/>
        <v>0</v>
      </c>
      <c r="BO20" s="29" t="str">
        <f t="shared" ca="1" si="3"/>
        <v xml:space="preserve"> </v>
      </c>
      <c r="BP20" s="29" t="str">
        <f t="shared" ca="1" si="4"/>
        <v xml:space="preserve"> </v>
      </c>
      <c r="BQ20" s="29" t="str">
        <f t="shared" ca="1" si="5"/>
        <v xml:space="preserve"> </v>
      </c>
      <c r="BR20" s="29">
        <f t="shared" ca="1" si="6"/>
        <v>0</v>
      </c>
      <c r="BS20" s="29">
        <f ca="1">IF(AND($BY$29=1,OR($P$15="knowledge",$R$15="knowledge")),$P$8*2,IF(AND($BY$29=2,OR($P$15="knowledge",$R$15="knowledge")),$P$8*2,0))</f>
        <v>0</v>
      </c>
      <c r="BU20" s="29">
        <f t="shared" ca="1" si="10"/>
        <v>0</v>
      </c>
      <c r="BV20" s="29" t="s">
        <v>25</v>
      </c>
      <c r="CB20" s="35">
        <f t="shared" ca="1" si="14"/>
        <v>8</v>
      </c>
      <c r="CC20" s="36">
        <f t="shared" ca="1" si="15"/>
        <v>0.73021763326450395</v>
      </c>
      <c r="CD20" s="29" t="s">
        <v>21</v>
      </c>
    </row>
    <row r="21" spans="2:83" x14ac:dyDescent="0.3">
      <c r="O21" s="33" t="str">
        <f ca="1">IF(AND(O11="warlock",O12&gt;=15),"Invocation - "&amp;INDEX('Class Tables'!F164:F187,MATCH(4,('Class Tables'!D164:D187),0)),IF(AND(O11="warlock",O12&gt;=9),"Invocation - "&amp;INDEX('Class Tables'!F141:F161,MATCH(4,('Class Tables'!D141:D161),0)),IF(AND(O11="warlock",O12&gt;=7),"Invocation - "&amp;INDEX('Class Tables'!F122:F138,MATCH(4,('Class Tables'!D122:D138),0)),IF(AND(O11="rogue",O12&gt;=15),"Slippery Mind",IF(AND(O11="ranger",O12&gt;=8),"Land's Stride",IF(AND(O11="paladin",O12&gt;=5),"Extra Attack",IF(AND(O11="monk",O12&gt;=2),"Step of the Wind",IF(AND($O$11="barbarian",$O$12&gt;=7),"Feral Instinct"," "))))))))</f>
        <v xml:space="preserve"> </v>
      </c>
      <c r="P21" s="33" t="str">
        <f ca="1">IF(AND(P15="way of the four elements",O12&gt;=11),INDEX('Class Tables'!K131:K134,MATCH(1,('Class Tables'!I131:I134),0)),IF(P15="battle master",INDEX('Class Tables'!K40:K55,MATCH(2,('Class Tables'!I40:I55),0))," "))</f>
        <v xml:space="preserve"> </v>
      </c>
      <c r="Q21" s="33" t="str">
        <f ca="1">IF(AND(Q11="warlock",Q12&gt;=9),"Invocation - "&amp;INDEX('Class Tables'!F141:F161,MATCH(4,('Class Tables'!D141:D161),0)),IF(AND(Q11="warlock",Q12&gt;=7),"Invocation - "&amp;INDEX('Class Tables'!F122:F138,MATCH(4,('Class Tables'!D122:D138),0)),IF(AND(Q11="ranger",Q12&gt;=8),"Land's Stride",IF(AND(Q11="paladin",Q12&gt;=5),"Extra Attack",IF(AND(Q11="monk",Q12&gt;=2),"Step of the Wind",IF(AND($Q$11="barbarian",$Q$12&gt;=7),"Feral Instinct"," "))))))</f>
        <v xml:space="preserve"> </v>
      </c>
      <c r="R21" s="33" t="str">
        <f ca="1">IF(R15="battle master",INDEX('Class Tables'!K40:K55,MATCH(2,('Class Tables'!I40:I55),0))," ")</f>
        <v xml:space="preserve"> </v>
      </c>
      <c r="S21" s="33" t="str">
        <f ca="1">IF(OR(P15="knowledge",R15="knowledge"),INDEX('Class Tables'!S177:S220,MATCH(2,('Class Tables'!Q177:Q220),0))," ")</f>
        <v xml:space="preserve"> </v>
      </c>
      <c r="AE21" s="29" t="s">
        <v>1989</v>
      </c>
      <c r="AF21" s="29">
        <f ca="1">RANDBETWEEN(1,2)</f>
        <v>2</v>
      </c>
      <c r="AH21" s="29" t="s">
        <v>26</v>
      </c>
      <c r="AI21" s="29">
        <f ca="1">$P$39</f>
        <v>0</v>
      </c>
      <c r="AJ21" s="29" t="str">
        <f t="shared" ref="AJ21:AU21" ca="1" si="26">IF(COUNTIF(AJ$27:AJ$33,$AH$21),$P$8," ")</f>
        <v xml:space="preserve"> </v>
      </c>
      <c r="AK21" s="29" t="str">
        <f t="shared" ca="1" si="26"/>
        <v xml:space="preserve"> </v>
      </c>
      <c r="AL21" s="29" t="str">
        <f t="shared" ca="1" si="26"/>
        <v xml:space="preserve"> </v>
      </c>
      <c r="AM21" s="29" t="str">
        <f t="shared" ca="1" si="26"/>
        <v xml:space="preserve"> </v>
      </c>
      <c r="AN21" s="29" t="str">
        <f t="shared" ca="1" si="26"/>
        <v xml:space="preserve"> </v>
      </c>
      <c r="AO21" s="29" t="str">
        <f t="shared" ca="1" si="26"/>
        <v xml:space="preserve"> </v>
      </c>
      <c r="AP21" s="29" t="str">
        <f t="shared" ca="1" si="26"/>
        <v xml:space="preserve"> </v>
      </c>
      <c r="AQ21" s="29" t="str">
        <f t="shared" ca="1" si="26"/>
        <v xml:space="preserve"> </v>
      </c>
      <c r="AR21" s="29" t="str">
        <f t="shared" ca="1" si="26"/>
        <v xml:space="preserve"> </v>
      </c>
      <c r="AS21" s="29" t="str">
        <f t="shared" ca="1" si="26"/>
        <v xml:space="preserve"> </v>
      </c>
      <c r="AT21" s="29" t="str">
        <f t="shared" ca="1" si="26"/>
        <v xml:space="preserve"> </v>
      </c>
      <c r="AU21" s="29" t="str">
        <f t="shared" ca="1" si="26"/>
        <v xml:space="preserve"> </v>
      </c>
      <c r="AV21" s="29">
        <f t="shared" ca="1" si="8"/>
        <v>0</v>
      </c>
      <c r="AW21" s="29" t="s">
        <v>26</v>
      </c>
      <c r="AY21" s="29" t="str">
        <f ca="1">IF(S11="Charlatan",P8," ")</f>
        <v xml:space="preserve"> </v>
      </c>
      <c r="BL21" s="29" t="str">
        <f ca="1">IF(S11="urchin",P8," ")</f>
        <v xml:space="preserve"> </v>
      </c>
      <c r="BM21" s="29">
        <f t="shared" ca="1" si="2"/>
        <v>0</v>
      </c>
      <c r="BN21" s="29">
        <f t="shared" ca="1" si="9"/>
        <v>0</v>
      </c>
      <c r="BO21" s="29" t="str">
        <f t="shared" ca="1" si="3"/>
        <v xml:space="preserve"> </v>
      </c>
      <c r="BP21" s="29" t="str">
        <f t="shared" ca="1" si="4"/>
        <v xml:space="preserve"> </v>
      </c>
      <c r="BQ21" s="29" t="str">
        <f t="shared" ca="1" si="5"/>
        <v xml:space="preserve"> </v>
      </c>
      <c r="BR21" s="29">
        <f t="shared" ca="1" si="6"/>
        <v>0</v>
      </c>
      <c r="BU21" s="29">
        <f t="shared" ca="1" si="10"/>
        <v>0</v>
      </c>
      <c r="BV21" s="29" t="s">
        <v>26</v>
      </c>
      <c r="CB21" s="35">
        <f t="shared" ca="1" si="14"/>
        <v>3</v>
      </c>
      <c r="CC21" s="36">
        <f t="shared" ca="1" si="15"/>
        <v>0.93570427462536077</v>
      </c>
      <c r="CD21" s="29" t="s">
        <v>22</v>
      </c>
    </row>
    <row r="22" spans="2:83" x14ac:dyDescent="0.3">
      <c r="O22" s="33" t="str">
        <f ca="1">(IF(AND(O16="pact of the blade",O12&gt;=12,AF26=1),"Invocation - Lifedrinker",IF(AND(O11="warlock",O12&gt;=15),"Invocation - "&amp;INDEX('Class Tables'!F164:F187,MATCH(5,('Class Tables'!D164:D187),0)),IF(AND(O11="warlock",O12&gt;=9),"Invocation - "&amp;INDEX('Class Tables'!F141:F161,MATCH(5,('Class Tables'!D141:D161),0)),IF(AND(O11="rogue",O12&gt;=18),"Elusive Foe",IF(AND(O11="ranger",O12&gt;=10),"Hide in Plain Sight",IF(AND(O11="paladin",O12&gt;=6),"Aura of Protection +"&amp;MAX(P43,1),IF(AND(O11="monk",O12&gt;=2),"Unarmored Movement - "&amp;INDEX('Class Tables'!L98:L117,MATCH(O12,('Class Tables'!I98:I117),0))&amp;" ft.",IF(AND($O$11="barbarian",$O$12&gt;=9),"Brutal Critical"," ")))))))))</f>
        <v xml:space="preserve"> </v>
      </c>
      <c r="P22" s="33" t="str">
        <f ca="1">IF(AND(P15="way of the four elements",O12&gt;=17),INDEX('Class Tables'!K136:K138,MATCH(1,('Class Tables'!I136:I138),0)),IF(P15="battle master",INDEX('Class Tables'!K40:K55,MATCH(3,('Class Tables'!I40:I55),0))," "))</f>
        <v xml:space="preserve"> </v>
      </c>
      <c r="Q22" s="33" t="str">
        <f ca="1">IF(AND(Q11="warlock",Q12&gt;=9),"Invocation - "&amp;INDEX('Class Tables'!F141:F161,MATCH(5,('Class Tables'!D141:D161),0)),IF(AND(Q11="ranger",Q12&gt;=10),"Hide in Plain Sight",IF(AND(Q11="paladin",Q12&gt;=6),"Aura of Protection +"&amp;MAX(P43,1),IF(AND(Q11="monk",Q12&gt;=2),"Unarmored Movement - "&amp;INDEX('Class Tables'!L98:L117,MATCH(Q12,('Class Tables'!I98:I117),0))&amp;" ft.",IF(AND($Q$11="barbarian",$Q$12&gt;=9),"Brutal Critical"," ")))))</f>
        <v xml:space="preserve"> </v>
      </c>
      <c r="R22" s="33" t="str">
        <f ca="1">IF(R15="battle master",INDEX('Class Tables'!K40:K55,MATCH(3,('Class Tables'!I40:I55),0))," ")</f>
        <v xml:space="preserve"> </v>
      </c>
      <c r="S22" s="33" t="str">
        <f ca="1">IF(OR(P15="knowledge",R15="knowledge"),INDEX('Class Tables'!S177:S220,MATCH(3,('Class Tables'!Q177:Q220),0))," ")</f>
        <v xml:space="preserve"> </v>
      </c>
      <c r="AE22" s="29" t="s">
        <v>1387</v>
      </c>
      <c r="AF22" s="29">
        <f ca="1">SUM(P38:P39)-SMALL(P38:P39,1)</f>
        <v>1</v>
      </c>
      <c r="AH22" s="29" t="s">
        <v>27</v>
      </c>
      <c r="AI22" s="29">
        <f ca="1">$P$39</f>
        <v>0</v>
      </c>
      <c r="AJ22" s="29" t="str">
        <f t="shared" ref="AJ22:AU22" ca="1" si="27">IF(COUNTIF(AJ$27:AJ$33,$AH$22),$P$8," ")</f>
        <v xml:space="preserve"> </v>
      </c>
      <c r="AK22" s="29" t="str">
        <f t="shared" ca="1" si="27"/>
        <v xml:space="preserve"> </v>
      </c>
      <c r="AL22" s="29" t="str">
        <f t="shared" ca="1" si="27"/>
        <v xml:space="preserve"> </v>
      </c>
      <c r="AM22" s="29" t="str">
        <f t="shared" ca="1" si="27"/>
        <v xml:space="preserve"> </v>
      </c>
      <c r="AN22" s="29" t="str">
        <f t="shared" ca="1" si="27"/>
        <v xml:space="preserve"> </v>
      </c>
      <c r="AO22" s="29" t="str">
        <f t="shared" ca="1" si="27"/>
        <v xml:space="preserve"> </v>
      </c>
      <c r="AP22" s="29" t="str">
        <f t="shared" ca="1" si="27"/>
        <v xml:space="preserve"> </v>
      </c>
      <c r="AQ22" s="29" t="str">
        <f t="shared" ca="1" si="27"/>
        <v xml:space="preserve"> </v>
      </c>
      <c r="AR22" s="29" t="str">
        <f t="shared" ca="1" si="27"/>
        <v xml:space="preserve"> </v>
      </c>
      <c r="AS22" s="29" t="str">
        <f t="shared" ca="1" si="27"/>
        <v xml:space="preserve"> </v>
      </c>
      <c r="AT22" s="29" t="str">
        <f t="shared" ca="1" si="27"/>
        <v xml:space="preserve"> </v>
      </c>
      <c r="AU22" s="29" t="str">
        <f t="shared" ca="1" si="27"/>
        <v xml:space="preserve"> </v>
      </c>
      <c r="AV22" s="29">
        <f t="shared" ca="1" si="8"/>
        <v>0</v>
      </c>
      <c r="AW22" s="29" t="s">
        <v>27</v>
      </c>
      <c r="AZ22" s="29" t="str">
        <f ca="1">IF(S11="Criminal",P8," ")</f>
        <v xml:space="preserve"> </v>
      </c>
      <c r="BL22" s="29" t="str">
        <f ca="1">IF(S11="urchin",P8," ")</f>
        <v xml:space="preserve"> </v>
      </c>
      <c r="BM22" s="29">
        <f t="shared" ca="1" si="2"/>
        <v>0</v>
      </c>
      <c r="BN22" s="29">
        <f t="shared" ca="1" si="9"/>
        <v>0</v>
      </c>
      <c r="BO22" s="29" t="str">
        <f t="shared" ca="1" si="3"/>
        <v xml:space="preserve"> </v>
      </c>
      <c r="BP22" s="29" t="str">
        <f t="shared" ca="1" si="4"/>
        <v xml:space="preserve"> </v>
      </c>
      <c r="BQ22" s="29" t="str">
        <f t="shared" ca="1" si="5"/>
        <v xml:space="preserve"> </v>
      </c>
      <c r="BR22" s="29">
        <f t="shared" ca="1" si="6"/>
        <v>0</v>
      </c>
      <c r="BU22" s="29">
        <f t="shared" ca="1" si="10"/>
        <v>0</v>
      </c>
      <c r="BV22" s="29" t="s">
        <v>27</v>
      </c>
      <c r="CB22" s="35">
        <f t="shared" ca="1" si="14"/>
        <v>16</v>
      </c>
      <c r="CC22" s="36">
        <f t="shared" ca="1" si="15"/>
        <v>0.1095404541949645</v>
      </c>
      <c r="CD22" s="29" t="s">
        <v>23</v>
      </c>
    </row>
    <row r="23" spans="2:83" x14ac:dyDescent="0.3">
      <c r="O23" s="33" t="str">
        <f ca="1">IF(AND(O11="warlock",O12&gt;=15),"Invocation - "&amp;INDEX('Class Tables'!F164:F187,MATCH(6,('Class Tables'!D164:D187),0)),IF(AND(O11="warlock",O12&gt;=12),"Invocation - "&amp;INDEX('Class Tables'!F141:F161,MATCH(6,('Class Tables'!D141:D161),0)),IF(AND(O11="rogue",O12&gt;=20),"Stroke of Luck",IF(AND(O11="ranger",O12&gt;=14),"Vanish",IF(AND(O11="paladin",O12&gt;=10),"Aura of Courage",IF(AND(O11="monk",O12&gt;=3),"Deflect Missiles - 1d10+"&amp;SUM(P39,O12)&amp;" dmg.",IF(AND($O$11="barbarian",$O$12&gt;=11),"Relentless Rage"," ")))))))</f>
        <v xml:space="preserve"> </v>
      </c>
      <c r="P23" s="33" t="str">
        <f ca="1">IF(AND(P15="battle master",O12&gt;=7),INDEX('Class Tables'!K40:K55,MATCH(4,('Class Tables'!I40:I55),0))," ")</f>
        <v xml:space="preserve"> </v>
      </c>
      <c r="Q23" s="33" t="str">
        <f ca="1">IF(AND(Q11="paladin",Q12&gt;=10),"Aura of Courage",IF(AND(Q11="monk",Q12&gt;=3),"Deflect Missiles 1d10+"&amp;SUM(Q12,P39)&amp;" dmg."," "))</f>
        <v xml:space="preserve"> </v>
      </c>
      <c r="R23" s="33" t="str">
        <f ca="1">IF(AND(R15="battle master",Q12&gt;=7),INDEX('Class Tables'!K40:K55,MATCH(4,('Class Tables'!I40:I55),0))," ")</f>
        <v xml:space="preserve"> </v>
      </c>
      <c r="S23" s="33" t="str">
        <f ca="1">IF(O11="druid","Druidic",IF(O11="rogue","Thieves' Cant"," "))</f>
        <v xml:space="preserve"> </v>
      </c>
      <c r="AE23" s="29" t="s">
        <v>1402</v>
      </c>
      <c r="AF23" s="29">
        <f ca="1">RANDBETWEEN(1,2)</f>
        <v>2</v>
      </c>
      <c r="AH23" s="29" t="s">
        <v>28</v>
      </c>
      <c r="AI23" s="29">
        <f ca="1">$P$42</f>
        <v>4</v>
      </c>
      <c r="AJ23" s="29" t="str">
        <f t="shared" ref="AJ23:AU23" ca="1" si="28">IF(COUNTIF(AJ$27:AJ$33,$AH$23),$P$8," ")</f>
        <v xml:space="preserve"> </v>
      </c>
      <c r="AK23" s="29" t="str">
        <f t="shared" ca="1" si="28"/>
        <v xml:space="preserve"> </v>
      </c>
      <c r="AL23" s="29" t="str">
        <f t="shared" ca="1" si="28"/>
        <v xml:space="preserve"> </v>
      </c>
      <c r="AM23" s="29" t="str">
        <f t="shared" ca="1" si="28"/>
        <v xml:space="preserve"> </v>
      </c>
      <c r="AN23" s="29" t="str">
        <f t="shared" ca="1" si="28"/>
        <v xml:space="preserve"> </v>
      </c>
      <c r="AO23" s="29" t="str">
        <f t="shared" ca="1" si="28"/>
        <v xml:space="preserve"> </v>
      </c>
      <c r="AP23" s="29" t="str">
        <f t="shared" ca="1" si="28"/>
        <v xml:space="preserve"> </v>
      </c>
      <c r="AQ23" s="29" t="str">
        <f t="shared" ca="1" si="28"/>
        <v xml:space="preserve"> </v>
      </c>
      <c r="AR23" s="29" t="str">
        <f t="shared" ca="1" si="28"/>
        <v xml:space="preserve"> </v>
      </c>
      <c r="AS23" s="29" t="str">
        <f t="shared" ca="1" si="28"/>
        <v xml:space="preserve"> </v>
      </c>
      <c r="AT23" s="29" t="str">
        <f t="shared" ca="1" si="28"/>
        <v xml:space="preserve"> </v>
      </c>
      <c r="AU23" s="29" t="str">
        <f t="shared" ca="1" si="28"/>
        <v xml:space="preserve"> </v>
      </c>
      <c r="AV23" s="29">
        <f t="shared" ca="1" si="8"/>
        <v>0</v>
      </c>
      <c r="AW23" s="29" t="s">
        <v>28</v>
      </c>
      <c r="BB23" s="29" t="str">
        <f ca="1">IF(S11="Folk Hero",P8," ")</f>
        <v xml:space="preserve"> </v>
      </c>
      <c r="BG23" s="29" t="str">
        <f ca="1">IF(S11="Outlander",P8," ")</f>
        <v xml:space="preserve"> </v>
      </c>
      <c r="BM23" s="29">
        <f t="shared" ca="1" si="2"/>
        <v>0</v>
      </c>
      <c r="BN23" s="29">
        <f t="shared" ca="1" si="9"/>
        <v>0</v>
      </c>
      <c r="BO23" s="29" t="str">
        <f t="shared" ca="1" si="3"/>
        <v xml:space="preserve"> </v>
      </c>
      <c r="BP23" s="29" t="str">
        <f t="shared" ca="1" si="4"/>
        <v xml:space="preserve"> </v>
      </c>
      <c r="BQ23" s="29" t="str">
        <f t="shared" ca="1" si="5"/>
        <v xml:space="preserve"> </v>
      </c>
      <c r="BR23" s="29">
        <f t="shared" ca="1" si="6"/>
        <v>0</v>
      </c>
      <c r="BT23" s="29">
        <f ca="1">IF(AND(BY32=1,OR($P$15="nature",$R$15="nature")),$P$8,0)</f>
        <v>0</v>
      </c>
      <c r="BU23" s="29">
        <f t="shared" ca="1" si="10"/>
        <v>0</v>
      </c>
      <c r="BV23" s="29" t="s">
        <v>28</v>
      </c>
      <c r="CB23" s="35">
        <f t="shared" ca="1" si="14"/>
        <v>9</v>
      </c>
      <c r="CC23" s="36">
        <f t="shared" ca="1" si="15"/>
        <v>0.68125635487099134</v>
      </c>
      <c r="CD23" s="29" t="s">
        <v>24</v>
      </c>
    </row>
    <row r="24" spans="2:83" x14ac:dyDescent="0.3">
      <c r="O24" s="33" t="str">
        <f ca="1">IF(AND(O11="warlock",O12&gt;=15,AF26=2,O16="pact of the chain"),"Chains of Carceri",IF(AND(O11="warlock",O12&gt;=15),"Invocation - "&amp;INDEX('Class Tables'!F164:F187,MATCH(7,('Class Tables'!D164:D187),0)),IF(AND(O11="ranger",O12&gt;=18),"Feral Senses",IF(AND(O11="paladin",O12&gt;=11),"Improved Divine Smite",IF(AND(O11="monk",O12&gt;=4),"Slow Fall - "&amp;O12*5&amp;" dmg.",IF(AND($O$11="barbarian",$O$12&gt;=15),"Persistent Rage"," "))))))</f>
        <v xml:space="preserve"> </v>
      </c>
      <c r="P24" s="33" t="str">
        <f ca="1">IF(AND(P15="battle master",O12&gt;=7),INDEX('Class Tables'!K40:K55,MATCH(5,('Class Tables'!I40:I55),0))," ")</f>
        <v xml:space="preserve"> </v>
      </c>
      <c r="Q24" s="33" t="str">
        <f ca="1">IF(AND(Q11="paladin",Q12&gt;=11),"Improved Divine Smite",IF(AND(Q11="monk",Q12&gt;=4),"Slow Fall -"&amp;Q12*5&amp;" dmg."," "))</f>
        <v xml:space="preserve"> </v>
      </c>
      <c r="R24" s="33" t="str">
        <f ca="1">IF(AND(R15="battle master",Q12&gt;=7),INDEX('Class Tables'!K40:K55,MATCH(5,('Class Tables'!I40:I55),0))," ")</f>
        <v xml:space="preserve"> </v>
      </c>
      <c r="S24" s="33" t="str">
        <f ca="1">IF(P15="draconic bloodline","Draconic"," ")</f>
        <v>Draconic</v>
      </c>
      <c r="AE24" s="29" t="s">
        <v>1509</v>
      </c>
      <c r="AF24" s="29">
        <f ca="1">RANDBETWEEN(1,2)</f>
        <v>2</v>
      </c>
      <c r="CB24" s="35">
        <f t="shared" ca="1" si="14"/>
        <v>2</v>
      </c>
      <c r="CC24" s="36">
        <f t="shared" ca="1" si="15"/>
        <v>0.98892500108338677</v>
      </c>
      <c r="CD24" s="29" t="s">
        <v>25</v>
      </c>
    </row>
    <row r="25" spans="2:83" x14ac:dyDescent="0.3">
      <c r="O25" s="33" t="str">
        <f ca="1">IF(AND(O11="warlock",O12&gt;=18),"Invocation - "&amp;INDEX('Class Tables'!F164:F187,MATCH(8,('Class Tables'!D164:D187),0)),IF(AND(O11="ranger",O12&gt;=20),"Foe Slayer",IF(AND(O11="paladin",O12&gt;=14),"Cleansing Touch - "&amp;MAX(1,(P43))&amp;" uses",IF(AND(O11="monk",O12&gt;=5),"Extra Attack",IF(AND($O$11="barbarian",$O$12&gt;=18),"Indomitable Might"," ")))))</f>
        <v xml:space="preserve"> </v>
      </c>
      <c r="P25" s="33" t="str">
        <f ca="1">IF(AND(P15="battle master",O12&gt;=10),INDEX('Class Tables'!K40:K55,MATCH(6,('Class Tables'!I40:I55),0))," ")</f>
        <v xml:space="preserve"> </v>
      </c>
      <c r="Q25" s="33" t="str">
        <f ca="1">IF(AND(Q11="paladin",Q12&gt;=14),"Cleansing Touch - "&amp;MAX(1,(P43))&amp;" uses",IF(AND(Q11="monk",Q12&gt;=5),"Extra Attack"," "))</f>
        <v xml:space="preserve"> </v>
      </c>
      <c r="R25" s="33" t="str">
        <f ca="1">IF(AND(R15="battle master",Q12&gt;=10),INDEX('Class Tables'!K40:K55,MATCH(6,('Class Tables'!I40:I55),0))," ")</f>
        <v xml:space="preserve"> </v>
      </c>
      <c r="S25" s="33" t="str">
        <f ca="1">IF(OR(S11="acolyte",S11="Guild artisan",S11="hermit",S11="noble",S11="knight",S11="outlander",S11="sage"),INDEX('Class Tables'!S177:S220,MATCH(4,('Class Tables'!Q177:Q220),0))," ")</f>
        <v>Wererat</v>
      </c>
      <c r="AE25" s="29" t="s">
        <v>1568</v>
      </c>
      <c r="AF25" s="29">
        <f ca="1">RANDBETWEEN(1,2)</f>
        <v>1</v>
      </c>
      <c r="CB25" s="35">
        <f t="shared" ca="1" si="14"/>
        <v>6</v>
      </c>
      <c r="CC25" s="36">
        <f t="shared" ca="1" si="15"/>
        <v>0.74497723583633291</v>
      </c>
      <c r="CD25" s="29" t="s">
        <v>26</v>
      </c>
      <c r="CE25" s="31"/>
    </row>
    <row r="26" spans="2:83" x14ac:dyDescent="0.3">
      <c r="O26" s="33" t="str">
        <f ca="1">IF(AND(O11="ranger",O12&gt;=6),"Natural Explorer: "&amp;INDEX('Class Tables'!F212:F219,MATCH(2,('Class Tables'!D212:D219),0)),IF(AND(O11="monk",O12&gt;=5),"Stunning Strike",IF(AND($O$11="barbarian",$O$12&gt;=20),"Primal Champion"," ")))</f>
        <v xml:space="preserve"> </v>
      </c>
      <c r="P26" s="33" t="str">
        <f ca="1">IF(AND(P15="battle master",O12&gt;=10),INDEX('Class Tables'!K40:K55,MATCH(7,('Class Tables'!I40:I55),0))," ")</f>
        <v xml:space="preserve"> </v>
      </c>
      <c r="Q26" s="33" t="str">
        <f ca="1">IF(AND(Q11="ranger",Q12&gt;=10),"Natural Explorer: "&amp;INDEX('Class Tables'!F212:F219,MATCH(2,('Class Tables'!D212:D219),0)),IF(AND(Q11="monk",Q12&gt;=5),"Stunning Strike"," "))</f>
        <v xml:space="preserve"> </v>
      </c>
      <c r="R26" s="33" t="str">
        <f ca="1">IF(AND(R15="battle master",Q12&gt;=10),INDEX('Class Tables'!K40:K55,MATCH(7,('Class Tables'!I40:I55),0))," ")</f>
        <v xml:space="preserve"> </v>
      </c>
      <c r="S26" s="33" t="str">
        <f ca="1">IF(OR(S11="acolyte",S11="sage"),INDEX('Class Tables'!S177:S220,MATCH(5,('Class Tables'!Q177:Q220),0))," ")</f>
        <v>Kobold</v>
      </c>
      <c r="AE26" s="29" t="s">
        <v>693</v>
      </c>
      <c r="AF26" s="29">
        <f ca="1">RANDBETWEEN(1,2)</f>
        <v>2</v>
      </c>
      <c r="AJ26" s="29" t="s">
        <v>685</v>
      </c>
      <c r="AK26" s="29" t="s">
        <v>686</v>
      </c>
      <c r="AL26" s="29" t="s">
        <v>687</v>
      </c>
      <c r="AM26" s="29" t="s">
        <v>688</v>
      </c>
      <c r="AN26" s="29" t="s">
        <v>689</v>
      </c>
      <c r="AO26" s="29" t="s">
        <v>694</v>
      </c>
      <c r="AP26" s="29" t="s">
        <v>695</v>
      </c>
      <c r="AQ26" s="29" t="s">
        <v>690</v>
      </c>
      <c r="AR26" s="29" t="s">
        <v>691</v>
      </c>
      <c r="AS26" s="29" t="s">
        <v>692</v>
      </c>
      <c r="AT26" s="29" t="s">
        <v>693</v>
      </c>
      <c r="AU26" s="29" t="s">
        <v>696</v>
      </c>
      <c r="AX26" s="29" t="s">
        <v>1810</v>
      </c>
      <c r="AY26" s="29" t="s">
        <v>1811</v>
      </c>
      <c r="AZ26" s="29" t="s">
        <v>1812</v>
      </c>
      <c r="BA26" s="29" t="s">
        <v>1813</v>
      </c>
      <c r="BB26" s="29" t="s">
        <v>1814</v>
      </c>
      <c r="BC26" s="29" t="s">
        <v>1815</v>
      </c>
      <c r="BD26" s="29" t="s">
        <v>1816</v>
      </c>
      <c r="BE26" s="29" t="s">
        <v>1823</v>
      </c>
      <c r="BF26" s="29" t="s">
        <v>1821</v>
      </c>
      <c r="BG26" s="29" t="s">
        <v>1817</v>
      </c>
      <c r="BH26" s="29" t="s">
        <v>1822</v>
      </c>
      <c r="BI26" s="29" t="s">
        <v>1818</v>
      </c>
      <c r="BJ26" s="29" t="s">
        <v>1720</v>
      </c>
      <c r="BK26" s="29" t="s">
        <v>1819</v>
      </c>
      <c r="BL26" s="29" t="s">
        <v>1820</v>
      </c>
      <c r="BN26" s="29">
        <f t="shared" ref="BN26:BN43" ca="1" si="29">_xlfn.RANK.EQ(BO26,$BO$26:$BO$43)</f>
        <v>3</v>
      </c>
      <c r="BO26" s="29">
        <f ca="1">IF(BP26="Acrobatics",RAND(),0)</f>
        <v>0</v>
      </c>
      <c r="BP26" s="29" t="str">
        <f ca="1">IF(OR(BM6&gt;=1,AV6&gt;=1),AH6," ")</f>
        <v xml:space="preserve"> </v>
      </c>
      <c r="BR26" s="29">
        <f t="shared" ref="BR26:BR43" ca="1" si="30">_xlfn.RANK.EQ(BS26,$BS$26:$BS$43)</f>
        <v>13</v>
      </c>
      <c r="BS26" s="29">
        <f t="shared" ref="BS26:BS43" ca="1" si="31">IF(BO26=0,RAND(),0)</f>
        <v>0.24782803523319674</v>
      </c>
      <c r="BU26" s="29">
        <f ca="1">_xlfn.RANK.EQ(BV26,$BV$26:$BV$29)</f>
        <v>1</v>
      </c>
      <c r="BV26" s="29">
        <f ca="1">IF(BW26="Arcana",RAND(),0)</f>
        <v>0.88918928191138302</v>
      </c>
      <c r="BW26" s="29" t="str">
        <f ca="1">IF(OR($AV$8&gt;=1,$BR$8&gt;=1,BM8&gt;=1),"Arcana"," ")</f>
        <v>Arcana</v>
      </c>
      <c r="BY26" s="29">
        <f ca="1">_xlfn.RANK.EQ(BZ26,$BZ$26:$BZ$29)</f>
        <v>3</v>
      </c>
      <c r="BZ26" s="29">
        <f t="shared" ref="BZ26:BZ32" ca="1" si="32">IF(BV26=0,RAND(),0)</f>
        <v>0</v>
      </c>
      <c r="CB26" s="35">
        <f t="shared" ca="1" si="14"/>
        <v>7</v>
      </c>
      <c r="CC26" s="36">
        <f t="shared" ca="1" si="15"/>
        <v>0.73563972050168525</v>
      </c>
      <c r="CD26" s="29" t="s">
        <v>27</v>
      </c>
    </row>
    <row r="27" spans="2:83" x14ac:dyDescent="0.3">
      <c r="O27" s="33" t="str">
        <f ca="1">IF(AND(O11="ranger",O12&gt;=10),"Natural Explorer: "&amp;INDEX('Class Tables'!F212:F219,MATCH(3,('Class Tables'!D212:D219),0)),IF(AND(O11="monk",O12&gt;=6),"Ki-Empowered Strikes"," "))</f>
        <v xml:space="preserve"> </v>
      </c>
      <c r="P27" s="33" t="str">
        <f ca="1">IF(AND(P15="battle master",O12&gt;=15),INDEX('Class Tables'!K40:K55,MATCH(8,('Class Tables'!I40:I55),0))," ")</f>
        <v xml:space="preserve"> </v>
      </c>
      <c r="Q27" s="33" t="str">
        <f ca="1">IF(AND(Q11="ranger",Q12&gt;=10),"Natural Explorer: "&amp;INDEX('Class Tables'!F212:F219,MATCH(3,('Class Tables'!D212:D219),0)),IF(AND(Q11="monk",Q12&gt;=6),"Ki-Empowered Strikes"," "))</f>
        <v xml:space="preserve"> </v>
      </c>
      <c r="AI27" s="29">
        <v>1</v>
      </c>
      <c r="AJ27" s="29" t="str">
        <f ca="1">IF(O11="barbarian",INDEX(#REF!,MATCH($AI$27,(#REF!),0))," ")</f>
        <v xml:space="preserve"> </v>
      </c>
      <c r="AK27" s="29" t="str">
        <f ca="1">IF(OR(O11="bard",Q11="bard"),INDEX(#REF!,MATCH($AI$27,(#REF!),0))," ")</f>
        <v xml:space="preserve"> </v>
      </c>
      <c r="AL27" s="29" t="str">
        <f ca="1">IF(O11="cleric",INDEX(#REF!,MATCH(AI27,(#REF!),0))," ")</f>
        <v xml:space="preserve"> </v>
      </c>
      <c r="AM27" s="29" t="str">
        <f ca="1">IF(O11="Druid",INDEX(#REF!,MATCH(AI27,(#REF!),0))," ")</f>
        <v xml:space="preserve"> </v>
      </c>
      <c r="AN27" s="29" t="str">
        <f ca="1">IF(O11="fighter",INDEX(#REF!,MATCH(AI27,(#REF!),0))," ")</f>
        <v xml:space="preserve"> </v>
      </c>
      <c r="AO27" s="29" t="str">
        <f ca="1">IF(O11="monk",INDEX(#REF!,MATCH(AI27,(#REF!),0))," ")</f>
        <v xml:space="preserve"> </v>
      </c>
      <c r="AP27" s="29" t="str">
        <f ca="1">IF(O11="Paladin",INDEX(#REF!,MATCH(AI27,(#REF!),0))," ")</f>
        <v xml:space="preserve"> </v>
      </c>
      <c r="AQ27" s="29" t="str">
        <f ca="1">IF(OR(O11="ranger",Q11="ranger"),INDEX(#REF!,MATCH(AI27,(#REF!),0))," ")</f>
        <v xml:space="preserve"> </v>
      </c>
      <c r="AR27" s="29" t="str">
        <f ca="1">IF(OR(O11="rogue",Q11="rogue"),INDEX(#REF!,MATCH(AI27,(#REF!),0))," ")</f>
        <v xml:space="preserve"> </v>
      </c>
      <c r="AS27" s="29" t="e">
        <f ca="1">IF(O11="sorcerer",INDEX(#REF!,MATCH(AI27,(#REF!),0))," ")</f>
        <v>#REF!</v>
      </c>
      <c r="AT27" s="29" t="str">
        <f ca="1">IF(O11="Warlock",INDEX(#REF!,MATCH(AI27,(#REF!),0))," ")</f>
        <v xml:space="preserve"> </v>
      </c>
      <c r="AU27" s="29" t="str">
        <f ca="1">IF(O11="wizard",INDEX(#REF!,MATCH(AI27,(#REF!),0))," ")</f>
        <v xml:space="preserve"> </v>
      </c>
      <c r="AX27" s="29" t="s">
        <v>17</v>
      </c>
      <c r="AY27" s="29" t="s">
        <v>15</v>
      </c>
      <c r="AZ27" s="29" t="s">
        <v>15</v>
      </c>
      <c r="BA27" s="29" t="s">
        <v>12</v>
      </c>
      <c r="BB27" s="29" t="s">
        <v>29</v>
      </c>
      <c r="BC27" s="29" t="s">
        <v>17</v>
      </c>
      <c r="BD27" s="29" t="s">
        <v>20</v>
      </c>
      <c r="BE27" s="29" t="s">
        <v>1824</v>
      </c>
      <c r="BF27" s="29" t="s">
        <v>16</v>
      </c>
      <c r="BG27" s="29" t="s">
        <v>14</v>
      </c>
      <c r="BH27" s="29" t="s">
        <v>14</v>
      </c>
      <c r="BI27" s="29" t="s">
        <v>13</v>
      </c>
      <c r="BJ27" s="29" t="s">
        <v>14</v>
      </c>
      <c r="BK27" s="29" t="s">
        <v>14</v>
      </c>
      <c r="BL27" s="29" t="s">
        <v>26</v>
      </c>
      <c r="BN27" s="29">
        <f t="shared" ca="1" si="29"/>
        <v>3</v>
      </c>
      <c r="BO27" s="29">
        <f ca="1">IF(BP27="Animal Handling",RAND(),0)</f>
        <v>0</v>
      </c>
      <c r="BP27" s="29" t="str">
        <f t="shared" ref="BP27:BP43" ca="1" si="33">IF(OR(BM7&gt;=1,AV7&gt;=1),AH7," ")</f>
        <v xml:space="preserve"> </v>
      </c>
      <c r="BR27" s="29">
        <f t="shared" ca="1" si="30"/>
        <v>8</v>
      </c>
      <c r="BS27" s="29">
        <f t="shared" ca="1" si="31"/>
        <v>0.46754636120962245</v>
      </c>
      <c r="BU27" s="29">
        <f ca="1">_xlfn.RANK.EQ(BV27,$BV$26:$BV$29)</f>
        <v>2</v>
      </c>
      <c r="BV27" s="29">
        <f ca="1">IF(BW27="History",RAND(),0)</f>
        <v>0.25936779869519277</v>
      </c>
      <c r="BW27" s="29" t="str">
        <f ca="1">IF(OR($AV$11&gt;=1,$BR$11&gt;=1,BM11&gt;=1),"History"," ")</f>
        <v>History</v>
      </c>
      <c r="BY27" s="29">
        <f ca="1">_xlfn.RANK.EQ(BZ27,$BZ$26:$BZ$29)</f>
        <v>3</v>
      </c>
      <c r="BZ27" s="29">
        <f t="shared" ca="1" si="32"/>
        <v>0</v>
      </c>
      <c r="CB27" s="35">
        <f t="shared" ca="1" si="14"/>
        <v>15</v>
      </c>
      <c r="CC27" s="36">
        <f t="shared" ca="1" si="15"/>
        <v>0.11573304198062839</v>
      </c>
      <c r="CD27" s="29" t="s">
        <v>28</v>
      </c>
    </row>
    <row r="28" spans="2:83" x14ac:dyDescent="0.3">
      <c r="O28" s="33" t="str">
        <f ca="1">IF(AND(O11="monk",O12&gt;=7),"Evasion"," ")</f>
        <v xml:space="preserve"> </v>
      </c>
      <c r="P28" s="33" t="str">
        <f ca="1">IF(AND(P15="battle master",O12&gt;=15),INDEX('Class Tables'!K40:K55,MATCH(9,('Class Tables'!I40:I55),0))," ")</f>
        <v xml:space="preserve"> </v>
      </c>
      <c r="Q28" s="33" t="str">
        <f ca="1">IF(AND(Q11="monk",Q12&gt;=7),"Evasion"," ")</f>
        <v xml:space="preserve"> </v>
      </c>
      <c r="AE28" s="29" t="s">
        <v>1804</v>
      </c>
      <c r="AI28" s="29">
        <v>2</v>
      </c>
      <c r="AJ28" s="29" t="str">
        <f ca="1">IF(O11="barbarian",INDEX(#REF!,MATCH($AI$28,(#REF!),0))," ")</f>
        <v xml:space="preserve"> </v>
      </c>
      <c r="AK28" s="29" t="str">
        <f ca="1">IF(O11="bard",INDEX(#REF!,MATCH(AI28,(#REF!),0))," ")</f>
        <v xml:space="preserve"> </v>
      </c>
      <c r="AL28" s="29" t="str">
        <f ca="1">IF(O11="cleric",INDEX(#REF!,MATCH(AI28,(#REF!),0))," ")</f>
        <v xml:space="preserve"> </v>
      </c>
      <c r="AM28" s="29" t="str">
        <f ca="1">IF(O11="druid",INDEX(#REF!,MATCH(AI28,(#REF!),0))," ")</f>
        <v xml:space="preserve"> </v>
      </c>
      <c r="AN28" s="29" t="str">
        <f ca="1">IF(O11="fighter",INDEX(#REF!,MATCH(AI28,(#REF!),0))," ")</f>
        <v xml:space="preserve"> </v>
      </c>
      <c r="AO28" s="29" t="str">
        <f ca="1">IF(O11="monk",INDEX(#REF!,MATCH(AI28,(#REF!),0))," ")</f>
        <v xml:space="preserve"> </v>
      </c>
      <c r="AP28" s="29" t="str">
        <f ca="1">IF(O11="paladin",INDEX(#REF!,MATCH(AI28,(#REF!),0))," ")</f>
        <v xml:space="preserve"> </v>
      </c>
      <c r="AQ28" s="29" t="str">
        <f ca="1">IF(O11="ranger",INDEX(#REF!,MATCH(AI28,(#REF!),0))," ")</f>
        <v xml:space="preserve"> </v>
      </c>
      <c r="AR28" s="29" t="str">
        <f ca="1">IF(O11="rogue",INDEX(#REF!,MATCH(AI28,(#REF!),0))," ")</f>
        <v xml:space="preserve"> </v>
      </c>
      <c r="AS28" s="29" t="e">
        <f ca="1">IF(O11="sorcerer",INDEX(#REF!,MATCH(AI28,(#REF!),0))," ")</f>
        <v>#REF!</v>
      </c>
      <c r="AT28" s="29" t="str">
        <f ca="1">IF(O11="warlock",INDEX(#REF!,MATCH(AI28,(#REF!),0))," ")</f>
        <v xml:space="preserve"> </v>
      </c>
      <c r="AU28" s="29" t="str">
        <f ca="1">IF(O11="wizard",INDEX(#REF!,MATCH(AI28,(#REF!),0))," ")</f>
        <v xml:space="preserve"> </v>
      </c>
      <c r="AX28" s="29" t="s">
        <v>25</v>
      </c>
      <c r="AY28" s="29" t="s">
        <v>26</v>
      </c>
      <c r="AZ28" s="29" t="s">
        <v>27</v>
      </c>
      <c r="BA28" s="29" t="s">
        <v>23</v>
      </c>
      <c r="BB28" s="29" t="s">
        <v>28</v>
      </c>
      <c r="BC28" s="29" t="s">
        <v>24</v>
      </c>
      <c r="BD28" s="29" t="s">
        <v>25</v>
      </c>
      <c r="BE28" s="29" t="s">
        <v>24</v>
      </c>
      <c r="BF28" s="29" t="s">
        <v>24</v>
      </c>
      <c r="BG28" s="29" t="s">
        <v>28</v>
      </c>
      <c r="BH28" s="29" t="s">
        <v>22</v>
      </c>
      <c r="BI28" s="29" t="s">
        <v>16</v>
      </c>
      <c r="BJ28" s="29" t="s">
        <v>22</v>
      </c>
      <c r="BK28" s="29" t="s">
        <v>18</v>
      </c>
      <c r="BL28" s="29" t="s">
        <v>27</v>
      </c>
      <c r="BN28" s="29">
        <f t="shared" ca="1" si="29"/>
        <v>2</v>
      </c>
      <c r="BO28" s="29">
        <f ca="1">IF(BP28="Arcana",RAND(),0)</f>
        <v>0.6039141922702943</v>
      </c>
      <c r="BP28" s="29" t="str">
        <f t="shared" ca="1" si="33"/>
        <v>Arcana</v>
      </c>
      <c r="BR28" s="29">
        <f t="shared" ca="1" si="30"/>
        <v>17</v>
      </c>
      <c r="BS28" s="29">
        <f t="shared" ca="1" si="31"/>
        <v>0</v>
      </c>
      <c r="BU28" s="29">
        <f ca="1">_xlfn.RANK.EQ(BV28,$BV$26:$BV$29)</f>
        <v>3</v>
      </c>
      <c r="BV28" s="29">
        <f ca="1">IF(BW28="Nature",RAND(),0)</f>
        <v>0</v>
      </c>
      <c r="BW28" s="29" t="str">
        <f ca="1">IF(OR($AV$16&gt;=1,$BR$16&gt;=1,BM16&gt;=1),"Nature"," ")</f>
        <v xml:space="preserve"> </v>
      </c>
      <c r="BY28" s="29">
        <f ca="1">_xlfn.RANK.EQ(BZ28,$BZ$26:$BZ$29)</f>
        <v>1</v>
      </c>
      <c r="BZ28" s="29">
        <f t="shared" ca="1" si="32"/>
        <v>0.98325902712670177</v>
      </c>
    </row>
    <row r="29" spans="2:83" x14ac:dyDescent="0.3">
      <c r="O29" s="33" t="str">
        <f ca="1">IF(AND(O11="monk",O12&gt;=7),"Stillness of Mind"," ")</f>
        <v xml:space="preserve"> </v>
      </c>
      <c r="Q29" s="33" t="str">
        <f ca="1">IF(AND(Q11="monk",Q12&gt;=7),"Stillness of Mind"," ")</f>
        <v xml:space="preserve"> </v>
      </c>
      <c r="AE29" s="29">
        <f ca="1">RANDBETWEEN(2,8)</f>
        <v>8</v>
      </c>
      <c r="BN29" s="29">
        <f t="shared" ca="1" si="29"/>
        <v>3</v>
      </c>
      <c r="BO29" s="29">
        <f ca="1">IF(BP29="Athletics",RAND(),0)</f>
        <v>0</v>
      </c>
      <c r="BP29" s="29" t="str">
        <f t="shared" ca="1" si="33"/>
        <v xml:space="preserve"> </v>
      </c>
      <c r="BR29" s="29">
        <f t="shared" ca="1" si="30"/>
        <v>16</v>
      </c>
      <c r="BS29" s="29">
        <f t="shared" ca="1" si="31"/>
        <v>1.5267519340508295E-2</v>
      </c>
      <c r="BU29" s="29">
        <f ca="1">_xlfn.RANK.EQ(BV29,$BV$26:$BV$29)</f>
        <v>3</v>
      </c>
      <c r="BV29" s="29">
        <f ca="1">IF(BW29="Religion",RAND(),0)</f>
        <v>0</v>
      </c>
      <c r="BW29" s="29" t="str">
        <f ca="1">IF(AND($AV$20&gt;=1,$BR$20&gt;=1,BM20&gt;=1),"Religion"," ")</f>
        <v xml:space="preserve"> </v>
      </c>
      <c r="BY29" s="29">
        <f ca="1">_xlfn.RANK.EQ(BZ29,$BZ$26:$BZ$29)</f>
        <v>2</v>
      </c>
      <c r="BZ29" s="29">
        <f t="shared" ca="1" si="32"/>
        <v>0.77177602926226141</v>
      </c>
      <c r="CB29" s="31" t="s">
        <v>729</v>
      </c>
      <c r="CC29" s="36"/>
    </row>
    <row r="30" spans="2:83" x14ac:dyDescent="0.3">
      <c r="O30" s="33" t="str">
        <f ca="1">IF(AND(O11="monk",O12&gt;=10),"Purity of Body"," ")</f>
        <v xml:space="preserve"> </v>
      </c>
      <c r="Q30" s="33" t="str">
        <f ca="1">IF(AND(Q11="monk",Q12&gt;=10),"Purity of Body"," ")</f>
        <v xml:space="preserve"> </v>
      </c>
      <c r="AE30" s="29">
        <f ca="1">RANDBETWEEN(2,12)</f>
        <v>7</v>
      </c>
      <c r="AI30" s="29">
        <v>3</v>
      </c>
      <c r="AK30" s="29" t="str">
        <f ca="1">IF(O11="bard",INDEX(#REF!,MATCH(AI30,(#REF!),0))," ")</f>
        <v xml:space="preserve"> </v>
      </c>
      <c r="AP30" s="29" t="str">
        <f ca="1">IF($AG$30="druid",VLOOKUP(RANDBETWEEN(1,8),Table51350464806863920336393783[],2)," ")</f>
        <v xml:space="preserve"> </v>
      </c>
      <c r="AQ30" s="29" t="str">
        <f ca="1">IF(O11="ranger",INDEX(#REF!,MATCH(AI30,(#REF!),0))," ")</f>
        <v xml:space="preserve"> </v>
      </c>
      <c r="AR30" s="29" t="str">
        <f ca="1">IF(O11="rogue",INDEX(#REF!,MATCH(AI30,(#REF!),0))," ")</f>
        <v xml:space="preserve"> </v>
      </c>
      <c r="AT30" s="29" t="str">
        <f ca="1">IF(OR(COUNTIF(O18:O25,"*"&amp;"beguiling influence"&amp;"*"),COUNTIF(O13:O13,"*"&amp;"beguiling influence"&amp;"*")),"Deception"," ")</f>
        <v xml:space="preserve"> </v>
      </c>
      <c r="BN30" s="29">
        <f t="shared" ca="1" si="29"/>
        <v>3</v>
      </c>
      <c r="BO30" s="29">
        <f ca="1">IF(BP30="Deception",RAND(),0)</f>
        <v>0</v>
      </c>
      <c r="BP30" s="29" t="str">
        <f t="shared" ca="1" si="33"/>
        <v xml:space="preserve"> </v>
      </c>
      <c r="BR30" s="29">
        <f t="shared" ca="1" si="30"/>
        <v>2</v>
      </c>
      <c r="BS30" s="29">
        <f t="shared" ca="1" si="31"/>
        <v>0.9124359006902425</v>
      </c>
      <c r="BU30" s="29">
        <f ca="1">_xlfn.RANK.EQ(BV30,$BV$30:$BV$32)</f>
        <v>1</v>
      </c>
      <c r="BV30" s="29">
        <f ca="1">IF(BW30="Animal Handling",RAND(),0)</f>
        <v>0</v>
      </c>
      <c r="BW30" s="29" t="str">
        <f ca="1">IF(OR($AV$7&gt;=1,$BR$7&gt;=1,BM7&gt;=1),"Animal Handling"," ")</f>
        <v xml:space="preserve"> </v>
      </c>
      <c r="BY30" s="29">
        <f ca="1">_xlfn.RANK.EQ(BZ30,$BZ$30:$BZ$32)</f>
        <v>1</v>
      </c>
      <c r="BZ30" s="29">
        <f t="shared" ca="1" si="32"/>
        <v>0.96019883257372818</v>
      </c>
      <c r="CB30" s="35">
        <f ca="1">_xlfn.RANK.EQ(CC30,$CC$30:$CC$34)</f>
        <v>5</v>
      </c>
      <c r="CC30" s="36">
        <f ca="1">IF(BM11&gt;0,0,RAND())</f>
        <v>0</v>
      </c>
      <c r="CD30" s="29" t="s">
        <v>16</v>
      </c>
    </row>
    <row r="31" spans="2:83" x14ac:dyDescent="0.3">
      <c r="O31" s="33" t="str">
        <f ca="1">IF(AND(O11="monk",O12&gt;=13),"Tongue of the Sun and Moon"," ")</f>
        <v xml:space="preserve"> </v>
      </c>
      <c r="AE31" s="29">
        <f ca="1">RANDBETWEEN(2,16)</f>
        <v>8</v>
      </c>
      <c r="AI31" s="29">
        <v>4</v>
      </c>
      <c r="AK31" s="29" t="str">
        <f ca="1">IF(P15="college of lore",INDEX(#REF!,MATCH(AI31,(#REF!),0))," ")</f>
        <v xml:space="preserve"> </v>
      </c>
      <c r="AR31" s="29" t="str">
        <f ca="1">IF(O11="rogue",INDEX(#REF!,MATCH(AI31,(#REF!),0))," ")</f>
        <v xml:space="preserve"> </v>
      </c>
      <c r="AT31" s="29" t="str">
        <f ca="1">IF(OR(COUNTIF(O18:O25,"*"&amp;"beguiling influence"&amp;"*"),COUNTIF(O13:O13,"*"&amp;"beguiling influence"&amp;"*")),"Persuasion"," ")</f>
        <v xml:space="preserve"> </v>
      </c>
      <c r="BN31" s="29">
        <f t="shared" ca="1" si="29"/>
        <v>1</v>
      </c>
      <c r="BO31" s="29">
        <f ca="1">IF(BP31="History",RAND(),0)</f>
        <v>0.97824096411914152</v>
      </c>
      <c r="BP31" s="29" t="str">
        <f t="shared" ca="1" si="33"/>
        <v>History</v>
      </c>
      <c r="BR31" s="29">
        <f t="shared" ca="1" si="30"/>
        <v>17</v>
      </c>
      <c r="BS31" s="29">
        <f t="shared" ca="1" si="31"/>
        <v>0</v>
      </c>
      <c r="BU31" s="29">
        <f ca="1">_xlfn.RANK.EQ(BV31,$BV$30:$BV$32)</f>
        <v>1</v>
      </c>
      <c r="BV31" s="29">
        <f ca="1">IF(BW31="Nature",RAND(),0)</f>
        <v>0</v>
      </c>
      <c r="BW31" s="29" t="str">
        <f ca="1">IF(OR($AV$16&gt;=1,$BR$16&gt;=1,BM16&gt;=1),"Nature"," ")</f>
        <v xml:space="preserve"> </v>
      </c>
      <c r="BY31" s="29">
        <f ca="1">_xlfn.RANK.EQ(BZ31,$BZ$30:$BZ$32)</f>
        <v>3</v>
      </c>
      <c r="BZ31" s="29">
        <f t="shared" ca="1" si="32"/>
        <v>0.34011377753734273</v>
      </c>
      <c r="CB31" s="35">
        <f ca="1">_xlfn.RANK.EQ(CC31,$CC$30:$CC$34)</f>
        <v>1</v>
      </c>
      <c r="CC31" s="36">
        <f ca="1">IF(BM12&gt;0,0,RAND())</f>
        <v>0.89730179960247092</v>
      </c>
      <c r="CD31" s="29" t="s">
        <v>17</v>
      </c>
      <c r="CE31" s="31"/>
    </row>
    <row r="32" spans="2:83" x14ac:dyDescent="0.3">
      <c r="O32" s="33" t="str">
        <f ca="1">IF(AND(O11="monk",O12&gt;=14),"Diamond Soul"," ")</f>
        <v xml:space="preserve"> </v>
      </c>
      <c r="AE32" s="29">
        <f ca="1">RANDBETWEEN(2,20)</f>
        <v>5</v>
      </c>
      <c r="AI32" s="29">
        <v>5</v>
      </c>
      <c r="AK32" s="29" t="str">
        <f ca="1">IF(P15="college of lore",INDEX(#REF!,MATCH(AI32,(#REF!),0))," ")</f>
        <v xml:space="preserve"> </v>
      </c>
      <c r="BN32" s="29">
        <f t="shared" ca="1" si="29"/>
        <v>3</v>
      </c>
      <c r="BO32" s="29">
        <f ca="1">IF(BP32="Insight",RAND(),0)</f>
        <v>0</v>
      </c>
      <c r="BP32" s="29" t="str">
        <f t="shared" ca="1" si="33"/>
        <v xml:space="preserve"> </v>
      </c>
      <c r="BR32" s="29">
        <f t="shared" ca="1" si="30"/>
        <v>3</v>
      </c>
      <c r="BS32" s="29">
        <f t="shared" ca="1" si="31"/>
        <v>0.82603237997594814</v>
      </c>
      <c r="BU32" s="29">
        <f ca="1">_xlfn.RANK.EQ(BV32,$BV$30:$BV$32)</f>
        <v>1</v>
      </c>
      <c r="BV32" s="29">
        <f ca="1">IF(BW32="Survival",RAND(),0)</f>
        <v>0</v>
      </c>
      <c r="BW32" s="29" t="str">
        <f ca="1">IF(OR($AV$23&gt;=1,$BR$23&gt;=1,BM23&gt;=1),"Survival"," ")</f>
        <v xml:space="preserve"> </v>
      </c>
      <c r="BY32" s="29">
        <f ca="1">_xlfn.RANK.EQ(BZ32,$BZ$30:$BZ$32)</f>
        <v>2</v>
      </c>
      <c r="BZ32" s="29">
        <f t="shared" ca="1" si="32"/>
        <v>0.52759450749906256</v>
      </c>
      <c r="CB32" s="35">
        <f ca="1">_xlfn.RANK.EQ(CC32,$CC$30:$CC$34)</f>
        <v>2</v>
      </c>
      <c r="CC32" s="36">
        <f ca="1">IF(BM15&gt;0,0,RAND())</f>
        <v>0.65006907868977848</v>
      </c>
      <c r="CD32" s="29" t="s">
        <v>20</v>
      </c>
    </row>
    <row r="33" spans="1:83" x14ac:dyDescent="0.3">
      <c r="O33" s="33" t="str">
        <f ca="1">IF(AND(O11="monk",O12&gt;=15),"Timeless Body"," ")</f>
        <v xml:space="preserve"> </v>
      </c>
      <c r="AI33" s="29">
        <v>6</v>
      </c>
      <c r="AK33" s="29" t="str">
        <f ca="1">IF(P15="college of lore",INDEX(#REF!,MATCH(AI33,(#REF!),0))," ")</f>
        <v xml:space="preserve"> </v>
      </c>
      <c r="BN33" s="29">
        <f t="shared" ca="1" si="29"/>
        <v>3</v>
      </c>
      <c r="BO33" s="29">
        <f ca="1">IF(BP33="Intimidation",RAND(),0)</f>
        <v>0</v>
      </c>
      <c r="BP33" s="29" t="str">
        <f t="shared" ca="1" si="33"/>
        <v xml:space="preserve"> </v>
      </c>
      <c r="BR33" s="29">
        <f t="shared" ca="1" si="30"/>
        <v>11</v>
      </c>
      <c r="BS33" s="29">
        <f t="shared" ca="1" si="31"/>
        <v>0.36118973785726671</v>
      </c>
      <c r="CB33" s="35">
        <f ca="1">_xlfn.RANK.EQ(CC33,$CC$30:$CC$34)</f>
        <v>3</v>
      </c>
      <c r="CC33" s="36">
        <f ca="1">IF(BM19&gt;0,0,RAND())</f>
        <v>0.63935367158155665</v>
      </c>
      <c r="CD33" s="29" t="s">
        <v>24</v>
      </c>
    </row>
    <row r="34" spans="1:83" x14ac:dyDescent="0.3">
      <c r="O34" s="33" t="str">
        <f ca="1">IF(AND(O11="Monk",O12&gt;=18),"Empty Body"," ")</f>
        <v xml:space="preserve"> </v>
      </c>
      <c r="BN34" s="29">
        <f t="shared" ca="1" si="29"/>
        <v>3</v>
      </c>
      <c r="BO34" s="29">
        <f ca="1">IF(BP34="Investigation",RAND(),0)</f>
        <v>0</v>
      </c>
      <c r="BP34" s="29" t="str">
        <f t="shared" ca="1" si="33"/>
        <v xml:space="preserve"> </v>
      </c>
      <c r="BR34" s="29">
        <f t="shared" ca="1" si="30"/>
        <v>9</v>
      </c>
      <c r="BS34" s="29">
        <f t="shared" ca="1" si="31"/>
        <v>0.42051298452230246</v>
      </c>
      <c r="CB34" s="35">
        <f ca="1">_xlfn.RANK.EQ(CC34,$CC$30:$CC$34)</f>
        <v>4</v>
      </c>
      <c r="CC34" s="36">
        <f ca="1">IF(BM20&gt;0,0,RAND())</f>
        <v>0.36837009073298599</v>
      </c>
      <c r="CD34" s="29" t="s">
        <v>25</v>
      </c>
    </row>
    <row r="35" spans="1:83" x14ac:dyDescent="0.3">
      <c r="O35" s="33" t="str">
        <f ca="1">IF(AND(O11="monk",O12&gt;=20),"Perfect Body"," ")</f>
        <v xml:space="preserve"> </v>
      </c>
      <c r="AE35" s="29" t="s">
        <v>2255</v>
      </c>
      <c r="AF35" s="29">
        <f ca="1">RANDBETWEEN(1,3)</f>
        <v>2</v>
      </c>
      <c r="BN35" s="29">
        <f t="shared" ca="1" si="29"/>
        <v>3</v>
      </c>
      <c r="BO35" s="29">
        <f ca="1">IF(BP35="Medicine",RAND(),0)</f>
        <v>0</v>
      </c>
      <c r="BP35" s="29" t="str">
        <f t="shared" ca="1" si="33"/>
        <v xml:space="preserve"> </v>
      </c>
      <c r="BR35" s="29">
        <f t="shared" ca="1" si="30"/>
        <v>15</v>
      </c>
      <c r="BS35" s="29">
        <f t="shared" ca="1" si="31"/>
        <v>2.034438224337709E-2</v>
      </c>
    </row>
    <row r="36" spans="1:83" ht="19.5" thickBot="1" x14ac:dyDescent="0.35">
      <c r="A36" s="33"/>
      <c r="B36" s="38"/>
      <c r="C36" s="38"/>
      <c r="D36" s="38"/>
      <c r="E36" s="38"/>
      <c r="F36" s="38"/>
      <c r="G36" s="38"/>
      <c r="H36" s="38"/>
      <c r="I36" s="38"/>
      <c r="J36" s="38"/>
      <c r="K36" s="38"/>
      <c r="L36" s="38"/>
      <c r="M36" s="38"/>
      <c r="N36" s="38"/>
      <c r="O36" s="38"/>
      <c r="P36" s="38"/>
      <c r="AE36" s="29" t="s">
        <v>2256</v>
      </c>
      <c r="AF36" s="29">
        <f ca="1">RANDBETWEEN(1,2)</f>
        <v>1</v>
      </c>
      <c r="BN36" s="29">
        <f t="shared" ca="1" si="29"/>
        <v>3</v>
      </c>
      <c r="BO36" s="29">
        <f ca="1">IF(BP36="Nature",RAND(),0)</f>
        <v>0</v>
      </c>
      <c r="BP36" s="29" t="str">
        <f t="shared" ca="1" si="33"/>
        <v xml:space="preserve"> </v>
      </c>
      <c r="BR36" s="29">
        <f t="shared" ca="1" si="30"/>
        <v>12</v>
      </c>
      <c r="BS36" s="29">
        <f t="shared" ca="1" si="31"/>
        <v>0.28106898047612927</v>
      </c>
      <c r="CB36" s="31" t="s">
        <v>730</v>
      </c>
      <c r="CE36" s="31"/>
    </row>
    <row r="37" spans="1:83" ht="30.75" thickBot="1" x14ac:dyDescent="0.45">
      <c r="A37" s="137"/>
      <c r="B37" s="122" t="s">
        <v>10</v>
      </c>
      <c r="C37" s="53" t="s">
        <v>710</v>
      </c>
      <c r="D37" s="53" t="s">
        <v>676</v>
      </c>
      <c r="E37" s="53" t="s">
        <v>677</v>
      </c>
      <c r="F37" s="53" t="s">
        <v>678</v>
      </c>
      <c r="G37" s="53" t="s">
        <v>679</v>
      </c>
      <c r="H37" s="53" t="s">
        <v>680</v>
      </c>
      <c r="I37" s="53" t="s">
        <v>675</v>
      </c>
      <c r="J37" s="53"/>
      <c r="K37" s="53"/>
      <c r="L37" s="53"/>
      <c r="M37" s="53"/>
      <c r="N37" s="53"/>
      <c r="O37" s="53" t="s">
        <v>8</v>
      </c>
      <c r="P37" s="116" t="s">
        <v>9</v>
      </c>
      <c r="BN37" s="29">
        <f t="shared" ca="1" si="29"/>
        <v>3</v>
      </c>
      <c r="BO37" s="29">
        <f ca="1">IF(BP37="Perception",RAND(),0)</f>
        <v>0</v>
      </c>
      <c r="BP37" s="29" t="str">
        <f t="shared" ca="1" si="33"/>
        <v xml:space="preserve"> </v>
      </c>
      <c r="BR37" s="29">
        <f t="shared" ca="1" si="30"/>
        <v>6</v>
      </c>
      <c r="BS37" s="29">
        <f t="shared" ca="1" si="31"/>
        <v>0.59572619178395625</v>
      </c>
      <c r="CB37" s="35">
        <f t="shared" ref="CB37:CB44" ca="1" si="34">_xlfn.RANK.EQ(CC37,$CC$37:$CC$44)</f>
        <v>8</v>
      </c>
      <c r="CC37" s="36">
        <f ca="1">IF(BM8&gt;0,0,RAND())</f>
        <v>0</v>
      </c>
      <c r="CD37" s="29" t="s">
        <v>13</v>
      </c>
    </row>
    <row r="38" spans="1:83" ht="19.5" thickTop="1" x14ac:dyDescent="0.3">
      <c r="A38" s="137"/>
      <c r="B38" s="33" t="s">
        <v>1</v>
      </c>
      <c r="C38" s="33" t="str">
        <f ca="1">IF(O26="Primal Champion",4," ")</f>
        <v xml:space="preserve"> </v>
      </c>
      <c r="D38" s="33" t="str">
        <f ca="1">IF(AND($AF$2="strength",$AF$3="strength"),2,IF(OR($AF$2="strength",$AF$3="strength"),1," "))</f>
        <v xml:space="preserve"> </v>
      </c>
      <c r="E38" s="33" t="str">
        <f ca="1">IF(AND($AF$4="strength",$AF$5="strength"),2,IF(OR($AF$4="strength",$AF$5="strength"),1," "))</f>
        <v xml:space="preserve"> </v>
      </c>
      <c r="F38" s="33" t="str">
        <f ca="1">IF(AND($AF$6="strength",$AF$7="strength"),2,IF(OR($AF$6="strength",$AF$7="strength"),1," "))</f>
        <v xml:space="preserve"> </v>
      </c>
      <c r="G38" s="33" t="str">
        <f ca="1">IF(AND($AF$8="strength",$AF$9="strength"),2,IF(OR($AF$8="strength",$AF$9="strength"),1," "))</f>
        <v xml:space="preserve"> </v>
      </c>
      <c r="H38" s="33" t="str">
        <f ca="1">IF(AND($AF$10="strength",$AF$11="strength"),2,IF(OR($AF$10="strength",$AF$11="strength"),1," "))</f>
        <v xml:space="preserve"> </v>
      </c>
      <c r="I38" s="33">
        <f ca="1">IF(OR(Q2="dragonborn",P2="mountain",Q2="Half-orc"),SUM(J38:M38)-SMALL(J38:M38,1)+2,IF(Q2="human",(SUM(J38:M38)-SMALL(J38:M38,1)+1),(SUM(J38:M38)-SMALL(J38:M38,1))))</f>
        <v>13</v>
      </c>
      <c r="J38" s="33">
        <f t="shared" ref="J38:M43" ca="1" si="35">RANDBETWEEN(1,6)</f>
        <v>4</v>
      </c>
      <c r="K38" s="33">
        <f t="shared" ca="1" si="35"/>
        <v>5</v>
      </c>
      <c r="L38" s="33">
        <f t="shared" ca="1" si="35"/>
        <v>1</v>
      </c>
      <c r="M38" s="33">
        <f t="shared" ca="1" si="35"/>
        <v>4</v>
      </c>
      <c r="N38" s="33"/>
      <c r="O38" s="33">
        <f ca="1">IF(OR(O11="barbarian",O11="fighter",O11="paladin"),MAX(13,(SUM(C38:I38))),IF(OR(Q11="barbarian",Q11="fighter",Q11="paladin"),MAX(13,(SUM(C38:I38))),SUM(C38:I38)))</f>
        <v>13</v>
      </c>
      <c r="P38" s="117">
        <f ca="1">VLOOKUP(O38,Table1[],2)</f>
        <v>1</v>
      </c>
      <c r="BN38" s="29">
        <f t="shared" ca="1" si="29"/>
        <v>3</v>
      </c>
      <c r="BO38" s="29">
        <f ca="1">IF(BP38="Performance",RAND(),0)</f>
        <v>0</v>
      </c>
      <c r="BP38" s="29" t="str">
        <f t="shared" ca="1" si="33"/>
        <v xml:space="preserve"> </v>
      </c>
      <c r="BR38" s="29">
        <f t="shared" ca="1" si="30"/>
        <v>14</v>
      </c>
      <c r="BS38" s="29">
        <f t="shared" ca="1" si="31"/>
        <v>0.14854183602597948</v>
      </c>
      <c r="CB38" s="35">
        <f t="shared" ca="1" si="34"/>
        <v>3</v>
      </c>
      <c r="CC38" s="36">
        <f ca="1">IF(BM7&gt;0,0,RAND())</f>
        <v>0.60294013630005949</v>
      </c>
      <c r="CD38" s="29" t="s">
        <v>29</v>
      </c>
    </row>
    <row r="39" spans="1:83" x14ac:dyDescent="0.3">
      <c r="A39" s="137"/>
      <c r="B39" s="33" t="s">
        <v>2</v>
      </c>
      <c r="C39" s="33"/>
      <c r="D39" s="33" t="str">
        <f ca="1">IF(AND($AF$2="dexterity",$AF$3="dexterity"),2,IF(OR($AF$2="dexterity",$AF$3="dexterity"),1," "))</f>
        <v xml:space="preserve"> </v>
      </c>
      <c r="E39" s="33" t="str">
        <f ca="1">IF(AND($AF$4="dexterity",$AF$5="dexterity"),2,IF(OR($AF$4="dexterity",$AF$5="dexterity"),1," "))</f>
        <v xml:space="preserve"> </v>
      </c>
      <c r="F39" s="33" t="str">
        <f ca="1">IF(AND($AF$6="dexterity",$AF$7="dexterity"),2,IF(OR($AF$6="dexterity",$AF$7="dexterity"),1," "))</f>
        <v xml:space="preserve"> </v>
      </c>
      <c r="G39" s="33" t="str">
        <f ca="1">IF(AND($AF$8="dexterity",$AF$9="dexterity"),2,IF(OR($AF$8="dexterity",$AF$9="dexterity"),1," "))</f>
        <v xml:space="preserve"> </v>
      </c>
      <c r="H39" s="33" t="str">
        <f ca="1">IF(AND($AF$10="dexterity",$AF$11="dexterity"),2,IF(OR($AF$10="dexterity",$AF$11="dexterity"),1," "))</f>
        <v xml:space="preserve"> </v>
      </c>
      <c r="I39" s="33">
        <f ca="1">IF(OR(Q2="elf",Q2="halfling"),SUM(J39:M39)-SMALL(J39:M39,1)+2,IF(OR(Q2="human",P2="forest",Q2="half-elf"),SUM(J39:M39)-SMALL(J39:M39,1)+1,SUM(J39:M39)-SMALL(J39:M39,1)))</f>
        <v>11</v>
      </c>
      <c r="J39" s="33">
        <f t="shared" ca="1" si="35"/>
        <v>5</v>
      </c>
      <c r="K39" s="33">
        <f t="shared" ca="1" si="35"/>
        <v>1</v>
      </c>
      <c r="L39" s="33">
        <f t="shared" ca="1" si="35"/>
        <v>1</v>
      </c>
      <c r="M39" s="33">
        <f t="shared" ca="1" si="35"/>
        <v>3</v>
      </c>
      <c r="N39" s="33"/>
      <c r="O39" s="33">
        <f ca="1">IF(OR(O11="fighter",O11="ranger",O11="rogue"),MAX(13,(SUM(C39:I39))),IF(OR(Q11="fighter",Q11="ranger",Q11="rogue"),MAX(13,(SUM(C39:I39))),SUM(C39:I39)))</f>
        <v>11</v>
      </c>
      <c r="P39" s="117">
        <f ca="1">VLOOKUP(O39,Table1[],2)</f>
        <v>0</v>
      </c>
      <c r="BN39" s="29">
        <f t="shared" ca="1" si="29"/>
        <v>3</v>
      </c>
      <c r="BO39" s="29">
        <f ca="1">IF(BP39="Persuasion",RAND(),0)</f>
        <v>0</v>
      </c>
      <c r="BP39" s="29" t="str">
        <f t="shared" ca="1" si="33"/>
        <v xml:space="preserve"> </v>
      </c>
      <c r="BR39" s="29">
        <f t="shared" ca="1" si="30"/>
        <v>1</v>
      </c>
      <c r="BS39" s="29">
        <f t="shared" ca="1" si="31"/>
        <v>0.9551764264182997</v>
      </c>
      <c r="CB39" s="35">
        <f t="shared" ca="1" si="34"/>
        <v>2</v>
      </c>
      <c r="CC39" s="36">
        <f ca="1">IF(BM12&gt;0,0,RAND())</f>
        <v>0.81277679220703924</v>
      </c>
      <c r="CD39" s="29" t="s">
        <v>17</v>
      </c>
    </row>
    <row r="40" spans="1:83" x14ac:dyDescent="0.3">
      <c r="A40" s="137"/>
      <c r="B40" s="33" t="s">
        <v>3</v>
      </c>
      <c r="C40" s="33" t="str">
        <f ca="1">IF(O26="primal Champion",4," ")</f>
        <v xml:space="preserve"> </v>
      </c>
      <c r="D40" s="33">
        <f ca="1">IF(AND($AF$2="constitution",$AF$3="constitution"),2,IF(OR($AF$2="constitution",$AF$3="constitution"),1," "))</f>
        <v>1</v>
      </c>
      <c r="E40" s="33">
        <f ca="1">IF(AND($AF$4="constitution",$AF$5="constitution"),2,IF(OR($AF$4="constitution",$AF$5="constitution"),1," "))</f>
        <v>2</v>
      </c>
      <c r="F40" s="33" t="str">
        <f ca="1">IF(AND($AF$6="constitution",$AF$7="constitution"),2,IF(OR($AF$6="constitution",$AF$7="constitution"),1," "))</f>
        <v xml:space="preserve"> </v>
      </c>
      <c r="G40" s="33" t="str">
        <f ca="1">IF(AND($AF$8="constitution",$AF$9="constitution"),2,IF(OR($AF$8="constitution",$AF$9="constitution"),1," "))</f>
        <v xml:space="preserve"> </v>
      </c>
      <c r="H40" s="33" t="str">
        <f ca="1">IF(AND($AF$10="constitution",$AF$11="constitution"),2,IF(OR($AF$10="constitution",$AF$11="constitution"),1," "))</f>
        <v xml:space="preserve"> </v>
      </c>
      <c r="I40" s="33">
        <f ca="1">IF(Q2="dwarf",SUM(J40:M40)-SMALL(J40:M40,1)+2,IF(OR(P2="stout",Q2="human",P2="rock",Q2="half-elf",Q2="half-orc"),SUM(J40:M40)-SMALL(J40:M40,1)+1,SUM(J40:M40)-SMALL(J40:M40,1)))</f>
        <v>17</v>
      </c>
      <c r="J40" s="33">
        <f t="shared" ca="1" si="35"/>
        <v>6</v>
      </c>
      <c r="K40" s="33">
        <f t="shared" ca="1" si="35"/>
        <v>1</v>
      </c>
      <c r="L40" s="33">
        <f t="shared" ca="1" si="35"/>
        <v>6</v>
      </c>
      <c r="M40" s="33">
        <f t="shared" ca="1" si="35"/>
        <v>5</v>
      </c>
      <c r="N40" s="33"/>
      <c r="O40" s="33">
        <f ca="1">SUM(C40:I40)</f>
        <v>20</v>
      </c>
      <c r="P40" s="117">
        <f ca="1">IF(P2="hill",VLOOKUP(O40,Table1[],2)+1,VLOOKUP(O40,Table1[],2))</f>
        <v>5</v>
      </c>
      <c r="AJ40" s="29" t="s">
        <v>1650</v>
      </c>
      <c r="AK40" s="29" t="s">
        <v>530</v>
      </c>
      <c r="BN40" s="29">
        <f t="shared" ca="1" si="29"/>
        <v>3</v>
      </c>
      <c r="BO40" s="29">
        <f ca="1">IF(BP40="Religion",RAND(),0)</f>
        <v>0</v>
      </c>
      <c r="BP40" s="29" t="str">
        <f t="shared" ca="1" si="33"/>
        <v xml:space="preserve"> </v>
      </c>
      <c r="BR40" s="29">
        <f t="shared" ca="1" si="30"/>
        <v>4</v>
      </c>
      <c r="BS40" s="29">
        <f t="shared" ca="1" si="31"/>
        <v>0.7643019223798595</v>
      </c>
      <c r="CB40" s="35">
        <f t="shared" ca="1" si="34"/>
        <v>5</v>
      </c>
      <c r="CC40" s="36">
        <f ca="1">IF(BM15&gt;0,0,RAND())</f>
        <v>0.46301683645498326</v>
      </c>
      <c r="CD40" s="29" t="s">
        <v>20</v>
      </c>
    </row>
    <row r="41" spans="1:83" x14ac:dyDescent="0.3">
      <c r="A41" s="137"/>
      <c r="B41" s="33" t="s">
        <v>4</v>
      </c>
      <c r="C41" s="33"/>
      <c r="D41" s="33" t="str">
        <f ca="1">IF(AND($AF$2="intelligence",$AF$3="intelligence"),2,IF(OR($AF$2="Intelligence",$AF$3="intelligence"),1," "))</f>
        <v xml:space="preserve"> </v>
      </c>
      <c r="E41" s="33" t="str">
        <f ca="1">IF(AND($AF$4="intelligence",$AF$5="intelligence"),2,IF(OR($AF$4="Intelligence",$AF$5="intelligence"),1," "))</f>
        <v xml:space="preserve"> </v>
      </c>
      <c r="F41" s="33" t="str">
        <f ca="1">IF(AND($AF$6="intelligence",$AF$7="intelligence"),2,IF(OR($AF$6="Intelligence",$AF$7="intelligence"),1," "))</f>
        <v xml:space="preserve"> </v>
      </c>
      <c r="G41" s="33" t="str">
        <f ca="1">IF(AND($AF$8="intelligence",$AF$9="intelligence"),2,IF(OR($AF$8="Intelligence",$AF$9="intelligence"),1," "))</f>
        <v xml:space="preserve"> </v>
      </c>
      <c r="H41" s="33" t="str">
        <f ca="1">IF(AND($AF$10="intelligence",$AF$11="intelligence"),2,IF(OR($AF$10="Intelligence",$AF$11="intelligence"),1," "))</f>
        <v xml:space="preserve"> </v>
      </c>
      <c r="I41" s="33">
        <f ca="1">IF(OR(P2="high",Q2="human",Q2="tiefling"),SUM(J41:M41)-SMALL(J41:M41,1)+1,IF(Q2="gnome",SUM(J41:M41)-SMALL(J41:M41,1)+2,SUM(J41:M41)-SMALL(J41:M41,1)))</f>
        <v>17</v>
      </c>
      <c r="J41" s="33">
        <f t="shared" ca="1" si="35"/>
        <v>6</v>
      </c>
      <c r="K41" s="33">
        <f t="shared" ca="1" si="35"/>
        <v>6</v>
      </c>
      <c r="L41" s="33">
        <f t="shared" ca="1" si="35"/>
        <v>3</v>
      </c>
      <c r="M41" s="33">
        <f t="shared" ca="1" si="35"/>
        <v>5</v>
      </c>
      <c r="N41" s="33"/>
      <c r="O41" s="33">
        <f ca="1">IF(O11="wizard",MAX(13,(SUM(C41:I41))),IF(Q11="wizard",MAX(13,(SUM(C41:I41))),SUM(C41:I41)))</f>
        <v>17</v>
      </c>
      <c r="P41" s="117">
        <f ca="1">VLOOKUP(O41,Table1[],2)</f>
        <v>3</v>
      </c>
      <c r="AJ41" s="29" t="s">
        <v>1649</v>
      </c>
      <c r="AK41" s="29" t="str">
        <f ca="1">IF(Q11="wizard",((Q12-1)*2)+6," ")</f>
        <v xml:space="preserve"> </v>
      </c>
      <c r="BN41" s="29">
        <f t="shared" ca="1" si="29"/>
        <v>3</v>
      </c>
      <c r="BO41" s="29">
        <f ca="1">IF(BP41="Sleight of Hand",RAND(),0)</f>
        <v>0</v>
      </c>
      <c r="BP41" s="29" t="str">
        <f t="shared" ca="1" si="33"/>
        <v xml:space="preserve"> </v>
      </c>
      <c r="BR41" s="29">
        <f t="shared" ca="1" si="30"/>
        <v>10</v>
      </c>
      <c r="BS41" s="29">
        <f t="shared" ca="1" si="31"/>
        <v>0.40873203436893712</v>
      </c>
      <c r="CB41" s="35">
        <f t="shared" ca="1" si="34"/>
        <v>7</v>
      </c>
      <c r="CC41" s="36">
        <f ca="1">IF(BM16&gt;0,0,RAND())</f>
        <v>8.5164565944568671E-2</v>
      </c>
      <c r="CD41" s="29" t="s">
        <v>21</v>
      </c>
      <c r="CE41" s="31"/>
    </row>
    <row r="42" spans="1:83" x14ac:dyDescent="0.3">
      <c r="A42" s="137"/>
      <c r="B42" s="33" t="s">
        <v>5</v>
      </c>
      <c r="C42" s="33"/>
      <c r="D42" s="33">
        <f ca="1">IF(AND($AF$2="wisdom",$AF$3="wisdom"),2,IF(OR($AF$2="wisdom",$AF$3="wisdom"),1," "))</f>
        <v>1</v>
      </c>
      <c r="E42" s="33" t="str">
        <f ca="1">IF(AND($AF$4="wisdom",$AF$5="wisdom"),2,IF(OR($AF$4="wisdom",$AF$5="wisdom"),1," "))</f>
        <v xml:space="preserve"> </v>
      </c>
      <c r="F42" s="33" t="str">
        <f ca="1">IF(AND($AF$6="wisdom",$AF$7="wisdom"),2,IF(OR($AF$6="wisdom",$AF$7="wisdom"),1," "))</f>
        <v xml:space="preserve"> </v>
      </c>
      <c r="G42" s="33" t="str">
        <f ca="1">IF(AND($AF$8="wisdom",$AF$9="wisdom"),2,IF(OR($AF$8="wisdom",$AF$9="wisdom"),1," "))</f>
        <v xml:space="preserve"> </v>
      </c>
      <c r="H42" s="33" t="str">
        <f ca="1">IF(AND($AF$10="wisdom",$AF$11="wisdom"),2,IF(OR($AF$10="wisdom",$AF$11="wisdom"),1," "))</f>
        <v xml:space="preserve"> </v>
      </c>
      <c r="I42" s="33">
        <f ca="1">IF(OR(P2="hill",P2="wood",Q2="human"),SUM(J42:M42)-SMALL(J42:M42,1)+1,SUM(J42:M42)-SMALL(J42:M42,1))</f>
        <v>17</v>
      </c>
      <c r="J42" s="33">
        <f t="shared" ca="1" si="35"/>
        <v>6</v>
      </c>
      <c r="K42" s="33">
        <f t="shared" ca="1" si="35"/>
        <v>6</v>
      </c>
      <c r="L42" s="33">
        <f t="shared" ca="1" si="35"/>
        <v>5</v>
      </c>
      <c r="M42" s="33">
        <f t="shared" ca="1" si="35"/>
        <v>3</v>
      </c>
      <c r="N42" s="33"/>
      <c r="O42" s="33">
        <f ca="1">IF(OR(O11="cleric",O11="druid",O11="monk",O11="ranger"),MAX(13,(SUM(C42:I42))),IF(OR(Q11="cleric",Q11="druid",Q11="monk",Q11="ranger"),MAX(13,(SUM(C42:I42))),SUM(C42:I42)))</f>
        <v>18</v>
      </c>
      <c r="P42" s="117">
        <f ca="1">VLOOKUP(O42,Table1[],2)</f>
        <v>4</v>
      </c>
      <c r="BN42" s="29">
        <f t="shared" ca="1" si="29"/>
        <v>3</v>
      </c>
      <c r="BO42" s="29">
        <f ca="1">IF(BP42="Stealth",RAND(),0)</f>
        <v>0</v>
      </c>
      <c r="BP42" s="29" t="str">
        <f t="shared" ca="1" si="33"/>
        <v xml:space="preserve"> </v>
      </c>
      <c r="BR42" s="29">
        <f t="shared" ca="1" si="30"/>
        <v>5</v>
      </c>
      <c r="BS42" s="29">
        <f t="shared" ca="1" si="31"/>
        <v>0.62889760134108508</v>
      </c>
      <c r="CB42" s="35">
        <f t="shared" ca="1" si="34"/>
        <v>4</v>
      </c>
      <c r="CC42" s="36">
        <f ca="1">IF(BM17&gt;0,0,RAND())</f>
        <v>0.49149489014708636</v>
      </c>
      <c r="CD42" s="29" t="s">
        <v>22</v>
      </c>
    </row>
    <row r="43" spans="1:83" ht="19.5" thickBot="1" x14ac:dyDescent="0.35">
      <c r="A43" s="137"/>
      <c r="B43" s="38" t="s">
        <v>6</v>
      </c>
      <c r="C43" s="38"/>
      <c r="D43" s="38" t="str">
        <f ca="1">IF(AND($AF$2="charisma",$AF$3="charisma"),2,IF(OR($AF$2="charisma",$AF$3="charisma"),1," "))</f>
        <v xml:space="preserve"> </v>
      </c>
      <c r="E43" s="38" t="str">
        <f ca="1">IF(AND($AF$4="charisma",$AF$5="charisma"),2,IF(OR($AF$4="charisma",$AF$5="charisma"),1," "))</f>
        <v xml:space="preserve"> </v>
      </c>
      <c r="F43" s="38" t="str">
        <f ca="1">IF(AND($AF$6="charisma",$AF$7="charisma"),2,IF(OR($AF$6="charisma",$AF$7="charisma"),1," "))</f>
        <v xml:space="preserve"> </v>
      </c>
      <c r="G43" s="38" t="str">
        <f ca="1">IF(AND($AF$8="charisma",$AF$9="charisma"),2,IF(OR($AF$8="charisma",$AF$9="charisma"),1," "))</f>
        <v xml:space="preserve"> </v>
      </c>
      <c r="H43" s="38" t="str">
        <f ca="1">IF(AND($AF$10="charisma",$AF$11="charisma"),2,IF(OR($AF$10="charisma",$AF$11="charisma"),1," "))</f>
        <v xml:space="preserve"> </v>
      </c>
      <c r="I43" s="38">
        <f ca="1">IF(OR(P2="dark",P2="lightfoot",Q2="human",Q2="dragonborn"),SUM(J43:M43)-SMALL(J43:M43,1)+1,IF(OR(Q2="half-elf",Q2="tiefling"),SUM(J43:M43)-SMALL(J43:M43,1)+2,SUM(J43:M43)-SMALL(J43:M43,1)))</f>
        <v>10</v>
      </c>
      <c r="J43" s="38">
        <f t="shared" ca="1" si="35"/>
        <v>2</v>
      </c>
      <c r="K43" s="38">
        <f t="shared" ca="1" si="35"/>
        <v>6</v>
      </c>
      <c r="L43" s="38">
        <f t="shared" ca="1" si="35"/>
        <v>1</v>
      </c>
      <c r="M43" s="38">
        <f t="shared" ca="1" si="35"/>
        <v>1</v>
      </c>
      <c r="N43" s="38"/>
      <c r="O43" s="38">
        <f ca="1">IF(OR(O11="bard",O11="paladin",O11="sorcerer",O11="warlock"),MAX(13,(SUM(C43:I43))),IF(OR(Q11="bard",Q11="paladin",Q11="sorcerer",Q11="warlock"),MAX(13,(SUM(C43:I43))),SUM(C43:I43)))</f>
        <v>13</v>
      </c>
      <c r="P43" s="118">
        <f ca="1">VLOOKUP(O43,Table1[],2)</f>
        <v>1</v>
      </c>
      <c r="AJ43" s="31" t="s">
        <v>1166</v>
      </c>
      <c r="AO43" s="57"/>
      <c r="AP43" s="57"/>
      <c r="AQ43" s="57"/>
      <c r="BN43" s="29">
        <f t="shared" ca="1" si="29"/>
        <v>3</v>
      </c>
      <c r="BO43" s="29">
        <f ca="1">IF(BP43="Survival",RAND(),0)</f>
        <v>0</v>
      </c>
      <c r="BP43" s="29" t="str">
        <f t="shared" ca="1" si="33"/>
        <v xml:space="preserve"> </v>
      </c>
      <c r="BR43" s="29">
        <f t="shared" ca="1" si="30"/>
        <v>7</v>
      </c>
      <c r="BS43" s="29">
        <f t="shared" ca="1" si="31"/>
        <v>0.57056822040254818</v>
      </c>
      <c r="CB43" s="35">
        <f t="shared" ca="1" si="34"/>
        <v>1</v>
      </c>
      <c r="CC43" s="36">
        <f ca="1">IF(BM20&gt;0,0,RAND())</f>
        <v>0.94624647836245956</v>
      </c>
      <c r="CD43" s="29" t="s">
        <v>25</v>
      </c>
    </row>
    <row r="44" spans="1:83" ht="19.5" thickBot="1" x14ac:dyDescent="0.35">
      <c r="A44" s="33"/>
      <c r="B44" s="38"/>
      <c r="C44" s="38"/>
      <c r="D44" s="38"/>
      <c r="E44" s="38"/>
      <c r="F44" s="38"/>
      <c r="G44" s="38"/>
      <c r="H44" s="38"/>
      <c r="I44" s="38"/>
      <c r="J44" s="38"/>
      <c r="K44" s="38"/>
      <c r="L44" s="38"/>
      <c r="M44" s="38"/>
      <c r="N44" s="38"/>
      <c r="O44" s="38"/>
      <c r="P44" s="38"/>
      <c r="AJ44" s="58" t="str">
        <f ca="1">IF(Table200335449791848905314378768[[#This Row],[Column2]]=0," ",_xlfn.RANK.EQ(AK44,$AK$44:$AK$53))</f>
        <v xml:space="preserve"> </v>
      </c>
      <c r="AK44" s="29">
        <f ca="1">IF(Table200335449791848905314378768[[#This Row],[Column3]]=" ", 0,RAND())</f>
        <v>0</v>
      </c>
      <c r="AL44" s="29" t="str">
        <f t="shared" ref="AL44:AL53" ca="1" si="36">Q315</f>
        <v xml:space="preserve"> </v>
      </c>
      <c r="AO44" s="29" t="s">
        <v>1962</v>
      </c>
      <c r="CB44" s="35">
        <f t="shared" ca="1" si="34"/>
        <v>6</v>
      </c>
      <c r="CC44" s="36">
        <f ca="1">IF(BM23&gt;0,0,RAND())</f>
        <v>0.31072313510449956</v>
      </c>
      <c r="CD44" s="29" t="s">
        <v>28</v>
      </c>
    </row>
    <row r="45" spans="1:83" ht="30.75" thickBot="1" x14ac:dyDescent="0.45">
      <c r="A45" s="115"/>
      <c r="B45" s="122" t="s">
        <v>37</v>
      </c>
      <c r="C45" s="53"/>
      <c r="D45" s="53"/>
      <c r="E45" s="53"/>
      <c r="F45" s="53"/>
      <c r="G45" s="53"/>
      <c r="H45" s="53"/>
      <c r="I45" s="53"/>
      <c r="J45" s="53"/>
      <c r="K45" s="53"/>
      <c r="L45" s="53"/>
      <c r="M45" s="53"/>
      <c r="N45" s="53"/>
      <c r="O45" s="53" t="s">
        <v>30</v>
      </c>
      <c r="P45" s="116" t="s">
        <v>38</v>
      </c>
      <c r="AJ45" s="58" t="str">
        <f ca="1">IF(Table200335449791848905314378768[[#This Row],[Column2]]=0," ",_xlfn.RANK.EQ(AK45,$AK$44:$AK$53))</f>
        <v xml:space="preserve"> </v>
      </c>
      <c r="AK45" s="29">
        <f ca="1">IF(Table200335449791848905314378768[[#This Row],[Column3]]=" ", 0,RAND())</f>
        <v>0</v>
      </c>
      <c r="AL45" s="29" t="str">
        <f t="shared" ca="1" si="36"/>
        <v xml:space="preserve"> </v>
      </c>
      <c r="AO45" s="29" t="str">
        <f ca="1">IF(Table293375489831888945361417807[[#This Row],[Column2]]=0," ",_xlfn.RANK.EQ(Table293375489831888945361417807[[#This Row],[Column2]],$AP$45:$AP$59))</f>
        <v xml:space="preserve"> </v>
      </c>
      <c r="AP45" s="29">
        <f ca="1">IF(OR(Table293375489831888945361417807[[#This Row],[Column3]]=" ",Table293375489831888945361417807[[#This Row],[Column3]]="simple weapons"), 0,RAND())</f>
        <v>0</v>
      </c>
      <c r="AQ45" s="29" t="str">
        <f ca="1">P76</f>
        <v xml:space="preserve"> </v>
      </c>
    </row>
    <row r="46" spans="1:83" ht="19.5" thickTop="1" x14ac:dyDescent="0.3">
      <c r="A46" s="137"/>
      <c r="B46" s="33" t="s">
        <v>1</v>
      </c>
      <c r="C46" s="33"/>
      <c r="D46" s="33"/>
      <c r="E46" s="33"/>
      <c r="F46" s="33"/>
      <c r="G46" s="33"/>
      <c r="H46" s="33"/>
      <c r="I46" s="33"/>
      <c r="J46" s="33"/>
      <c r="K46" s="33"/>
      <c r="L46" s="33"/>
      <c r="M46" s="33"/>
      <c r="N46" s="33"/>
      <c r="O46" s="33" t="str">
        <f ca="1">IF(OR($O$11="barbarian",O11="fighter",O11="monk",O11="ranger"),"x"," ")</f>
        <v xml:space="preserve"> </v>
      </c>
      <c r="P46" s="72">
        <f t="shared" ref="P46:P51" ca="1" si="37">IF(O46="x",SUM(P38,$P$8),P38)</f>
        <v>1</v>
      </c>
      <c r="T46" s="49"/>
      <c r="U46" s="49"/>
      <c r="AJ46" s="58" t="str">
        <f ca="1">IF(Table200335449791848905314378768[[#This Row],[Column2]]=0," ",_xlfn.RANK.EQ(AK46,$AK$44:$AK$53))</f>
        <v xml:space="preserve"> </v>
      </c>
      <c r="AK46" s="29">
        <f ca="1">IF(Table200335449791848905314378768[[#This Row],[Column3]]=" ", 0,RAND())</f>
        <v>0</v>
      </c>
      <c r="AL46" s="29" t="str">
        <f t="shared" ca="1" si="36"/>
        <v xml:space="preserve"> </v>
      </c>
      <c r="AO46" s="29">
        <f ca="1">IF(Table293375489831888945361417807[[#This Row],[Column2]]=0," ",_xlfn.RANK.EQ(Table293375489831888945361417807[[#This Row],[Column2]],$AP$45:$AP$59))</f>
        <v>8</v>
      </c>
      <c r="AP46" s="29">
        <f ca="1">IF(OR(Table293375489831888945361417807[[#This Row],[Column3]]=" ",Table293375489831888945361417807[[#This Row],[Column3]]="martial weapons"), 0,RAND())</f>
        <v>9.0829325097026015E-3</v>
      </c>
      <c r="AQ46" s="29" t="str">
        <f ca="1">P77</f>
        <v>Rapier</v>
      </c>
      <c r="CB46" s="31" t="s">
        <v>731</v>
      </c>
      <c r="CE46" s="31"/>
    </row>
    <row r="47" spans="1:83" x14ac:dyDescent="0.3">
      <c r="A47" s="137"/>
      <c r="B47" s="33" t="s">
        <v>2</v>
      </c>
      <c r="C47" s="33"/>
      <c r="D47" s="33"/>
      <c r="E47" s="33"/>
      <c r="F47" s="33"/>
      <c r="G47" s="33"/>
      <c r="H47" s="33"/>
      <c r="I47" s="33"/>
      <c r="J47" s="33"/>
      <c r="K47" s="33"/>
      <c r="L47" s="33"/>
      <c r="M47" s="33"/>
      <c r="N47" s="33"/>
      <c r="O47" s="33" t="str">
        <f ca="1">IF(OR($O$11="bard",O11="monk",O11="ranger",O11="rogue"),"x"," ")</f>
        <v xml:space="preserve"> </v>
      </c>
      <c r="P47" s="72">
        <f t="shared" ca="1" si="37"/>
        <v>0</v>
      </c>
      <c r="T47" s="49"/>
      <c r="U47" s="49"/>
      <c r="AJ47" s="58" t="str">
        <f ca="1">IF(Table200335449791848905314378768[[#This Row],[Column2]]=0," ",_xlfn.RANK.EQ(AK47,$AK$44:$AK$53))</f>
        <v xml:space="preserve"> </v>
      </c>
      <c r="AK47" s="29">
        <f ca="1">IF(Table200335449791848905314378768[[#This Row],[Column3]]=" ", 0,RAND())</f>
        <v>0</v>
      </c>
      <c r="AL47" s="29" t="str">
        <f t="shared" ca="1" si="36"/>
        <v xml:space="preserve"> </v>
      </c>
      <c r="AO47" s="29">
        <f ca="1">IF(Table293375489831888945361417807[[#This Row],[Column2]]=0," ",_xlfn.RANK.EQ(Table293375489831888945361417807[[#This Row],[Column2]],$AP$45:$AP$59))</f>
        <v>5</v>
      </c>
      <c r="AP47" s="29">
        <f ca="1">IF(Table293375489831888945361417807[[#This Row],[Column3]]=" ", 0,RAND())</f>
        <v>0.36970022354760901</v>
      </c>
      <c r="AQ47" s="29" t="str">
        <f ca="1">P78</f>
        <v>Hand Crossbow</v>
      </c>
      <c r="CB47" s="35">
        <f t="shared" ref="CB47:CB54" ca="1" si="38">_xlfn.RANK.EQ(CC47,$CC$47:$CC$54)</f>
        <v>3</v>
      </c>
      <c r="CC47" s="36">
        <f ca="1">IF(BM6&gt;0,0,RAND())</f>
        <v>0.69749114097186671</v>
      </c>
      <c r="CD47" s="29" t="s">
        <v>12</v>
      </c>
    </row>
    <row r="48" spans="1:83" x14ac:dyDescent="0.3">
      <c r="A48" s="137"/>
      <c r="B48" s="33" t="s">
        <v>3</v>
      </c>
      <c r="C48" s="33"/>
      <c r="D48" s="33"/>
      <c r="E48" s="33"/>
      <c r="F48" s="33"/>
      <c r="G48" s="33"/>
      <c r="H48" s="33"/>
      <c r="I48" s="33"/>
      <c r="J48" s="33"/>
      <c r="K48" s="33"/>
      <c r="L48" s="33"/>
      <c r="M48" s="33"/>
      <c r="N48" s="33"/>
      <c r="O48" s="33" t="str">
        <f ca="1">IF(OR(O11="barbarian",O11="fighter",O11="sorcerer"),"x"," ")</f>
        <v>x</v>
      </c>
      <c r="P48" s="72">
        <f t="shared" ca="1" si="37"/>
        <v>9</v>
      </c>
      <c r="T48" s="49"/>
      <c r="U48" s="49"/>
      <c r="AJ48" s="58" t="str">
        <f ca="1">IF(Table200335449791848905314378768[[#This Row],[Column2]]=0," ",_xlfn.RANK.EQ(AK48,$AK$44:$AK$53))</f>
        <v xml:space="preserve"> </v>
      </c>
      <c r="AK48" s="29">
        <f ca="1">IF(Table200335449791848905314378768[[#This Row],[Column3]]=" ", 0,RAND())</f>
        <v>0</v>
      </c>
      <c r="AL48" s="29" t="str">
        <f t="shared" ca="1" si="36"/>
        <v xml:space="preserve"> </v>
      </c>
      <c r="AO48" s="29" t="str">
        <f ca="1">IF(Table293375489831888945361417807[[#This Row],[Column2]]=0," ",_xlfn.RANK.EQ(Table293375489831888945361417807[[#This Row],[Column2]],$AP$45:$AP$59))</f>
        <v xml:space="preserve"> </v>
      </c>
      <c r="AP48" s="29">
        <f ca="1">IF(Table293375489831888945361417807[[#This Row],[Column3]]=" ", 0,RAND())</f>
        <v>0</v>
      </c>
      <c r="AQ48" s="29" t="str">
        <f ca="1">P79</f>
        <v xml:space="preserve"> </v>
      </c>
      <c r="CB48" s="35">
        <f t="shared" ca="1" si="38"/>
        <v>5</v>
      </c>
      <c r="CC48" s="36">
        <f ca="1">IF(BM7&gt;0,0,RAND())</f>
        <v>0.2569969378756739</v>
      </c>
      <c r="CD48" s="29" t="s">
        <v>29</v>
      </c>
    </row>
    <row r="49" spans="1:83" x14ac:dyDescent="0.3">
      <c r="A49" s="137"/>
      <c r="B49" s="33" t="s">
        <v>4</v>
      </c>
      <c r="C49" s="33"/>
      <c r="D49" s="33"/>
      <c r="E49" s="33"/>
      <c r="F49" s="33"/>
      <c r="G49" s="33"/>
      <c r="H49" s="33"/>
      <c r="I49" s="33"/>
      <c r="J49" s="33"/>
      <c r="K49" s="33"/>
      <c r="L49" s="33"/>
      <c r="M49" s="33"/>
      <c r="N49" s="33"/>
      <c r="O49" s="33" t="str">
        <f ca="1">IF(OR(O11="rogue",O11="druid",O11="wizard"),"x"," ")</f>
        <v xml:space="preserve"> </v>
      </c>
      <c r="P49" s="72">
        <f t="shared" ca="1" si="37"/>
        <v>3</v>
      </c>
      <c r="T49" s="49"/>
      <c r="U49" s="49"/>
      <c r="AJ49" s="58" t="str">
        <f ca="1">IF(Table200335449791848905314378768[[#This Row],[Column2]]=0," ",_xlfn.RANK.EQ(AK49,$AK$44:$AK$53))</f>
        <v xml:space="preserve"> </v>
      </c>
      <c r="AK49" s="29">
        <f ca="1">IF(Table200335449791848905314378768[[#This Row],[Column3]]=" ", 0,RAND())</f>
        <v>0</v>
      </c>
      <c r="AL49" s="29" t="str">
        <f t="shared" ca="1" si="36"/>
        <v xml:space="preserve"> </v>
      </c>
      <c r="AO49" s="29">
        <f ca="1">IF(Table293375489831888945361417807[[#This Row],[Column2]]=0," ",_xlfn.RANK.EQ(Table293375489831888945361417807[[#This Row],[Column2]],$AP$45:$AP$59))</f>
        <v>6</v>
      </c>
      <c r="AP49" s="29">
        <f ca="1">IF(Table293375489831888945361417807[[#This Row],[Column3]]=" ", 0,RAND())</f>
        <v>0.25918838238053499</v>
      </c>
      <c r="AQ49" s="29" t="str">
        <f ca="1">P80</f>
        <v>Shortsword</v>
      </c>
      <c r="CB49" s="35">
        <f t="shared" ca="1" si="38"/>
        <v>6</v>
      </c>
      <c r="CC49" s="36">
        <f ca="1">IF(BM9&gt;0,0,RAND())</f>
        <v>0.2164701879580061</v>
      </c>
      <c r="CD49" s="29" t="s">
        <v>14</v>
      </c>
    </row>
    <row r="50" spans="1:83" x14ac:dyDescent="0.3">
      <c r="A50" s="137"/>
      <c r="B50" s="33" t="s">
        <v>39</v>
      </c>
      <c r="C50" s="33"/>
      <c r="D50" s="33"/>
      <c r="E50" s="33"/>
      <c r="F50" s="33"/>
      <c r="G50" s="33"/>
      <c r="H50" s="33"/>
      <c r="I50" s="33"/>
      <c r="J50" s="33"/>
      <c r="K50" s="33"/>
      <c r="L50" s="33"/>
      <c r="M50" s="33"/>
      <c r="N50" s="33"/>
      <c r="O50" s="33" t="str">
        <f ca="1">IF(OR(O11="cleric",O11="druid",O11="paladin",O11="warlock",O11="wizard"),"x",IF(AND(O11="rogue",O12&gt;=15),"x"," "))</f>
        <v xml:space="preserve"> </v>
      </c>
      <c r="P50" s="72">
        <f t="shared" ca="1" si="37"/>
        <v>4</v>
      </c>
      <c r="T50" s="49"/>
      <c r="U50" s="49"/>
      <c r="AJ50" s="58" t="str">
        <f ca="1">IF(Table200335449791848905314378768[[#This Row],[Column2]]=0," ",_xlfn.RANK.EQ(AK50,$AK$44:$AK$53))</f>
        <v xml:space="preserve"> </v>
      </c>
      <c r="AK50" s="29">
        <f ca="1">IF(Table200335449791848905314378768[[#This Row],[Column3]]=" ", 0,RAND())</f>
        <v>0</v>
      </c>
      <c r="AL50" s="29" t="str">
        <f t="shared" ca="1" si="36"/>
        <v xml:space="preserve"> </v>
      </c>
      <c r="AO50" s="29" t="str">
        <f ca="1">IF(Table293375489831888945361417807[[#This Row],[Column2]]=0," ",_xlfn.RANK.EQ(Table293375489831888945361417807[[#This Row],[Column2]],$AP$45:$AP$59))</f>
        <v xml:space="preserve"> </v>
      </c>
      <c r="AP50" s="29">
        <f ca="1">IF(Table293375489831888945361417807[[#This Row],[Column3]]=" ", 0,RAND())</f>
        <v>0</v>
      </c>
      <c r="AQ50" s="29" t="str">
        <f ca="1">Q76</f>
        <v xml:space="preserve"> </v>
      </c>
      <c r="CB50" s="35">
        <f t="shared" ca="1" si="38"/>
        <v>8</v>
      </c>
      <c r="CC50" s="36">
        <f ca="1">IF(BM11&gt;0,0,RAND())</f>
        <v>0</v>
      </c>
      <c r="CD50" s="29" t="s">
        <v>16</v>
      </c>
    </row>
    <row r="51" spans="1:83" ht="19.5" thickBot="1" x14ac:dyDescent="0.35">
      <c r="A51" s="137"/>
      <c r="B51" s="38" t="s">
        <v>6</v>
      </c>
      <c r="C51" s="38"/>
      <c r="D51" s="38"/>
      <c r="E51" s="38"/>
      <c r="F51" s="38"/>
      <c r="G51" s="38"/>
      <c r="H51" s="38"/>
      <c r="I51" s="38"/>
      <c r="J51" s="38"/>
      <c r="K51" s="38"/>
      <c r="L51" s="38"/>
      <c r="M51" s="38"/>
      <c r="N51" s="38"/>
      <c r="O51" s="38" t="str">
        <f ca="1">IF(OR($O$11="bard",O11="cleric",O11="paladin",O11="sorcerer",O11="warlock"),"x"," ")</f>
        <v>x</v>
      </c>
      <c r="P51" s="73">
        <f t="shared" ca="1" si="37"/>
        <v>5</v>
      </c>
      <c r="AJ51" s="58" t="str">
        <f ca="1">IF(Table200335449791848905314378768[[#This Row],[Column2]]=0," ",_xlfn.RANK.EQ(AK51,$AK$44:$AK$53))</f>
        <v xml:space="preserve"> </v>
      </c>
      <c r="AK51" s="29">
        <f ca="1">IF(Table200335449791848905314378768[[#This Row],[Column3]]=" ", 0,RAND())</f>
        <v>0</v>
      </c>
      <c r="AL51" s="29" t="str">
        <f t="shared" ca="1" si="36"/>
        <v xml:space="preserve"> </v>
      </c>
      <c r="AO51" s="29">
        <f ca="1">IF(Table293375489831888945361417807[[#This Row],[Column2]]=0," ",_xlfn.RANK.EQ(Table293375489831888945361417807[[#This Row],[Column2]],$AP$45:$AP$59))</f>
        <v>4</v>
      </c>
      <c r="AP51" s="29">
        <f ca="1">IF(Table293375489831888945361417807[[#This Row],[Column3]]=" ", 0,RAND())</f>
        <v>0.40204982735800443</v>
      </c>
      <c r="AQ51" s="29" t="str">
        <f ca="1">Q77</f>
        <v>Dagger</v>
      </c>
      <c r="CB51" s="35">
        <f t="shared" ca="1" si="38"/>
        <v>2</v>
      </c>
      <c r="CC51" s="36">
        <f ca="1">IF(BM12&gt;0,0,RAND())</f>
        <v>0.82491392627676008</v>
      </c>
      <c r="CD51" s="29" t="s">
        <v>17</v>
      </c>
      <c r="CE51" s="31"/>
    </row>
    <row r="52" spans="1:83" ht="19.5" thickBot="1" x14ac:dyDescent="0.35">
      <c r="A52" s="138"/>
      <c r="B52" s="99"/>
      <c r="C52" s="99"/>
      <c r="D52" s="99"/>
      <c r="E52" s="99"/>
      <c r="F52" s="99"/>
      <c r="G52" s="99"/>
      <c r="H52" s="99"/>
      <c r="I52" s="99"/>
      <c r="J52" s="99"/>
      <c r="K52" s="99"/>
      <c r="L52" s="99"/>
      <c r="M52" s="99"/>
      <c r="N52" s="99"/>
      <c r="O52" s="99"/>
      <c r="P52" s="99"/>
      <c r="AJ52" s="58" t="str">
        <f ca="1">IF(Table200335449791848905314378768[[#This Row],[Column2]]=0," ",_xlfn.RANK.EQ(AK52,$AK$44:$AK$53))</f>
        <v xml:space="preserve"> </v>
      </c>
      <c r="AK52" s="29">
        <f ca="1">IF(Table200335449791848905314378768[[#This Row],[Column3]]=" ", 0,RAND())</f>
        <v>0</v>
      </c>
      <c r="AL52" s="29" t="str">
        <f t="shared" ca="1" si="36"/>
        <v xml:space="preserve"> </v>
      </c>
      <c r="AO52" s="29">
        <f ca="1">IF(Table293375489831888945361417807[[#This Row],[Column2]]=0," ",_xlfn.RANK.EQ(Table293375489831888945361417807[[#This Row],[Column2]],$AP$45:$AP$59))</f>
        <v>3</v>
      </c>
      <c r="AP52" s="29">
        <f ca="1">IF(Table293375489831888945361417807[[#This Row],[Column3]]=" ", 0,RAND())</f>
        <v>0.71297188780788823</v>
      </c>
      <c r="AQ52" s="29" t="str">
        <f ca="1">Q78</f>
        <v>Dart</v>
      </c>
      <c r="CB52" s="35">
        <f t="shared" ca="1" si="38"/>
        <v>7</v>
      </c>
      <c r="CC52" s="36">
        <f ca="1">IF(BM13&gt;0,0,RAND())</f>
        <v>0.15076875630530739</v>
      </c>
      <c r="CD52" s="29" t="s">
        <v>18</v>
      </c>
    </row>
    <row r="53" spans="1:83" ht="30.75" thickBot="1" x14ac:dyDescent="0.45">
      <c r="A53" s="137"/>
      <c r="B53" s="122" t="s">
        <v>11</v>
      </c>
      <c r="C53" s="33"/>
      <c r="D53" s="33"/>
      <c r="E53" s="33"/>
      <c r="F53" s="33"/>
      <c r="G53" s="33"/>
      <c r="H53" s="33"/>
      <c r="I53" s="33"/>
      <c r="J53" s="33"/>
      <c r="K53" s="33"/>
      <c r="L53" s="33"/>
      <c r="M53" s="33"/>
      <c r="N53" s="33"/>
      <c r="O53" s="53" t="s">
        <v>30</v>
      </c>
      <c r="P53" s="119" t="s">
        <v>529</v>
      </c>
      <c r="AJ53" s="58" t="str">
        <f ca="1">IF(Table200335449791848905314378768[[#This Row],[Column2]]=0," ",_xlfn.RANK.EQ(AK53,$AK$44:$AK$53))</f>
        <v xml:space="preserve"> </v>
      </c>
      <c r="AK53" s="29">
        <f ca="1">IF(Table200335449791848905314378768[[#This Row],[Column3]]=" ", 0,RAND())</f>
        <v>0</v>
      </c>
      <c r="AL53" s="29" t="str">
        <f t="shared" ca="1" si="36"/>
        <v xml:space="preserve"> </v>
      </c>
      <c r="AO53" s="29">
        <f ca="1">IF(Table293375489831888945361417807[[#This Row],[Column2]]=0," ",_xlfn.RANK.EQ(Table293375489831888945361417807[[#This Row],[Column2]],$AP$45:$AP$59))</f>
        <v>1</v>
      </c>
      <c r="AP53" s="29">
        <f ca="1">IF(Table293375489831888945361417807[[#This Row],[Column3]]=" ", 0,RAND())</f>
        <v>0.99137473766264328</v>
      </c>
      <c r="AQ53" s="29" t="str">
        <f ca="1">Q79</f>
        <v>Light Crossbow</v>
      </c>
      <c r="CB53" s="35">
        <f t="shared" ca="1" si="38"/>
        <v>1</v>
      </c>
      <c r="CC53" s="36">
        <f ca="1">IF(BM17&gt;0,0,RAND())</f>
        <v>0.82796353502952558</v>
      </c>
      <c r="CD53" s="29" t="s">
        <v>22</v>
      </c>
    </row>
    <row r="54" spans="1:83" ht="19.5" thickTop="1" x14ac:dyDescent="0.3">
      <c r="A54" s="137"/>
      <c r="B54" s="33" t="s">
        <v>12</v>
      </c>
      <c r="C54" s="59"/>
      <c r="D54" s="33"/>
      <c r="E54" s="33"/>
      <c r="F54" s="33"/>
      <c r="G54" s="33"/>
      <c r="H54" s="33"/>
      <c r="I54" s="33"/>
      <c r="J54" s="33"/>
      <c r="K54" s="33"/>
      <c r="L54" s="33"/>
      <c r="M54" s="33"/>
      <c r="N54" s="33"/>
      <c r="O54" s="33" t="str">
        <f t="shared" ref="O54:O71" ca="1" si="39">IF(BU6&gt;0,"x"," ")</f>
        <v xml:space="preserve"> </v>
      </c>
      <c r="P54" s="120">
        <f ca="1">SUM(BU6,P39)</f>
        <v>0</v>
      </c>
      <c r="AO54" s="29" t="str">
        <f ca="1">IF(Table293375489831888945361417807[[#This Row],[Column2]]=0," ",_xlfn.RANK.EQ(Table293375489831888945361417807[[#This Row],[Column2]],$AP$45:$AP$59))</f>
        <v xml:space="preserve"> </v>
      </c>
      <c r="AP54" s="29">
        <f ca="1">IF(Table293375489831888945361417807[[#This Row],[Column3]]=" ", 0,RAND())</f>
        <v>0</v>
      </c>
      <c r="AQ54" s="29" t="str">
        <f ca="1">Q80</f>
        <v xml:space="preserve"> </v>
      </c>
      <c r="CB54" s="35">
        <f t="shared" ca="1" si="38"/>
        <v>4</v>
      </c>
      <c r="CC54" s="36">
        <f ca="1">IF(BM23&gt;0,0,RAND())</f>
        <v>0.37601956659348024</v>
      </c>
      <c r="CD54" s="29" t="s">
        <v>28</v>
      </c>
    </row>
    <row r="55" spans="1:83" x14ac:dyDescent="0.3">
      <c r="A55" s="137"/>
      <c r="B55" s="33" t="s">
        <v>29</v>
      </c>
      <c r="C55" s="59"/>
      <c r="D55" s="33"/>
      <c r="E55" s="33"/>
      <c r="F55" s="33"/>
      <c r="G55" s="33"/>
      <c r="H55" s="33"/>
      <c r="I55" s="33"/>
      <c r="J55" s="33"/>
      <c r="K55" s="33"/>
      <c r="L55" s="33"/>
      <c r="M55" s="33"/>
      <c r="N55" s="33"/>
      <c r="O55" s="33" t="str">
        <f t="shared" ca="1" si="39"/>
        <v xml:space="preserve"> </v>
      </c>
      <c r="P55" s="120">
        <f ca="1">SUM(BU7,P42)</f>
        <v>4</v>
      </c>
      <c r="AJ55" s="31" t="s">
        <v>1167</v>
      </c>
      <c r="AO55" s="29">
        <f ca="1">IF(Table293375489831888945361417807[[#This Row],[Column2]]=0," ",_xlfn.RANK.EQ(Table293375489831888945361417807[[#This Row],[Column2]],$AP$45:$AP$59))</f>
        <v>2</v>
      </c>
      <c r="AP55" s="29">
        <f ca="1">IF(Table293375489831888945361417807[[#This Row],[Column3]]=" ", 0,RAND())</f>
        <v>0.8808436953709704</v>
      </c>
      <c r="AQ55" s="29" t="str">
        <f ca="1">R76</f>
        <v>Quarterstaff</v>
      </c>
    </row>
    <row r="56" spans="1:83" x14ac:dyDescent="0.3">
      <c r="A56" s="137"/>
      <c r="B56" s="33" t="s">
        <v>13</v>
      </c>
      <c r="C56" s="33"/>
      <c r="D56" s="33"/>
      <c r="E56" s="33"/>
      <c r="F56" s="33"/>
      <c r="G56" s="33"/>
      <c r="H56" s="33"/>
      <c r="I56" s="33"/>
      <c r="J56" s="33"/>
      <c r="K56" s="33"/>
      <c r="L56" s="33"/>
      <c r="M56" s="33"/>
      <c r="N56" s="33"/>
      <c r="O56" s="33" t="str">
        <f t="shared" ca="1" si="39"/>
        <v>x</v>
      </c>
      <c r="P56" s="120">
        <f ca="1">SUM(BU8,P41)</f>
        <v>7</v>
      </c>
      <c r="AJ56" s="58" t="str">
        <f ca="1">IF(Table201336450792849906315379769[[#This Row],[Column2]]=0," ",_xlfn.RANK.EQ(AK56,$AK$56:$AK$65))</f>
        <v xml:space="preserve"> </v>
      </c>
      <c r="AK56" s="29">
        <f ca="1">IF(AL56=" ", 0,RAND())</f>
        <v>0</v>
      </c>
      <c r="AL56" s="29" t="str">
        <f t="shared" ref="AL56:AL65" ca="1" si="40">R315</f>
        <v xml:space="preserve"> </v>
      </c>
      <c r="AO56" s="29" t="str">
        <f ca="1">IF(Table293375489831888945361417807[[#This Row],[Column2]]=0," ",_xlfn.RANK.EQ(Table293375489831888945361417807[[#This Row],[Column2]],$AP$45:$AP$59))</f>
        <v xml:space="preserve"> </v>
      </c>
      <c r="AP56" s="29">
        <f ca="1">IF(Table293375489831888945361417807[[#This Row],[Column3]]=" ", 0,RAND())</f>
        <v>0</v>
      </c>
      <c r="AQ56" s="29" t="str">
        <f ca="1">R77</f>
        <v xml:space="preserve"> </v>
      </c>
      <c r="CB56" s="31" t="s">
        <v>732</v>
      </c>
      <c r="CE56" s="31"/>
    </row>
    <row r="57" spans="1:83" x14ac:dyDescent="0.3">
      <c r="A57" s="137"/>
      <c r="B57" s="33" t="s">
        <v>14</v>
      </c>
      <c r="C57" s="33"/>
      <c r="D57" s="33"/>
      <c r="E57" s="33"/>
      <c r="F57" s="33"/>
      <c r="G57" s="33"/>
      <c r="H57" s="33"/>
      <c r="I57" s="33"/>
      <c r="J57" s="33"/>
      <c r="K57" s="33"/>
      <c r="L57" s="33"/>
      <c r="M57" s="33"/>
      <c r="N57" s="33"/>
      <c r="O57" s="33" t="str">
        <f t="shared" ca="1" si="39"/>
        <v xml:space="preserve"> </v>
      </c>
      <c r="P57" s="120">
        <f ca="1">SUM(BU9,P38)</f>
        <v>1</v>
      </c>
      <c r="AJ57" s="58" t="str">
        <f ca="1">IF(Table201336450792849906315379769[[#This Row],[Column2]]=0," ",_xlfn.RANK.EQ(AK57,$AK$56:$AK$65))</f>
        <v xml:space="preserve"> </v>
      </c>
      <c r="AK57" s="29">
        <f t="shared" ref="AK57:AK65" ca="1" si="41">IF(AL57=" ", 0,RAND())</f>
        <v>0</v>
      </c>
      <c r="AL57" s="29" t="str">
        <f t="shared" ca="1" si="40"/>
        <v xml:space="preserve"> </v>
      </c>
      <c r="AO57" s="29" t="str">
        <f ca="1">IF(Table293375489831888945361417807[[#This Row],[Column2]]=0," ",_xlfn.RANK.EQ(Table293375489831888945361417807[[#This Row],[Column2]],$AP$45:$AP$59))</f>
        <v xml:space="preserve"> </v>
      </c>
      <c r="AP57" s="29">
        <f ca="1">IF(Table293375489831888945361417807[[#This Row],[Column3]]=" ", 0,RAND())</f>
        <v>0</v>
      </c>
      <c r="AQ57" s="29" t="str">
        <f ca="1">R78</f>
        <v xml:space="preserve"> </v>
      </c>
      <c r="CB57" s="35">
        <f t="shared" ref="CB57:CB62" ca="1" si="42">_xlfn.RANK.EQ(CC57,$CC$57:$CC$62)</f>
        <v>1</v>
      </c>
      <c r="CC57" s="36">
        <f ca="1">IF(BM6&gt;0,0,RAND())</f>
        <v>0.89945791238885642</v>
      </c>
      <c r="CD57" s="29" t="s">
        <v>12</v>
      </c>
    </row>
    <row r="58" spans="1:83" x14ac:dyDescent="0.3">
      <c r="A58" s="137"/>
      <c r="B58" s="33" t="s">
        <v>15</v>
      </c>
      <c r="C58" s="33"/>
      <c r="D58" s="33"/>
      <c r="E58" s="33"/>
      <c r="F58" s="33"/>
      <c r="G58" s="33"/>
      <c r="H58" s="33"/>
      <c r="I58" s="33"/>
      <c r="J58" s="33"/>
      <c r="K58" s="33"/>
      <c r="L58" s="33"/>
      <c r="M58" s="33"/>
      <c r="N58" s="33"/>
      <c r="O58" s="33" t="str">
        <f t="shared" ca="1" si="39"/>
        <v xml:space="preserve"> </v>
      </c>
      <c r="P58" s="120">
        <f ca="1">SUM(BU10,P43)</f>
        <v>1</v>
      </c>
      <c r="AJ58" s="58" t="str">
        <f ca="1">IF(Table201336450792849906315379769[[#This Row],[Column2]]=0," ",_xlfn.RANK.EQ(AK58,$AK$56:$AK$65))</f>
        <v xml:space="preserve"> </v>
      </c>
      <c r="AK58" s="29">
        <f t="shared" ca="1" si="41"/>
        <v>0</v>
      </c>
      <c r="AL58" s="29" t="str">
        <f t="shared" ca="1" si="40"/>
        <v xml:space="preserve"> </v>
      </c>
      <c r="AO58" s="29">
        <f ca="1">IF(Table293375489831888945361417807[[#This Row],[Column2]]=0," ",_xlfn.RANK.EQ(Table293375489831888945361417807[[#This Row],[Column2]],$AP$45:$AP$59))</f>
        <v>7</v>
      </c>
      <c r="AP58" s="29">
        <f ca="1">IF(Table293375489831888945361417807[[#This Row],[Column3]]=" ", 0,RAND())</f>
        <v>0.1802864955310316</v>
      </c>
      <c r="AQ58" s="29" t="str">
        <f ca="1">R79</f>
        <v>Sling</v>
      </c>
      <c r="CB58" s="35">
        <f t="shared" ca="1" si="42"/>
        <v>3</v>
      </c>
      <c r="CC58" s="36">
        <f ca="1">IF(BM9&gt;0,0,RAND())</f>
        <v>0.64912442228358835</v>
      </c>
      <c r="CD58" s="29" t="s">
        <v>14</v>
      </c>
    </row>
    <row r="59" spans="1:83" x14ac:dyDescent="0.3">
      <c r="A59" s="137"/>
      <c r="B59" s="33" t="s">
        <v>16</v>
      </c>
      <c r="C59" s="33"/>
      <c r="D59" s="33"/>
      <c r="E59" s="33"/>
      <c r="F59" s="33"/>
      <c r="G59" s="33"/>
      <c r="H59" s="33"/>
      <c r="I59" s="33"/>
      <c r="J59" s="33"/>
      <c r="K59" s="33"/>
      <c r="L59" s="33"/>
      <c r="M59" s="33"/>
      <c r="N59" s="33"/>
      <c r="O59" s="33" t="str">
        <f t="shared" ca="1" si="39"/>
        <v>x</v>
      </c>
      <c r="P59" s="120">
        <f ca="1">SUM(P41,BU11)</f>
        <v>7</v>
      </c>
      <c r="AJ59" s="58" t="str">
        <f ca="1">IF(Table201336450792849906315379769[[#This Row],[Column2]]=0," ",_xlfn.RANK.EQ(AK59,$AK$56:$AK$65))</f>
        <v xml:space="preserve"> </v>
      </c>
      <c r="AK59" s="29">
        <f t="shared" ca="1" si="41"/>
        <v>0</v>
      </c>
      <c r="AL59" s="29" t="str">
        <f t="shared" ca="1" si="40"/>
        <v xml:space="preserve"> </v>
      </c>
      <c r="AO59" s="29" t="str">
        <f ca="1">IF(Table293375489831888945361417807[[#This Row],[Column2]]=0," ",_xlfn.RANK.EQ(Table293375489831888945361417807[[#This Row],[Column2]],$AP$45:$AP$59))</f>
        <v xml:space="preserve"> </v>
      </c>
      <c r="AP59" s="29">
        <f ca="1">IF(Table293375489831888945361417807[[#This Row],[Column3]]=" ", 0,RAND())</f>
        <v>0</v>
      </c>
      <c r="AQ59" s="29" t="str">
        <f ca="1">R80</f>
        <v xml:space="preserve"> </v>
      </c>
      <c r="CB59" s="35">
        <f t="shared" ca="1" si="42"/>
        <v>6</v>
      </c>
      <c r="CC59" s="36">
        <f ca="1">IF(BM11&gt;0,0,RAND())</f>
        <v>0</v>
      </c>
      <c r="CD59" s="29" t="s">
        <v>16</v>
      </c>
    </row>
    <row r="60" spans="1:83" x14ac:dyDescent="0.3">
      <c r="A60" s="137"/>
      <c r="B60" s="33" t="s">
        <v>17</v>
      </c>
      <c r="C60" s="33"/>
      <c r="D60" s="33"/>
      <c r="E60" s="33"/>
      <c r="F60" s="33"/>
      <c r="G60" s="33"/>
      <c r="H60" s="33"/>
      <c r="I60" s="33"/>
      <c r="J60" s="33"/>
      <c r="K60" s="33"/>
      <c r="L60" s="33"/>
      <c r="M60" s="33"/>
      <c r="N60" s="33"/>
      <c r="O60" s="33" t="str">
        <f t="shared" ca="1" si="39"/>
        <v xml:space="preserve"> </v>
      </c>
      <c r="P60" s="120">
        <f ca="1">SUM(BU12,P42)</f>
        <v>4</v>
      </c>
      <c r="AJ60" s="58" t="str">
        <f ca="1">IF(Table201336450792849906315379769[[#This Row],[Column2]]=0," ",_xlfn.RANK.EQ(AK60,$AK$56:$AK$65))</f>
        <v xml:space="preserve"> </v>
      </c>
      <c r="AK60" s="29">
        <f t="shared" ca="1" si="41"/>
        <v>0</v>
      </c>
      <c r="AL60" s="29" t="str">
        <f t="shared" ca="1" si="40"/>
        <v xml:space="preserve"> </v>
      </c>
      <c r="CB60" s="35">
        <f t="shared" ca="1" si="42"/>
        <v>2</v>
      </c>
      <c r="CC60" s="36">
        <f ca="1">IF(BM12&gt;0,0,RAND())</f>
        <v>0.83420937413174956</v>
      </c>
      <c r="CD60" s="29" t="s">
        <v>17</v>
      </c>
    </row>
    <row r="61" spans="1:83" x14ac:dyDescent="0.3">
      <c r="A61" s="137"/>
      <c r="B61" s="33" t="s">
        <v>18</v>
      </c>
      <c r="C61" s="33"/>
      <c r="D61" s="33"/>
      <c r="E61" s="33"/>
      <c r="F61" s="33"/>
      <c r="G61" s="33"/>
      <c r="H61" s="33"/>
      <c r="I61" s="33"/>
      <c r="J61" s="33"/>
      <c r="K61" s="33"/>
      <c r="L61" s="33"/>
      <c r="M61" s="33"/>
      <c r="N61" s="33"/>
      <c r="O61" s="33" t="str">
        <f t="shared" ca="1" si="39"/>
        <v xml:space="preserve"> </v>
      </c>
      <c r="P61" s="120">
        <f ca="1">SUM(BU13,P43)</f>
        <v>1</v>
      </c>
      <c r="AJ61" s="58" t="str">
        <f ca="1">IF(Table201336450792849906315379769[[#This Row],[Column2]]=0," ",_xlfn.RANK.EQ(AK61,$AK$56:$AK$65))</f>
        <v xml:space="preserve"> </v>
      </c>
      <c r="AK61" s="29">
        <f t="shared" ca="1" si="41"/>
        <v>0</v>
      </c>
      <c r="AL61" s="29" t="str">
        <f t="shared" ca="1" si="40"/>
        <v xml:space="preserve"> </v>
      </c>
      <c r="CB61" s="35">
        <f t="shared" ca="1" si="42"/>
        <v>5</v>
      </c>
      <c r="CC61" s="36">
        <f ca="1">IF(BM20&gt;0,0,RAND())</f>
        <v>0.3787327349033911</v>
      </c>
      <c r="CD61" s="29" t="s">
        <v>25</v>
      </c>
    </row>
    <row r="62" spans="1:83" x14ac:dyDescent="0.3">
      <c r="A62" s="137"/>
      <c r="B62" s="33" t="s">
        <v>19</v>
      </c>
      <c r="C62" s="33"/>
      <c r="D62" s="33"/>
      <c r="E62" s="33"/>
      <c r="F62" s="33"/>
      <c r="G62" s="33"/>
      <c r="H62" s="33"/>
      <c r="I62" s="33"/>
      <c r="J62" s="33"/>
      <c r="K62" s="33"/>
      <c r="L62" s="33"/>
      <c r="M62" s="33"/>
      <c r="N62" s="33"/>
      <c r="O62" s="33" t="str">
        <f t="shared" ca="1" si="39"/>
        <v xml:space="preserve"> </v>
      </c>
      <c r="P62" s="120">
        <f ca="1">SUM(BU14,P41)</f>
        <v>3</v>
      </c>
      <c r="AJ62" s="58" t="str">
        <f ca="1">IF(Table201336450792849906315379769[[#This Row],[Column2]]=0," ",_xlfn.RANK.EQ(AK62,$AK$56:$AK$65))</f>
        <v xml:space="preserve"> </v>
      </c>
      <c r="AK62" s="29">
        <f t="shared" ca="1" si="41"/>
        <v>0</v>
      </c>
      <c r="AL62" s="29" t="str">
        <f t="shared" ca="1" si="40"/>
        <v xml:space="preserve"> </v>
      </c>
      <c r="CB62" s="35">
        <f t="shared" ca="1" si="42"/>
        <v>4</v>
      </c>
      <c r="CC62" s="36">
        <f ca="1">IF(BM22&gt;0,0,RAND())</f>
        <v>0.59514390742387691</v>
      </c>
      <c r="CD62" s="29" t="s">
        <v>27</v>
      </c>
      <c r="CE62" s="31"/>
    </row>
    <row r="63" spans="1:83" x14ac:dyDescent="0.3">
      <c r="A63" s="137"/>
      <c r="B63" s="33" t="s">
        <v>20</v>
      </c>
      <c r="C63" s="33"/>
      <c r="D63" s="33"/>
      <c r="E63" s="33"/>
      <c r="F63" s="33"/>
      <c r="G63" s="33"/>
      <c r="H63" s="33"/>
      <c r="I63" s="33"/>
      <c r="J63" s="33"/>
      <c r="K63" s="33"/>
      <c r="L63" s="33"/>
      <c r="M63" s="33"/>
      <c r="N63" s="33"/>
      <c r="O63" s="33" t="str">
        <f t="shared" ca="1" si="39"/>
        <v xml:space="preserve"> </v>
      </c>
      <c r="P63" s="120">
        <f ca="1">SUM(BU15,P42)</f>
        <v>4</v>
      </c>
      <c r="AJ63" s="58" t="str">
        <f ca="1">IF(Table201336450792849906315379769[[#This Row],[Column2]]=0," ",_xlfn.RANK.EQ(AK63,$AK$56:$AK$65))</f>
        <v xml:space="preserve"> </v>
      </c>
      <c r="AK63" s="29">
        <f t="shared" ca="1" si="41"/>
        <v>0</v>
      </c>
      <c r="AL63" s="29" t="str">
        <f t="shared" ca="1" si="40"/>
        <v xml:space="preserve"> </v>
      </c>
    </row>
    <row r="64" spans="1:83" x14ac:dyDescent="0.3">
      <c r="A64" s="137"/>
      <c r="B64" s="33" t="s">
        <v>21</v>
      </c>
      <c r="C64" s="33"/>
      <c r="D64" s="33"/>
      <c r="E64" s="33"/>
      <c r="F64" s="33"/>
      <c r="G64" s="33"/>
      <c r="H64" s="33"/>
      <c r="I64" s="33"/>
      <c r="J64" s="33"/>
      <c r="K64" s="33"/>
      <c r="L64" s="33"/>
      <c r="M64" s="33"/>
      <c r="N64" s="33"/>
      <c r="O64" s="33" t="str">
        <f t="shared" ca="1" si="39"/>
        <v xml:space="preserve"> </v>
      </c>
      <c r="P64" s="120">
        <f ca="1">SUM(BU16,P41)</f>
        <v>3</v>
      </c>
      <c r="AJ64" s="58" t="str">
        <f ca="1">IF(Table201336450792849906315379769[[#This Row],[Column2]]=0," ",_xlfn.RANK.EQ(AK64,$AK$56:$AK$65))</f>
        <v xml:space="preserve"> </v>
      </c>
      <c r="AK64" s="29">
        <f t="shared" ca="1" si="41"/>
        <v>0</v>
      </c>
      <c r="AL64" s="29" t="str">
        <f t="shared" ca="1" si="40"/>
        <v xml:space="preserve"> </v>
      </c>
      <c r="CB64" s="31" t="s">
        <v>733</v>
      </c>
    </row>
    <row r="65" spans="1:82" x14ac:dyDescent="0.3">
      <c r="A65" s="137"/>
      <c r="B65" s="33" t="s">
        <v>22</v>
      </c>
      <c r="C65" s="33"/>
      <c r="D65" s="33"/>
      <c r="E65" s="33"/>
      <c r="F65" s="33"/>
      <c r="G65" s="33"/>
      <c r="H65" s="33"/>
      <c r="I65" s="33"/>
      <c r="J65" s="33"/>
      <c r="K65" s="33"/>
      <c r="L65" s="33"/>
      <c r="M65" s="33"/>
      <c r="N65" s="33"/>
      <c r="O65" s="33" t="str">
        <f t="shared" ca="1" si="39"/>
        <v xml:space="preserve"> </v>
      </c>
      <c r="P65" s="120">
        <f ca="1">SUM(BU17,P42)</f>
        <v>4</v>
      </c>
      <c r="AJ65" s="58" t="str">
        <f ca="1">IF(Table201336450792849906315379769[[#This Row],[Column2]]=0," ",_xlfn.RANK.EQ(AK65,$AK$56:$AK$65))</f>
        <v xml:space="preserve"> </v>
      </c>
      <c r="AK65" s="29">
        <f t="shared" ca="1" si="41"/>
        <v>0</v>
      </c>
      <c r="AL65" s="29" t="str">
        <f t="shared" ca="1" si="40"/>
        <v xml:space="preserve"> </v>
      </c>
      <c r="CB65" s="35">
        <f t="shared" ref="CB65:CB70" ca="1" si="43">_xlfn.RANK.EQ(CC65,$CC$65:$CC$70)</f>
        <v>3</v>
      </c>
      <c r="CC65" s="36">
        <f ca="1">IF(BM9&gt;0,0,RAND())</f>
        <v>0.84314165043632194</v>
      </c>
      <c r="CD65" s="29" t="s">
        <v>14</v>
      </c>
    </row>
    <row r="66" spans="1:82" x14ac:dyDescent="0.3">
      <c r="A66" s="137"/>
      <c r="B66" s="33" t="s">
        <v>23</v>
      </c>
      <c r="C66" s="33"/>
      <c r="D66" s="33"/>
      <c r="E66" s="33"/>
      <c r="F66" s="33"/>
      <c r="G66" s="33"/>
      <c r="H66" s="33"/>
      <c r="I66" s="33"/>
      <c r="J66" s="33"/>
      <c r="K66" s="33"/>
      <c r="L66" s="33"/>
      <c r="M66" s="33"/>
      <c r="N66" s="33"/>
      <c r="O66" s="33" t="str">
        <f t="shared" ca="1" si="39"/>
        <v xml:space="preserve"> </v>
      </c>
      <c r="P66" s="120">
        <f ca="1">SUM(BU18,P43)</f>
        <v>1</v>
      </c>
      <c r="CB66" s="35">
        <f t="shared" ca="1" si="43"/>
        <v>4</v>
      </c>
      <c r="CC66" s="36">
        <f ca="1">IF(BM12&gt;0,0,RAND())</f>
        <v>0.47239794722841844</v>
      </c>
      <c r="CD66" s="29" t="s">
        <v>17</v>
      </c>
    </row>
    <row r="67" spans="1:82" x14ac:dyDescent="0.3">
      <c r="A67" s="137"/>
      <c r="B67" s="33" t="s">
        <v>24</v>
      </c>
      <c r="C67" s="33"/>
      <c r="D67" s="33"/>
      <c r="E67" s="33"/>
      <c r="F67" s="33"/>
      <c r="G67" s="33"/>
      <c r="H67" s="33"/>
      <c r="I67" s="33"/>
      <c r="J67" s="33"/>
      <c r="K67" s="33"/>
      <c r="L67" s="33"/>
      <c r="M67" s="33"/>
      <c r="N67" s="33"/>
      <c r="O67" s="33" t="str">
        <f t="shared" ca="1" si="39"/>
        <v xml:space="preserve"> </v>
      </c>
      <c r="P67" s="120">
        <f ca="1">SUM(BU19,P43)</f>
        <v>1</v>
      </c>
      <c r="AJ67" s="31" t="s">
        <v>1168</v>
      </c>
      <c r="CB67" s="35">
        <f t="shared" ca="1" si="43"/>
        <v>6</v>
      </c>
      <c r="CC67" s="36">
        <f ca="1">IF(BM13&gt;0,0,RAND())</f>
        <v>1.6859702433899559E-2</v>
      </c>
      <c r="CD67" s="29" t="s">
        <v>18</v>
      </c>
    </row>
    <row r="68" spans="1:82" x14ac:dyDescent="0.3">
      <c r="A68" s="137"/>
      <c r="B68" s="33" t="s">
        <v>25</v>
      </c>
      <c r="C68" s="33"/>
      <c r="D68" s="33"/>
      <c r="E68" s="33"/>
      <c r="F68" s="33"/>
      <c r="G68" s="33"/>
      <c r="H68" s="33"/>
      <c r="I68" s="33"/>
      <c r="J68" s="33"/>
      <c r="K68" s="33"/>
      <c r="L68" s="33"/>
      <c r="M68" s="33"/>
      <c r="N68" s="33"/>
      <c r="O68" s="33" t="str">
        <f t="shared" ca="1" si="39"/>
        <v xml:space="preserve"> </v>
      </c>
      <c r="P68" s="120">
        <f ca="1">SUM(BU20,P41)</f>
        <v>3</v>
      </c>
      <c r="AJ68" s="58" t="str">
        <f ca="1">IF(Table202337451793850907320380770[[#This Row],[Column2]]=0," ",_xlfn.RANK.EQ(AK68,$AK$68:$AK$77))</f>
        <v xml:space="preserve"> </v>
      </c>
      <c r="AK68" s="60">
        <f t="shared" ref="AK68:AK77" ca="1" si="44">IF(AL68=" ", 0,RAND())</f>
        <v>0</v>
      </c>
      <c r="AL68" s="29" t="str">
        <f t="shared" ref="AL68:AL77" ca="1" si="45">S315</f>
        <v xml:space="preserve"> </v>
      </c>
      <c r="CB68" s="35">
        <f t="shared" ca="1" si="43"/>
        <v>5</v>
      </c>
      <c r="CC68" s="36">
        <f ca="1">IF(BM15&gt;0,0,RAND())</f>
        <v>3.531693624039256E-2</v>
      </c>
      <c r="CD68" s="29" t="s">
        <v>20</v>
      </c>
    </row>
    <row r="69" spans="1:82" x14ac:dyDescent="0.3">
      <c r="A69" s="137"/>
      <c r="B69" s="33" t="s">
        <v>26</v>
      </c>
      <c r="C69" s="33"/>
      <c r="D69" s="33"/>
      <c r="E69" s="33"/>
      <c r="F69" s="33"/>
      <c r="G69" s="33"/>
      <c r="H69" s="33"/>
      <c r="I69" s="33"/>
      <c r="J69" s="33"/>
      <c r="K69" s="33"/>
      <c r="L69" s="33"/>
      <c r="M69" s="33"/>
      <c r="N69" s="33"/>
      <c r="O69" s="33" t="str">
        <f t="shared" ca="1" si="39"/>
        <v xml:space="preserve"> </v>
      </c>
      <c r="P69" s="120">
        <f ca="1">SUM(BU21,P39)</f>
        <v>0</v>
      </c>
      <c r="AJ69" s="58" t="str">
        <f ca="1">IF(Table202337451793850907320380770[[#This Row],[Column2]]=0," ",_xlfn.RANK.EQ(AK69,$AK$68:$AK$77))</f>
        <v xml:space="preserve"> </v>
      </c>
      <c r="AK69" s="60">
        <f t="shared" ca="1" si="44"/>
        <v>0</v>
      </c>
      <c r="AL69" s="29" t="str">
        <f t="shared" ca="1" si="45"/>
        <v xml:space="preserve"> </v>
      </c>
      <c r="CB69" s="35">
        <f t="shared" ca="1" si="43"/>
        <v>2</v>
      </c>
      <c r="CC69" s="36">
        <f ca="1">IF(BM19&gt;0,0,RAND())</f>
        <v>0.86850350036777868</v>
      </c>
      <c r="CD69" s="29" t="s">
        <v>24</v>
      </c>
    </row>
    <row r="70" spans="1:82" x14ac:dyDescent="0.3">
      <c r="A70" s="137"/>
      <c r="B70" s="33" t="s">
        <v>27</v>
      </c>
      <c r="C70" s="33"/>
      <c r="D70" s="33"/>
      <c r="E70" s="33"/>
      <c r="F70" s="33"/>
      <c r="G70" s="33"/>
      <c r="H70" s="33"/>
      <c r="I70" s="33"/>
      <c r="J70" s="33"/>
      <c r="K70" s="33"/>
      <c r="L70" s="33"/>
      <c r="M70" s="33"/>
      <c r="N70" s="33"/>
      <c r="O70" s="33" t="str">
        <f t="shared" ca="1" si="39"/>
        <v xml:space="preserve"> </v>
      </c>
      <c r="P70" s="120">
        <f ca="1">SUM(BU22,P39)</f>
        <v>0</v>
      </c>
      <c r="AJ70" s="58" t="str">
        <f ca="1">IF(Table202337451793850907320380770[[#This Row],[Column2]]=0," ",_xlfn.RANK.EQ(AK70,$AK$68:$AK$77))</f>
        <v xml:space="preserve"> </v>
      </c>
      <c r="AK70" s="60">
        <f t="shared" ca="1" si="44"/>
        <v>0</v>
      </c>
      <c r="AL70" s="29" t="str">
        <f t="shared" ca="1" si="45"/>
        <v xml:space="preserve"> </v>
      </c>
      <c r="CB70" s="35">
        <f t="shared" ca="1" si="43"/>
        <v>1</v>
      </c>
      <c r="CC70" s="36">
        <f ca="1">IF(BM20&gt;0,0,RAND())</f>
        <v>0.90751122149520447</v>
      </c>
      <c r="CD70" s="29" t="s">
        <v>25</v>
      </c>
    </row>
    <row r="71" spans="1:82" x14ac:dyDescent="0.3">
      <c r="A71" s="137"/>
      <c r="B71" s="33" t="s">
        <v>28</v>
      </c>
      <c r="C71" s="33"/>
      <c r="D71" s="33"/>
      <c r="E71" s="33"/>
      <c r="F71" s="33"/>
      <c r="G71" s="33"/>
      <c r="H71" s="33"/>
      <c r="I71" s="33"/>
      <c r="J71" s="33"/>
      <c r="K71" s="33"/>
      <c r="L71" s="33"/>
      <c r="M71" s="33"/>
      <c r="N71" s="33"/>
      <c r="O71" s="33" t="str">
        <f t="shared" ca="1" si="39"/>
        <v xml:space="preserve"> </v>
      </c>
      <c r="P71" s="120">
        <f ca="1">SUM(BU23,P42)</f>
        <v>4</v>
      </c>
      <c r="AJ71" s="58" t="str">
        <f ca="1">IF(Table202337451793850907320380770[[#This Row],[Column2]]=0," ",_xlfn.RANK.EQ(AK71,$AK$68:$AK$77))</f>
        <v xml:space="preserve"> </v>
      </c>
      <c r="AK71" s="60">
        <f t="shared" ca="1" si="44"/>
        <v>0</v>
      </c>
      <c r="AL71" s="29" t="str">
        <f t="shared" ca="1" si="45"/>
        <v xml:space="preserve"> </v>
      </c>
    </row>
    <row r="72" spans="1:82" ht="19.5" thickBot="1" x14ac:dyDescent="0.35">
      <c r="A72" s="137"/>
      <c r="B72" s="38" t="str">
        <f ca="1">IF(O11="non-classed","Profession"," ")</f>
        <v xml:space="preserve"> </v>
      </c>
      <c r="C72" s="38"/>
      <c r="D72" s="38"/>
      <c r="E72" s="38"/>
      <c r="F72" s="38"/>
      <c r="G72" s="38"/>
      <c r="H72" s="38"/>
      <c r="I72" s="38"/>
      <c r="J72" s="38"/>
      <c r="K72" s="38"/>
      <c r="L72" s="38"/>
      <c r="M72" s="38"/>
      <c r="N72" s="38"/>
      <c r="O72" s="38" t="str">
        <f ca="1">IF(O11="non-classed","x"," ")</f>
        <v xml:space="preserve"> </v>
      </c>
      <c r="P72" s="121" t="str">
        <f ca="1">IF(O11="non-classed",P8*2," ")</f>
        <v xml:space="preserve"> </v>
      </c>
      <c r="AJ72" s="58" t="str">
        <f ca="1">IF(Table202337451793850907320380770[[#This Row],[Column2]]=0," ",_xlfn.RANK.EQ(AK72,$AK$68:$AK$77))</f>
        <v xml:space="preserve"> </v>
      </c>
      <c r="AK72" s="60">
        <f t="shared" ca="1" si="44"/>
        <v>0</v>
      </c>
      <c r="AL72" s="29" t="str">
        <f t="shared" ca="1" si="45"/>
        <v xml:space="preserve"> </v>
      </c>
      <c r="CB72" s="31" t="s">
        <v>734</v>
      </c>
    </row>
    <row r="73" spans="1:82" ht="19.5" thickBot="1" x14ac:dyDescent="0.35">
      <c r="AJ73" s="58" t="str">
        <f ca="1">IF(Table202337451793850907320380770[[#This Row],[Column2]]=0," ",_xlfn.RANK.EQ(AK73,$AK$68:$AK$77))</f>
        <v xml:space="preserve"> </v>
      </c>
      <c r="AK73" s="60">
        <f t="shared" ca="1" si="44"/>
        <v>0</v>
      </c>
      <c r="AL73" s="29" t="str">
        <f t="shared" ca="1" si="45"/>
        <v xml:space="preserve"> </v>
      </c>
      <c r="CB73" s="35">
        <f t="shared" ref="CB73:CB81" ca="1" si="46">_xlfn.RANK.EQ(CC73,$CC$73:$CC$81)</f>
        <v>9</v>
      </c>
      <c r="CC73" s="36">
        <f ca="1">IF(BM7&gt;0,0,RAND())</f>
        <v>0.32507578894967093</v>
      </c>
      <c r="CD73" s="29" t="s">
        <v>29</v>
      </c>
    </row>
    <row r="74" spans="1:82" ht="30.75" thickBot="1" x14ac:dyDescent="0.45">
      <c r="B74" s="106" t="s">
        <v>2716</v>
      </c>
      <c r="AJ74" s="58" t="str">
        <f ca="1">IF(Table202337451793850907320380770[[#This Row],[Column2]]=0," ",_xlfn.RANK.EQ(AK74,$AK$68:$AK$77))</f>
        <v xml:space="preserve"> </v>
      </c>
      <c r="AK74" s="60">
        <f t="shared" ca="1" si="44"/>
        <v>0</v>
      </c>
      <c r="AL74" s="29" t="str">
        <f t="shared" ca="1" si="45"/>
        <v xml:space="preserve"> </v>
      </c>
      <c r="CB74" s="35">
        <f t="shared" ca="1" si="46"/>
        <v>4</v>
      </c>
      <c r="CC74" s="36">
        <f ca="1">IF(BM9&gt;0,0,RAND())</f>
        <v>0.64694031946145736</v>
      </c>
      <c r="CD74" s="29" t="s">
        <v>14</v>
      </c>
    </row>
    <row r="75" spans="1:82" ht="19.5" thickBot="1" x14ac:dyDescent="0.35">
      <c r="B75" s="55" t="s">
        <v>52</v>
      </c>
      <c r="O75" s="53" t="s">
        <v>121</v>
      </c>
      <c r="P75" s="26" t="s">
        <v>46</v>
      </c>
      <c r="Q75" s="61"/>
      <c r="R75" s="28"/>
      <c r="AJ75" s="58" t="str">
        <f ca="1">IF(Table202337451793850907320380770[[#This Row],[Column2]]=0," ",_xlfn.RANK.EQ(AK75,$AK$68:$AK$77))</f>
        <v xml:space="preserve"> </v>
      </c>
      <c r="AK75" s="60">
        <f t="shared" ca="1" si="44"/>
        <v>0</v>
      </c>
      <c r="AL75" s="29" t="str">
        <f t="shared" ca="1" si="45"/>
        <v xml:space="preserve"> </v>
      </c>
      <c r="CB75" s="35">
        <f t="shared" ca="1" si="46"/>
        <v>8</v>
      </c>
      <c r="CC75" s="36">
        <f ca="1">IF(BM12&gt;0,0,RAND())</f>
        <v>0.47607168692627622</v>
      </c>
      <c r="CD75" s="29" t="s">
        <v>17</v>
      </c>
    </row>
    <row r="76" spans="1:82" ht="19.5" thickTop="1" x14ac:dyDescent="0.3">
      <c r="B76" s="56" t="str">
        <f ca="1">IF(OR(O11="warlock",Q11="warlock",P2="mountain",O11="barbarian",O11="bard",Q11="barbarian",O11="cleric",Q11="bard",Q11="cleric",O11="druid",Q11="druid",O11="fighter",Q11="fighter",O11="paladin",Q11="paladin",O11="ranger",Q11="ranger",O11="rogue",Q11="rogue"),"Light Armor"," ")</f>
        <v xml:space="preserve"> </v>
      </c>
      <c r="O76" s="33" t="str">
        <f ca="1">IF(Q2="dwarf",VLOOKUP(RANDBETWEEN(1,3),Table3[],2),IF(P2="rock","Artisan's Tools"," "))</f>
        <v xml:space="preserve"> </v>
      </c>
      <c r="P76" s="62" t="str">
        <f ca="1">IF(OR(O11="warlock",Q11="warlock",O11="barbarian",O11="bard",Q11="barbarian",Q11="bard",O11="cleric",O11="fighter",Q11="fighter",O11="monk",Q11="monk",O11="paladin",Q11="paladin",O11="ranger",Q11="ranger",O11="rogue"),"Simple Weapons",IF(Q2="dwarf","Handaxe"," "))</f>
        <v xml:space="preserve"> </v>
      </c>
      <c r="Q76" s="60" t="str">
        <f ca="1">IF(AND(P76&lt;&gt;"simple weapons",OR($O$11="druid",O11="non-classed")),"Club",IF(P80="shortsword"," ",IF(AND(P77&lt;&gt;"martial weapons",OR(O11="monk",O11="bard",Q11="monk",O11="rogue")),"Shortsword"," ")))</f>
        <v xml:space="preserve"> </v>
      </c>
      <c r="R76" s="63" t="str">
        <f ca="1">IF(AND(P76&lt;&gt;"simple weapons",OR($O$11="druid",O11="sorcerer",O11="wizard",O11="non-classed")),"Quarterstaff"," ")</f>
        <v>Quarterstaff</v>
      </c>
      <c r="AJ76" s="58" t="str">
        <f ca="1">IF(Table202337451793850907320380770[[#This Row],[Column2]]=0," ",_xlfn.RANK.EQ(AK76,$AK$68:$AK$77))</f>
        <v xml:space="preserve"> </v>
      </c>
      <c r="AK76" s="60">
        <f t="shared" ca="1" si="44"/>
        <v>0</v>
      </c>
      <c r="AL76" s="29" t="str">
        <f t="shared" ca="1" si="45"/>
        <v xml:space="preserve"> </v>
      </c>
      <c r="CB76" s="35">
        <f t="shared" ca="1" si="46"/>
        <v>3</v>
      </c>
      <c r="CC76" s="36">
        <f ca="1">IF(BM13&gt;0,0,RAND())</f>
        <v>0.68798555404069717</v>
      </c>
      <c r="CD76" s="29" t="s">
        <v>18</v>
      </c>
    </row>
    <row r="77" spans="1:82" x14ac:dyDescent="0.3">
      <c r="B77" s="56" t="str">
        <f ca="1">IF(OR(P2="mountain",O11="barbarian",Q11="barbarian",P15="college of valor",R15="college of valor",O11="cleric",Q11="cleric",O11="druid",Q11="druid",O11="fighter",Q11="fighter",O11="paladin",Q11="paladin",O11="ranger",Q11="ranger"),"Medium Armor"," ")</f>
        <v xml:space="preserve"> </v>
      </c>
      <c r="O77" s="33" t="str">
        <f ca="1">IF(AND(O11="monk",AF23=2),INDEX('Class Tables'!F25:F34,MATCH(1,('Class Tables'!D25:D34),0)),IF(AND(O11="monk",AF23=1),INDEX('Class Tables'!J80:J95,MATCH(1,('Class Tables'!I80:I95),0)),IF(P15="battle master",VLOOKUP(RANDBETWEEN(1,16),Table79[],2),IF(OR($O$11="bard"),INDEX('Class Tables'!$F$25:$F$34,MATCH(1,('Class Tables'!$D$25:$D$34),0))," "))))</f>
        <v xml:space="preserve"> </v>
      </c>
      <c r="P77" s="64" t="str">
        <f ca="1">IF(OR($O$11="barbarian",Q11="barbarian",P15="college of valor",R15="college of valor",R15="tempest",P15="tempest",P15="war",R15="war",O11="fighter",Q11="fighter",O11="paladin",Q11="paladin",O11="ranger",Q11="ranger"),"Martial Weapons",IF($Q$2="dwarf","Battleaxe",IF(OR($P$2="high",$P$2="wood"),"Longsword",IF($P$2="dark","Rapier"," "))))</f>
        <v>Rapier</v>
      </c>
      <c r="Q77" s="65" t="str">
        <f ca="1">IF(AND(OR($O$11="druid",O11="sorcerer",O11="wizard",O11="non-classed"),P76&lt;&gt;"Simple weapons"),"Dagger",IF(AND(O11="bard",P77&lt;&gt;"Martial Weapons"),"Hand Crossbow",IF(AND(O11="rogue",P77&lt;&gt;"martial weapons"),"Hand Crossbow"," ")))</f>
        <v>Dagger</v>
      </c>
      <c r="R77" s="66" t="str">
        <f ca="1">IF(AND(P77&lt;&gt;"martial weapons",$O$11="druid"),"Scimitar"," ")</f>
        <v xml:space="preserve"> </v>
      </c>
      <c r="AJ77" s="58" t="str">
        <f ca="1">IF(Table202337451793850907320380770[[#This Row],[Column2]]=0," ",_xlfn.RANK.EQ(AK77,$AK$68:$AK$77))</f>
        <v xml:space="preserve"> </v>
      </c>
      <c r="AK77" s="60">
        <f t="shared" ca="1" si="44"/>
        <v>0</v>
      </c>
      <c r="AL77" s="29" t="str">
        <f t="shared" ca="1" si="45"/>
        <v xml:space="preserve"> </v>
      </c>
      <c r="CB77" s="35">
        <f t="shared" ca="1" si="46"/>
        <v>1</v>
      </c>
      <c r="CC77" s="36">
        <f ca="1">IF(BM14&gt;0,0,RAND())</f>
        <v>0.99935408124725322</v>
      </c>
      <c r="CD77" s="29" t="s">
        <v>19</v>
      </c>
    </row>
    <row r="78" spans="1:82" x14ac:dyDescent="0.3">
      <c r="B78" s="56" t="str">
        <f ca="1">IF(OR(O11="barbarian",Q11="barbarian",R15="college of valor",P15="college of valor",O11="cleric",Q11="cleric",O11="druid",Q11="Druid",O11="fighter",Q11="fighter",O11="paladin",Q11="paladin",O11="ranger",Q11="ranger"),"Shields"," ")</f>
        <v xml:space="preserve"> </v>
      </c>
      <c r="O78" s="33" t="str">
        <f ca="1">IF(OR($O$11="bard"),INDEX('Class Tables'!$F$25:$F$34,MATCH(2,('Class Tables'!$D$25:$D$34),0))," ")</f>
        <v xml:space="preserve"> </v>
      </c>
      <c r="P78" s="62" t="str">
        <f ca="1">IF(AND(P76&lt;&gt;"Simple Weapons",Q2="dwarf"),"Light Hammer",IF(AND(P2="high",P76&lt;&gt;"Simple Weapons"),"Shortbow",IF(AND(P76&lt;&gt;"Simple Weapons",P2="wood"),"Shortbow",IF(AND(P2="dark",P77&lt;&gt;"Martial Weapons"),"Hand Crossbow"," "))))</f>
        <v>Hand Crossbow</v>
      </c>
      <c r="Q78" s="60" t="str">
        <f ca="1">IF(AND(OR($O$11="druid",O11="sorcerer",O11="wizard"),P76&lt;&gt;"Simple weapons"),"Dart",IF(AND(P77&lt;&gt;"martial weapons",OR(O11="bard",O11="rogue")),"Longsword"," "))</f>
        <v>Dart</v>
      </c>
      <c r="R78" s="63" t="str">
        <f ca="1">IF(AND(P76&lt;&gt;"simple weapons",$O$11="druid"),"Sickle"," ")</f>
        <v xml:space="preserve"> </v>
      </c>
      <c r="CB78" s="35">
        <f t="shared" ca="1" si="46"/>
        <v>7</v>
      </c>
      <c r="CC78" s="36">
        <f ca="1">IF(BM16&gt;0,0,RAND())</f>
        <v>0.57568871726138482</v>
      </c>
      <c r="CD78" s="29" t="s">
        <v>21</v>
      </c>
    </row>
    <row r="79" spans="1:82" x14ac:dyDescent="0.3">
      <c r="B79" s="33" t="str">
        <f ca="1">IF(OR(P15="life",R15="life",P15="nature",R15="nature",P15="tempest",R15="tempest",P15="war",R15="war",O11="fighter",Q11="fighter",O11="paladin"),"Heavy Armor"," ")</f>
        <v xml:space="preserve"> </v>
      </c>
      <c r="O79" s="33" t="str">
        <f ca="1">IF(OR($O$11="bard",$Q$11="bard"),INDEX('Class Tables'!$F$25:$F$34,MATCH(3,('Class Tables'!$D$25:$D$34),0))," ")</f>
        <v xml:space="preserve"> </v>
      </c>
      <c r="P79" s="64" t="str">
        <f ca="1">IF(P77="martial weapons"," ",IF(Q2="dwarf","Warhammer",IF(OR(P2="high",P2="wood"),"Longbow"," ")))</f>
        <v xml:space="preserve"> </v>
      </c>
      <c r="Q79" s="65" t="str">
        <f ca="1">IF(AND($O$11="druid",P76&lt;&gt;"simple weapons"),"Javelin",IF(AND(O11="sorcerer",P76&lt;&gt;"simple weapons"),"Light Crossbow",IF(AND(O11="wizard",P76&lt;&gt;"simple weapons"),"Light Crossbow",IF(AND(OR(O11="bard",O11="rogue"),P77&lt;&gt;"martial weapons"),"Rapier"," "))))</f>
        <v>Light Crossbow</v>
      </c>
      <c r="R79" s="66" t="str">
        <f ca="1">IF(AND(P76&lt;&gt;"simple weapons",OR($O$11="druid",O11="sorcerer",O11="wizard")),"Sling"," ")</f>
        <v>Sling</v>
      </c>
      <c r="AJ79" s="31" t="s">
        <v>676</v>
      </c>
      <c r="CB79" s="35">
        <f t="shared" ca="1" si="46"/>
        <v>5</v>
      </c>
      <c r="CC79" s="36">
        <f ca="1">IF(BM17&gt;0,0,RAND())</f>
        <v>0.60705534272716921</v>
      </c>
      <c r="CD79" s="29" t="s">
        <v>22</v>
      </c>
    </row>
    <row r="80" spans="1:82" ht="19.5" thickBot="1" x14ac:dyDescent="0.35">
      <c r="O80" s="33" t="str">
        <f ca="1">IF(OR(O11="druid",S11="hermit"),"Herbalism Kit"," ")</f>
        <v xml:space="preserve"> </v>
      </c>
      <c r="P80" s="51" t="str">
        <f ca="1">IF(AND(P77&lt;&gt;"martial weapons",OR(P2="high",P2="wood",P2="dark")),"Shortsword"," ")</f>
        <v>Shortsword</v>
      </c>
      <c r="Q80" s="67" t="str">
        <f ca="1">IF(AND(P76&lt;&gt;"simple weapons",$O$11="druid"),"Mace"," ")</f>
        <v xml:space="preserve"> </v>
      </c>
      <c r="R80" s="68" t="str">
        <f ca="1">IF(AND(P76&lt;&gt;"simple weapons",$O$11="druid"),"Spear"," ")</f>
        <v xml:space="preserve"> </v>
      </c>
      <c r="AJ80" s="58" t="str">
        <f ca="1">IF(Table203338452794851908321381771[[#This Row],[Column2]]=0," ",_xlfn.RANK.EQ(AK80,$AK$80:$AK$89))</f>
        <v xml:space="preserve"> </v>
      </c>
      <c r="AK80" s="60">
        <f t="shared" ref="AK80:AK89" ca="1" si="47">IF(AL80=" ", 0,RAND())</f>
        <v>0</v>
      </c>
      <c r="AL80" s="29" t="str">
        <f t="shared" ref="AL80:AL89" ca="1" si="48">T315</f>
        <v xml:space="preserve"> </v>
      </c>
      <c r="CB80" s="35">
        <f t="shared" ca="1" si="46"/>
        <v>2</v>
      </c>
      <c r="CC80" s="36">
        <f ca="1">IF(BM22&gt;0,0,RAND())</f>
        <v>0.77049475483472396</v>
      </c>
      <c r="CD80" s="29" t="s">
        <v>27</v>
      </c>
    </row>
    <row r="81" spans="1:82" x14ac:dyDescent="0.3">
      <c r="O81" s="33" t="str">
        <f ca="1">IF(AND(AF25=2,OR(O11="rogue",Q11="rogue")),"Thieves' Tools - Expert",IF(OR(O11="rogue",Q11="rogue"),"Thieves' Tools"," "))</f>
        <v xml:space="preserve"> </v>
      </c>
      <c r="AJ81" s="58" t="str">
        <f ca="1">IF(Table203338452794851908321381771[[#This Row],[Column2]]=0," ",_xlfn.RANK.EQ(AK81,$AK$80:$AK$89))</f>
        <v xml:space="preserve"> </v>
      </c>
      <c r="AK81" s="60">
        <f t="shared" ca="1" si="47"/>
        <v>0</v>
      </c>
      <c r="AL81" s="29" t="str">
        <f t="shared" ca="1" si="48"/>
        <v xml:space="preserve"> </v>
      </c>
      <c r="CB81" s="35">
        <f t="shared" ca="1" si="46"/>
        <v>6</v>
      </c>
      <c r="CC81" s="36">
        <f ca="1">IF(BM23&gt;0,0,RAND())</f>
        <v>0.60585524897876875</v>
      </c>
      <c r="CD81" s="29" t="s">
        <v>28</v>
      </c>
    </row>
    <row r="82" spans="1:82" x14ac:dyDescent="0.3">
      <c r="O82" s="33" t="str">
        <f ca="1">IF(P15="assassin","Disguise Kit"," ")</f>
        <v xml:space="preserve"> </v>
      </c>
      <c r="AJ82" s="58" t="str">
        <f ca="1">IF(Table203338452794851908321381771[[#This Row],[Column2]]=0," ",_xlfn.RANK.EQ(AK82,$AK$80:$AK$89))</f>
        <v xml:space="preserve"> </v>
      </c>
      <c r="AK82" s="60">
        <f t="shared" ca="1" si="47"/>
        <v>0</v>
      </c>
      <c r="AL82" s="29" t="str">
        <f t="shared" ca="1" si="48"/>
        <v xml:space="preserve"> </v>
      </c>
    </row>
    <row r="83" spans="1:82" x14ac:dyDescent="0.3">
      <c r="O83" s="33" t="str">
        <f ca="1">IF(P15="assassin","Poisoner's Kit"," ")</f>
        <v xml:space="preserve"> </v>
      </c>
      <c r="AJ83" s="58" t="str">
        <f ca="1">IF(Table203338452794851908321381771[[#This Row],[Column2]]=0," ",_xlfn.RANK.EQ(AK83,$AK$80:$AK$89))</f>
        <v xml:space="preserve"> </v>
      </c>
      <c r="AK83" s="60">
        <f t="shared" ca="1" si="47"/>
        <v>0</v>
      </c>
      <c r="AL83" s="29" t="str">
        <f t="shared" ca="1" si="48"/>
        <v xml:space="preserve"> </v>
      </c>
      <c r="CB83" s="31" t="s">
        <v>735</v>
      </c>
    </row>
    <row r="84" spans="1:82" x14ac:dyDescent="0.3">
      <c r="O84" s="33" t="str">
        <f ca="1">IF(S11="soldier",VLOOKUP(RANDBETWEEN(1,4),Table258[],2),IF(OR(S11="sailor",S11="pirate"),"Navigator's Tools",IF(OR(S11="folk hero",S11="Guild Artisan"),VLOOKUP(RANDBETWEEN(1,16),Table79[],2),IF(AND(OR(S11="criminal",S11="urchin"),OR(O81&lt;&gt;"Thieves' Tools",O81&lt;&gt;"Thieves' Tools - Expert")),"Thieves' Tools",IF(AND(OR(S11="charlatan",S11="entertainer"),O82&lt;&gt;"Disguise Kit"),"Disguise Kit"," ")))))</f>
        <v xml:space="preserve"> </v>
      </c>
      <c r="AJ84" s="58" t="str">
        <f ca="1">IF(Table203338452794851908321381771[[#This Row],[Column2]]=0," ",_xlfn.RANK.EQ(AK84,$AK$80:$AK$89))</f>
        <v xml:space="preserve"> </v>
      </c>
      <c r="AK84" s="60">
        <f t="shared" ca="1" si="47"/>
        <v>0</v>
      </c>
      <c r="AL84" s="29" t="str">
        <f t="shared" ca="1" si="48"/>
        <v xml:space="preserve"> </v>
      </c>
      <c r="CB84" s="35">
        <f t="shared" ref="CB84:CB94" ca="1" si="49">_xlfn.RANK.EQ(CC84,$CC$84:$CC$94)</f>
        <v>6</v>
      </c>
      <c r="CC84" s="36">
        <f ca="1">IF(BM6&gt;0,0,RAND())</f>
        <v>0.51094155190653257</v>
      </c>
      <c r="CD84" s="29" t="s">
        <v>12</v>
      </c>
    </row>
    <row r="85" spans="1:82" x14ac:dyDescent="0.3">
      <c r="O85" s="33" t="str">
        <f ca="1">IF(AND(S11="urchin",O82&lt;&gt;"Disguise Kit"),"Disguise Kit",IF(OR(S11="Sailor",S11="pirate"),"Vehicles (Water)",IF(OR(S11="folk hero",S11="Soldier"),"Vehicles (Land)",IF(OR(S11="entertainer",S11="outlander"),INDEX('Class Tables'!$F$25:$F$34,MATCH(4,('Class Tables'!$D$25:$D$34),0)),IF(OR(S11="criminal",S11="noble",S11="knight"),VLOOKUP(RANDBETWEEN(1,4),Table258[],2),IF(S11="charlatan","Forgery Kit"," "))))))</f>
        <v xml:space="preserve"> </v>
      </c>
      <c r="AJ85" s="58" t="str">
        <f ca="1">IF(Table203338452794851908321381771[[#This Row],[Column2]]=0," ",_xlfn.RANK.EQ(AK85,$AK$80:$AK$89))</f>
        <v xml:space="preserve"> </v>
      </c>
      <c r="AK85" s="60">
        <f t="shared" ca="1" si="47"/>
        <v>0</v>
      </c>
      <c r="AL85" s="29" t="str">
        <f t="shared" ca="1" si="48"/>
        <v xml:space="preserve"> </v>
      </c>
      <c r="CB85" s="35">
        <f t="shared" ca="1" si="49"/>
        <v>2</v>
      </c>
      <c r="CC85" s="36">
        <f ca="1">IF(BM9&gt;0,0,RAND())</f>
        <v>0.82941847583070638</v>
      </c>
      <c r="CD85" s="29" t="s">
        <v>14</v>
      </c>
    </row>
    <row r="86" spans="1:82" ht="19.5" thickBot="1" x14ac:dyDescent="0.35">
      <c r="AJ86" s="58" t="str">
        <f ca="1">IF(Table203338452794851908321381771[[#This Row],[Column2]]=0," ",_xlfn.RANK.EQ(AK86,$AK$80:$AK$89))</f>
        <v xml:space="preserve"> </v>
      </c>
      <c r="AK86" s="60">
        <f t="shared" ca="1" si="47"/>
        <v>0</v>
      </c>
      <c r="AL86" s="29" t="str">
        <f t="shared" ca="1" si="48"/>
        <v xml:space="preserve"> </v>
      </c>
      <c r="CB86" s="35">
        <f t="shared" ca="1" si="49"/>
        <v>8</v>
      </c>
      <c r="CC86" s="36">
        <f ca="1">IF(BM10&gt;0,0,RAND())</f>
        <v>0.48259918708604299</v>
      </c>
      <c r="CD86" s="29" t="s">
        <v>15</v>
      </c>
    </row>
    <row r="87" spans="1:82" ht="30.75" thickBot="1" x14ac:dyDescent="0.45">
      <c r="A87" s="72"/>
      <c r="B87" s="128" t="s">
        <v>1953</v>
      </c>
      <c r="AJ87" s="58" t="str">
        <f ca="1">IF(Table203338452794851908321381771[[#This Row],[Column2]]=0," ",_xlfn.RANK.EQ(AK87,$AK$80:$AK$89))</f>
        <v xml:space="preserve"> </v>
      </c>
      <c r="AK87" s="60">
        <f t="shared" ca="1" si="47"/>
        <v>0</v>
      </c>
      <c r="AL87" s="29" t="str">
        <f t="shared" ca="1" si="48"/>
        <v xml:space="preserve"> </v>
      </c>
      <c r="CB87" s="35">
        <f t="shared" ca="1" si="49"/>
        <v>7</v>
      </c>
      <c r="CC87" s="36">
        <f ca="1">IF(BM12&gt;0,0,RAND())</f>
        <v>0.49191722155557616</v>
      </c>
      <c r="CD87" s="29" t="s">
        <v>17</v>
      </c>
    </row>
    <row r="88" spans="1:82" x14ac:dyDescent="0.3">
      <c r="A88" s="115"/>
      <c r="B88" s="130" t="s">
        <v>1952</v>
      </c>
      <c r="C88" s="130"/>
      <c r="D88" s="130"/>
      <c r="E88" s="130"/>
      <c r="F88" s="130"/>
      <c r="G88" s="130"/>
      <c r="H88" s="130"/>
      <c r="I88" s="130"/>
      <c r="J88" s="130"/>
      <c r="K88" s="130"/>
      <c r="L88" s="130"/>
      <c r="M88" s="130"/>
      <c r="N88" s="130"/>
      <c r="O88" s="130" t="s">
        <v>1954</v>
      </c>
      <c r="P88" s="130" t="s">
        <v>1955</v>
      </c>
      <c r="Q88" s="130" t="s">
        <v>1956</v>
      </c>
      <c r="R88" s="130" t="s">
        <v>1088</v>
      </c>
      <c r="S88" s="130" t="s">
        <v>2480</v>
      </c>
      <c r="T88" s="130" t="s">
        <v>1957</v>
      </c>
      <c r="AJ88" s="58" t="str">
        <f ca="1">IF(Table203338452794851908321381771[[#This Row],[Column2]]=0," ",_xlfn.RANK.EQ(AK88,$AK$80:$AK$89))</f>
        <v xml:space="preserve"> </v>
      </c>
      <c r="AK88" s="60">
        <f t="shared" ca="1" si="47"/>
        <v>0</v>
      </c>
      <c r="AL88" s="29" t="str">
        <f t="shared" ca="1" si="48"/>
        <v xml:space="preserve"> </v>
      </c>
      <c r="CB88" s="35">
        <f t="shared" ca="1" si="49"/>
        <v>4</v>
      </c>
      <c r="CC88" s="36">
        <f ca="1">IF(BM13&gt;0,0,RAND())</f>
        <v>0.64080585932704581</v>
      </c>
      <c r="CD88" s="29" t="s">
        <v>18</v>
      </c>
    </row>
    <row r="89" spans="1:82" x14ac:dyDescent="0.3">
      <c r="A89" s="137"/>
      <c r="B89" s="33" t="str">
        <f ca="1">IF(OR(O15="unarmored defense",O16="unarmored defense",Q15="unarmored defense",Q16="unarmored defense"),"Unarmored Defense",IF(B79="heavy armor",VLOOKUP(RANDBETWEEN(1,4),Table286[],2),IF(B77="medium armor",VLOOKUP(RANDBETWEEN(1,5),Table285[],2),IF(B76="light armor",VLOOKUP(RANDBETWEEN(1,3),Table284[],2),VLOOKUP(RANDBETWEEN(1,3),Table291[],2)))))</f>
        <v>Fine Clothes</v>
      </c>
      <c r="C89" s="33"/>
      <c r="D89" s="33"/>
      <c r="E89" s="33"/>
      <c r="F89" s="33"/>
      <c r="G89" s="33"/>
      <c r="H89" s="33"/>
      <c r="I89" s="33"/>
      <c r="J89" s="33"/>
      <c r="K89" s="33"/>
      <c r="L89" s="33"/>
      <c r="M89" s="33"/>
      <c r="N89" s="33"/>
      <c r="O89" s="33">
        <f ca="1">IF(B89="unarmored Defense",10,INDEX(Items!C2:C22,MATCH(B89,(Items!B2:B22),0)))</f>
        <v>10</v>
      </c>
      <c r="P89" s="33">
        <f ca="1">IF(OR(B89="ring mail",B89="chain mail",B89="splint",B89="plate"),0,IF(B89="fine clothes",P39,IF(B89="common clothes",P39,IF(B89="traveler's clothes",P39,IF(B89="unarmored defense",P39,IF(B89="padded",P39,IF(B89="leather",P39,IF(B89="Studded Leather",P39,IF(B89="Hide",MIN(2,(P39)),IF(B89="chain shirt",MIN(2,(P39)),IF(B89="scale mail",MIN(2,(P39)),IF(B89="breastplate",MIN(2,(P39)),IF(B89="half plate",MIN(2,(Q2)),0)))))))))))))</f>
        <v>0</v>
      </c>
      <c r="Q89" s="33">
        <f ca="1">IF(AND(B89="unarmored defense",OR(O11="barbarian",Q11="barbarian")),P40,IF(AND(B89="unarmored defense",OR(O11="monk",Q11="monk")),P42,IF(AND(OR(O17="defense style",Q17="defense style",P18="defense style",O15="defense style",S18="defense style",Q15="defense style"),B89&lt;&gt;"unarmored defense"),2,0)))</f>
        <v>0</v>
      </c>
      <c r="R89" s="33">
        <f ca="1">IF(AND(B90="shield",COUNTIF(B109:P109,"*"&amp;"Shield +3"&amp;"*")),5,IF(AND(B90="shield",COUNTIF(B109:P109,"*"&amp;"Shield +2"&amp;"*")),4,IF(AND(B90="shield",COUNTIF(B109:P109,"*"&amp;"Shield +1"&amp;"*")),3,IF(B90="shield",2,0))))</f>
        <v>0</v>
      </c>
      <c r="S89" s="29" t="str">
        <f ca="1">IF(COUNTIF(B109:P109,"*"&amp;"Armor +3"&amp;"*"),3,IF(COUNTIF(B109:P109,"*"&amp;"Armor +2"&amp;"*"),2,IF(COUNTIF(B109:P109,"*"&amp;"Armor +1"&amp;"*"),1," ")))</f>
        <v xml:space="preserve"> </v>
      </c>
      <c r="T89" s="33">
        <f ca="1">SUM(C89:S89)</f>
        <v>10</v>
      </c>
      <c r="AJ89" s="58" t="str">
        <f ca="1">IF(Table203338452794851908321381771[[#This Row],[Column2]]=0," ",_xlfn.RANK.EQ(AK89,$AK$80:$AK$89))</f>
        <v xml:space="preserve"> </v>
      </c>
      <c r="AK89" s="60">
        <f t="shared" ca="1" si="47"/>
        <v>0</v>
      </c>
      <c r="AL89" s="29" t="str">
        <f t="shared" ca="1" si="48"/>
        <v xml:space="preserve"> </v>
      </c>
      <c r="CB89" s="35">
        <f t="shared" ca="1" si="49"/>
        <v>3</v>
      </c>
      <c r="CC89" s="36">
        <f ca="1">IF(BM14&gt;0,0,RAND())</f>
        <v>0.81844303301458143</v>
      </c>
      <c r="CD89" s="29" t="s">
        <v>19</v>
      </c>
    </row>
    <row r="90" spans="1:82" x14ac:dyDescent="0.3">
      <c r="A90" s="137"/>
      <c r="B90" s="33" t="str">
        <f ca="1">IF(B78="shields","Shield"," ")</f>
        <v xml:space="preserve"> </v>
      </c>
      <c r="C90" s="33"/>
      <c r="D90" s="33"/>
      <c r="E90" s="33"/>
      <c r="F90" s="33"/>
      <c r="G90" s="33"/>
      <c r="H90" s="33"/>
      <c r="I90" s="33"/>
      <c r="J90" s="33"/>
      <c r="K90" s="33"/>
      <c r="L90" s="33"/>
      <c r="M90" s="33"/>
      <c r="N90" s="33"/>
      <c r="O90" s="33"/>
      <c r="P90" s="33"/>
      <c r="Q90" s="33"/>
      <c r="R90" s="33"/>
      <c r="S90" s="33"/>
      <c r="CB90" s="35">
        <f t="shared" ca="1" si="49"/>
        <v>11</v>
      </c>
      <c r="CC90" s="36">
        <f ca="1">IF(BM17&gt;0,0,RAND())</f>
        <v>2.239090029722246E-2</v>
      </c>
      <c r="CD90" s="29" t="s">
        <v>22</v>
      </c>
    </row>
    <row r="91" spans="1:82" x14ac:dyDescent="0.3">
      <c r="A91" s="137"/>
      <c r="B91" s="69" t="s">
        <v>1962</v>
      </c>
      <c r="C91" s="69"/>
      <c r="D91" s="69"/>
      <c r="E91" s="69"/>
      <c r="F91" s="69"/>
      <c r="G91" s="69"/>
      <c r="H91" s="69"/>
      <c r="I91" s="69"/>
      <c r="J91" s="69"/>
      <c r="K91" s="69"/>
      <c r="L91" s="69"/>
      <c r="M91" s="69"/>
      <c r="N91" s="69"/>
      <c r="O91" s="69" t="s">
        <v>1963</v>
      </c>
      <c r="P91" s="69" t="s">
        <v>1982</v>
      </c>
      <c r="Q91" s="70" t="s">
        <v>1983</v>
      </c>
      <c r="R91" s="71" t="s">
        <v>2715</v>
      </c>
      <c r="S91" s="30"/>
      <c r="AJ91" s="31" t="s">
        <v>1169</v>
      </c>
      <c r="CB91" s="35">
        <f t="shared" ca="1" si="49"/>
        <v>5</v>
      </c>
      <c r="CC91" s="36">
        <f ca="1">IF(BM18&gt;0,0,RAND())</f>
        <v>0.58124344813623408</v>
      </c>
      <c r="CD91" s="29" t="s">
        <v>23</v>
      </c>
    </row>
    <row r="92" spans="1:82" x14ac:dyDescent="0.3">
      <c r="A92" s="137"/>
      <c r="B92" s="33" t="str">
        <f ca="1">IF(P77="martial weapons",VLOOKUP(RANDBETWEEN(1,18),Table289[],2),IF(P76="simple weapons",VLOOKUP(RANDBETWEEN(1,10),Table287[],2),INDEX(AQ45:AQ59,MATCH(1,(AO45:AO59),0))))</f>
        <v>Light Crossbow</v>
      </c>
      <c r="C92" s="33"/>
      <c r="D92" s="33"/>
      <c r="E92" s="33"/>
      <c r="F92" s="33"/>
      <c r="G92" s="33"/>
      <c r="H92" s="33"/>
      <c r="I92" s="33"/>
      <c r="J92" s="33"/>
      <c r="K92" s="33"/>
      <c r="L92" s="33"/>
      <c r="M92" s="33"/>
      <c r="N92" s="33"/>
      <c r="O92" s="33" t="str">
        <f ca="1">INDEX(Items!$G$2:$G$44,MATCH(B92,(Items!$F$2:$F$44),0))</f>
        <v>1d8p</v>
      </c>
      <c r="P92" s="33" t="str">
        <f ca="1">INDEX(Items!$I$2:$I$44,MATCH(B92,(Items!$F$2:$F$44),0))</f>
        <v>n/a</v>
      </c>
      <c r="Q92" s="72" t="str">
        <f ca="1">INDEX(Items!$H$2:$H$44,MATCH(B92,(Items!$F$2:$F$44),0))</f>
        <v>Ammo,80/320,2H,Loading</v>
      </c>
      <c r="R92" s="30"/>
      <c r="S92" s="30"/>
      <c r="AJ92" s="58" t="str">
        <f ca="1">IF(Table204339453795852909322382772[[#This Row],[Column2]]=0," ",_xlfn.RANK.EQ(AK92,$AK$92:$AK$101))</f>
        <v xml:space="preserve"> </v>
      </c>
      <c r="AK92" s="60">
        <f t="shared" ref="AK92:AK101" ca="1" si="50">IF(AL92=" ", 0,RAND())</f>
        <v>0</v>
      </c>
      <c r="AL92" s="29" t="str">
        <f t="shared" ref="AL92:AL101" ca="1" si="51">P334</f>
        <v xml:space="preserve"> </v>
      </c>
      <c r="CB92" s="35">
        <f t="shared" ca="1" si="49"/>
        <v>1</v>
      </c>
      <c r="CC92" s="36">
        <f ca="1">IF(BM19&gt;0,0,RAND())</f>
        <v>0.85980582308747555</v>
      </c>
      <c r="CD92" s="29" t="s">
        <v>24</v>
      </c>
    </row>
    <row r="93" spans="1:82" x14ac:dyDescent="0.3">
      <c r="A93" s="137"/>
      <c r="B93" s="33" t="str">
        <f ca="1">IF(P77="martial weapons",VLOOKUP(RANDBETWEEN(1,18),Table289[],2),IF(P76="simple weapons",VLOOKUP(RANDBETWEEN(1,10),Table287[],2),INDEX(AQ45:AQ59,MATCH(2,(AO45:AO59),0))))</f>
        <v>Quarterstaff</v>
      </c>
      <c r="C93" s="33"/>
      <c r="D93" s="33"/>
      <c r="E93" s="33"/>
      <c r="F93" s="33"/>
      <c r="G93" s="33"/>
      <c r="H93" s="33"/>
      <c r="I93" s="33"/>
      <c r="J93" s="33"/>
      <c r="K93" s="33"/>
      <c r="L93" s="33"/>
      <c r="M93" s="33"/>
      <c r="N93" s="33"/>
      <c r="O93" s="33" t="str">
        <f ca="1">INDEX(Items!$G$2:$G$44,MATCH(B93,(Items!$F$2:$F$44),0))</f>
        <v>1d6b</v>
      </c>
      <c r="P93" s="33" t="str">
        <f ca="1">INDEX(Items!$I$2:$I$44,MATCH(B93,(Items!$F$2:$F$44),0))</f>
        <v>1d8b</v>
      </c>
      <c r="Q93" s="72" t="str">
        <f ca="1">INDEX(Items!$H$2:$H$44,MATCH(B93,(Items!$F$2:$F$44),0))</f>
        <v>n/a</v>
      </c>
      <c r="R93" s="30"/>
      <c r="S93" s="30"/>
      <c r="AJ93" s="58" t="str">
        <f ca="1">IF(Table204339453795852909322382772[[#This Row],[Column2]]=0," ",_xlfn.RANK.EQ(AK93,$AK$92:$AK$101))</f>
        <v xml:space="preserve"> </v>
      </c>
      <c r="AK93" s="60">
        <f t="shared" ca="1" si="50"/>
        <v>0</v>
      </c>
      <c r="AL93" s="29" t="str">
        <f t="shared" ca="1" si="51"/>
        <v xml:space="preserve"> </v>
      </c>
      <c r="CB93" s="35">
        <f t="shared" ca="1" si="49"/>
        <v>9</v>
      </c>
      <c r="CC93" s="36">
        <f ca="1">IF(BM21&gt;0,0,RAND())</f>
        <v>0.29103157603919472</v>
      </c>
      <c r="CD93" s="29" t="s">
        <v>26</v>
      </c>
    </row>
    <row r="94" spans="1:82" x14ac:dyDescent="0.3">
      <c r="A94" s="137"/>
      <c r="B94" s="33" t="str">
        <f ca="1">IF(P77="martial weapons",VLOOKUP(RANDBETWEEN(1,5),Table290[],2),IF(P76="simple weapons",VLOOKUP(RANDBETWEEN(1,4),Table288[],2,),INDEX(AQ45:AQ59,MATCH(3,(AO45:AO59),0))))</f>
        <v>Dart</v>
      </c>
      <c r="C94" s="33"/>
      <c r="D94" s="33"/>
      <c r="E94" s="33"/>
      <c r="F94" s="33"/>
      <c r="G94" s="33"/>
      <c r="H94" s="33"/>
      <c r="I94" s="33"/>
      <c r="J94" s="33"/>
      <c r="K94" s="33"/>
      <c r="L94" s="33"/>
      <c r="M94" s="33"/>
      <c r="N94" s="33"/>
      <c r="O94" s="33" t="str">
        <f ca="1">IF(B94=" "," ",INDEX(Items!$G$2:$G$44,MATCH(B94,(Items!$F$2:$F$44),0)))</f>
        <v>1d4p</v>
      </c>
      <c r="P94" s="33" t="str">
        <f ca="1">IF(B94=" "," ",INDEX(Items!$I$2:$I$44,MATCH(B94,(Items!$F$2:$F$44),0)))</f>
        <v>n/a</v>
      </c>
      <c r="Q94" s="72" t="str">
        <f ca="1">IF(B94=" "," ",INDEX(Items!$H$2:$H$44,MATCH(B94,(Items!$F$2:$F$44),0)))</f>
        <v>Finesse,Throw (20/60)</v>
      </c>
      <c r="R94" s="30"/>
      <c r="S94" s="30"/>
      <c r="AJ94" s="58" t="str">
        <f ca="1">IF(Table204339453795852909322382772[[#This Row],[Column2]]=0," ",_xlfn.RANK.EQ(AK94,$AK$92:$AK$101))</f>
        <v xml:space="preserve"> </v>
      </c>
      <c r="AK94" s="60">
        <f t="shared" ca="1" si="50"/>
        <v>0</v>
      </c>
      <c r="AL94" s="29" t="str">
        <f t="shared" ca="1" si="51"/>
        <v xml:space="preserve"> </v>
      </c>
      <c r="CB94" s="35">
        <f t="shared" ca="1" si="49"/>
        <v>10</v>
      </c>
      <c r="CC94" s="36">
        <f ca="1">IF(BM22&gt;0,0,RAND())</f>
        <v>7.8816268006308698E-2</v>
      </c>
      <c r="CD94" s="29" t="s">
        <v>27</v>
      </c>
    </row>
    <row r="95" spans="1:82" ht="19.5" thickBot="1" x14ac:dyDescent="0.35">
      <c r="A95" s="137"/>
      <c r="B95" s="38" t="str">
        <f ca="1">IF(O11="monk","Martial Arts"," ")</f>
        <v xml:space="preserve"> </v>
      </c>
      <c r="C95" s="33"/>
      <c r="D95" s="33"/>
      <c r="E95" s="33"/>
      <c r="F95" s="33"/>
      <c r="G95" s="33"/>
      <c r="H95" s="33"/>
      <c r="I95" s="33"/>
      <c r="J95" s="33"/>
      <c r="K95" s="33"/>
      <c r="L95" s="33"/>
      <c r="M95" s="33"/>
      <c r="N95" s="33"/>
      <c r="O95" s="38" t="str">
        <f ca="1">IF(B95="martial arts",INDEX('Class Tables'!J98:J117,MATCH(O12,('Class Tables'!I98:I117),0))," ")</f>
        <v xml:space="preserve"> </v>
      </c>
      <c r="P95" s="38" t="str">
        <f ca="1">IF(B95=" "," ",IF(B95="martial arts", " ",INDEX(Items!$I$2:$I$44,MATCH(B95,(Items!$F$2:$F$44),0))))</f>
        <v xml:space="preserve"> </v>
      </c>
      <c r="Q95" s="73" t="str">
        <f ca="1">IF(B95=" "," ",IF(B95="martial arts"," ",INDEX(Items!$H$2:$H$44,MATCH(B95,(Items!$F$2:$F$44),0))))</f>
        <v xml:space="preserve"> </v>
      </c>
      <c r="R95" s="41"/>
      <c r="S95" s="41"/>
      <c r="AJ95" s="58" t="str">
        <f ca="1">IF(Table204339453795852909322382772[[#This Row],[Column2]]=0," ",_xlfn.RANK.EQ(AK95,$AK$92:$AK$101))</f>
        <v xml:space="preserve"> </v>
      </c>
      <c r="AK95" s="60">
        <f t="shared" ca="1" si="50"/>
        <v>0</v>
      </c>
      <c r="AL95" s="29" t="str">
        <f t="shared" ca="1" si="51"/>
        <v xml:space="preserve"> </v>
      </c>
    </row>
    <row r="96" spans="1:82" x14ac:dyDescent="0.3">
      <c r="A96" s="137"/>
      <c r="O96" s="69" t="s">
        <v>1964</v>
      </c>
      <c r="P96" s="69" t="s">
        <v>34</v>
      </c>
      <c r="Q96" s="69" t="s">
        <v>1986</v>
      </c>
      <c r="R96" s="69" t="s">
        <v>2753</v>
      </c>
      <c r="S96" s="70" t="s">
        <v>2480</v>
      </c>
      <c r="AJ96" s="58" t="str">
        <f ca="1">IF(Table204339453795852909322382772[[#This Row],[Column2]]=0," ",_xlfn.RANK.EQ(AK96,$AK$92:$AK$101))</f>
        <v xml:space="preserve"> </v>
      </c>
      <c r="AK96" s="60">
        <f t="shared" ca="1" si="50"/>
        <v>0</v>
      </c>
      <c r="AL96" s="29" t="str">
        <f t="shared" ca="1" si="51"/>
        <v xml:space="preserve"> </v>
      </c>
      <c r="CB96" s="31" t="s">
        <v>736</v>
      </c>
    </row>
    <row r="97" spans="1:82" x14ac:dyDescent="0.3">
      <c r="A97" s="137"/>
      <c r="B97" s="29" t="str">
        <f ca="1">B92</f>
        <v>Light Crossbow</v>
      </c>
      <c r="O97" s="33">
        <f ca="1">IF(VLOOKUP(B92,Items!$F$2:$J$44,5,FALSE)="fin",SUM($P$38:$P$39)-SMALL($P$38:$P$39,1),IF(VLOOKUP(B92,(Items!$F$2:$J$44),5,FALSE)="str",$P$38,IF(VLOOKUP(B92,(Items!$F$2:$J$44),5,FALSE)="dex",$P$39,0)))</f>
        <v>0</v>
      </c>
      <c r="P97" s="33">
        <f ca="1">P8</f>
        <v>4</v>
      </c>
      <c r="Q97" s="33">
        <f ca="1">IF(AND(OR(B92&lt;&gt;"light crossbow",B92&lt;&gt;"dart",B92="shortbow",B92&lt;&gt;"Sling",B92&lt;&gt;"blowgun",B92&lt;&gt;"hand crossbow",B92&lt;&gt;"heavy crossbow",B92&lt;&gt;"longbow",B92&lt;&gt;"net",B92&lt;&gt;"greatclub",B92&lt;&gt;"glaive",B92&lt;&gt;"Greataxe",B92&lt;&gt;"Greatsword",B92&lt;&gt;"halbard",B92&lt;&gt;"maul",B92&lt;&gt;"pike"),OR($O$18="dueling style",$Q$18="dueling style",$P$18="dueling style",$S$18="dueling style",$O$15="dueling style",$Q$15="dueling style")),2,0)</f>
        <v>0</v>
      </c>
      <c r="R97" s="33">
        <f ca="1">IF(AND(OR(B92="light crossbow",B92="dart",B92="shortbow",B92="Sling",B92="blowgun",B92="hand crossbow",B92="heavy crossbow",B92="longbow",B92="net"),OR($P$18="archery style",$S$18="archery style",$O$15="archery style",$Q$15="archery style")),2,0)</f>
        <v>0</v>
      </c>
      <c r="S97" s="72" t="str">
        <f ca="1">IF(COUNTIF(B109:P109,"*"&amp;"Weapon +3"&amp;"*"),3,IF(COUNTIF(B109:P109,"*"&amp;"Weapon +2"&amp;"*"),2,IF(COUNTIF(B109:P109,"*"&amp;"Weapon +1"&amp;"*"),1," ")))</f>
        <v xml:space="preserve"> </v>
      </c>
      <c r="AJ97" s="58" t="str">
        <f ca="1">IF(Table204339453795852909322382772[[#This Row],[Column2]]=0," ",_xlfn.RANK.EQ(AK97,$AK$92:$AK$101))</f>
        <v xml:space="preserve"> </v>
      </c>
      <c r="AK97" s="60">
        <f t="shared" ca="1" si="50"/>
        <v>0</v>
      </c>
      <c r="AL97" s="29" t="str">
        <f t="shared" ca="1" si="51"/>
        <v xml:space="preserve"> </v>
      </c>
      <c r="CB97" s="35">
        <f t="shared" ref="CB97:CB102" ca="1" si="52">_xlfn.RANK.EQ(CC97,$CC$97:$CC$102)</f>
        <v>6</v>
      </c>
      <c r="CC97" s="36">
        <f ca="1">IF(BM8&gt;0,0,RAND())</f>
        <v>0</v>
      </c>
      <c r="CD97" s="29" t="s">
        <v>13</v>
      </c>
    </row>
    <row r="98" spans="1:82" x14ac:dyDescent="0.3">
      <c r="A98" s="137"/>
      <c r="B98" s="29" t="str">
        <f ca="1">B93</f>
        <v>Quarterstaff</v>
      </c>
      <c r="O98" s="33">
        <f ca="1">IF(VLOOKUP(B93,Items!$F$2:$J$44,5,FALSE)="fin",SUM($P$38:$P$39)-SMALL($P$38:$P$39,1),IF(VLOOKUP(B93,(Items!$F$2:$J$44),5,FALSE)="str",$P$38,IF(VLOOKUP(B93,(Items!$F$2:$J$44),5,FALSE)="dex",$P$39,0)))</f>
        <v>1</v>
      </c>
      <c r="P98" s="33">
        <f ca="1">P8</f>
        <v>4</v>
      </c>
      <c r="Q98" s="33">
        <f ca="1">IF(AND(OR(B93&lt;&gt;"light crossbow",B93&lt;&gt;"dart",B93="shortbow",B93&lt;&gt;"Sling",B93&lt;&gt;"blowgun",B93&lt;&gt;"hand crossbow",B93&lt;&gt;"heavy crossbow",B93&lt;&gt;"longbow",B93&lt;&gt;"net",B93&lt;&gt;"greatclub",B93&lt;&gt;"glaive",B93&lt;&gt;"Greataxe",B93&lt;&gt;"Greatsword",B93&lt;&gt;"halbard",B93&lt;&gt;"maul",B93&lt;&gt;"pike"),OR($O$18="dueling style",$Q$18="dueling style",$P$18="dueling style",$S$18="dueling style",$O$15="dueling style",$Q$15="dueling style")),2,0)</f>
        <v>0</v>
      </c>
      <c r="R98" s="33">
        <f ca="1">IF(AND(OR(B93="light crossbow",B93="dart",B93="shortbow",B93="Sling",B93="blowgun",B93="hand crossbow",B93="heavy crossbow",B93="longbow",B93="net"),OR($P$18="archery style",$S$18="archery style",$O$15="archery style",$Q$15="archery style")),2,0)</f>
        <v>0</v>
      </c>
      <c r="S98" s="72" t="str">
        <f ca="1">IF(AND(S97&lt;&gt;2,COUNTIF(B109:P109,"*"&amp;"Weapon +2"&amp;"*")),2,IF(AND(S97&lt;&gt;1,COUNTIF(B109:P109,"*"&amp;"Weapon +1"&amp;"*")),1," "))</f>
        <v xml:space="preserve"> </v>
      </c>
      <c r="AJ98" s="58" t="str">
        <f ca="1">IF(Table204339453795852909322382772[[#This Row],[Column2]]=0," ",_xlfn.RANK.EQ(AK98,$AK$92:$AK$101))</f>
        <v xml:space="preserve"> </v>
      </c>
      <c r="AK98" s="60">
        <f t="shared" ca="1" si="50"/>
        <v>0</v>
      </c>
      <c r="AL98" s="29" t="str">
        <f t="shared" ca="1" si="51"/>
        <v xml:space="preserve"> </v>
      </c>
      <c r="CB98" s="35">
        <f t="shared" ca="1" si="52"/>
        <v>3</v>
      </c>
      <c r="CC98" s="36">
        <f ca="1">IF(BM10&gt;0,0,RAND())</f>
        <v>0.29121369374049244</v>
      </c>
      <c r="CD98" s="29" t="s">
        <v>15</v>
      </c>
    </row>
    <row r="99" spans="1:82" x14ac:dyDescent="0.3">
      <c r="A99" s="137"/>
      <c r="B99" s="29" t="str">
        <f ca="1">B94</f>
        <v>Dart</v>
      </c>
      <c r="O99" s="33">
        <f ca="1">IF(VLOOKUP(B94,Items!$F$2:$J$44,5,FALSE)="fin",SUM($P$38:$P$39)-SMALL($P$38:$P$39,1),IF(VLOOKUP(B94,(Items!$F$2:$J$44),5,FALSE)="str",$P$38,IF(VLOOKUP(B94,(Items!$F$2:$J$44),5,FALSE)="dex",$P$39,0)))</f>
        <v>0</v>
      </c>
      <c r="P99" s="33">
        <f ca="1">IF(B94=" "," ",P8)</f>
        <v>4</v>
      </c>
      <c r="Q99" s="33">
        <f ca="1">IF(AND(OR(B94&lt;&gt;"light crossbow",B94&lt;&gt;"dart",B94="shortbow",B94&lt;&gt;"Sling",B94&lt;&gt;"blowgun",B94&lt;&gt;"hand crossbow",B94&lt;&gt;"heavy crossbow",B94&lt;&gt;"longbow",B94&lt;&gt;"net",B94&lt;&gt;"greatclub",B94&lt;&gt;"glaive",B94&lt;&gt;"Greataxe",B94&lt;&gt;"Greatsword",B94&lt;&gt;"halbard",B94&lt;&gt;"maul",B94&lt;&gt;"pike"),OR($O$18="dueling style",$Q$18="dueling style",$P$18="dueling style",$S$18="dueling style",$O$15="dueling style",$Q$15="dueling style")),2,0)</f>
        <v>0</v>
      </c>
      <c r="R99" s="33">
        <f ca="1">IF(AND(OR(B94="light crossbow",B94="dart",B94="shortbow",B94="Sling",B94="blowgun",B94="hand crossbow",B94="heavy crossbow",B94="longbow",B94="net"),OR($P$18="archery style",$S$18="archery style",$O$15="archery style",$Q$15="archery style")),2,0)</f>
        <v>0</v>
      </c>
      <c r="S99" s="72" t="str">
        <f ca="1">IF(AND(S97&lt;&gt;1,S98&lt;&gt;1,COUNTIF(B109:P109,"*"&amp;"Weapon +1"&amp;"*")),1," ")</f>
        <v xml:space="preserve"> </v>
      </c>
      <c r="AJ99" s="58" t="str">
        <f ca="1">IF(Table204339453795852909322382772[[#This Row],[Column2]]=0," ",_xlfn.RANK.EQ(AK99,$AK$92:$AK$101))</f>
        <v xml:space="preserve"> </v>
      </c>
      <c r="AK99" s="60">
        <f t="shared" ca="1" si="50"/>
        <v>0</v>
      </c>
      <c r="AL99" s="29" t="str">
        <f t="shared" ca="1" si="51"/>
        <v xml:space="preserve"> </v>
      </c>
      <c r="CB99" s="35">
        <f t="shared" ca="1" si="52"/>
        <v>1</v>
      </c>
      <c r="CC99" s="36">
        <f ca="1">IF(BM12&gt;0,0,RAND())</f>
        <v>0.87228548823762941</v>
      </c>
      <c r="CD99" s="29" t="s">
        <v>17</v>
      </c>
    </row>
    <row r="100" spans="1:82" x14ac:dyDescent="0.3">
      <c r="A100" s="138"/>
      <c r="B100" s="29" t="str">
        <f ca="1">B95</f>
        <v xml:space="preserve"> </v>
      </c>
      <c r="O100" s="33" t="str">
        <f ca="1">IF(B95="martial arts",SUM($P$38:$P$39)-SMALL($P$38:$P$39,1)," ")</f>
        <v xml:space="preserve"> </v>
      </c>
      <c r="P100" s="33" t="str">
        <f ca="1">IF(B95=" "," ",P8)</f>
        <v xml:space="preserve"> </v>
      </c>
      <c r="Q100" s="33">
        <f ca="1">IF(AND(OR(B95&lt;&gt;"light crossbow",B95&lt;&gt;"dart",B95="shortbow",B95&lt;&gt;"Sling",B95&lt;&gt;"blowgun",B95&lt;&gt;"hand crossbow",B95&lt;&gt;"heavy crossbow",B95&lt;&gt;"longbow",B95&lt;&gt;"net",B95&lt;&gt;"greatclub",B95&lt;&gt;"glaive",B95&lt;&gt;"Greataxe",B95&lt;&gt;"Greatsword",B95&lt;&gt;"halbard",B95&lt;&gt;"maul",B95&lt;&gt;"pike"),OR($O$18="dueling style",$Q$18="dueling style",$P$18="dueling style",$S$18="dueling style",$O$15="dueling style",$Q$15="dueling style")),2,0)</f>
        <v>0</v>
      </c>
      <c r="R100" s="33">
        <f ca="1">IF(AND(OR(B95="light crossbow",B95="dart",B95="shortbow",B95="Sling",B95="blowgun",B95="hand crossbow",B95="heavy crossbow",B95="longbow",B95="net"),OR($P$18="archery style",$S$18="archery style",$O$15="archery style",$Q$15="archery style")),2,0)</f>
        <v>0</v>
      </c>
      <c r="S100" s="72" t="str">
        <f ca="1">IF(AND(S98&lt;&gt;1,S99&lt;&gt;1,COUNTIF(B110:P110,"*"&amp;"Weapon +1"&amp;"*")),1," ")</f>
        <v xml:space="preserve"> </v>
      </c>
      <c r="AJ100" s="58" t="str">
        <f ca="1">IF(Table204339453795852909322382772[[#This Row],[Column2]]=0," ",_xlfn.RANK.EQ(AK100,$AK$92:$AK$101))</f>
        <v xml:space="preserve"> </v>
      </c>
      <c r="AK100" s="60">
        <f t="shared" ca="1" si="50"/>
        <v>0</v>
      </c>
      <c r="AL100" s="29" t="str">
        <f t="shared" ca="1" si="51"/>
        <v xml:space="preserve"> </v>
      </c>
      <c r="CB100" s="35">
        <f t="shared" ca="1" si="52"/>
        <v>4</v>
      </c>
      <c r="CC100" s="36">
        <f ca="1">IF(BM13&gt;0,0,RAND())</f>
        <v>0.2426720767109023</v>
      </c>
      <c r="CD100" s="29" t="s">
        <v>18</v>
      </c>
    </row>
    <row r="101" spans="1:82" x14ac:dyDescent="0.3">
      <c r="A101" s="138"/>
      <c r="AJ101" s="58" t="str">
        <f ca="1">IF(Table204339453795852909322382772[[#This Row],[Column2]]=0," ",_xlfn.RANK.EQ(AK101,$AK$92:$AK$101))</f>
        <v xml:space="preserve"> </v>
      </c>
      <c r="AK101" s="60">
        <f t="shared" ca="1" si="50"/>
        <v>0</v>
      </c>
      <c r="AL101" s="29" t="str">
        <f t="shared" ca="1" si="51"/>
        <v xml:space="preserve"> </v>
      </c>
      <c r="CB101" s="35">
        <f t="shared" ca="1" si="52"/>
        <v>5</v>
      </c>
      <c r="CC101" s="36">
        <f ca="1">IF(BM19&gt;0,0,RAND())</f>
        <v>1.7285924109817774E-3</v>
      </c>
      <c r="CD101" s="29" t="s">
        <v>24</v>
      </c>
    </row>
    <row r="102" spans="1:82" x14ac:dyDescent="0.3">
      <c r="A102" s="137"/>
      <c r="B102" s="69" t="str">
        <f ca="1">IF(B40="non-classed","Shoulder Bag",IF(B103="diplomat's pack","Small Chest","Backpack"))</f>
        <v>Backpack</v>
      </c>
      <c r="C102" s="33"/>
      <c r="D102" s="33"/>
      <c r="E102" s="33"/>
      <c r="F102" s="33"/>
      <c r="G102" s="33"/>
      <c r="H102" s="33"/>
      <c r="I102" s="33"/>
      <c r="J102" s="33"/>
      <c r="K102" s="33"/>
      <c r="L102" s="33"/>
      <c r="M102" s="33"/>
      <c r="N102" s="33"/>
      <c r="O102" s="33"/>
      <c r="P102" s="33"/>
      <c r="Q102" s="69" t="s">
        <v>1988</v>
      </c>
      <c r="R102" s="69" t="str">
        <f ca="1">IF(OR(P15="eldritch knight",R15="eldritch knight",P15="arcane trickster",R15="arcane trickster",O11="ranger",Q11="ranger",O11="bard",Q11="bard",O11="cleric",Q11="cleric",O11="druid",Q11="druid",O11="paladin",Q11="paladin",O11="sorcerer",Q11="sorcerer",O11="warlock",Q11="warlock",O11="wizard",Q11="wizard"),"Component Pouch"," ")</f>
        <v>Component Pouch</v>
      </c>
      <c r="CB102" s="35">
        <f t="shared" ca="1" si="52"/>
        <v>2</v>
      </c>
      <c r="CC102" s="36">
        <f ca="1">IF(BM20&gt;0,0,RAND())</f>
        <v>0.75455651793393752</v>
      </c>
      <c r="CD102" s="29" t="s">
        <v>25</v>
      </c>
    </row>
    <row r="103" spans="1:82" x14ac:dyDescent="0.3">
      <c r="A103" s="137"/>
      <c r="B103" s="33" t="str">
        <f ca="1">IF(AND(AF21=2,O11="wizard"),"Explorer's Pack",IF(AND(AF21=1,OR(O11="sorcerer",O11="wizard",O11="warlock")),"Scholar's Pack",IF(AND(AF20=1,O11="rogue"),"Dungeoneer's Pack",IF(AND(AF20=2,O11="rogue"),"Explorer's Pack",IF(AND(AF20=3,O11="rogue"),"Burglar's Pack",IF(AND(AF21=1,OR(O11="monk",O11="Fighter",O11="ranger",O11="Sorcerer")),"Explorer's Pack",IF(AND(AF21=2,OR(O11="fighter",O11="monk",O11="ranger",O11="sorcerer",O11="warlock")),"Dungeoneer's Pack",IF(O11="druid","Explorer's Pack",IF(AND(AF21=2,OR(O11="cleric",O11="paladin")),"Explorer's Pack",IF(AND(AF21=1,OR(O11="cleric",O11="paladin")),"Priest's Pack",IF(AND(AF21=1,O11="bard"),"Diplomat's Pack",IF(AND(AF21=2,O11="bard"),"Entertainer's Pack",IF(O11="barbarian","Explorer's Pack"," ")))))))))))))</f>
        <v>Dungeoneer's Pack</v>
      </c>
      <c r="C103" s="33"/>
      <c r="D103" s="33"/>
      <c r="E103" s="33"/>
      <c r="F103" s="33"/>
      <c r="G103" s="33"/>
      <c r="H103" s="33"/>
      <c r="I103" s="33"/>
      <c r="J103" s="33"/>
      <c r="K103" s="33"/>
      <c r="L103" s="33"/>
      <c r="M103" s="33"/>
      <c r="N103" s="33"/>
      <c r="O103" s="33" t="str">
        <f ca="1">IF(B103="Scholar's Pack","SP - Little Bag of Sand",IF(B103="Priest's Pack","PP - 2 Blocks of Incense",IF(B103="Entertainer's Pack","EP - Waterskin",IF(B103="Dungeoneer's Pack","DP - Tinderbox",IF(B103="Diplomat's Pack","DP - Lamp",IF(B103="Burglar's Pack","BP - Hammer",IF(B103="explorer's pack","EP - 10 Days Rations"," ")))))))</f>
        <v>DP - Tinderbox</v>
      </c>
      <c r="P103" s="33" t="str">
        <f ca="1">IF(B103="Diplomat's Pack","DP - Soap",IF(B103="Burglar's Pack","BP - Tinderbox"," "))</f>
        <v xml:space="preserve"> </v>
      </c>
      <c r="Q103" s="33" t="str">
        <f ca="1">INDEX(Items!C47:C66,MATCH(P6,(Items!A47:A66),0))&amp;" CP"</f>
        <v>817 CP</v>
      </c>
      <c r="R103" s="33" t="str">
        <f ca="1">IF(OR(,O11="bard",Q11="bard",O11="cleric",Q11="cleric",O11="druid",Q11="druid",O11="paladin",Q11="paladin",O11="sorcerer",Q11="sorcerer",O11="warlock",Q11="warlock",O11="wizard",Q11="wizard"),"Arcane Focus"," ")</f>
        <v>Arcane Focus</v>
      </c>
      <c r="AJ103" s="31" t="s">
        <v>1170</v>
      </c>
    </row>
    <row r="104" spans="1:82" x14ac:dyDescent="0.3">
      <c r="A104" s="137"/>
      <c r="B104" s="33" t="str">
        <f ca="1">IF(B103="Scholar's Pack","SP - Book of Lore",IF(B103="Priest's Pack","PP - Blanket",IF(B103="Entertainer's Pack","EP - Bedroll",IF(B103="Dungeoneer's Pack","DP - Crowbar",IF(B103="Diplomat's Pack","DP - 2 Map/Scroll Cases",IF(B103="Burglar's Pack","BP - 10' of String",IF(B103="explorer's pack"," EP - Bedroll"," ")))))))</f>
        <v>DP - Crowbar</v>
      </c>
      <c r="C104" s="33"/>
      <c r="D104" s="33"/>
      <c r="E104" s="33"/>
      <c r="F104" s="33"/>
      <c r="G104" s="33"/>
      <c r="H104" s="33"/>
      <c r="I104" s="33"/>
      <c r="J104" s="33"/>
      <c r="K104" s="33"/>
      <c r="L104" s="33"/>
      <c r="M104" s="33"/>
      <c r="N104" s="33"/>
      <c r="O104" s="33" t="str">
        <f ca="1">IF(B103="Scholar's Pack","SP - Small Knife",IF(B103="Priest's Pack","PP - Censer",IF(B103="Entertainer's Pack","EP - Disguise Kit",IF(B103="Dungeoneer's Pack","DP - 10 Days Rations",IF(B103="Diplomat's Pack","DP - 2 Flasks of Oil",IF(B103="Burglar's Pack","BP - 10 Pitons",IF(B103="explorer's pack","EP - Waterskin"," ")))))))</f>
        <v>DP - 10 Days Rations</v>
      </c>
      <c r="P104" s="33" t="str">
        <f ca="1">IF(B103="Burglar's Pack","BP - Waterskin"," ")</f>
        <v xml:space="preserve"> </v>
      </c>
      <c r="Q104" s="33" t="str">
        <f ca="1">INDEX(Items!D47:D66,MATCH(P6,(Items!A47:A66),0))&amp;" SP"</f>
        <v>0 SP</v>
      </c>
      <c r="R104" s="69" t="str">
        <f ca="1">IF(COUNTIF(B92:B94,"*"&amp;"sling"&amp;"*"),"Sling Bullet Pouch"," ")</f>
        <v xml:space="preserve"> </v>
      </c>
      <c r="AJ104" s="58" t="str">
        <f ca="1">IF(AK104=0," ",_xlfn.RANK.EQ(AK104,$AK$104:$AK$113))</f>
        <v xml:space="preserve"> </v>
      </c>
      <c r="AK104" s="60">
        <f t="shared" ref="AK104:AK113" ca="1" si="53">IF(AL104=" ", 0,RAND())</f>
        <v>0</v>
      </c>
      <c r="AL104" s="29" t="str">
        <f t="shared" ref="AL104:AL113" ca="1" si="54">Q334</f>
        <v xml:space="preserve"> </v>
      </c>
      <c r="CB104" s="31" t="s">
        <v>737</v>
      </c>
    </row>
    <row r="105" spans="1:82" x14ac:dyDescent="0.3">
      <c r="A105" s="137"/>
      <c r="B105" s="33" t="str">
        <f ca="1">IF(B103="Scholar's Pack","SP - Bottle of Ink",IF(B103="Priest's Pack","PP - 10 Candles",IF(B103="Entertainer's Pack","EP - 2 Costumes",IF(B103="Dungeoneer's Pack","DP -Hammer ",IF(B103="Diplomat's Pack","DP - Set of Fine Clothes",IF(B103="Burglar's Pack","BP - Bell",IF(B103="explorer's pack","EP - Mess Kit"," ")))))))</f>
        <v xml:space="preserve">DP -Hammer </v>
      </c>
      <c r="C105" s="33"/>
      <c r="D105" s="33"/>
      <c r="E105" s="33"/>
      <c r="F105" s="33"/>
      <c r="G105" s="33"/>
      <c r="H105" s="33"/>
      <c r="I105" s="33"/>
      <c r="J105" s="33"/>
      <c r="K105" s="33"/>
      <c r="L105" s="33"/>
      <c r="M105" s="33"/>
      <c r="N105" s="33"/>
      <c r="O105" s="33" t="str">
        <f ca="1">IF(B103="Priest's Pack","PP - Vestments",IF(B103="Dungeoneer's Pack","DP - Waterskin",IF(B103="Diplomat's Pack","DP - 5 Sheets of Paper",IF(B103="Burglar's Pack","BP - Hooded Lantern",IF(B103="explorer's pack","EP - 50' Hempen Rope"," ")))))</f>
        <v>DP - Waterskin</v>
      </c>
      <c r="P105" s="33" t="str">
        <f ca="1">IF(B103="Burglar's Pack","BP - 50' Hempen Rope"," ")</f>
        <v xml:space="preserve"> </v>
      </c>
      <c r="Q105" s="33" t="str">
        <f ca="1">INDEX(Items!E47:E66,MATCH(P6,(Items!A47:A66),0))&amp;" EP"</f>
        <v>24 EP</v>
      </c>
      <c r="R105" s="33" t="str">
        <f ca="1">IF(COUNTIF(B92:B94,"*"&amp;"sling"&amp;"*"),RANDBETWEEN(6,13)&amp;" Sling Bullets"," ")</f>
        <v xml:space="preserve"> </v>
      </c>
      <c r="AJ105" s="58" t="str">
        <f t="shared" ref="AJ105:AJ113" ca="1" si="55">IF(AK105=0," ",_xlfn.RANK.EQ(AK105,$AK$104:$AK$113))</f>
        <v xml:space="preserve"> </v>
      </c>
      <c r="AK105" s="60">
        <f t="shared" ca="1" si="53"/>
        <v>0</v>
      </c>
      <c r="AL105" s="29" t="str">
        <f t="shared" ca="1" si="54"/>
        <v xml:space="preserve"> </v>
      </c>
      <c r="CB105" s="35">
        <f t="shared" ref="CB105:CB111" ca="1" si="56">_xlfn.RANK.EQ(CC105,$CC$105:$CC$111)</f>
        <v>6</v>
      </c>
      <c r="CC105" s="36">
        <f ca="1">IF(BM8&gt;0,0,RAND())</f>
        <v>0</v>
      </c>
      <c r="CD105" s="29" t="s">
        <v>13</v>
      </c>
    </row>
    <row r="106" spans="1:82" x14ac:dyDescent="0.3">
      <c r="A106" s="137"/>
      <c r="B106" s="33" t="str">
        <f ca="1">IF(B103="Scholar's Pack","SP - Ink Pen",IF(B103="Priest's Pack","PP - Tinderbox",IF(B103="Entertainer's Pack","EP - 5 Candles",IF(B103="Dungeoneer's Pack","DP - 10 Pitons",IF(B103="Diplomat's Pack","DP - Bottle of Ink",IF(B103="Burglar's Pack","BP - 5 Candles",IF(B103="explorer's pack","EP - Tinderbox"," ")))))))</f>
        <v>DP - 10 Pitons</v>
      </c>
      <c r="C106" s="33"/>
      <c r="D106" s="33"/>
      <c r="E106" s="33"/>
      <c r="F106" s="33"/>
      <c r="G106" s="33"/>
      <c r="H106" s="33"/>
      <c r="I106" s="33"/>
      <c r="J106" s="33"/>
      <c r="K106" s="33"/>
      <c r="L106" s="33"/>
      <c r="M106" s="33"/>
      <c r="N106" s="33"/>
      <c r="O106" s="33" t="str">
        <f ca="1">IF(B103="Priest's Pack","PP - 2 Days Rations",IF(B103="Dungeoneer's Pack","DP - 50' Hempen Rope",IF(B103="Diplomat's Pack","DP - Vial of Perfume",IF(B103="Burglar's Pack","BP - 2 Flasks of Oil"," "))))</f>
        <v>DP - 50' Hempen Rope</v>
      </c>
      <c r="P106" s="33" t="str">
        <f ca="1">VLOOKUP(RANDBETWEEN(1,58),Table296[],2)</f>
        <v>Book</v>
      </c>
      <c r="Q106" s="33" t="str">
        <f ca="1">INDEX(Items!F47:F66,MATCH(P6,(Items!A47:A66),0))&amp;" GP"</f>
        <v>0 GP</v>
      </c>
      <c r="R106" s="69" t="str">
        <f ca="1">IF(COUNTIF(B92:B94,"*"&amp;"light crossbow"&amp;"*"),"Quiver",IF(COUNTIF(B92:B94,"*"&amp;"hand crossbow"&amp;"*"),"Quiver",IF(COUNTIF(B92:B94,"*"&amp;"heavy crossbow"&amp;"*"),"Quiver",IF(COUNTIF(B92:B94,"*"&amp;"longbow"&amp;"*"),"Quiver",IF(COUNTIF(B92:B94,"*"&amp;"shortbow"&amp;"*"),"Quiver"," ")))))</f>
        <v>Quiver</v>
      </c>
      <c r="AJ106" s="58" t="str">
        <f t="shared" ca="1" si="55"/>
        <v xml:space="preserve"> </v>
      </c>
      <c r="AK106" s="60">
        <f t="shared" ca="1" si="53"/>
        <v>0</v>
      </c>
      <c r="AL106" s="29" t="str">
        <f t="shared" ca="1" si="54"/>
        <v xml:space="preserve"> </v>
      </c>
      <c r="CB106" s="35">
        <f t="shared" ca="1" si="56"/>
        <v>1</v>
      </c>
      <c r="CC106" s="36">
        <f ca="1">IF(BM10&gt;0,0,RAND())</f>
        <v>0.70978060558108347</v>
      </c>
      <c r="CD106" s="29" t="s">
        <v>15</v>
      </c>
    </row>
    <row r="107" spans="1:82" x14ac:dyDescent="0.3">
      <c r="A107" s="137"/>
      <c r="B107" s="33" t="str">
        <f ca="1">IF(B103="Scholar's Pack","SP - 10 Sheets of Parchment",IF(B103="Priest's Pack","PP - Alms Box",IF(B103="Entertainer's Pack","EP - 5 Days Rations",IF(B103="Dungeoneer's Pack","DP - 10 Torches",IF(B103="Diplomat's Pack","DP - Ink Pen",IF(B103="Burglar's Pack","BP - Crowbar",IF(B103="explorer's pack","EP - 10 Torches"," ")))))))</f>
        <v>DP - 10 Torches</v>
      </c>
      <c r="C107" s="33"/>
      <c r="D107" s="33"/>
      <c r="E107" s="33"/>
      <c r="F107" s="33"/>
      <c r="G107" s="33"/>
      <c r="H107" s="33"/>
      <c r="I107" s="33"/>
      <c r="J107" s="33"/>
      <c r="K107" s="33"/>
      <c r="L107" s="33"/>
      <c r="M107" s="33"/>
      <c r="N107" s="33"/>
      <c r="O107" s="33" t="str">
        <f ca="1">IF(B103="Priest's Pack","PP - Waterskin",IF(B103="Diplomat's Pack","DP - Sealing Wax",IF(B103="Burglar's Pack","BP - 5 Days Rations"," ")))</f>
        <v xml:space="preserve"> </v>
      </c>
      <c r="P107" s="33" t="str">
        <f ca="1">VLOOKUP(RANDBETWEEN(1,58),Table296[],2)</f>
        <v>Spyglass</v>
      </c>
      <c r="Q107" s="33" t="str">
        <f ca="1">INDEX(Items!G47:G66,MATCH(P6,(Items!A47:A66),0))&amp;" PP"</f>
        <v>0 PP</v>
      </c>
      <c r="R107" s="33" t="str">
        <f ca="1">IF(COUNTIF(B92:B94,"*"&amp;"longbow"&amp;"*"),RANDBETWEEN(10,24)&amp;" Arrows",IF(COUNTIF(B92:B94,"*"&amp;"shortbow"&amp;"*"),RANDBETWEEN(10,24)&amp;" Arrows",IF(COUNTIF(B92:B94,"*"&amp;"light crossbow"&amp;"*"),RANDBETWEEN(10,24)&amp;" Bolts",IF(COUNTIF(B92:B94,"*"&amp;"hand crossbow"&amp;"*"),RANDBETWEEN(10,24)&amp;" Bolts",IF(COUNTIF(B92:B94,"*"&amp;"heavy crossbow"&amp;"*"),RANDBETWEEN(10,24)&amp;" Bolts"," ")))))</f>
        <v>10 Bolts</v>
      </c>
      <c r="AJ107" s="58" t="str">
        <f t="shared" ca="1" si="55"/>
        <v xml:space="preserve"> </v>
      </c>
      <c r="AK107" s="60">
        <f t="shared" ca="1" si="53"/>
        <v>0</v>
      </c>
      <c r="AL107" s="29" t="str">
        <f t="shared" ca="1" si="54"/>
        <v xml:space="preserve"> </v>
      </c>
      <c r="CB107" s="35">
        <f t="shared" ca="1" si="56"/>
        <v>6</v>
      </c>
      <c r="CC107" s="36">
        <f ca="1">IF(BM11&gt;0,0,RAND())</f>
        <v>0</v>
      </c>
      <c r="CD107" s="29" t="s">
        <v>16</v>
      </c>
    </row>
    <row r="108" spans="1:82" x14ac:dyDescent="0.3">
      <c r="A108" s="137"/>
      <c r="B108" s="33" t="str">
        <f ca="1">IF(AF35&gt;=1,VLOOKUP(RANDBETWEEN(1,200),Table298[],2)," ")</f>
        <v>crushed crackers</v>
      </c>
      <c r="C108" s="33"/>
      <c r="D108" s="33"/>
      <c r="E108" s="33"/>
      <c r="F108" s="33"/>
      <c r="G108" s="33"/>
      <c r="H108" s="33"/>
      <c r="I108" s="33"/>
      <c r="J108" s="33"/>
      <c r="K108" s="33"/>
      <c r="L108" s="33"/>
      <c r="M108" s="33"/>
      <c r="N108" s="33"/>
      <c r="O108" s="33" t="str">
        <f ca="1">IF(AF35&gt;=2,VLOOKUP(RANDBETWEEN(1,200),Table298[],2)," ")</f>
        <v>a lemon</v>
      </c>
      <c r="P108" s="33" t="str">
        <f ca="1">IF(AF35&gt;=3,VLOOKUP(RANDBETWEEN(1,200),Table298[],2)," ")</f>
        <v xml:space="preserve"> </v>
      </c>
      <c r="AJ108" s="58" t="str">
        <f t="shared" ca="1" si="55"/>
        <v xml:space="preserve"> </v>
      </c>
      <c r="AK108" s="60">
        <f t="shared" ca="1" si="53"/>
        <v>0</v>
      </c>
      <c r="AL108" s="29" t="str">
        <f t="shared" ca="1" si="54"/>
        <v xml:space="preserve"> </v>
      </c>
      <c r="CB108" s="35">
        <f t="shared" ca="1" si="56"/>
        <v>2</v>
      </c>
      <c r="CC108" s="36">
        <f ca="1">IF(BM13&gt;0,0,RAND())</f>
        <v>0.3734879858613025</v>
      </c>
      <c r="CD108" s="29" t="s">
        <v>18</v>
      </c>
    </row>
    <row r="109" spans="1:82" ht="19.5" thickBot="1" x14ac:dyDescent="0.35">
      <c r="B109" s="38" t="str">
        <f ca="1">IF(AND(P6&gt;=5,O11&lt;&gt;"non-classed"),VLOOKUP(RANDBETWEEN(1,100),Table5764[],2)," ")</f>
        <v>Cloak of Elvenkind</v>
      </c>
      <c r="O109" s="29" t="str">
        <f ca="1">IF(AND(P6&gt;=11,O11&lt;&gt;"non-classed"),VLOOKUP(RANDBETWEEN(1,100),Table576465[],2)," ")</f>
        <v xml:space="preserve"> </v>
      </c>
      <c r="P109" s="29" t="str">
        <f ca="1">IF(AND(P6&gt;=17,O11&lt;&gt;"non-classed"),VLOOKUP(RANDBETWEEN(1,100),Table576466[],2)," ")</f>
        <v xml:space="preserve"> </v>
      </c>
      <c r="AJ109" s="58" t="str">
        <f t="shared" ca="1" si="55"/>
        <v xml:space="preserve"> </v>
      </c>
      <c r="AK109" s="60">
        <f t="shared" ca="1" si="53"/>
        <v>0</v>
      </c>
      <c r="AL109" s="29" t="str">
        <f t="shared" ca="1" si="54"/>
        <v xml:space="preserve"> </v>
      </c>
      <c r="CB109" s="35">
        <f t="shared" ca="1" si="56"/>
        <v>5</v>
      </c>
      <c r="CC109" s="36">
        <f ca="1">IF(BM14&gt;0,0,RAND())</f>
        <v>6.6277344528872129E-2</v>
      </c>
      <c r="CD109" s="29" t="s">
        <v>19</v>
      </c>
    </row>
    <row r="110" spans="1:82" ht="19.5" thickBot="1" x14ac:dyDescent="0.35">
      <c r="A110" s="33"/>
      <c r="AJ110" s="58" t="str">
        <f t="shared" ca="1" si="55"/>
        <v xml:space="preserve"> </v>
      </c>
      <c r="AK110" s="60">
        <f t="shared" ca="1" si="53"/>
        <v>0</v>
      </c>
      <c r="AL110" s="29" t="str">
        <f t="shared" ca="1" si="54"/>
        <v xml:space="preserve"> </v>
      </c>
      <c r="CB110" s="35">
        <f t="shared" ca="1" si="56"/>
        <v>4</v>
      </c>
      <c r="CC110" s="36">
        <f ca="1">IF(BM16&gt;0,0,RAND())</f>
        <v>0.28814631061790297</v>
      </c>
      <c r="CD110" s="29" t="s">
        <v>21</v>
      </c>
    </row>
    <row r="111" spans="1:82" ht="30.75" thickBot="1" x14ac:dyDescent="0.45">
      <c r="B111" s="105" t="s">
        <v>1327</v>
      </c>
      <c r="AJ111" s="58" t="str">
        <f t="shared" ca="1" si="55"/>
        <v xml:space="preserve"> </v>
      </c>
      <c r="AK111" s="60">
        <f t="shared" ca="1" si="53"/>
        <v>0</v>
      </c>
      <c r="AL111" s="29" t="str">
        <f t="shared" ca="1" si="54"/>
        <v xml:space="preserve"> </v>
      </c>
      <c r="CB111" s="35">
        <f t="shared" ca="1" si="56"/>
        <v>3</v>
      </c>
      <c r="CC111" s="36">
        <f ca="1">IF(BM20&gt;0,0,RAND())</f>
        <v>0.33125155293528941</v>
      </c>
      <c r="CD111" s="29" t="s">
        <v>25</v>
      </c>
    </row>
    <row r="112" spans="1:82" x14ac:dyDescent="0.3">
      <c r="B112" s="74"/>
      <c r="C112" s="75"/>
      <c r="D112" s="75"/>
      <c r="E112" s="75"/>
      <c r="F112" s="75"/>
      <c r="G112" s="75"/>
      <c r="H112" s="75"/>
      <c r="I112" s="75"/>
      <c r="J112" s="75"/>
      <c r="K112" s="75"/>
      <c r="L112" s="75"/>
      <c r="M112" s="75"/>
      <c r="N112" s="75"/>
      <c r="O112" s="75"/>
      <c r="P112" s="76" t="s">
        <v>1124</v>
      </c>
      <c r="Q112" s="76" t="s">
        <v>1166</v>
      </c>
      <c r="R112" s="77" t="s">
        <v>1167</v>
      </c>
      <c r="AJ112" s="58" t="str">
        <f t="shared" ca="1" si="55"/>
        <v xml:space="preserve"> </v>
      </c>
      <c r="AK112" s="60">
        <f t="shared" ca="1" si="53"/>
        <v>0</v>
      </c>
      <c r="AL112" s="29" t="str">
        <f t="shared" ca="1" si="54"/>
        <v xml:space="preserve"> </v>
      </c>
    </row>
    <row r="113" spans="2:82" x14ac:dyDescent="0.3">
      <c r="B113" s="78" t="s">
        <v>1122</v>
      </c>
      <c r="C113" s="33"/>
      <c r="D113" s="33"/>
      <c r="E113" s="33"/>
      <c r="F113" s="33"/>
      <c r="G113" s="33"/>
      <c r="H113" s="33"/>
      <c r="I113" s="33"/>
      <c r="J113" s="33"/>
      <c r="K113" s="33"/>
      <c r="L113" s="33"/>
      <c r="M113" s="33"/>
      <c r="N113" s="33"/>
      <c r="O113" s="34">
        <v>1</v>
      </c>
      <c r="P113" s="33" t="str">
        <f ca="1">IF(P2="forest","Minor Illusion",IF(Q2="tiefling","Thaumaturgy",IF(P2="dark","Dancing Lights",IF(P2="high",INDEX('Spell Tables'!P242:P257,MATCH(1,('Spell Tables'!N242:N257),0))," "))))</f>
        <v>Dancing Lights</v>
      </c>
      <c r="Q113" s="33" t="str">
        <f ca="1">IF(AND($P$2="Dark",$P$6&gt;=3),"Faerie Fire (1/day)",IF(AND(Q2="tiefling",P6&gt;=3),"Hellish Rebuke (as 2nd Level - 1/day)"," "))</f>
        <v>Faerie Fire (1/day)</v>
      </c>
      <c r="R113" s="72" t="str">
        <f ca="1">IF(AND($P$2="Dark",$P$6&gt;=5),"Darkness (1/day)",IF(AND(Q2="tiefling",P6&gt;=5),"Darkness (1/day)"," "))</f>
        <v>Darkness (1/day)</v>
      </c>
      <c r="AJ113" s="58" t="str">
        <f t="shared" ca="1" si="55"/>
        <v xml:space="preserve"> </v>
      </c>
      <c r="AK113" s="60">
        <f t="shared" ca="1" si="53"/>
        <v>0</v>
      </c>
      <c r="AL113" s="29" t="str">
        <f t="shared" ca="1" si="54"/>
        <v xml:space="preserve"> </v>
      </c>
      <c r="CB113" s="31" t="s">
        <v>738</v>
      </c>
    </row>
    <row r="114" spans="2:82" x14ac:dyDescent="0.3">
      <c r="B114" s="79">
        <f ca="1">IF(OR(P2="dark",Q2="tiefling"),8+$P$8+$N$43,IF(P2="Forest",8+$P$8+$N$41," "))</f>
        <v>12</v>
      </c>
      <c r="C114" s="33"/>
      <c r="D114" s="33"/>
      <c r="E114" s="33"/>
      <c r="F114" s="33"/>
      <c r="G114" s="33"/>
      <c r="H114" s="33"/>
      <c r="I114" s="33"/>
      <c r="J114" s="33"/>
      <c r="K114" s="33"/>
      <c r="L114" s="33"/>
      <c r="M114" s="33"/>
      <c r="N114" s="33"/>
      <c r="O114" s="34">
        <v>2</v>
      </c>
      <c r="P114" s="33"/>
      <c r="Q114" s="33"/>
      <c r="R114" s="72"/>
      <c r="CB114" s="35">
        <f t="shared" ref="CB114:CB119" ca="1" si="57">_xlfn.RANK.EQ(CC114,$CC$114:$CC$119)</f>
        <v>5</v>
      </c>
      <c r="CC114" s="36">
        <f ca="1">IF(BM8&gt;0,0,RAND())</f>
        <v>0</v>
      </c>
      <c r="CD114" s="29" t="s">
        <v>13</v>
      </c>
    </row>
    <row r="115" spans="2:82" x14ac:dyDescent="0.3">
      <c r="B115" s="78" t="s">
        <v>1123</v>
      </c>
      <c r="C115" s="33"/>
      <c r="D115" s="33"/>
      <c r="E115" s="33"/>
      <c r="F115" s="33"/>
      <c r="G115" s="33"/>
      <c r="H115" s="33"/>
      <c r="I115" s="33"/>
      <c r="J115" s="33"/>
      <c r="K115" s="33"/>
      <c r="L115" s="33"/>
      <c r="M115" s="33"/>
      <c r="N115" s="33"/>
      <c r="O115" s="34">
        <v>3</v>
      </c>
      <c r="P115" s="33"/>
      <c r="Q115" s="33"/>
      <c r="R115" s="72"/>
      <c r="AJ115" s="31" t="s">
        <v>1171</v>
      </c>
      <c r="CB115" s="35">
        <f t="shared" ca="1" si="57"/>
        <v>5</v>
      </c>
      <c r="CC115" s="36">
        <f ca="1">IF(BM11&gt;0,0,RAND())</f>
        <v>0</v>
      </c>
      <c r="CD115" s="29" t="s">
        <v>16</v>
      </c>
    </row>
    <row r="116" spans="2:82" ht="19.5" thickBot="1" x14ac:dyDescent="0.35">
      <c r="B116" s="80">
        <f ca="1">IF(OR(P2="dark",Q2="tiefling"),P8+$N$43,IF(P2="forest",P8+$N$41," "))</f>
        <v>4</v>
      </c>
      <c r="C116" s="38"/>
      <c r="D116" s="38"/>
      <c r="E116" s="38"/>
      <c r="F116" s="38"/>
      <c r="G116" s="38"/>
      <c r="H116" s="38"/>
      <c r="I116" s="38"/>
      <c r="J116" s="38"/>
      <c r="K116" s="38"/>
      <c r="L116" s="38"/>
      <c r="M116" s="38"/>
      <c r="N116" s="38"/>
      <c r="O116" s="38"/>
      <c r="P116" s="38"/>
      <c r="Q116" s="38"/>
      <c r="R116" s="73"/>
      <c r="AJ116" s="58" t="str">
        <f ca="1">IF(AK116=0," ",_xlfn.RANK.EQ(AK116,$AK$116:$AK$125))</f>
        <v xml:space="preserve"> </v>
      </c>
      <c r="AK116" s="60">
        <f t="shared" ref="AK116:AK125" ca="1" si="58">IF(AL116=" ", 0,RAND())</f>
        <v>0</v>
      </c>
      <c r="AL116" s="29" t="str">
        <f t="shared" ref="AL116:AL125" ca="1" si="59">R334</f>
        <v xml:space="preserve"> </v>
      </c>
      <c r="CB116" s="35">
        <f t="shared" ca="1" si="57"/>
        <v>3</v>
      </c>
      <c r="CC116" s="36">
        <f ca="1">IF(BM12&gt;0,0,RAND())</f>
        <v>0.14440312088117513</v>
      </c>
      <c r="CD116" s="29" t="s">
        <v>17</v>
      </c>
    </row>
    <row r="117" spans="2:82" ht="19.5" thickBot="1" x14ac:dyDescent="0.35">
      <c r="AJ117" s="58" t="str">
        <f t="shared" ref="AJ117:AJ125" ca="1" si="60">IF(AK117=0," ",_xlfn.RANK.EQ(AK117,$AK$116:$AK$125))</f>
        <v xml:space="preserve"> </v>
      </c>
      <c r="AK117" s="60">
        <f t="shared" ca="1" si="58"/>
        <v>0</v>
      </c>
      <c r="AL117" s="29" t="str">
        <f t="shared" ca="1" si="59"/>
        <v xml:space="preserve"> </v>
      </c>
      <c r="CB117" s="35">
        <f t="shared" ca="1" si="57"/>
        <v>1</v>
      </c>
      <c r="CC117" s="36">
        <f ca="1">IF(BM14&gt;0,0,RAND())</f>
        <v>0.60038645387263534</v>
      </c>
      <c r="CD117" s="29" t="s">
        <v>19</v>
      </c>
    </row>
    <row r="118" spans="2:82" ht="30.75" thickBot="1" x14ac:dyDescent="0.45">
      <c r="B118" s="105" t="s">
        <v>1334</v>
      </c>
      <c r="AJ118" s="58" t="str">
        <f t="shared" ca="1" si="60"/>
        <v xml:space="preserve"> </v>
      </c>
      <c r="AK118" s="60">
        <f t="shared" ca="1" si="58"/>
        <v>0</v>
      </c>
      <c r="AL118" s="29" t="str">
        <f t="shared" ca="1" si="59"/>
        <v xml:space="preserve"> </v>
      </c>
      <c r="CB118" s="35">
        <f t="shared" ca="1" si="57"/>
        <v>4</v>
      </c>
      <c r="CC118" s="36">
        <f ca="1">IF(BM15&gt;0,0,RAND())</f>
        <v>4.5350039030982447E-3</v>
      </c>
      <c r="CD118" s="29" t="s">
        <v>20</v>
      </c>
    </row>
    <row r="119" spans="2:82" x14ac:dyDescent="0.3">
      <c r="B119" s="79"/>
      <c r="C119" s="27"/>
      <c r="D119" s="27"/>
      <c r="E119" s="27"/>
      <c r="F119" s="27"/>
      <c r="G119" s="27"/>
      <c r="H119" s="27"/>
      <c r="I119" s="27"/>
      <c r="J119" s="27"/>
      <c r="K119" s="27"/>
      <c r="L119" s="27"/>
      <c r="M119" s="27"/>
      <c r="N119" s="27"/>
      <c r="O119" s="27"/>
      <c r="P119" s="76" t="s">
        <v>1124</v>
      </c>
      <c r="Q119" s="76" t="s">
        <v>1166</v>
      </c>
      <c r="R119" s="76" t="s">
        <v>1167</v>
      </c>
      <c r="S119" s="76" t="s">
        <v>1168</v>
      </c>
      <c r="T119" s="77" t="s">
        <v>676</v>
      </c>
      <c r="AJ119" s="58" t="str">
        <f t="shared" ca="1" si="60"/>
        <v xml:space="preserve"> </v>
      </c>
      <c r="AK119" s="60">
        <f t="shared" ca="1" si="58"/>
        <v>0</v>
      </c>
      <c r="AL119" s="29" t="str">
        <f t="shared" ca="1" si="59"/>
        <v xml:space="preserve"> </v>
      </c>
      <c r="CB119" s="35">
        <f t="shared" ca="1" si="57"/>
        <v>2</v>
      </c>
      <c r="CC119" s="36">
        <f ca="1">IF(BM20&gt;0,0,RAND())</f>
        <v>0.36308562978076975</v>
      </c>
      <c r="CD119" s="29" t="s">
        <v>25</v>
      </c>
    </row>
    <row r="120" spans="2:82" x14ac:dyDescent="0.3">
      <c r="B120" s="78" t="str">
        <f ca="1">IF(P15="way of the four elements","Way of the Four Elements",IF(AND(O11="wizard",O12&gt;=20),"Signature Spell",IF(AND($O$11="paladin",$O$12&gt;=3),"Oath Spells",IF(AND($P$15="moon",$O$12&gt;=14),"Thousand Forms",IF($P$15="way of the shadow","Shadow Arts",IF(AND($O$11="druid",$P$15="land"),"Land Circle Spells",IF($O$11="cleric","Domain Spells",IF($O$11="bard","Magical Secrets",IF($P$15="path of the totem warrior","Totem Warrior Spells",IF(AND($O$11="warlock",$O$12&gt;=2),"Mystic Arcanum and Invocation",IF($P$15="arcane trickster","4th,8th,14th,20th non E&amp;I spells",IF($P$15="eldritch knight","4th,8th,14th,20th non A&amp;E spells"," "))))))))))))</f>
        <v xml:space="preserve"> </v>
      </c>
      <c r="C120" s="33"/>
      <c r="D120" s="33"/>
      <c r="E120" s="33"/>
      <c r="F120" s="33"/>
      <c r="G120" s="33"/>
      <c r="H120" s="33"/>
      <c r="I120" s="33"/>
      <c r="J120" s="33"/>
      <c r="K120" s="33"/>
      <c r="L120" s="33"/>
      <c r="M120" s="33"/>
      <c r="N120" s="33"/>
      <c r="O120" s="34">
        <v>1</v>
      </c>
      <c r="P120" s="33" t="str">
        <f ca="1">IF($O$16="pact of the tome",INDEX('Spell Tables'!$BD$19:$BD$37,MATCH(1,('Spell Tables'!$BB$19:$BB$37),0)),IF($P$15="way of the shadow","Minor Illusion (free)",IF($P$15="land",INDEX('Spell Tables'!P48:P55,MATCH(8,('Spell Tables'!N48:N55),0)),IF($P$15="nature",INDEX('Spell Tables'!P48:P55,MATCH(6,('Spell Tables'!N48:N55),0)),IF($P$15="light","Light",IF(AND($O$11="bard",AL191="c"),INDEX('Spell Tables'!$BD$2:$BD$16,MATCH(10,('Spell Tables'!$BB$2:$BB$16),0))," "))))))</f>
        <v xml:space="preserve"> </v>
      </c>
      <c r="Q120" s="33" t="str">
        <f ca="1">IF(COUNTIF(P18:P21,"*"&amp;"Fist of Four Thunders"&amp;"*"),"Thunderwave (2 ki)",IF(COUNTIF($O$18:$O$25,"*"&amp;"armor of shadows"&amp;"*"),"Mage Armor*",IF($P$15="oath of vengeance","Bane",IF($P$15="Oath of the Ancients","Ensnaring Strike",IF($P$15="Oath of Devotion","Protection from Good and Evil",IF(AND($P$15="war",$O$12&gt;=1),"Divine Favor",IF(AND($P$15="Trickery",$O$12&gt;=1),"Charm Person",IF(AND($P$15="tempest",$O$12&gt;=1),"Fog Cloud",IF(AND($P$15="nature",$O$12&gt;=1),"Animal Friendship",IF(AND($P$15="light",$O$12&gt;=1),"Burning Hands",IF($P$15="life","Bless",IF($P$15="knowledge","Command",IF(AND($O$11="bard",AL155=1),INDEX('Spell Tables'!$BH$2:$BH$41,MATCH($O$120,('Spell Tables'!$BF$2:$BF$41),0)),IF($P$15="arcane trickster",INDEX('Spell Tables'!$X$141:$X$163,MATCH(O120,('Spell Tables'!$V$141:$V$163),0)),IF($P$15="path of the totem warrior","Speak with Animals (as ritual)",IF($P$15="eldritch knight",INDEX('Spell Tables'!$X$70:$X$90,MATCH($O$120,('Spell Tables'!$V$70:$V$90),0))," "))))))))))))))))</f>
        <v xml:space="preserve"> </v>
      </c>
      <c r="R120" s="33" t="str">
        <f ca="1">IF(COUNTIF(P18:P21,"*"&amp;"Clench of the North Wind"&amp;"*"),"Hold Person (3 ki)",IF(COUNTIF(P18:P21,"*"&amp;"Clench of the North Wind"&amp;"*"),"Hold Person (3 ki)",IF(COUNTIF(O18:O25,"*"&amp;"ascendant step"&amp;"*"),"Levitate*",IF(AND(P15="oath of vengeance",O12&gt;=5),"Hold Person",IF(AND(P15="Oath of the Ancients",O12&gt;=5),"Moonbeam",IF(AND(P15="Oath of Devotion",O12&gt;=5),"Lesser Restoration",IF(AND(P15="moon",O12&gt;=14),"Alter Self",IF(P15="Way of the Shadow","Darkness",IF(AND($P$20="Underdark",$O$12&gt;=3),"Spider Climb",IF(AND($P$20="Swamp",$O$12&gt;=3),"Darkness",IF(AND($P$20="Mountain",$O$12&gt;=3),"Spider Climb",IF(AND($P$20="Grassland",$O$12&gt;=3),"Invisibility",IF(AND($P$20="Forest",$O$12&gt;=3),"Barkskin",IF(AND($P$20="Desert",$O$12&gt;=3),"Blur",IF(AND($P$20="Coast",$O$12&gt;=3),"Mirror Image",IF(AND($P$20="arctic",$O$12&gt;=3),"Hold Person",IF(AND(P15="war",O12&gt;=3),"Magic Weapon",IF(AND(P15="Trickery",O12&gt;=3),"Mirror Image",IF(AND(P15="tempest",O12&gt;=3),"Gust of Wind",IF(AND(P15="nature",O12&gt;=3),"Barkskin",IF(AND(P15="light",O12&gt;=3),"Flaming Sphere",IF(AND(P15="Life",O12&gt;=3),"Lesser Restoration",IF(AND(P15="knowledge",O12&gt;=3),"Augury",IF(AND(O11="bard",AL155=2),INDEX('Spell Tables'!BL2:BL37,MATCH(O120,('Spell Tables'!BJ2:BJ37),0)),IF(P15="path of the totem warrior","Beast Sense (as ritual)",IF(AND(P15="eldritch knight",O12&gt;=8),INDEX('Spell Tables'!AF70:AF94,MATCH(#REF!,('Spell Tables'!AD70:AD94),0)),IF(AND(P15="arcane trickster",O12&gt;=8),INDEX('Spell Tables'!AF141:AF165,MATCH(#REF!,('Spell Tables'!AD141:AD165),0))," ")))))))))))))))))))))))))))</f>
        <v xml:space="preserve"> </v>
      </c>
      <c r="S120" s="33" t="str">
        <f ca="1">IF(COUNTIF(P18:P21,"*"&amp;"Mist Stance"&amp;"*"),"Gaseous Form (4 ki)",IF(AND($O$11="wizard",O12&gt;=20),INDEX('Spell Tables'!$AB$242:$AB$270,MATCH(29,('Spell Tables'!$Z$242:$Z$270),0)),IF(COUNTIF(O18:O25,"*"&amp;"mire the mind"&amp;"*"),"Slow**",IF(AND(P15="oath of vengeance",O12&gt;=9),"Haste",IF(AND(P15="Oath of the Ancients",O12&gt;=9),"Plant Growth",IF(AND(P15="Oath of Devotion",O12&gt;=9),"Beacon of Hope",IF(AND($P$20="Underdark",$O$12&gt;=5),"Gaseous Form",IF(AND($P$20="Swamp",$O$12&gt;=5),"Water Walk",IF(AND($P$20="Mountain",$O$12&gt;=5),"Lightning Bolt",IF(AND($P$20="Grassland",$O$12&gt;=5),"Daylight",IF(AND($P$20="Forest",$O$12&gt;=5),"Call Lightning",IF(AND($P$20="Desert",$O$12&gt;=5),"Create Food and Water",IF(AND($P$20="Coast",$O$12&gt;=5),"Water Breathing",IF(AND($P$20="arctic",$O$12&gt;=5),"Sleet Storm",IF(AND(P15="war",O12&gt;=5),"Crusader's Mantle",IF(AND(P15="trickery",O12&gt;=5),"Blink",IF(AND(P15="tempest",O12&gt;=5),"Call Lightning",IF(AND(P15="nature",O12&gt;=5),"Plant Growth",IF(AND(P15="light",O12&gt;=5),"Daylight",IF(AND(P15="life",O12&gt;=5),"Beacon of Hope",IF(AND(P15="knowledge",O12&gt;=5),"Nondetection",IF(AND(O11="bard",AL155=3),INDEX('Spell Tables'!BP2:BP35,MATCH(O120,('Spell Tables'!BN2:BN35),0)),IF(AND(P15="arcane trickster",O12&gt;=14),INDEX('Spell Tables'!AN141:AN165,MATCH(O120,('Spell Tables'!AL141:AL165),0)),IF(AND(P15="eldritch knight",O12&gt;=14),INDEX('Spell Tables'!AN70:AN88,MATCH(O120,('Spell Tables'!AL70:AL88),0))," "))))))))))))))))))))))))</f>
        <v xml:space="preserve"> </v>
      </c>
      <c r="T120" s="72" t="str">
        <f ca="1">IF(COUNTIF(P18:P21,"*"&amp;"Eternal Mountain Defense"&amp;"*"),"Stoneskin (5 ki)",IF(COUNTIF(O18:O25,"*"&amp;"bewitching whispers"&amp;"*"),"Compulsion**",IF(AND(P15="oath of vengeance",O12&gt;=13),"Banishment",IF(AND(P15="Oath of the Ancients",O12&gt;=13),"Ice Storm",IF(AND(P15="Oath of Devotion",O12&gt;=13),"Freedom of Movement",IF(AND($P$20="Underdark",$O$12&gt;=7),"Greater Invisibility",IF(AND($P$20="Swamp",$O$12&gt;=7),"Freedom of Movement",IF(AND($P$20="Mountain",$O$12&gt;=7),"Stone Shape",IF(AND($P$20="Grassland",$O$12&gt;=7),"Divination",IF(AND($P$20="Forest",$O$12&gt;=7),"Divination",IF(AND($P$20="Desert",$O$12&gt;=7),"Blight",IF(AND($P$20="Coast",$O$12&gt;=7),"Control Water",IF(AND($P$20="arctic",$O$12&gt;=7),"Freedom of Movement",IF(AND(P15="war",O12&gt;=7),"Freedom of Movement",IF(AND(P15="trickery",O12&gt;=7),"Dimension Door",IF(AND(P15="tempest",O12&gt;=7),"Control Water",IF(AND(P15="nature",O12&gt;=7),"Dominate Beast",IF(AND(P15="light",O12&gt;=7),"Guardian of Faith",IF(AND(P15="life",O12&gt;=7),"Death Ward",IF(AND(P15="knowledge",O12&gt;=7),"Arcane Eye",IF(AND(O11="bard",AL155=4),INDEX('Spell Tables'!BT2:BT29,MATCH(O120,('Spell Tables'!BR2:BR29),0)),IF(AND(P15="arcane trickster",O12&gt;=20),INDEX('Spell Tables'!AV141:AV159,MATCH(O120,('Spell Tables'!AT141:AT159),0)),IF(AND(P15="eldritch knight",O12&gt;=20),INDEX('Spell Tables'!AV70:AV86,MATCH(O120,('Spell Tables'!AT70:AT86),0))," ")))))))))))))))))))))))</f>
        <v xml:space="preserve"> </v>
      </c>
      <c r="AJ120" s="58" t="str">
        <f t="shared" ca="1" si="60"/>
        <v xml:space="preserve"> </v>
      </c>
      <c r="AK120" s="60">
        <f t="shared" ca="1" si="58"/>
        <v>0</v>
      </c>
      <c r="AL120" s="29" t="str">
        <f t="shared" ca="1" si="59"/>
        <v xml:space="preserve"> </v>
      </c>
    </row>
    <row r="121" spans="2:82" x14ac:dyDescent="0.3">
      <c r="B121" s="79" t="str">
        <f ca="1">IF(P15="way of the four elements","Elemental Disciplines - cost Ki",IF(AND(O11="wizard",O12&gt;=20),"Always Prepared",IF(AND($O$11="warlock",$O$12&gt;=2),"* = at will - no slot use",IF($P$15="land",$P$20," "))))</f>
        <v xml:space="preserve"> </v>
      </c>
      <c r="C121" s="33"/>
      <c r="D121" s="33"/>
      <c r="E121" s="33"/>
      <c r="F121" s="33"/>
      <c r="G121" s="33"/>
      <c r="H121" s="33"/>
      <c r="I121" s="33"/>
      <c r="J121" s="33"/>
      <c r="K121" s="33"/>
      <c r="L121" s="33"/>
      <c r="M121" s="33"/>
      <c r="N121" s="33"/>
      <c r="O121" s="34">
        <v>2</v>
      </c>
      <c r="P121" s="33" t="str">
        <f ca="1">IF($O$16="pact of the tome",INDEX('Spell Tables'!$BD$19:$BD$37,MATCH(2,('Spell Tables'!$BB$19:$BB$37),0)),IF(AND($O$11="bard",AL192="c"),INDEX('Spell Tables'!$BD$2:$BD$16,MATCH(11,('Spell Tables'!$BB$2:$BB$16),0))," "))</f>
        <v xml:space="preserve"> </v>
      </c>
      <c r="Q121" s="33" t="str">
        <f ca="1">IF(COUNTIF(P18:P21,"*"&amp;"Sweeping Cinder Strike"&amp;"*"),"Burning Hands (2 ki)",IF(COUNTIF(O18:O25,"*"&amp;"beast speech"&amp;"*"),"Speak with Animals*",IF(P15="Oath of the Ancients","Speak with Animals",IF(P15="Oath of vengeance","Hunter's Mark",IF(P15="Oath of Devotion","Sanctuary",IF(AND(P15="war",O12&gt;=1),"Shield of Faith",IF(AND(P15="trickery",O12&gt;=1),"Disguise Self",IF(AND(P15="tempest",O12&gt;=1),"Thunderwave",IF(AND(P15="Nature",O12&gt;=1),"Speak with Animals",IF(AND(P15="light",O12&gt;=1),"Faerie Fire",IF(P15="life","Cure Wounds",IF(P15="knowledge","Identify",IF(AND($O$11="bard",AL156=1),INDEX('Spell Tables'!$BH$2:$BH$41,MATCH(O121,('Spell Tables'!$BF$2:$BF$41),0))," ")))))))))))))</f>
        <v xml:space="preserve"> </v>
      </c>
      <c r="R121" s="33" t="str">
        <f ca="1">IF(COUNTIF(P18:P21,"*"&amp;"Gong of the Summit"&amp;"*"),"Shatter (3 ki)",IF(COUNTIF(O18:O25,"*"&amp;"master of myriad forms"&amp;"*"),"Alter Self*",IF(AND(P15="oath of vengeance",O12&gt;=5),"Misty Step",IF(AND(P15="Oath of the Ancients",O12&gt;=5),"Misty Step",IF(AND(P15="Oath of Devotion",O12&gt;=5),"Zone of Truth",IF(P15="way of the shadow","Darkvision",IF(AND($P$20="Underdark",$O$12&gt;=3),"Web",IF(AND($P$20="Swamp",$O$12&gt;=3),"Melf's Acid Arrow",IF(AND($P$20="Mountain",$O$12&gt;=3),"Spike Growth",IF(AND($P$20="Grassland",$O$12&gt;=3),"Pass Without Trace",IF(AND($P$20="Forest",$O$12&gt;=3),"Spider Climb",IF(AND($P$20="Desert",$O$12&gt;=3),"Silence",IF(AND($P$20="Coast",$O$12&gt;=3),"Misty Step",IF(AND($P$20="arctic",$O$12&gt;=3),"Spike Growth",IF(AND(P15="war",O12&gt;=3),"Spiritual Weapon",IF(AND(P15="trickery",O12&gt;=3),"Pass Without Trace",IF(AND(P15="tempest",O12&gt;=3),"Shatter",IF(AND(P15="nature",O12&gt;=3),"Spike Growth",IF(AND(P15="light",O12&gt;=3),"Scorching Ray",IF(AND(P15="life",O12&gt;=3),"Spiritual Weapon",IF(AND(P15="knowledge",O12&gt;=3),"Suggestion",IF(AND($O$11="bard",AL156=2),INDEX('Spell Tables'!$BL$2:$BL$37,MATCH(O121,('Spell Tables'!$BJ$2:$BJ$37),0))," "))))))))))))))))))))))</f>
        <v xml:space="preserve"> </v>
      </c>
      <c r="S121" s="33" t="str">
        <f ca="1">IF(COUNTIF(P18:P21,"*"&amp;"Ride the Wind"&amp;"*"),"Fly (4 ki)",IF(AND($O$11="wizard",O12&gt;=20),INDEX('Spell Tables'!$AB$242:$AB$270,MATCH(28,('Spell Tables'!$Z$242:$Z$270),0)),IF(COUNTIF(O18:O25,"*"&amp;"sign of ill omen"&amp;"*"),"Bestow Curse**",IF(AND(P15="oath of vengeance",O12&gt;=9),"Protection from Energy",IF(AND(P15="Oath of the Ancients",O12&gt;=9),"Protection from Energy",IF(AND(P15="Oath of Devotion",O12&gt;=9),"Dispel Magic",IF(AND($P$20="Underdark",$O$12&gt;=5),"Stinking Cloud",IF(AND($P$20="Swamp",$O$12&gt;=5),"Stinking Cloud",IF(AND($P$20="Mountain",$O$12&gt;=5),"Meld Into Stone",IF(AND($P$20="Grassland",$O$12&gt;=5),"Haste",IF(AND($P$20="Forest",$O$12&gt;=5),"Plant Growth",IF(AND($P$20="Desert",$O$12&gt;=5),"Protection from Energy",IF(AND($P$20="Coast",$O$12&gt;=5),"Water Walk",IF(AND($P$20="arctic",$O$12&gt;=5),"Slow",IF(AND(P15="war",O12&gt;=5),"Spirit Guardians",IF(AND(P15="trickery",O12&gt;=5),"Dispel Magic",IF(AND(P15="Tempest",O12&gt;=5),"Sleet Storm",IF(AND(P15="nature",O12&gt;=5),"Wind Wall",IF(AND(P15="light",O12&gt;=5),"Fireball",IF(AND(P15="life",O12&gt;=5),"Revivify",IF(AND(P15="knowledge",O12&gt;=5),"Speak with Dead",IF(AND($O$11="bard",AL156=3),INDEX('Spell Tables'!$BP$2:$BP$35,MATCH(O121,('Spell Tables'!$BN$2:$BN$35),0))," "))))))))))))))))))))))</f>
        <v xml:space="preserve"> </v>
      </c>
      <c r="T121" s="72" t="str">
        <f ca="1">IF(COUNTIF(P18:P21,"*"&amp;"River of Hungry Flame"&amp;"*"),"Wall of Fire (5 ki)",IF(COUNTIF(O18:O25,"*"&amp;"Dreadful word"&amp;"*"),"Confusion**",IF(AND(P15="oath of vengeance",O12&gt;=13),"Dimension Door",IF(AND(P15="Oath of the Ancients",O12&gt;=13),"Stoneskin",IF(AND(P15="Oath of Devotion",O12&gt;=13),"Guardian of Faith",IF(AND($P$20="Underdark",$O$12&gt;=7),"Stone Shape",IF(AND($P$20="Swamp",$O$12&gt;=7),"Locate Creature",IF(AND($P$20="Mountain",$O$12&gt;=7),"Stonekin",IF(AND($P$20="Grassland",$O$12&gt;=7),"Freedom of Movement",IF(AND($P$20="Forest",$O$12&gt;=7),"Freedom of Movement",IF(AND($P$20="Desert",$O$12&gt;=7),"Hallucinatory Terrain",IF(AND($P$20="Coast",$O$12&gt;=7),"Freedom of Movement",IF(AND($P$20="arctic",$O$12&gt;=7),"Ice Storm",IF(AND(P15="war",O12&gt;=7),"Stoneskin",IF(AND(P15="trickery",O12&gt;=7),"Polymorph",IF(AND(P15="tempest",O12&gt;=7),"Ice Storm",IF(AND(P15="nature",O12&gt;=7),"Grasping Vine",IF(AND(P15="light",O12&gt;=7),"Wall of Fire",IF(AND(P15="life",O12&gt;=7),"Guardian of Faith",IF(AND(P15="knowledge",O12&gt;=7),"Confusion",IF(AND($O$11="bard",AL156=4),INDEX('Spell Tables'!$BT$2:$BT$29,MATCH(O121,('Spell Tables'!$BR$2:$BR$29),0))," ")))))))))))))))))))))</f>
        <v xml:space="preserve"> </v>
      </c>
      <c r="AJ121" s="58" t="str">
        <f t="shared" ca="1" si="60"/>
        <v xml:space="preserve"> </v>
      </c>
      <c r="AK121" s="60">
        <f t="shared" ca="1" si="58"/>
        <v>0</v>
      </c>
      <c r="AL121" s="29" t="str">
        <f t="shared" ca="1" si="59"/>
        <v xml:space="preserve"> </v>
      </c>
    </row>
    <row r="122" spans="2:82" x14ac:dyDescent="0.3">
      <c r="B122" s="79" t="str">
        <f ca="1">IF(AND(O11="wizard",O12&gt;=20),"Cast once at 3rd level - no slot use",IF(AND($O$11="warlock",$O$12&gt;=2),"** = once per long rest - uses slot",IF(AND($O$11="paladin",$O$12&gt;=3),"Free Preparation",IF(AND($P$15="moon",$O$12&gt;=14),"At Will",IF($P$15="way of the shadow","Cost 2 Ki Points",IF(OR($P$15="land",$O$11="cleric"),"Free Preparation",IF(AND($O$11="bard",$O$12&gt;=10),"Count Toward Known"," ")))))))</f>
        <v xml:space="preserve"> </v>
      </c>
      <c r="C122" s="33"/>
      <c r="D122" s="33"/>
      <c r="E122" s="33"/>
      <c r="F122" s="33"/>
      <c r="G122" s="33"/>
      <c r="H122" s="33"/>
      <c r="I122" s="33"/>
      <c r="J122" s="33"/>
      <c r="K122" s="33"/>
      <c r="L122" s="33"/>
      <c r="M122" s="33"/>
      <c r="N122" s="33"/>
      <c r="O122" s="34">
        <v>3</v>
      </c>
      <c r="P122" s="33" t="str">
        <f ca="1">IF($O$16="pact of the tome",INDEX('Spell Tables'!$BD$19:$BD$37,MATCH(3,('Spell Tables'!$BB$19:$BB$37),0))," ")</f>
        <v xml:space="preserve"> </v>
      </c>
      <c r="Q122" s="29" t="str">
        <f ca="1">IF(COUNTIF(O18:O25,"*"&amp;"eldritch sight"&amp;"*"),"Detect Magic*",IF(AND($O$11="bard",AL191=1),INDEX('Spell Tables'!$BH$2:$BH$41,MATCH(O122,('Spell Tables'!$BF$2:$BF$41),0))," "))</f>
        <v xml:space="preserve"> </v>
      </c>
      <c r="R122" s="33" t="str">
        <f ca="1">IF(COUNTIF(P18:P21,"*"&amp;"Rush of the Gale Spirits"&amp;"*"),"Gust of Wind (2 ki)",IF(P15="way of the shadow","Pass Without Trace",IF(AND($O$11="bard",AL191=2),INDEX('Spell Tables'!$BL$2:$BL$37,MATCH(O122,('Spell Tables'!$BJ$2:$BJ$37),0))," ")))</f>
        <v xml:space="preserve"> </v>
      </c>
      <c r="S122" s="33" t="str">
        <f ca="1">IF(COUNTIF(O18:O25,"*"&amp;"whispers of the grave"&amp;"*"),"Speak with Dead*",IF(AND($O$11="bard",AL191=3),INDEX('Spell Tables'!$BP$2:$BP$35,MATCH(O122,('Spell Tables'!$BN$2:$BN$35),0))," "))</f>
        <v xml:space="preserve"> </v>
      </c>
      <c r="T122" s="72" t="str">
        <f ca="1">IF(COUNTIF(O18:O25,"*"&amp;"Sculptor of Flesh"&amp;"*"),"Polymorph**"," ")</f>
        <v xml:space="preserve"> </v>
      </c>
      <c r="AJ122" s="58" t="str">
        <f t="shared" ca="1" si="60"/>
        <v xml:space="preserve"> </v>
      </c>
      <c r="AK122" s="60">
        <f t="shared" ca="1" si="58"/>
        <v>0</v>
      </c>
      <c r="AL122" s="29" t="str">
        <f t="shared" ca="1" si="59"/>
        <v xml:space="preserve"> </v>
      </c>
    </row>
    <row r="123" spans="2:82" x14ac:dyDescent="0.3">
      <c r="B123" s="79" t="str">
        <f ca="1">IF(AND($O$11="warlock",$O$12&gt;=2),"6th level and up = *"," ")</f>
        <v xml:space="preserve"> </v>
      </c>
      <c r="O123" s="81">
        <v>4</v>
      </c>
      <c r="Q123" s="29" t="str">
        <f ca="1">IF(COUNTIF(O18:O25,"*"&amp;"fiendish vigor"&amp;"*"),"False Life*",IF(AND($O$11="bard",AL192=1),INDEX('Spell Tables'!$BH$2:$BH$41,MATCH(O123,('Spell Tables'!$BF$2:$BF$41),0))," "))</f>
        <v xml:space="preserve"> </v>
      </c>
      <c r="R123" s="29" t="str">
        <f ca="1">IF(P15="way of the shadow","Silence",IF(AND($O$11="bard",AL192=2),INDEX('Spell Tables'!$BL$2:$BL$37,MATCH(O123,('Spell Tables'!$BJ$2:$BJ$37),0))," "))</f>
        <v xml:space="preserve"> </v>
      </c>
      <c r="S123" s="29" t="str">
        <f ca="1">IF(AND($O$11="bard",AL192=3),INDEX('Spell Tables'!$BP$2:$BP$35,MATCH(O123,('Spell Tables'!$BN$2:$BN$35),0))," ")</f>
        <v xml:space="preserve"> </v>
      </c>
      <c r="T123" s="72" t="str">
        <f ca="1">IF(COUNTIF(O18:O25,"*"&amp;"visions of distant realms"&amp;"*"),"Arcane Eye*"," ")</f>
        <v xml:space="preserve"> </v>
      </c>
      <c r="AJ123" s="58" t="str">
        <f t="shared" ca="1" si="60"/>
        <v xml:space="preserve"> </v>
      </c>
      <c r="AK123" s="60">
        <f t="shared" ca="1" si="58"/>
        <v>0</v>
      </c>
      <c r="AL123" s="29" t="str">
        <f t="shared" ca="1" si="59"/>
        <v xml:space="preserve"> </v>
      </c>
    </row>
    <row r="124" spans="2:82" x14ac:dyDescent="0.3">
      <c r="B124" s="79"/>
      <c r="O124" s="81">
        <v>5</v>
      </c>
      <c r="Q124" s="29" t="str">
        <f ca="1">IF(COUNTIF(O18:O25,"*"&amp;"Mask of many faces"&amp;"*"),"Disguise Self*","")</f>
        <v/>
      </c>
      <c r="T124" s="72"/>
      <c r="AJ124" s="58" t="str">
        <f t="shared" ca="1" si="60"/>
        <v xml:space="preserve"> </v>
      </c>
      <c r="AK124" s="60">
        <f t="shared" ca="1" si="58"/>
        <v>0</v>
      </c>
      <c r="AL124" s="29" t="str">
        <f t="shared" ca="1" si="59"/>
        <v xml:space="preserve"> </v>
      </c>
    </row>
    <row r="125" spans="2:82" x14ac:dyDescent="0.3">
      <c r="B125" s="79"/>
      <c r="O125" s="81">
        <v>6</v>
      </c>
      <c r="Q125" s="29" t="str">
        <f ca="1">IF(COUNTIF(O18:O25,"*"&amp;"misty vision"&amp;"*"),"Silent Image*"," " )</f>
        <v xml:space="preserve"> </v>
      </c>
      <c r="T125" s="72"/>
      <c r="AJ125" s="58" t="str">
        <f t="shared" ca="1" si="60"/>
        <v xml:space="preserve"> </v>
      </c>
      <c r="AK125" s="60">
        <f t="shared" ca="1" si="58"/>
        <v>0</v>
      </c>
      <c r="AL125" s="29" t="str">
        <f t="shared" ca="1" si="59"/>
        <v xml:space="preserve"> </v>
      </c>
    </row>
    <row r="126" spans="2:82" x14ac:dyDescent="0.3">
      <c r="B126" s="79"/>
      <c r="O126" s="81">
        <v>7</v>
      </c>
      <c r="Q126" s="29" t="str">
        <f ca="1">IF(COUNTIF(O18:O25,"*"&amp;"otherworldly leap"&amp;"*"),"Jump*"," ")</f>
        <v xml:space="preserve"> </v>
      </c>
      <c r="T126" s="72"/>
    </row>
    <row r="127" spans="2:82" x14ac:dyDescent="0.3">
      <c r="B127" s="79"/>
      <c r="O127" s="81">
        <v>8</v>
      </c>
      <c r="Q127" s="29" t="str">
        <f ca="1">IF(COUNTIF(O18:O25,"*"&amp;"Thief of five fates"&amp;"*"),"Bane**"," ")</f>
        <v xml:space="preserve"> </v>
      </c>
      <c r="T127" s="72"/>
      <c r="AJ127" s="31" t="s">
        <v>677</v>
      </c>
    </row>
    <row r="128" spans="2:82" x14ac:dyDescent="0.3">
      <c r="B128" s="79" t="str">
        <f ca="1">IF(AND($O$16="pact of the tome",COUNTIF($O$13:$O$13,"*"&amp;"book of ancient secrets"&amp;"*")),"Book of Ancient Secrets"," ")</f>
        <v xml:space="preserve"> </v>
      </c>
      <c r="O128" s="81">
        <v>9</v>
      </c>
      <c r="Q128" s="29" t="str">
        <f ca="1">IF(AND(O16="pact of the tome",COUNTIF(O18:O25,"*"&amp;"book of ancient secrets"&amp;"*")),INDEX('Spell Tables'!BD40:BD46,MATCH(1,('Spell Tables'!BB40:BB46),0))," ")</f>
        <v xml:space="preserve"> </v>
      </c>
      <c r="T128" s="72"/>
      <c r="AJ128" s="58" t="str">
        <f ca="1">IF(AK128=0," ",_xlfn.RANK.EQ(AK128,$AK$128:$AK$137))</f>
        <v xml:space="preserve"> </v>
      </c>
      <c r="AK128" s="60">
        <f t="shared" ref="AK128:AK137" ca="1" si="61">IF(AL128=" ", 0,RAND())</f>
        <v>0</v>
      </c>
      <c r="AL128" s="29" t="str">
        <f t="shared" ref="AL128:AL137" ca="1" si="62">S334</f>
        <v xml:space="preserve"> </v>
      </c>
    </row>
    <row r="129" spans="1:38" ht="19.5" thickBot="1" x14ac:dyDescent="0.35">
      <c r="B129" s="80" t="str">
        <f ca="1">IF($O$16="pact of the chain",$O$16,IF(OR(P129="minor illusion",S129="animate dead",T129="polymorph"),"School Spells - in Spellbook"," "))</f>
        <v xml:space="preserve"> </v>
      </c>
      <c r="C129" s="38"/>
      <c r="D129" s="38"/>
      <c r="E129" s="38"/>
      <c r="F129" s="38"/>
      <c r="G129" s="38"/>
      <c r="H129" s="38"/>
      <c r="I129" s="38"/>
      <c r="J129" s="38"/>
      <c r="K129" s="38"/>
      <c r="L129" s="38"/>
      <c r="M129" s="38"/>
      <c r="N129" s="38"/>
      <c r="O129" s="82">
        <v>10</v>
      </c>
      <c r="P129" s="38" t="str">
        <f ca="1">IF(AND(P15="school of Illusion",COUNTIF(P315:P324,"*"&amp;"Minor Illusion"&amp;"*"))," ",IF(P15="school of illusion","Minor Illusion"," "))</f>
        <v xml:space="preserve"> </v>
      </c>
      <c r="Q129" s="38" t="str">
        <f ca="1">IF(AND(O16="pact of the tome",COUNTIF(O18:O25,"*"&amp;"book of ancient secrets"&amp;"*")),INDEX('Spell Tables'!BD40:BD46,MATCH(2,('Spell Tables'!BB40:BB46),0)),IF(O16="pact of the chain","Find Familiar (as ritual)"," "))</f>
        <v xml:space="preserve"> </v>
      </c>
      <c r="R129" s="38"/>
      <c r="S129" s="38" t="str">
        <f ca="1">IF(AND(P15="school of necromancy",O12&gt;=6,COUNTIF(S315:S324,"*"&amp;"Animate Dead"&amp;"*"))," ",IF(AND(P15="school of necromancy",O12&gt;=6),"Animate Dead"," "))</f>
        <v xml:space="preserve"> </v>
      </c>
      <c r="T129" s="73" t="str">
        <f ca="1">IF(AND(P15="school of transmutation",O12&gt;=10,COUNTIF(T315:T324,"*"&amp;"Polymorph"&amp;"*"))," ",IF(AND(P15="school of transmutation",O12&gt;=6),"Polymorph"," "))</f>
        <v xml:space="preserve"> </v>
      </c>
      <c r="AJ129" s="58" t="str">
        <f t="shared" ref="AJ129:AJ137" ca="1" si="63">IF(AK129=0," ",_xlfn.RANK.EQ(AK129,$AK$128:$AK$137))</f>
        <v xml:space="preserve"> </v>
      </c>
      <c r="AK129" s="60">
        <f t="shared" ca="1" si="61"/>
        <v>0</v>
      </c>
      <c r="AL129" s="29" t="str">
        <f t="shared" ca="1" si="62"/>
        <v xml:space="preserve"> </v>
      </c>
    </row>
    <row r="130" spans="1:38" x14ac:dyDescent="0.3">
      <c r="A130" s="33"/>
      <c r="B130" s="27"/>
      <c r="AJ130" s="58" t="str">
        <f t="shared" ca="1" si="63"/>
        <v xml:space="preserve"> </v>
      </c>
      <c r="AK130" s="60">
        <f t="shared" ca="1" si="61"/>
        <v>0</v>
      </c>
      <c r="AL130" s="29" t="str">
        <f t="shared" ca="1" si="62"/>
        <v xml:space="preserve"> </v>
      </c>
    </row>
    <row r="131" spans="1:38" ht="19.5" thickBot="1" x14ac:dyDescent="0.35">
      <c r="A131" s="131"/>
      <c r="B131" s="33"/>
      <c r="O131" s="38"/>
      <c r="AJ131" s="58" t="str">
        <f t="shared" ca="1" si="63"/>
        <v xml:space="preserve"> </v>
      </c>
      <c r="AK131" s="60">
        <f t="shared" ca="1" si="61"/>
        <v>0</v>
      </c>
      <c r="AL131" s="29" t="str">
        <f t="shared" ca="1" si="62"/>
        <v xml:space="preserve"> </v>
      </c>
    </row>
    <row r="132" spans="1:38" x14ac:dyDescent="0.3">
      <c r="A132" s="131"/>
      <c r="B132" s="129"/>
      <c r="O132" s="132"/>
      <c r="P132" s="76" t="s">
        <v>1169</v>
      </c>
      <c r="Q132" s="76" t="s">
        <v>1170</v>
      </c>
      <c r="R132" s="76" t="s">
        <v>1171</v>
      </c>
      <c r="S132" s="76" t="s">
        <v>677</v>
      </c>
      <c r="T132" s="77" t="s">
        <v>1172</v>
      </c>
      <c r="AJ132" s="58" t="str">
        <f t="shared" ca="1" si="63"/>
        <v xml:space="preserve"> </v>
      </c>
      <c r="AK132" s="60">
        <f t="shared" ca="1" si="61"/>
        <v>0</v>
      </c>
      <c r="AL132" s="29" t="str">
        <f t="shared" ca="1" si="62"/>
        <v xml:space="preserve"> </v>
      </c>
    </row>
    <row r="133" spans="1:38" x14ac:dyDescent="0.3">
      <c r="A133" s="131"/>
      <c r="B133" s="129"/>
      <c r="O133" s="86">
        <v>1</v>
      </c>
      <c r="P133" s="65" t="str">
        <f ca="1">IF(COUNTIF(P18:P21,"*"&amp;"Breath of Winter"&amp;"*"),"Cone of Cold (6 ki)",IF(COUNTIF(O18:O25,"*"&amp;"chains of carceri"&amp;"*"),"Hold Monster**(c,f,e only)",IF(AND(P15="oath of vengeance",O12&gt;=17),"Hold Monster",IF(AND(P15="Oath of the Ancients",O12&gt;=17),"Commune with Nature",IF(AND(P15="Oath of Devotion",O12&gt;=17),"Commune",IF(AND($P$20="Underdark",$O$12&gt;=9),"Cloudkill",IF(AND($P$20="Swamp",$O$12&gt;=9),"Insect Plague",IF(AND($P$20="Mountain",$O$12&gt;=9),"Passwall",IF(AND($P$20="Grassland",$O$12&gt;=9),"Dream",IF(AND($P$20="Forest",$O$12&gt;=9),"Commune with Nature",IF(AND($P$20="Desert",$O$12&gt;=9),"Insect Plague",IF(AND($P$20="Coast",$O$12&gt;=9),"Conjure Elemental",IF(AND($P$20="arctic",$O$12&gt;=9),"Commune with Nature",IF(AND($P$15="war",$O$12&gt;=9),"Flame Strike",IF(AND($P$15="trickery",$O$12&gt;=9),"Dominate Person",IF(AND($P$15="tempest",$O$12&gt;=9),"Destructive Wave",IF(AND($P$15="nature",$O$12&gt;=9),"Insect Plague",IF(AND(P15="light",O12&gt;=9),"Flame Strike",IF(AND(P15="life",O12&gt;=9),"Mass Cure Wounds",IF(AND(P15="knowledge",O12&gt;=9),"Legend Lore",IF(AND(O11="bard",AL156=5),INDEX('Spell Tables'!BX2:BX24,MATCH(O120,('Spell Tables'!BV2:BV24),0)),IF(AND(P15="path of the totem warrior",O12&gt;=10),"Commune with Nature (as ritual)"," "))))))))))))))))))))))</f>
        <v xml:space="preserve"> </v>
      </c>
      <c r="Q133" s="65" t="str">
        <f ca="1">IF(AND(O11="bard",AL167=6),INDEX('Spell Tables'!CB2:CB27,MATCH(O120,('Spell Tables'!BZ2:BZ27),0)),IF(AND($O$11="warlock",$O$12&gt;=11),INDEX('Spell Tables'!AN194:AN201,MATCH(1,('Spell Tables'!AL194:AL201),0))," "))</f>
        <v xml:space="preserve"> </v>
      </c>
      <c r="R133" s="65" t="str">
        <f ca="1">IF(AND(O11="bard",AL167=7),INDEX('Spell Tables'!CF2:CF11,MATCH(O120,('Spell Tables'!CD2:CD11),0)),IF(AND($O$11="warlock",$O$12&gt;=13),INDEX('Spell Tables'!AR194:AR197,MATCH(1,('Spell Tables'!AP194:AP197),0))," "))</f>
        <v xml:space="preserve"> </v>
      </c>
      <c r="S133" s="65" t="str">
        <f ca="1">IF(AND(O11="bard",AL179=8),INDEX('Spell Tables'!CJ2:CJ14,MATCH(O120,('Spell Tables'!CH2:CH14),0)),IF(AND($O$11="warlock",$O$12&gt;=15),INDEX('Spell Tables'!AV194:AV198,MATCH(1,('Spell Tables'!AT194:AT198),0))," "))</f>
        <v xml:space="preserve"> </v>
      </c>
      <c r="T133" s="66" t="str">
        <f ca="1">IF(AND(O11="bard",AL180=9),INDEX('Spell Tables'!CN2:CN11,MATCH(O120,('Spell Tables'!CL2:CL11),0)),IF(AND($O$11="warlock",$O$12&gt;=17),INDEX('Spell Tables'!AZ194:AZ198,MATCH(1,('Spell Tables'!AX194:AX198),0))," "))</f>
        <v xml:space="preserve"> </v>
      </c>
      <c r="AJ133" s="58" t="str">
        <f t="shared" ca="1" si="63"/>
        <v xml:space="preserve"> </v>
      </c>
      <c r="AK133" s="60">
        <f t="shared" ca="1" si="61"/>
        <v>0</v>
      </c>
      <c r="AL133" s="29" t="str">
        <f t="shared" ca="1" si="62"/>
        <v xml:space="preserve"> </v>
      </c>
    </row>
    <row r="134" spans="1:38" x14ac:dyDescent="0.3">
      <c r="A134" s="131"/>
      <c r="B134" s="129"/>
      <c r="O134" s="133">
        <v>2</v>
      </c>
      <c r="P134" s="60" t="str">
        <f ca="1">IF(COUNTIF(P18:P21,"*"&amp;"Wave of Rolling Earth"&amp;"*"),"Wall of Stone (6 ki)",IF(COUNTIF(O18:O25,"*"&amp;"minions of chaos"&amp;"*"),"Conjure Elemental**",IF(AND(P15="oath of vengeance",O12&gt;=17),"Scrying",IF(AND(P15="Oath of the Ancients",O12&gt;=17),"Tree Stride",IF(AND(P15="Oath of Devotion",O12&gt;=17),"Flame Strike",IF(AND($P$20="Underdark",$O$12&gt;=9),"Insect Plague",IF(AND($P$20="Swamp",$O$12&gt;=9),"Scrying",IF(AND($P$20="Mountain",$O$12&gt;=9),"Wall of Stone",IF(AND($P$20="Grassland",$O$12&gt;=9),"Insect Plague",IF(AND($P$20="Forest",$O$12&gt;=9),"Tree Stride",IF(AND($P$20="Desert",$O$12&gt;=9),"Wall of Stone",IF(AND($P$20="Coast",$O$12&gt;=9),"Scrying",IF(AND($P$20="arctic",$O$12&gt;=9),"Cone of Cold",IF(AND($P$15="war",$O$12&gt;=9),"Hold Monster",IF(AND($P$15="trickery",$O$12&gt;=9),"Modify Memory",IF(AND($P$15="tempest",$O$12&gt;=9),"Insect Plague",IF(AND($P$15="nature",$O$12&gt;=9),"Tree Stride",IF(AND(P15="light",O12&gt;=9),"Scrying",IF(AND(P15="life",O12&gt;=9),"Raise Dead",IF(AND(P15="knowledge",O12&gt;=9),"Scrying",IF(AND($O$11="bard",AL157=5),INDEX('Spell Tables'!$BX$2:$BX$24,MATCH(O121,('Spell Tables'!$BV$2:$BV$24),0))," ")))))))))))))))))))))</f>
        <v xml:space="preserve"> </v>
      </c>
      <c r="Q134" s="60" t="str">
        <f ca="1">IF(AND(O11="bard",AL168=6),INDEX('Spell Tables'!CB2:CB27,MATCH(O121,('Spell Tables'!BZ2:BZ27),0))," ")</f>
        <v xml:space="preserve"> </v>
      </c>
      <c r="R134" s="60" t="str">
        <f ca="1">IF(AND(O11="bard",AL168=7),INDEX('Spell Tables'!CF2:CF11,MATCH(O121,('Spell Tables'!CD2:CD11),0))," ")</f>
        <v xml:space="preserve"> </v>
      </c>
      <c r="S134" s="60" t="str">
        <f ca="1">IF(AND(O11="bard",AL179=8),INDEX('Spell Tables'!CJ2:CJ14,MATCH(O121,('Spell Tables'!CH2:CH14),0))," ")</f>
        <v xml:space="preserve"> </v>
      </c>
      <c r="T134" s="63" t="str">
        <f ca="1">IF(AND(O11="bard",AL180=9),INDEX('Spell Tables'!CN2:CN11,MATCH(O121,('Spell Tables'!CL2:CL11),0))," ")</f>
        <v xml:space="preserve"> </v>
      </c>
      <c r="AJ134" s="58" t="str">
        <f t="shared" ca="1" si="63"/>
        <v xml:space="preserve"> </v>
      </c>
      <c r="AK134" s="60">
        <f t="shared" ca="1" si="61"/>
        <v>0</v>
      </c>
      <c r="AL134" s="29" t="str">
        <f t="shared" ca="1" si="62"/>
        <v xml:space="preserve"> </v>
      </c>
    </row>
    <row r="135" spans="1:38" x14ac:dyDescent="0.3">
      <c r="A135" s="33"/>
      <c r="O135" s="86">
        <v>3</v>
      </c>
      <c r="P135" s="65"/>
      <c r="Q135" s="65"/>
      <c r="R135" s="65"/>
      <c r="S135" s="65"/>
      <c r="T135" s="66"/>
      <c r="AJ135" s="58" t="str">
        <f t="shared" ca="1" si="63"/>
        <v xml:space="preserve"> </v>
      </c>
      <c r="AK135" s="60">
        <f t="shared" ca="1" si="61"/>
        <v>0</v>
      </c>
      <c r="AL135" s="29" t="str">
        <f t="shared" ca="1" si="62"/>
        <v xml:space="preserve"> </v>
      </c>
    </row>
    <row r="136" spans="1:38" x14ac:dyDescent="0.3">
      <c r="A136" s="33"/>
      <c r="O136" s="133">
        <v>4</v>
      </c>
      <c r="P136" s="60"/>
      <c r="Q136" s="60"/>
      <c r="R136" s="60"/>
      <c r="S136" s="60"/>
      <c r="T136" s="63"/>
      <c r="AJ136" s="58" t="str">
        <f t="shared" ca="1" si="63"/>
        <v xml:space="preserve"> </v>
      </c>
      <c r="AK136" s="60">
        <f t="shared" ca="1" si="61"/>
        <v>0</v>
      </c>
      <c r="AL136" s="29" t="str">
        <f t="shared" ca="1" si="62"/>
        <v xml:space="preserve"> </v>
      </c>
    </row>
    <row r="137" spans="1:38" x14ac:dyDescent="0.3">
      <c r="A137" s="33"/>
      <c r="O137" s="86">
        <v>5</v>
      </c>
      <c r="P137" s="65"/>
      <c r="Q137" s="65"/>
      <c r="R137" s="65"/>
      <c r="S137" s="65"/>
      <c r="T137" s="66"/>
      <c r="AJ137" s="58" t="str">
        <f t="shared" ca="1" si="63"/>
        <v xml:space="preserve"> </v>
      </c>
      <c r="AK137" s="60">
        <f t="shared" ca="1" si="61"/>
        <v>0</v>
      </c>
      <c r="AL137" s="29" t="str">
        <f t="shared" ca="1" si="62"/>
        <v xml:space="preserve"> </v>
      </c>
    </row>
    <row r="138" spans="1:38" x14ac:dyDescent="0.3">
      <c r="A138" s="33"/>
      <c r="O138" s="133">
        <v>6</v>
      </c>
      <c r="P138" s="60"/>
      <c r="Q138" s="60"/>
      <c r="R138" s="60"/>
      <c r="S138" s="60"/>
      <c r="T138" s="63"/>
    </row>
    <row r="139" spans="1:38" x14ac:dyDescent="0.3">
      <c r="A139" s="33"/>
      <c r="O139" s="86">
        <v>7</v>
      </c>
      <c r="P139" s="65"/>
      <c r="Q139" s="65"/>
      <c r="R139" s="65"/>
      <c r="S139" s="65"/>
      <c r="T139" s="66"/>
      <c r="AJ139" s="31" t="s">
        <v>1172</v>
      </c>
    </row>
    <row r="140" spans="1:38" x14ac:dyDescent="0.3">
      <c r="A140" s="33"/>
      <c r="O140" s="133">
        <v>8</v>
      </c>
      <c r="P140" s="60"/>
      <c r="Q140" s="60"/>
      <c r="R140" s="60"/>
      <c r="S140" s="60"/>
      <c r="T140" s="63"/>
      <c r="AJ140" s="58" t="str">
        <f ca="1">IF(AK140=0," ",_xlfn.RANK.EQ(AK140,$AK$140:$AK$149))</f>
        <v xml:space="preserve"> </v>
      </c>
      <c r="AK140" s="60">
        <f t="shared" ref="AK140:AK149" ca="1" si="64">IF(AL140=" ", 0,RAND())</f>
        <v>0</v>
      </c>
      <c r="AL140" s="29" t="str">
        <f t="shared" ref="AL140:AL149" ca="1" si="65">T334</f>
        <v xml:space="preserve"> </v>
      </c>
    </row>
    <row r="141" spans="1:38" x14ac:dyDescent="0.3">
      <c r="A141" s="33"/>
      <c r="O141" s="86">
        <v>9</v>
      </c>
      <c r="P141" s="65"/>
      <c r="Q141" s="65"/>
      <c r="R141" s="65"/>
      <c r="S141" s="65"/>
      <c r="T141" s="66"/>
      <c r="AJ141" s="58" t="str">
        <f t="shared" ref="AJ141:AJ149" ca="1" si="66">IF(AK141=0," ",_xlfn.RANK.EQ(AK141,$AK$140:$AK$149))</f>
        <v xml:space="preserve"> </v>
      </c>
      <c r="AK141" s="60">
        <f t="shared" ca="1" si="64"/>
        <v>0</v>
      </c>
      <c r="AL141" s="29" t="str">
        <f t="shared" ca="1" si="65"/>
        <v xml:space="preserve"> </v>
      </c>
    </row>
    <row r="142" spans="1:38" ht="19.5" thickBot="1" x14ac:dyDescent="0.35">
      <c r="A142" s="33"/>
      <c r="O142" s="134">
        <v>10</v>
      </c>
      <c r="P142" s="67"/>
      <c r="Q142" s="67"/>
      <c r="R142" s="67"/>
      <c r="S142" s="67"/>
      <c r="T142" s="68"/>
      <c r="AJ142" s="58" t="str">
        <f t="shared" ca="1" si="66"/>
        <v xml:space="preserve"> </v>
      </c>
      <c r="AK142" s="60">
        <f t="shared" ca="1" si="64"/>
        <v>0</v>
      </c>
      <c r="AL142" s="29" t="str">
        <f t="shared" ca="1" si="65"/>
        <v xml:space="preserve"> </v>
      </c>
    </row>
    <row r="143" spans="1:38" ht="19.5" thickBot="1" x14ac:dyDescent="0.35">
      <c r="AJ143" s="58" t="str">
        <f t="shared" ca="1" si="66"/>
        <v xml:space="preserve"> </v>
      </c>
      <c r="AK143" s="60">
        <f t="shared" ca="1" si="64"/>
        <v>0</v>
      </c>
      <c r="AL143" s="29" t="str">
        <f t="shared" ca="1" si="65"/>
        <v xml:space="preserve"> </v>
      </c>
    </row>
    <row r="144" spans="1:38" ht="30.75" thickBot="1" x14ac:dyDescent="0.45">
      <c r="B144" s="105" t="s">
        <v>1335</v>
      </c>
      <c r="AJ144" s="58" t="str">
        <f t="shared" ca="1" si="66"/>
        <v xml:space="preserve"> </v>
      </c>
      <c r="AK144" s="60">
        <f t="shared" ca="1" si="64"/>
        <v>0</v>
      </c>
      <c r="AL144" s="29" t="str">
        <f t="shared" ca="1" si="65"/>
        <v xml:space="preserve"> </v>
      </c>
    </row>
    <row r="145" spans="1:38" x14ac:dyDescent="0.3">
      <c r="B145" s="79"/>
      <c r="C145" s="27"/>
      <c r="D145" s="27"/>
      <c r="E145" s="27"/>
      <c r="F145" s="27"/>
      <c r="G145" s="27"/>
      <c r="H145" s="27"/>
      <c r="I145" s="27"/>
      <c r="J145" s="27"/>
      <c r="K145" s="27"/>
      <c r="L145" s="27"/>
      <c r="M145" s="27"/>
      <c r="N145" s="27"/>
      <c r="O145" s="27"/>
      <c r="P145" s="76" t="s">
        <v>1124</v>
      </c>
      <c r="Q145" s="76" t="s">
        <v>1166</v>
      </c>
      <c r="R145" s="76" t="s">
        <v>1167</v>
      </c>
      <c r="S145" s="76" t="s">
        <v>1168</v>
      </c>
      <c r="T145" s="77" t="s">
        <v>676</v>
      </c>
      <c r="AJ145" s="58" t="str">
        <f t="shared" ca="1" si="66"/>
        <v xml:space="preserve"> </v>
      </c>
      <c r="AK145" s="60">
        <f t="shared" ca="1" si="64"/>
        <v>0</v>
      </c>
      <c r="AL145" s="29" t="str">
        <f t="shared" ca="1" si="65"/>
        <v xml:space="preserve"> </v>
      </c>
    </row>
    <row r="146" spans="1:38" x14ac:dyDescent="0.3">
      <c r="B146" s="86" t="str">
        <f ca="1">IF(R15="way of the four elements","Way of the Four Elements",IF(AND(Q11="paladin",Q12&gt;=3),"Oath Spells",IF(AND(R15="moon",Q12&gt;=14),"Thousand Forms",IF(R15="way of the shadow","Shadow Arts",IF(AND(Q11="druid",R15="land"),"Land Circle Spells",IF(Q11="cleric","Domain Spells",IF(Q11="bard","Magical Secrets",IF(R15="path of the totem warrior","Totem Warrior Spells",IF(AND(Q11="warlock",Q12&gt;=2),"Mystic Arcanum and Invocation",IF(R15="arcane trickster","4th,8th,14th,20th non E&amp;I spells",IF(R15="eldritch knight","4th,8th,14th,20th non A&amp;E spells"," ")))))))))))</f>
        <v xml:space="preserve"> </v>
      </c>
      <c r="C146" s="33"/>
      <c r="D146" s="33"/>
      <c r="E146" s="33"/>
      <c r="F146" s="33"/>
      <c r="G146" s="33"/>
      <c r="H146" s="33"/>
      <c r="I146" s="33"/>
      <c r="J146" s="33"/>
      <c r="K146" s="33"/>
      <c r="L146" s="33"/>
      <c r="M146" s="33"/>
      <c r="N146" s="33"/>
      <c r="O146" s="34">
        <v>1</v>
      </c>
      <c r="P146" s="33" t="str">
        <f ca="1">IF(R15="school of illusion","Minor Illusion",IF(Q16="pact of the tome",INDEX('Spell Tables'!$BD$19:$BD$37,MATCH(1,('Spell Tables'!$BB$19:$BB$37),0)),IF(R15="way of the shadow","Minor Illusion (free)",IF(R15="land",INDEX('Spell Tables'!P48:P55,MATCH(8,('Spell Tables'!N48:N55),0)),IF(R15="nature",INDEX('Spell Tables'!P48:P55,MATCH(6,('Spell Tables'!N48:N55),0)),IF(R15="light","Light",IF(AND(Q11="bard",AL191="c"),INDEX('Spell Tables'!$BD$2:$BD$16,MATCH(10,('Spell Tables'!$BB$2:$BB$16),0))," ")))))))</f>
        <v xml:space="preserve"> </v>
      </c>
      <c r="Q146" s="33" t="str">
        <f ca="1">IF(COUNTIF(R18:R21,"*"&amp;"Fist of Four Thunders"&amp;"*"),"Thunderwave (2 ki)",IF(COUNTIF($Q$18:$Q$22,"*"&amp;"armor of shadows"&amp;"*"),"Mage Armor*",IF(R15="oath of vengeance","Bane",IF(R15="Oath of the Ancients","Ensnaring Strike",IF(R15="Oath of Devotion","Protection from Good and Evil",IF(AND(R15="war",Q12&gt;=1),"Divine Favor",IF(AND(R15="Trickery",Q12&gt;=1),"Charm Person",IF(AND(R15="tempest",Q12&gt;=1),"Fog Cloud",IF(AND(R15="nature",Q12&gt;=1),"Animal Friendship",IF(AND(R15="light",Q12&gt;=1),"Burning Hands",IF(R15="life","Bless",IF(R15="knowledge","Command",IF(AND(Q11="bard",AL155=1),INDEX('Spell Tables'!$BH$2:$BH$41,MATCH($O$120,('Spell Tables'!$BF$2:$BF$41),0)),IF(R15="arcane trickster",INDEX('Spell Tables'!$X$141:$X$163,MATCH(O120,('Spell Tables'!$V$141:$V$163),0)),IF(R15="path of the totem warrior","Speak with Animals (as ritual)",IF(R15="eldritch knight",INDEX('Spell Tables'!$X$70:$X$90,MATCH($O$120,('Spell Tables'!$V$70:W90),0))," "))))))))))))))))</f>
        <v xml:space="preserve"> </v>
      </c>
      <c r="R146" s="33" t="str">
        <f ca="1">IF(COUNTIF(R18:R21,"*"&amp;"Clench of the North Wind"&amp;"*"),"Hold Person (3 ki)",IF(COUNTIF(Q18:Q22,"*"&amp;"ascendant step"&amp;"*"),"Levitate*",IF(AND(R15="oath of vengeance",Q12&gt;=5),"Hold Person",IF(AND(R15="Oath of the Ancients",Q12&gt;=5),"Moonbeam",IF(AND(R15="Oath of Devotion",Q12&gt;=5),"Lesser Restoration",IF(AND(R15="moon",Q12&gt;=14),"Alter Self",IF(R15="Way of the Shadow","Darkness",IF(AND($P$20="Underdark",Q12&gt;=3),"Spider Climb",IF(AND($P$20="Swamp",Q12&gt;=3),"Darkness",IF(AND($P$20="Mountain",Q12&gt;=3),"Spider Climb",IF(AND($P$20="Grassland",Q12&gt;=3),"Invisibility",IF(AND($P$20="Forest",Q12&gt;=3),"Barkskin",IF(AND($P$20="Desert",Q12&gt;=3),"Blur",IF(AND($P$20="Coast",Q12&gt;=3),"Mirror Image",IF(AND($P$20="arctic",Q12&gt;=3),"Hold Person",IF(AND(R15="war",Q12&gt;=3),"Magic Weapon",IF(AND(R15="Trickery",Q12&gt;=3),"Mirror Image",IF(AND(R15="tempest",Q12&gt;=3),"Gust of Wind",IF(AND(R15="nature",Q12&gt;=3),"Barkskin",IF(AND(R15="light",Q12&gt;=3),"Flaming Sphere",IF(AND(R15="Life",Q12&gt;=3),"Lesser Restoration",IF(AND(R15="knowledge",Q12&gt;=3),"Augury",IF(AND(Q11="bard",AL155=2),INDEX('Spell Tables'!BL2:BL37,MATCH(O120,('Spell Tables'!BJ2:BJ37),0)),IF(R15="path of the totem warrior","Beast Sense (as ritual)",IF(AND(R15="eldritch knight",Q12&gt;=8),INDEX('Spell Tables'!AF70:AF94,MATCH(#REF!,('Spell Tables'!AD70:AD94),0)),IF(AND(R15="arcane trickster",Q12&gt;=8),INDEX('Spell Tables'!AF141:AF165,MATCH(#REF!,('Spell Tables'!AD141:AD165),0))," "))))))))))))))))))))))))))</f>
        <v xml:space="preserve"> </v>
      </c>
      <c r="S146" s="33" t="str">
        <f ca="1">IF(COUNTIF(Q18:Q22,"*"&amp;"mire the mind"&amp;"*"),"Slow**",IF(AND(R15="oath of vengeance",Q12&gt;=9),"Haste",IF(AND(R15="Oath of the Ancients",Q12&gt;=9),"Plant Growth",IF(AND(R15="Oath of Devotion",Q12&gt;=9),"Beacon of Hope",IF(AND($P$20="Underdark",Q12&gt;=5),"Gaseous Form",IF(AND($P$20="Swamp",Q12&gt;=5),"Water Walk",IF(AND($P$20="Mountain",Q12&gt;=5),"Lightning Bolt",IF(AND($P$20="Grassland",Q12&gt;=5),"Daylight",IF(AND($P$20="Forest",Q12&gt;=5),"Call Lightning",IF(AND($P$20="Desert",Q12&gt;=5),"Create Food and Water",IF(AND($P$20="Coast",Q12&gt;=5),"Water Breathing",IF(AND($P$20="arctic",Q12&gt;=5),"Sleet Storm",IF(AND(R15="war",Q12&gt;=5),"Crusader's Mantle",IF(AND(R15="trickery",Q12&gt;=5),"Blink",IF(AND(R15="tempest",Q12&gt;=5),"Call Lightning",IF(AND(R15="nature",Q12&gt;=5),"Plant Growth",IF(AND(R15="light",Q12&gt;=5),"Daylight",IF(AND(R15="life",Q12&gt;=5),"Beacon of Hope",IF(AND(R15="knowledge",Q12&gt;=5),"Nondetection",IF(AND(Q11="bard",AL155=3),INDEX('Spell Tables'!BP2:BP35,MATCH(O120,('Spell Tables'!BN2:BN35),0)),IF(AND(R15="arcane trickster",Q12&gt;=14),INDEX('Spell Tables'!AN141:AN165,MATCH(O120,('Spell Tables'!AL141:AL165),0)),IF(AND(R15="eldritch knight",Q12&gt;=14),INDEX('Spell Tables'!AN70:AN88,MATCH(O120,('Spell Tables'!AL70:AL88),0))," "))))))))))))))))))))))</f>
        <v xml:space="preserve"> </v>
      </c>
      <c r="T146" s="72" t="str">
        <f ca="1">IF(COUNTIF(Q18:Q22,"*"&amp;"bewitching whispers"&amp;"*"),"Compulsion**",IF(AND(R15="oath of vengeance",Q12&gt;=13),"Banishment",IF(AND(R15="Oath of the Ancients",Q12&gt;=13),"Ice Storm",IF(AND(R15="Oath of Devotion",Q12&gt;=13),"Freedom of Movement",IF(AND($P$20="Underdark",Q12&gt;=7),"Greater Invisibility",IF(AND($P$20="Swamp",Q12&gt;=7),"Freedom of Movement",IF(AND($P$20="Mountain",Q12&gt;=7),"Stone Shape",IF(AND($P$20="Grassland",Q12&gt;=7),"Divination",IF(AND($P$20="Forest",Q12&gt;=7),"Divination",IF(AND($P$20="Desert",Q12&gt;=7),"Blight",IF(AND($P$20="Coast",Q12&gt;=7),"Control Water",IF(AND($P$20="arctic",Q12&gt;=7),"Freedom of Movement",IF(AND(R15="war",Q12&gt;=7),"Freedom of Movement",IF(AND(R15="trickery",Q12&gt;=7),"Dimension Door",IF(AND(R15="tempest",Q12&gt;=7),"Control Water",IF(AND(R15="nature",Q12&gt;=7),"Dominate Beast",IF(AND(R15="light",Q12&gt;=7),"Guardian of Faith",IF(AND(R15="life",Q12&gt;=7),"Death Ward",IF(AND(R15="knowledge",Q12&gt;=7),"Arcane Eye",IF(AND(Q11="bard",AL155=4),INDEX('Spell Tables'!BT2:BT29,MATCH(O120,('Spell Tables'!BR2:BR29),0)),IF(AND(R15="arcane trickster",Q12&gt;=20),INDEX('Spell Tables'!AV141:AV159,MATCH(O120,('Spell Tables'!AT267:AT285),0)),IF(AND(R15="eldritch knight",Q12&gt;=20),INDEX('Spell Tables'!AV70:AV86,MATCH(O120,('Spell Tables'!AT70:AT86),0))," "))))))))))))))))))))))</f>
        <v xml:space="preserve"> </v>
      </c>
      <c r="AJ146" s="58" t="str">
        <f t="shared" ca="1" si="66"/>
        <v xml:space="preserve"> </v>
      </c>
      <c r="AK146" s="60">
        <f t="shared" ca="1" si="64"/>
        <v>0</v>
      </c>
      <c r="AL146" s="29" t="str">
        <f t="shared" ca="1" si="65"/>
        <v xml:space="preserve"> </v>
      </c>
    </row>
    <row r="147" spans="1:38" x14ac:dyDescent="0.3">
      <c r="B147" s="79" t="str">
        <f ca="1">IF(R15="way of the four elements","Elemental Disciplines - cost ki",IF(AND(Q11="warlock",Q12&gt;=2),"* = at will - no slot use",IF(R15="land",$P$20," ")))</f>
        <v xml:space="preserve"> </v>
      </c>
      <c r="C147" s="33"/>
      <c r="D147" s="33"/>
      <c r="E147" s="33"/>
      <c r="F147" s="33"/>
      <c r="G147" s="33"/>
      <c r="H147" s="33"/>
      <c r="I147" s="33"/>
      <c r="J147" s="33"/>
      <c r="K147" s="33"/>
      <c r="L147" s="33"/>
      <c r="M147" s="33"/>
      <c r="N147" s="33"/>
      <c r="O147" s="34">
        <v>2</v>
      </c>
      <c r="P147" s="33" t="str">
        <f ca="1">IF(Q16="pact of the tome",INDEX('Spell Tables'!$BD$19:$BD$37,MATCH(2,('Spell Tables'!$BB$19:$BB$37),0)),IF(AND(Q11="bard",AL192="c"),INDEX('Spell Tables'!$BD$2:$BD$16,MATCH(11,('Spell Tables'!$BB$2:$BB$16),0))," "))</f>
        <v xml:space="preserve"> </v>
      </c>
      <c r="Q147" s="33" t="str">
        <f ca="1">IF(COUNTIF(R18:R21,"*"&amp;"Sweeping Cinder Strike"&amp;"*"),"Burning Hands (2 ki)",IF(COUNTIF(Q18:Q22,"*"&amp;"beast speech"&amp;"*"),"Speak with Animals*",IF(R15="Oath of the Ancients","Speak with Animals",IF(R15="Oath of vengeance","Hunter's Mark",IF(R15="Oath of Devotion","Sanctuary",IF(AND(R15="war",Q12&gt;=1),"Shield of Faith",IF(AND(R15="trickery",Q12&gt;=1),"Disguise Self",IF(AND(R15="tempest",Q12&gt;=1),"Thunderwave",IF(AND(R15="Nature",Q12&gt;=1),"Speak with Animals",IF(AND(R15="light",Q12&gt;=1),"Faerie Fire",IF(R15="life","Cure Wounds",IF(R15="knowledge","Identify",IF(AND(Q11="bard",AL156=1),INDEX('Spell Tables'!$BH$2:$BH$41,MATCH(O121,('Spell Tables'!$BF$2:$BF$41),0))," ")))))))))))))</f>
        <v xml:space="preserve"> </v>
      </c>
      <c r="R147" s="33" t="str">
        <f ca="1">IF(COUNTIF(R18:R21,"*"&amp;"Gong of the Summit"&amp;"*"),"Shatter (3 ki)",IF(COUNTIF(Q18:Q22,"*"&amp;"master of myriad forms"&amp;"*"),"Alter Self*",IF(AND(R15="oath of vengeance",Q12&gt;=5),"Misty Step",IF(AND(R15="Oath of the Ancients",Q12&gt;=5),"Misty Step",IF(AND(R15="Oath of Devotion",Q12&gt;=5),"Zone of Truth",IF(R15="way of the shadow","Darkvision",IF(AND($P$20="Underdark",Q12&gt;=3),"Web",IF(AND($P$20="Swamp",Q12&gt;=3),"Melf's Acid Arrow",IF(AND($P$20="Mountain",Q12&gt;=3),"Spike Growth",IF(AND($P$20="Grassland",Q12&gt;=3),"Pass Without Trace",IF(AND($P$20="Forest",Q12&gt;=3),"Spider Climb",IF(AND($P$20="Desert",Q12&gt;=3),"Silence",IF(AND($P$20="Coast",Q12&gt;=3),"Misty Step",IF(AND($P$20="arctic",Q12&gt;=3),"Spike Growth",IF(AND(R15="war",Q12&gt;=3),"Spiritual Weapon",IF(AND(R15="trickery",Q12&gt;=3),"Pass Without Trace",IF(AND(R15="tempest",Q12&gt;=3),"Shatter",IF(AND(R15="nature",Q12&gt;=3),"Spike Growth",IF(AND(R15="light",Q12&gt;=3),"Scorching Ray",IF(AND(R15="life",Q12&gt;=3),"Spiritual Weapon",IF(AND(R15="knowledge",Q12&gt;=3),"Suggestion",IF(AND(Q11="bard",AL156=2),INDEX('Spell Tables'!$BL$2:$BL$37,MATCH(O121,('Spell Tables'!$BJ$2:$BJ$37),0))," "))))))))))))))))))))))</f>
        <v xml:space="preserve"> </v>
      </c>
      <c r="S147" s="33" t="str">
        <f ca="1">IF(COUNTIF(Q18:Q22,"*"&amp;"sign of ill omen"&amp;"*"),"Bestow Curse**",IF(AND(R15="oath of vengeance",Q12&gt;=9),"Protection from Energy",IF(AND(R15="Oath of the Ancients",Q12&gt;=9),"Protection from Energy",IF(AND(R15="Oath of Devotion",Q12&gt;=9),"Dispel Magic",IF(AND($P$20="Underdark",Q12&gt;=5),"Stinking Cloud",IF(AND($P$20="Swamp",Q12&gt;=5),"Stinking Cloud",IF(AND($P$20="Mountain",Q12&gt;=5),"Meld Into Stone",IF(AND($P$20="Grassland",Q12&gt;=5),"Haste",IF(AND($P$20="Forest",Q12&gt;=5),"Plant Growth",IF(AND($P$20="Desert",Q12&gt;=5),"Protection from Energy",IF(AND($P$20="Coast",Q12&gt;=5),"Water Walk",IF(AND($P$20="arctic",Q12&gt;=5),"Slow",IF(AND(R15="war",Q12&gt;=5),"Spirit Guardians",IF(AND(R15="trickery",Q12&gt;=5),"Dispel Magic",IF(AND(R15="Tempest",Q12&gt;=5),"Sleet Storm",IF(AND(R15="nature",Q12&gt;=5),"Wind Wall",IF(AND(R15="light",Q12&gt;=5),"Fireball",IF(AND(R15="life",Q12&gt;=5),"Revivify",IF(AND(R15="knowledge",Q12&gt;=5),"Speak with Dead",IF(AND(Q11="bard",AL156=3),INDEX('Spell Tables'!$BP$2:$BP$35,MATCH(O121,('Spell Tables'!$BN$2:$BN$35),0))," "))))))))))))))))))))</f>
        <v xml:space="preserve"> </v>
      </c>
      <c r="T147" s="72" t="str">
        <f ca="1">IF(COUNTIF(Q18:Q22,"*"&amp;"dreadful word"&amp;"*"),"Confusion**",IF(AND(R15="oath of vengeance",Q12&gt;=13),"Dimension Door",IF(AND(R15="Oath of the Ancients",Q12&gt;=13),"Stoneskin",IF(AND(R15="Oath of Devotion",Q12&gt;=13),"Guardian of Faith",IF(AND($P$20="Underdark",Q12&gt;=7),"Stone Shape",IF(AND($P$20="Swamp",Q12&gt;=7),"Locate Creature",IF(AND($P$20="Mountain",Q12&gt;=7),"Stonekin",IF(AND($P$20="Grassland",Q12&gt;=7),"Freedom of Movement",IF(AND($P$20="Forest",Q12&gt;=7),"Freedom of Movement",IF(AND($P$20="Desert",Q12&gt;=7),"Hallucinatory Terrain",IF(AND($P$20="Coast",Q12&gt;=7),"Freedom of Movement",IF(AND($P$20="arctic",Q12&gt;=7),"Ice Storm",IF(AND(R15="war",Q12&gt;=7),"Stoneskin",IF(AND(R15="trickery",Q12&gt;=7),"Polymorph",IF(AND(R15="tempest",Q12&gt;=7),"Ice Storm",IF(AND(R15="nature",Q12&gt;=7),"Grasping Vine",IF(AND(R15="light",Q12&gt;=7),"Wall of Fire",IF(AND(R15="life",Q12&gt;=7),"Guardian of Faith",IF(AND(R15="knowledge",Q12&gt;=7),"Confusion",IF(AND(Q11="bard",AL156=4),INDEX('Spell Tables'!$BT$2:$BT$29,MATCH(O121,('Spell Tables'!$BR$2:$BR$29),0))," "))))))))))))))))))))</f>
        <v xml:space="preserve"> </v>
      </c>
      <c r="AJ147" s="58" t="str">
        <f t="shared" ca="1" si="66"/>
        <v xml:space="preserve"> </v>
      </c>
      <c r="AK147" s="60">
        <f t="shared" ca="1" si="64"/>
        <v>0</v>
      </c>
      <c r="AL147" s="29" t="str">
        <f t="shared" ca="1" si="65"/>
        <v xml:space="preserve"> </v>
      </c>
    </row>
    <row r="148" spans="1:38" x14ac:dyDescent="0.3">
      <c r="B148" s="79" t="str">
        <f ca="1">IF(AND(Q11="warlock",Q12&gt;=2),"** = once per long rest - uses slot",IF(AND(Q11="paladin",Q12&gt;=3),"Free Preparation",IF(AND(R15="moon",Q12&gt;=14),"At Will",IF(R15="way of the shadow","Cost 2 Ki Points",IF(OR(R15="land",Q11="cleric"),"Free Preparation",IF(AND(Q11="bard",Q12&gt;=10),"Count Toward Known"," "))))))</f>
        <v xml:space="preserve"> </v>
      </c>
      <c r="C148" s="33"/>
      <c r="D148" s="33"/>
      <c r="E148" s="33"/>
      <c r="F148" s="33"/>
      <c r="G148" s="33"/>
      <c r="H148" s="33"/>
      <c r="I148" s="33"/>
      <c r="J148" s="33"/>
      <c r="K148" s="33"/>
      <c r="L148" s="33"/>
      <c r="M148" s="33"/>
      <c r="N148" s="33"/>
      <c r="O148" s="34">
        <v>3</v>
      </c>
      <c r="P148" s="33" t="str">
        <f ca="1">IF(Q16="pact of the tome",INDEX('Spell Tables'!$BD$19:$BD$37,MATCH(3,('Spell Tables'!$BB$19:$BB$37),0))," ")</f>
        <v xml:space="preserve"> </v>
      </c>
      <c r="Q148" s="33" t="str">
        <f ca="1">IF(COUNTIF(Q18:Q22,"*"&amp;"eldritch sight"&amp;"*"),"Detect Magic*"," ")</f>
        <v xml:space="preserve"> </v>
      </c>
      <c r="R148" s="33" t="str">
        <f ca="1">IF(COUNTIF(R18:R21,"*"&amp;"Rush of the Gale Spirits"&amp;"*"),"Gust of Wind (2 ki)",IF(R15="way of the shadow","Pass Without Trace"," "))</f>
        <v xml:space="preserve"> </v>
      </c>
      <c r="S148" s="33" t="str">
        <f ca="1">IF(COUNTIF(Q18:Q22,"*"&amp;"whispers of the grave"&amp;"*"),"Speak with Dead*"," ")</f>
        <v xml:space="preserve"> </v>
      </c>
      <c r="T148" s="72" t="str">
        <f ca="1">IF(COUNTIF(Q18:Q22,"*"&amp;"Sculptor of Flesh"&amp;"*"),"Polymorph**"," ")</f>
        <v xml:space="preserve"> </v>
      </c>
      <c r="AJ148" s="58" t="str">
        <f t="shared" ca="1" si="66"/>
        <v xml:space="preserve"> </v>
      </c>
      <c r="AK148" s="60">
        <f t="shared" ca="1" si="64"/>
        <v>0</v>
      </c>
      <c r="AL148" s="29" t="str">
        <f t="shared" ca="1" si="65"/>
        <v xml:space="preserve"> </v>
      </c>
    </row>
    <row r="149" spans="1:38" x14ac:dyDescent="0.3">
      <c r="B149" s="79"/>
      <c r="O149" s="81">
        <v>4</v>
      </c>
      <c r="Q149" s="29" t="str">
        <f ca="1">IF(COUNTIF(Q18:Q22,"*"&amp;"fiendish vigor"&amp;"*"),"False Life*"," ")</f>
        <v xml:space="preserve"> </v>
      </c>
      <c r="R149" s="29" t="str">
        <f ca="1">IF(R15="way of the shadow","Silence"," ")</f>
        <v xml:space="preserve"> </v>
      </c>
      <c r="T149" s="72" t="str">
        <f ca="1">IF(COUNTIF(Q18:Q22,"*"&amp;"visions of distant realms"&amp;"*"),"Arcane Eye*"," ")</f>
        <v xml:space="preserve"> </v>
      </c>
      <c r="AJ149" s="58" t="str">
        <f t="shared" ca="1" si="66"/>
        <v xml:space="preserve"> </v>
      </c>
      <c r="AK149" s="60">
        <f t="shared" ca="1" si="64"/>
        <v>0</v>
      </c>
      <c r="AL149" s="29" t="str">
        <f t="shared" ca="1" si="65"/>
        <v xml:space="preserve"> </v>
      </c>
    </row>
    <row r="150" spans="1:38" x14ac:dyDescent="0.3">
      <c r="B150" s="79"/>
      <c r="O150" s="81">
        <v>5</v>
      </c>
      <c r="Q150" s="29" t="str">
        <f ca="1">IF(COUNTIF(Q18:Q22,"*"&amp;"mask of many faces"&amp;"*"),"Disguise Self*","")</f>
        <v/>
      </c>
      <c r="T150" s="72"/>
    </row>
    <row r="151" spans="1:38" x14ac:dyDescent="0.3">
      <c r="B151" s="79"/>
      <c r="O151" s="81">
        <v>6</v>
      </c>
      <c r="Q151" s="29" t="str">
        <f ca="1">IF(COUNTIF(Q18:Q22,"*"&amp;"misty vision"&amp;"*"),"Silent Image*"," " )</f>
        <v xml:space="preserve"> </v>
      </c>
      <c r="T151" s="72"/>
      <c r="AJ151" s="31" t="s">
        <v>1666</v>
      </c>
    </row>
    <row r="152" spans="1:38" x14ac:dyDescent="0.3">
      <c r="B152" s="79"/>
      <c r="O152" s="81">
        <v>7</v>
      </c>
      <c r="Q152" s="29" t="str">
        <f ca="1">IF(COUNTIF(Q18:Q22,"*"&amp;"otherworldly leap"&amp;"*"),"Jump*"," ")</f>
        <v xml:space="preserve"> </v>
      </c>
      <c r="T152" s="72"/>
      <c r="AJ152" s="29">
        <v>1</v>
      </c>
      <c r="AK152" s="29">
        <v>1</v>
      </c>
    </row>
    <row r="153" spans="1:38" x14ac:dyDescent="0.3">
      <c r="B153" s="79"/>
      <c r="O153" s="81">
        <v>8</v>
      </c>
      <c r="Q153" s="29" t="str">
        <f ca="1">IF(COUNTIF(Q18:Q22,"*"&amp;"thief of five fates"&amp;"*"),"Bane**"," ")</f>
        <v xml:space="preserve"> </v>
      </c>
      <c r="T153" s="72"/>
      <c r="AJ153" s="29">
        <v>2</v>
      </c>
      <c r="AK153" s="29">
        <v>2</v>
      </c>
    </row>
    <row r="154" spans="1:38" x14ac:dyDescent="0.3">
      <c r="B154" s="79" t="str">
        <f ca="1">IF(AND(Q16="pact of the tome",COUNTIF($O$13:$O$13,"*"&amp;"book of ancient secrets"&amp;"*")),"Book of Ancient Secrets"," ")</f>
        <v xml:space="preserve"> </v>
      </c>
      <c r="O154" s="81">
        <v>9</v>
      </c>
      <c r="Q154" s="29" t="str">
        <f ca="1">IF(AND(Q16="pact of the tome",COUNTIF(Q18:Q22,"*"&amp;"book of ancient secrets"&amp;"*")),INDEX('Spell Tables'!BD40:BD46,MATCH(1,('Spell Tables'!BB40:BB46),0))," ")</f>
        <v xml:space="preserve"> </v>
      </c>
      <c r="T154" s="72"/>
      <c r="AJ154" s="29">
        <v>3</v>
      </c>
      <c r="AK154" s="29">
        <v>3</v>
      </c>
    </row>
    <row r="155" spans="1:38" ht="19.5" thickBot="1" x14ac:dyDescent="0.35">
      <c r="B155" s="80" t="str">
        <f ca="1">IF(Q16="pact of the chain",Q16,IF(OR(P155="minor illusion",S155="animate dead",T155="polymorph"),"School Spells - in Spellbook"," "))</f>
        <v xml:space="preserve"> </v>
      </c>
      <c r="C155" s="38"/>
      <c r="D155" s="38"/>
      <c r="E155" s="38"/>
      <c r="F155" s="38"/>
      <c r="G155" s="38"/>
      <c r="H155" s="38"/>
      <c r="I155" s="38"/>
      <c r="J155" s="38"/>
      <c r="K155" s="38"/>
      <c r="L155" s="38"/>
      <c r="M155" s="38"/>
      <c r="N155" s="38"/>
      <c r="O155" s="82">
        <v>10</v>
      </c>
      <c r="P155" s="38" t="str">
        <f ca="1">IF(AND(R15="school of Illusion",COUNTIF(P315:P324,"*Minor Illusion*"))," ",IF(R15="school of illusion","Minor Illusion"," "))</f>
        <v xml:space="preserve"> </v>
      </c>
      <c r="Q155" s="38" t="str">
        <f ca="1">IF(AND(Q16="pact of the tome",COUNTIF(Q18:Q22,"*"&amp;"book of ancient secrets"&amp;"*")),INDEX('Spell Tables'!BD40:BD46,MATCH(2,('Spell Tables'!BB40:BB46),0)),IF(Q16="pact of the chain","Find Familiar (as ritual)"," "))</f>
        <v xml:space="preserve"> </v>
      </c>
      <c r="R155" s="38"/>
      <c r="S155" s="38" t="str">
        <f ca="1">IF(AND(R15="school of necromancy",Q12&gt;=6,COUNTIF(S315:S324,"*"&amp;"Animate Dead"&amp;"*"))," ",IF(AND(R15="school of necromancy",Q12&gt;=6),"Animate Dead"," "))</f>
        <v xml:space="preserve"> </v>
      </c>
      <c r="T155" s="73" t="str">
        <f ca="1">IF(AND(R15="school of transmutation",Q12&gt;=10,COUNTIF(T315:T324,"*"&amp;"Polymorph"&amp;"*"))," ",IF(AND(R15="school of transmutation",Q12&gt;=6),"Polymorph"," "))</f>
        <v xml:space="preserve"> </v>
      </c>
      <c r="AJ155" s="29">
        <v>4</v>
      </c>
      <c r="AK155" s="29">
        <v>3</v>
      </c>
      <c r="AL155" s="29" t="str">
        <f ca="1">IF(AND(O11="bard",O12&gt;=10),VLOOKUP(RANDBETWEEN(1,10),Table219344458800857914330387777[],2),IF(AND(Q11="bard",Q12&gt;=10),VLOOKUP(RANDBETWEEN(1,10),Table219344458800857914330387777[],2)," "))</f>
        <v xml:space="preserve"> </v>
      </c>
    </row>
    <row r="156" spans="1:38" ht="19.5" thickBot="1" x14ac:dyDescent="0.35">
      <c r="B156" s="27"/>
      <c r="O156" s="99"/>
      <c r="AJ156" s="29">
        <v>5</v>
      </c>
      <c r="AK156" s="29">
        <v>4</v>
      </c>
      <c r="AL156" s="29" t="str">
        <f ca="1">IF(AND(O11="bard",O12&gt;=10),VLOOKUP(RANDBETWEEN(1,10),Table219344458800857914330387777[],2),IF(AND(Q11="bard",Q12&gt;=10),VLOOKUP(RANDBETWEEN(1,10),Table219344458800857914330387777[],2)," "))</f>
        <v xml:space="preserve"> </v>
      </c>
    </row>
    <row r="157" spans="1:38" x14ac:dyDescent="0.3">
      <c r="A157" s="33"/>
      <c r="B157" s="72"/>
      <c r="P157" s="76" t="s">
        <v>1169</v>
      </c>
      <c r="Q157" s="76" t="s">
        <v>1170</v>
      </c>
      <c r="R157" s="76" t="s">
        <v>1171</v>
      </c>
      <c r="S157" s="76" t="s">
        <v>677</v>
      </c>
      <c r="T157" s="104" t="s">
        <v>1172</v>
      </c>
      <c r="AJ157" s="29">
        <v>6</v>
      </c>
      <c r="AK157" s="29">
        <v>4</v>
      </c>
    </row>
    <row r="158" spans="1:38" x14ac:dyDescent="0.3">
      <c r="A158" s="33"/>
      <c r="B158" s="72"/>
      <c r="O158" s="83">
        <v>1</v>
      </c>
      <c r="P158" s="65" t="str">
        <f ca="1">IF(COUNTIF(Q18:Q22,"*"&amp;"chains of carceri"&amp;"*"),"Hold Monster**(c,f,e only)",IF(AND(R15="oath of vengeance",Q12&gt;=17),"Hold Monster",IF(AND(R15="Oath of the Ancients",Q12&gt;=17),"Commune with Nature",IF(AND(R15="Oath of Devotion",Q12&gt;=17),"Commune",IF(AND($P$20="Underdark",Q12&gt;=9),"Cloudkill",IF(AND($P$20="Swamp",Q12&gt;=9),"Insect Plague",IF(AND($P$20="Mountain",Q12&gt;=9),"Passwall",IF(AND($P$20="Grassland",Q12&gt;=9),"Dream",IF(AND($P$20="Forest",Q12&gt;=9),"Commune with Nature",IF(AND($P$20="Desert",Q12&gt;=9),"Insect Plague",IF(AND($P$20="Coast",Q12&gt;=9),"Conjure Elemental",IF(AND($P$20="arctic",Q12&gt;=9),"Commune with Nature",IF(AND(R15="war",Q12&gt;=9),"Flame Strike",IF(AND(R15="trickery",Q12&gt;=9),"Dominate Person",IF(AND(R15="tempest",Q12&gt;=9),"Destructive Wave",IF(AND(R15="nature",Q12&gt;=9),"Insect Plague",IF(AND(R15="light",Q12&gt;=9),"Flame Strike",IF(AND(R15="life",Q12&gt;=9),"Mass Cure Wounds",IF(AND(R15="knowledge",Q12&gt;=9),"Legend Lore",IF(AND(Q11="bard",AL155=5),INDEX('Spell Tables'!BX2:BX24,MATCH(O120,('Spell Tables'!BV2:BV24),0)),IF(AND(R15="path of the totem warrior",Q12&gt;=10),"Commune with Nature (as ritual)"," ")))))))))))))))))))))</f>
        <v xml:space="preserve"> </v>
      </c>
      <c r="Q158" s="65" t="str">
        <f ca="1">IF(AND(Q11="bard",AL167=6),INDEX('Spell Tables'!CB2:CB27,MATCH(O120,('Spell Tables'!BZ2:BZ27),0)),IF(AND(Q11="warlock",Q12&gt;=11),INDEX('Spell Tables'!AN194:AN201,MATCH(1,('Spell Tables'!AL194:AL201),0))," "))</f>
        <v xml:space="preserve"> </v>
      </c>
      <c r="R158" s="65" t="str">
        <f ca="1">IF(AND(Q11="bard",AL167=7),INDEX('Spell Tables'!CF2:CF11,MATCH(O120,('Spell Tables'!CD2:CD11),0)),IF(AND(Q11="warlock",Q12&gt;=13),INDEX('Spell Tables'!AR194:AR197,MATCH(1,('Spell Tables'!AP194:AP197),0))," "))</f>
        <v xml:space="preserve"> </v>
      </c>
      <c r="S158" s="65" t="str">
        <f ca="1">IF(AND(Q11="bard",AL179=8),INDEX('Spell Tables'!CJ2:CJ14,MATCH(O120,('Spell Tables'!CH2:CH14),0)),IF(AND(Q11="warlock",Q12&gt;=15),INDEX('Spell Tables'!AV194:AV198,MATCH(1,('Spell Tables'!AT295:AT299),0))," "))</f>
        <v xml:space="preserve"> </v>
      </c>
      <c r="T158" s="66" t="str">
        <f ca="1">IF(AND(Q11="bard",AL179=9),INDEX('Spell Tables'!CN2:CN11,MATCH(O120,('Spell Tables'!CL2:CL11),0)),IF(AND(Q11="warlock",Q12&gt;=17),INDEX('Spell Tables'!AZ194:AZ198,MATCH(1,('Spell Tables'!AX194:AX198),0))," "))</f>
        <v xml:space="preserve"> </v>
      </c>
      <c r="AJ158" s="29">
        <v>7</v>
      </c>
      <c r="AK158" s="29">
        <v>4</v>
      </c>
    </row>
    <row r="159" spans="1:38" x14ac:dyDescent="0.3">
      <c r="A159" s="33"/>
      <c r="B159" s="72"/>
      <c r="O159" s="84">
        <v>2</v>
      </c>
      <c r="P159" s="60" t="str">
        <f ca="1">IF(COUNTIF(Q18:Q22,"*"&amp;"minions of chaos"&amp;"*"),"Conjure Elemental**",IF(AND(R15="oath of vengeance",Q12&gt;=17),"Scrying",IF(AND(R15="Oath of the Ancients",Q12&gt;=17),"Tree Stride",IF(AND(R15="Oath of Devotion",Q12&gt;=17),"Flame Strike",IF(AND($P$20="Underdark",Q12&gt;=9),"Insect Plague",IF(AND($P$20="Swamp",Q12&gt;=9),"Scrying",IF(AND($P$20="Mountain",Q12&gt;=9),"Wall of Stone",IF(AND($P$20="Grassland",Q12&gt;=9),"Insect Plague",IF(AND($P$20="Forest",Q12&gt;=9),"Tree Stride",IF(AND($P$20="Desert",Q12&gt;=9),"Wall of Stone",IF(AND($P$20="Coast",Q12&gt;=9),"Scrying",IF(AND($P$20="arctic",Q12&gt;=9),"Cone of Cold",IF(AND(R15="war",Q12&gt;=9),"Hold Monster",IF(AND(R15="trickery",Q12&gt;=9),"Modify Memory",IF(AND(R15="tempest",Q12&gt;=9),"Insect Plague",IF(AND(R15="nature",Q12&gt;=9),"Tree Stride",IF(AND(R15="light",Q12&gt;=9),"Scrying",IF(AND(R15="life",Q12&gt;=9),"Raise Dead",IF(AND(R15="knowledge",Q12&gt;=9),"Scrying",IF(AND(Q11="bard",AL156=5),INDEX('Spell Tables'!$BX$2:$BX$24,MATCH(O121,('Spell Tables'!$BV$2:$BV$24),0))," "))))))))))))))))))))</f>
        <v xml:space="preserve"> </v>
      </c>
      <c r="Q159" s="60" t="str">
        <f ca="1">IF(AND(Q11="bard",AL168=6),INDEX('Spell Tables'!CB2:CB27,MATCH(O121,('Spell Tables'!BZ2:BZ27),0))," ")</f>
        <v xml:space="preserve"> </v>
      </c>
      <c r="R159" s="60" t="str">
        <f ca="1">IF(AND(Q11="bard",AL168=7),INDEX('Spell Tables'!CF2:CF11,MATCH(O121,('Spell Tables'!CD2:CD11),0))," ")</f>
        <v xml:space="preserve"> </v>
      </c>
      <c r="S159" s="60" t="str">
        <f ca="1">IF(AND(Q11="bard",AL180=8),INDEX('Spell Tables'!CJ2:CJ14,MATCH(O121,('Spell Tables'!CH2:CH14),0))," ")</f>
        <v xml:space="preserve"> </v>
      </c>
      <c r="T159" s="63" t="str">
        <f ca="1">IF(AND(Q11="bard",AL180=9),INDEX('Spell Tables'!CN2:CN11,MATCH(O121,('Spell Tables'!CL2:CL11),0))," ")</f>
        <v xml:space="preserve"> </v>
      </c>
      <c r="AJ159" s="29">
        <v>8</v>
      </c>
      <c r="AK159" s="29">
        <v>5</v>
      </c>
    </row>
    <row r="160" spans="1:38" x14ac:dyDescent="0.3">
      <c r="A160" s="33"/>
      <c r="B160" s="72"/>
      <c r="O160" s="83">
        <v>3</v>
      </c>
      <c r="P160" s="65"/>
      <c r="Q160" s="65"/>
      <c r="R160" s="65"/>
      <c r="S160" s="65"/>
      <c r="T160" s="66"/>
      <c r="AJ160" s="29">
        <v>9</v>
      </c>
      <c r="AK160" s="29">
        <v>5</v>
      </c>
    </row>
    <row r="161" spans="1:38" x14ac:dyDescent="0.3">
      <c r="A161" s="33"/>
      <c r="B161" s="72"/>
      <c r="O161" s="84">
        <v>4</v>
      </c>
      <c r="P161" s="60"/>
      <c r="Q161" s="60"/>
      <c r="R161" s="60"/>
      <c r="S161" s="60"/>
      <c r="T161" s="63"/>
      <c r="AJ161" s="29">
        <v>10</v>
      </c>
      <c r="AK161" s="29">
        <v>5</v>
      </c>
    </row>
    <row r="162" spans="1:38" x14ac:dyDescent="0.3">
      <c r="A162" s="33"/>
      <c r="B162" s="72"/>
      <c r="O162" s="83">
        <v>5</v>
      </c>
      <c r="P162" s="65"/>
      <c r="Q162" s="65"/>
      <c r="R162" s="65"/>
      <c r="S162" s="65"/>
      <c r="T162" s="66"/>
    </row>
    <row r="163" spans="1:38" x14ac:dyDescent="0.3">
      <c r="A163" s="33"/>
      <c r="B163" s="72"/>
      <c r="O163" s="84">
        <v>6</v>
      </c>
      <c r="P163" s="60"/>
      <c r="Q163" s="60"/>
      <c r="R163" s="60"/>
      <c r="S163" s="60"/>
      <c r="T163" s="63"/>
      <c r="AJ163" s="31" t="s">
        <v>1667</v>
      </c>
    </row>
    <row r="164" spans="1:38" x14ac:dyDescent="0.3">
      <c r="A164" s="33"/>
      <c r="B164" s="72"/>
      <c r="O164" s="83">
        <v>7</v>
      </c>
      <c r="P164" s="65"/>
      <c r="Q164" s="65"/>
      <c r="R164" s="65"/>
      <c r="S164" s="65"/>
      <c r="T164" s="66"/>
      <c r="AJ164" s="29">
        <v>1</v>
      </c>
      <c r="AK164" s="29">
        <v>6</v>
      </c>
    </row>
    <row r="165" spans="1:38" x14ac:dyDescent="0.3">
      <c r="A165" s="33"/>
      <c r="B165" s="72"/>
      <c r="O165" s="84">
        <v>8</v>
      </c>
      <c r="P165" s="60"/>
      <c r="Q165" s="60"/>
      <c r="R165" s="60"/>
      <c r="S165" s="60"/>
      <c r="T165" s="63"/>
      <c r="AJ165" s="29">
        <v>2</v>
      </c>
      <c r="AK165" s="29">
        <v>6</v>
      </c>
    </row>
    <row r="166" spans="1:38" x14ac:dyDescent="0.3">
      <c r="A166" s="33"/>
      <c r="B166" s="72"/>
      <c r="O166" s="83">
        <v>9</v>
      </c>
      <c r="P166" s="65"/>
      <c r="Q166" s="65"/>
      <c r="R166" s="65"/>
      <c r="S166" s="65"/>
      <c r="T166" s="66"/>
      <c r="U166" s="57"/>
      <c r="V166" s="57"/>
      <c r="W166" s="57"/>
      <c r="X166" s="57"/>
      <c r="AJ166" s="29">
        <v>3</v>
      </c>
      <c r="AK166" s="29">
        <v>6</v>
      </c>
    </row>
    <row r="167" spans="1:38" ht="19.5" thickBot="1" x14ac:dyDescent="0.35">
      <c r="A167" s="33"/>
      <c r="B167" s="72"/>
      <c r="O167" s="85">
        <v>10</v>
      </c>
      <c r="P167" s="67"/>
      <c r="Q167" s="67"/>
      <c r="R167" s="67"/>
      <c r="S167" s="67"/>
      <c r="T167" s="68"/>
      <c r="AJ167" s="29">
        <v>4</v>
      </c>
      <c r="AK167" s="29">
        <v>6</v>
      </c>
      <c r="AL167" s="29" t="str">
        <f ca="1">IF(AND(O11="bard",O12&gt;=14),VLOOKUP(RANDBETWEEN(1,10),Table220345459801858915331388778[],2)," ")</f>
        <v xml:space="preserve"> </v>
      </c>
    </row>
    <row r="168" spans="1:38" ht="19.5" thickBot="1" x14ac:dyDescent="0.35">
      <c r="AJ168" s="29">
        <v>5</v>
      </c>
      <c r="AK168" s="29">
        <v>7</v>
      </c>
      <c r="AL168" s="29" t="str">
        <f ca="1">IF(AND(O11="bard",O12&gt;=14),VLOOKUP(RANDBETWEEN(1,10),Table220345459801858915331388778[],2)," ")</f>
        <v xml:space="preserve"> </v>
      </c>
    </row>
    <row r="169" spans="1:38" ht="30.75" thickBot="1" x14ac:dyDescent="0.45">
      <c r="B169" s="105" t="s">
        <v>1243</v>
      </c>
      <c r="AJ169" s="29">
        <v>6</v>
      </c>
      <c r="AK169" s="29">
        <v>7</v>
      </c>
    </row>
    <row r="170" spans="1:38" ht="19.5" thickBot="1" x14ac:dyDescent="0.35">
      <c r="B170" s="79"/>
      <c r="C170" s="27"/>
      <c r="D170" s="27"/>
      <c r="E170" s="27"/>
      <c r="F170" s="27"/>
      <c r="G170" s="27"/>
      <c r="H170" s="27"/>
      <c r="I170" s="27"/>
      <c r="J170" s="27"/>
      <c r="K170" s="27"/>
      <c r="L170" s="27"/>
      <c r="M170" s="27"/>
      <c r="N170" s="27"/>
      <c r="O170" s="27"/>
      <c r="P170" s="87" t="s">
        <v>1341</v>
      </c>
      <c r="Q170" s="88" t="str">
        <f ca="1">IF($O$11="warlock",INDEX('Spell Tables'!$D$194:$D$213,MATCH($O$12,('Spell Tables'!$A$194:$A$213),0))," ")</f>
        <v xml:space="preserve"> </v>
      </c>
      <c r="R170" s="89" t="s">
        <v>1340</v>
      </c>
      <c r="S170" s="90" t="str">
        <f ca="1">IF($O$11="warlock",INDEX('Spell Tables'!$E$194:$E$213,MATCH($O$12,('Spell Tables'!$A$194:$A$213),0))," ")</f>
        <v xml:space="preserve"> </v>
      </c>
      <c r="T170" s="91"/>
      <c r="AJ170" s="29">
        <v>7</v>
      </c>
      <c r="AK170" s="29">
        <v>7</v>
      </c>
    </row>
    <row r="171" spans="1:38" x14ac:dyDescent="0.3">
      <c r="B171" s="112"/>
      <c r="C171" s="33"/>
      <c r="D171" s="33"/>
      <c r="E171" s="33"/>
      <c r="F171" s="33"/>
      <c r="G171" s="33"/>
      <c r="H171" s="33"/>
      <c r="I171" s="33"/>
      <c r="J171" s="33"/>
      <c r="K171" s="33"/>
      <c r="L171" s="33"/>
      <c r="M171" s="33"/>
      <c r="N171" s="33"/>
      <c r="O171" s="33"/>
      <c r="P171" s="92" t="s">
        <v>1342</v>
      </c>
      <c r="Q171" s="33">
        <f ca="1">IF(AND(AF14=2,OR(O11="monk",O11="barbarian",O11="warlock"),OR(Q11="fighter",Q11="rogue"),OR(P15&lt;&gt;"arcane trickster",R15&lt;&gt;"arcane trickster",P15&lt;&gt;"eldritch knight",R15&lt;&gt;"eldritch knight")),0,IF(AND(AF14=2,OR(O11="monk",O11="barbarian",O11="warlock"),OR(Q11="monk",Q11="barbarian",Q11="warlock")),0,IF(AND(AF14=2,OR(O11="monk",O11="barbarian",O11="warlock",Q11="monk",Q11="barbarian",Q11="warlock"),OR(P15="arcane trickster",R15="arcane trickster",P15="eldritch knight",R15="eldritch knight")),INDEX('Spell Tables'!D141:D160,MATCH(AF18,('Spell Tables'!A141:A160),0)),IF(AND(AF14=2,OR(O11="monk",O11="barbarian",O11="warlock",Q11="monk",Q11="barbarian",Q11="warlock"),OR(O11="paladin",Q11="paladin",O11="ranger",Q11="ranger")),INDEX('Spell Tables'!D119:D138,MATCH(AF18,('Spell Tables'!B119:B138),0)),IF(AF14=2,INDEX('Spell Tables'!D242:D261,MATCH(AF18,('Spell Tables'!B242:B261),0)),IF(AND(AF14=1,$P$15="arcane trickster"),INDEX('Spell Tables'!$D$141:$D$161,MATCH($O$12,('Spell Tables'!$A$141:$A$160),0)),IF(AND(AF14=1,(OR($O$11="bard",$O$11="cleric",$O$11="druid",$O$11="sorcerer",$O$11="wizard"))),INDEX('Spell Tables'!$D$2:$D$21,MATCH($O$12,('Spell Tables'!$A$2:$A$21),0)),IF(AND(AF14=1,$P$15)="Eldritch Knight",INDEX('Spell Tables'!$D$70:$D$89,MATCH($O$12,('Spell Tables'!$A$70:$A$89),0))," "))))))))</f>
        <v>4</v>
      </c>
      <c r="R171" s="33">
        <f ca="1">IF(AND(AF14=2,OR(O11="monk",O11="barbarian",O11="warlock"),OR(Q11="fighter",Q11="rogue"),OR(P15&lt;&gt;"arcane trickster",R15&lt;&gt;"arcane trickster",P15&lt;&gt;"eldritch knight",R15&lt;&gt;"eldritch knight")),0,IF(AND(AF14=2,OR(O11="monk",O11="barbarian",O11="warlock"),OR(Q11="monk",Q11="barbarian",Q11="warlock")),0,IF(AND(AF14=2,OR(O11="monk",O11="barbarian",O11="warlock",Q11="monk",Q11="barbarian",Q11="warlock"),OR(P15="arcane trickster",R15="arcane trickster",P15="eldritch knight",R15="eldritch knight")),INDEX('Spell Tables'!E141:E160,MATCH(AF18,('Spell Tables'!A141:A160),0)),IF(AND(AF14=2,OR(O11="monk",O11="barbarian",O11="warlock",Q11="monk",Q11="barbarian",Q11="warlock"),OR(O11="paladin",Q11="paladin",O11="ranger",Q11="ranger")),INDEX('Spell Tables'!E119:E138,MATCH(AF18,('Spell Tables'!B119:B138),0)),IF(AF14=2,INDEX('Spell Tables'!E242:E261,MATCH(AF18,('Spell Tables'!B242:B261),0)),IF($P$15="arcane trickster",INDEX('Spell Tables'!$E$141:$E$161,MATCH($O$12,('Spell Tables'!$A$141:$A$160),0)),IF(OR($O$11="bard",$O$11="cleric",$O$11="druid",O11="sorcerer",O11="wizard"),INDEX('Spell Tables'!E$2:E$21,MATCH($O$12,('Spell Tables'!$A$2:$A$21),0)),IF($P$15="Eldritch Knight",INDEX('Spell Tables'!E70:E89,MATCH($O$12,('Spell Tables'!$A$70:$A$89),0))," "))))))))</f>
        <v>3</v>
      </c>
      <c r="S171" s="33">
        <f ca="1">IF(AND(AF14=2,OR(O11="monk",O11="barbarian",O11="warlock"),OR(Q11="fighter",Q11="rogue"),OR(P15&lt;&gt;"arcane trickster",R15&lt;&gt;"arcane trickster",P15&lt;&gt;"eldritch knight",R15&lt;&gt;"eldritch knight")),0,IF(AND(AF14=2,OR(O11="monk",O11="barbarian",O11="warlock"),OR(Q11="monk",Q11="barbarian",Q11="warlock")),0,IF(AND(AF14=2,OR(O11="monk",O11="barbarian",O11="warlock",Q11="monk",Q11="barbarian",Q11="warlock"),OR(P15="arcane trickster",R15="arcane trickster",P15="eldritch knight",R15="eldritch knight")),INDEX('Spell Tables'!F141:F160,MATCH(AF18,('Spell Tables'!A141:A160),0)),IF(AND(AF14=2,OR(O11="monk",O11="barbarian",O11="warlock",Q11="monk",Q11="barbarian",Q11="warlock"),OR(O11="paladin",Q11="paladin",O11="ranger",Q11="ranger")),INDEX('Spell Tables'!F119:F1383,MATCH(AF18,('Spell Tables'!B119:B138),0)),IF(AF14=2,INDEX('Spell Tables'!F242:F261,MATCH(AF18,('Spell Tables'!B242:B261),0)),IF($P$15="arcane trickster",INDEX('Spell Tables'!$F$141:$F$161,MATCH($O$12,('Spell Tables'!$A$141:$A$160),0)),IF(OR($O$11="bard",$O$11="cleric",$O$11="druid",O11="sorcerer",O11="wizard"),INDEX('Spell Tables'!F$2:F$21,MATCH($O$12,('Spell Tables'!$A$2:$A$21),0)),IF($P$15="Eldritch Knight",INDEX('Spell Tables'!F70:F89,MATCH($O$12,('Spell Tables'!$A$70:$A$89),0))," "))))))))</f>
        <v>3</v>
      </c>
      <c r="T171" s="72">
        <f ca="1">IF(AND(AF14=2,OR(O11="monk",O11="barbarian",O11="warlock"),OR(Q11="fighter",Q11="rogue"),OR(P15&lt;&gt;"arcane trickster",R15&lt;&gt;"arcane trickster",P15&lt;&gt;"eldritch knight",R15&lt;&gt;"eldritch knight")),0,IF(AND(AF14=2,OR(O11="monk",O11="barbarian",O11="warlock"),OR(Q11="monk",Q11="barbarian",Q11="warlock")),0,IF(AND(AF14=2,OR(O11="monk",O11="barbarian",O11="warlock",Q11="monk",Q11="barbarian",Q11="warlock"),OR(P15="arcane trickster",R15="arcane trickster",P15="eldritch knight",R15="eldritch knight")),INDEX('Spell Tables'!G141:G160,MATCH(AF18,('Spell Tables'!A141:A160),0)),IF(AND(AF14=2,OR(O11="monk",O11="barbarian",O11="warlock",Q11="monk",Q11="barbarian",Q11="warlock"),OR(O11="paladin",Q11="paladin",O11="ranger",Q11="ranger")),INDEX('Spell Tables'!G119:G138,MATCH(AF18,('Spell Tables'!B119:B138),0)),IF(AF14=2,INDEX('Spell Tables'!G242:G261,MATCH(AF18,('Spell Tables'!B242:B261),0)),IF($P$15="arcane trickster",INDEX('Spell Tables'!$G$141:$G$161,MATCH($O$12,('Spell Tables'!$A$141:$A$160),0)),IF(OR($O$11="bard",$O$11="cleric",$O$11="druid",O11="sorcerer",O11="wizard"),INDEX('Spell Tables'!G$2:G$21,MATCH($O$12,('Spell Tables'!$A$2:$A$21),0)),IF($P$15="Eldritch Knight",INDEX('Spell Tables'!G70:G89,MATCH($O$12,('Spell Tables'!$A$70:$A$89),0))," "))))))))</f>
        <v>3</v>
      </c>
      <c r="AJ171" s="29">
        <v>8</v>
      </c>
      <c r="AK171" s="29">
        <v>7</v>
      </c>
    </row>
    <row r="172" spans="1:38" hidden="1" x14ac:dyDescent="0.3">
      <c r="B172" s="112" t="s">
        <v>1270</v>
      </c>
      <c r="C172" s="33"/>
      <c r="D172" s="33"/>
      <c r="E172" s="33"/>
      <c r="F172" s="33"/>
      <c r="G172" s="33"/>
      <c r="H172" s="33"/>
      <c r="I172" s="33"/>
      <c r="J172" s="33"/>
      <c r="K172" s="33"/>
      <c r="L172" s="33"/>
      <c r="M172" s="33"/>
      <c r="N172" s="33"/>
      <c r="O172" s="33" t="s">
        <v>530</v>
      </c>
      <c r="P172" s="92" t="s">
        <v>530</v>
      </c>
      <c r="Q172" s="33" t="str">
        <f ca="1">IF(AND(O11="wizard",O12&gt;=3),"x",IF(O11="wizard","xx"," "))</f>
        <v xml:space="preserve"> </v>
      </c>
      <c r="R172" s="33" t="str">
        <f ca="1">IF(AND(O11="wizard",O12&gt;=5),"x",IF(AND($O$11="wizard",$O$12&gt;3),"xx",IF(AND(O11="wizard",O12=3),"xxx"," ")))</f>
        <v xml:space="preserve"> </v>
      </c>
      <c r="S172" s="33" t="str">
        <f ca="1">IF(AND(O11="Wizard",O12&gt;=7),"x",IF(AND($O$11="wizard",$O$12&gt;5),"xx",IF(AND(O11="wizard",O12=5),"xxx"," ")))</f>
        <v xml:space="preserve"> </v>
      </c>
      <c r="T172" s="33" t="str">
        <f ca="1">IF(AND(O11="wizard",O12&gt;=9),"x",IF(AND($O$11="wizard",$O$12&gt;7),"xx",IF(AND(O11="wizard",O12=7),"xxx"," ")))</f>
        <v xml:space="preserve"> </v>
      </c>
      <c r="AJ172" s="29">
        <v>9</v>
      </c>
      <c r="AK172" s="29">
        <v>7</v>
      </c>
    </row>
    <row r="173" spans="1:38" hidden="1" x14ac:dyDescent="0.3">
      <c r="B173" s="112" t="s">
        <v>1272</v>
      </c>
      <c r="C173" s="33"/>
      <c r="D173" s="33"/>
      <c r="E173" s="33"/>
      <c r="F173" s="33"/>
      <c r="G173" s="33"/>
      <c r="H173" s="33"/>
      <c r="I173" s="33"/>
      <c r="J173" s="33"/>
      <c r="K173" s="33"/>
      <c r="L173" s="33"/>
      <c r="M173" s="33"/>
      <c r="N173" s="33"/>
      <c r="O173" s="33" t="str">
        <f ca="1">IF(O11="wizard",P41+O12," ")</f>
        <v xml:space="preserve"> </v>
      </c>
      <c r="P173" s="92">
        <f ca="1">IF(O11="wizard",INDEX('Spell Tables'!C242:C261,MATCH(O12,('Spell Tables'!B242:B261),0)),0)</f>
        <v>0</v>
      </c>
      <c r="Q173" s="33">
        <f ca="1">IF($Q172="x",RANDBETWEEN(1,2),IF($Q172="xx",$O$173,0))</f>
        <v>0</v>
      </c>
      <c r="R173" s="33">
        <f ca="1">IF(R172="x",RANDBETWEEN(1,2),IF(R172="xx",$O$173-Q173,0))</f>
        <v>0</v>
      </c>
      <c r="S173" s="33">
        <f ca="1">IF(S172="x",O173-SUM(Q173:R173,U122:X122),IF(S172="xx",$O$173-SUM(Q173:R173),0))</f>
        <v>0</v>
      </c>
      <c r="T173" s="33">
        <f ca="1">IF(T172="x",RANDBETWEEN(1,2),IF(T172="xx",RANDBETWEEN(2,3),IF(T172="xxx",RANDBETWEEN(1,2),0)))</f>
        <v>0</v>
      </c>
      <c r="AJ173" s="29">
        <v>10</v>
      </c>
      <c r="AK173" s="29">
        <v>7</v>
      </c>
    </row>
    <row r="174" spans="1:38" hidden="1" x14ac:dyDescent="0.3">
      <c r="B174" s="112" t="s">
        <v>1269</v>
      </c>
      <c r="C174" s="33"/>
      <c r="D174" s="33"/>
      <c r="E174" s="33"/>
      <c r="F174" s="33"/>
      <c r="G174" s="33"/>
      <c r="H174" s="33"/>
      <c r="I174" s="33"/>
      <c r="J174" s="33"/>
      <c r="K174" s="33"/>
      <c r="L174" s="33"/>
      <c r="M174" s="33"/>
      <c r="N174" s="33"/>
      <c r="O174" s="33" t="s">
        <v>530</v>
      </c>
      <c r="P174" s="92" t="s">
        <v>530</v>
      </c>
      <c r="Q174" s="33" t="str">
        <f ca="1">IF(AND($O$11="warlock",$O$12&gt;=3),"x",IF(O11="warlock","xx"," "))</f>
        <v xml:space="preserve"> </v>
      </c>
      <c r="R174" s="33" t="str">
        <f ca="1">IF(AND($O$11="warlock",$O$12&gt;=5),"x",IF(AND($O$11="warlock",$O$12&gt;=3),"xx"," "))</f>
        <v xml:space="preserve"> </v>
      </c>
      <c r="S174" s="33" t="str">
        <f ca="1">IF(AND($O$11="warlock",$O$12&gt;=7),"x",IF(AND($O$11="warlock",$O$12&gt;=5),"xx"," "))</f>
        <v xml:space="preserve"> </v>
      </c>
      <c r="T174" s="33" t="str">
        <f ca="1">IF(AND($O$11="warlock",$O$12&gt;=9),"x",IF(AND($O$11="warlock",$O$12&gt;=7),"xx"," "))</f>
        <v xml:space="preserve"> </v>
      </c>
    </row>
    <row r="175" spans="1:38" hidden="1" x14ac:dyDescent="0.3">
      <c r="B175" s="112" t="s">
        <v>1268</v>
      </c>
      <c r="C175" s="33"/>
      <c r="D175" s="33"/>
      <c r="E175" s="33"/>
      <c r="F175" s="33"/>
      <c r="G175" s="33"/>
      <c r="H175" s="33"/>
      <c r="I175" s="33"/>
      <c r="J175" s="33"/>
      <c r="K175" s="33"/>
      <c r="L175" s="33"/>
      <c r="M175" s="33"/>
      <c r="N175" s="33"/>
      <c r="O175" s="33" t="str">
        <f ca="1">IF(O11="warlock",INDEX('Spell Tables'!C194:C213,MATCH($O$12,('Spell Tables'!A194:A213),0))," ")</f>
        <v xml:space="preserve"> </v>
      </c>
      <c r="P175" s="92">
        <f ca="1">IF($O$11="warlock",INDEX('Spell Tables'!B194:B213,MATCH($O$12,('Spell Tables'!A194:A213),0)),0)</f>
        <v>0</v>
      </c>
      <c r="Q175" s="33">
        <f ca="1">IF($Q174="x",RANDBETWEEN(1,2),IF($Q174="xx",$O$175,0))</f>
        <v>0</v>
      </c>
      <c r="R175" s="33">
        <f ca="1">IF(R174="x",RANDBETWEEN(1,2),IF(R174="xx",$O$175-Q175,0))</f>
        <v>0</v>
      </c>
      <c r="S175" s="33">
        <f ca="1">IF(S174="x",O175-SUM(Q175:R175,U124:X124),IF(S174="xx",$O$175-SUM(Q175:R175),0))</f>
        <v>0</v>
      </c>
      <c r="T175" s="33">
        <f ca="1">IF(T174="x",RANDBETWEEN(1,2),IF(T174="xx",RANDBETWEEN(2,3),0))</f>
        <v>0</v>
      </c>
      <c r="AJ175" s="31" t="s">
        <v>1668</v>
      </c>
    </row>
    <row r="176" spans="1:38" hidden="1" x14ac:dyDescent="0.3">
      <c r="B176" s="112" t="s">
        <v>1267</v>
      </c>
      <c r="C176" s="33"/>
      <c r="D176" s="33"/>
      <c r="E176" s="33"/>
      <c r="F176" s="33"/>
      <c r="G176" s="33"/>
      <c r="H176" s="33"/>
      <c r="I176" s="33"/>
      <c r="J176" s="33"/>
      <c r="K176" s="33"/>
      <c r="L176" s="33"/>
      <c r="M176" s="33"/>
      <c r="N176" s="33"/>
      <c r="O176" s="33" t="s">
        <v>530</v>
      </c>
      <c r="P176" s="92" t="s">
        <v>530</v>
      </c>
      <c r="Q176" s="33" t="str">
        <f ca="1">IF(AND($O$11="sorcerer",$O$12&gt;=3),"x",IF($O$11="sorcerer","xx"," "))</f>
        <v>x</v>
      </c>
      <c r="R176" s="33" t="str">
        <f ca="1">IF(AND($O$11="sorcerer",$O$12&gt;=5),"x",IF(AND($O$11="sorcerer",$O$12&gt;=3),"xx"," "))</f>
        <v>x</v>
      </c>
      <c r="S176" s="33" t="str">
        <f ca="1">IF(AND($O$11="sorcerer",$O$12&gt;=7),"x",IF(AND($O$11="sorcerer",$O$12&gt;=5),"xx"," "))</f>
        <v>x</v>
      </c>
      <c r="T176" s="33" t="str">
        <f ca="1">IF(AND($O$11="sorcerer",$O$12&gt;=9),"x",IF(AND($O$11="sorcerer",$O$12&gt;=7),"xx"," "))</f>
        <v>x</v>
      </c>
      <c r="AJ176" s="29">
        <v>1</v>
      </c>
      <c r="AK176" s="29">
        <v>8</v>
      </c>
    </row>
    <row r="177" spans="2:38" hidden="1" x14ac:dyDescent="0.3">
      <c r="B177" s="112" t="s">
        <v>1266</v>
      </c>
      <c r="C177" s="33"/>
      <c r="D177" s="33"/>
      <c r="E177" s="33"/>
      <c r="F177" s="33"/>
      <c r="G177" s="33"/>
      <c r="H177" s="33"/>
      <c r="I177" s="33"/>
      <c r="J177" s="33"/>
      <c r="K177" s="33"/>
      <c r="L177" s="33"/>
      <c r="M177" s="33"/>
      <c r="N177" s="33"/>
      <c r="O177" s="33">
        <f ca="1">IF(O11="sorcerer",INDEX('Spell Tables'!C168:C187,MATCH($O$12,('Spell Tables'!A168:A187),0))," ")</f>
        <v>11</v>
      </c>
      <c r="P177" s="92">
        <f ca="1">IF($O$11="sorcerer",INDEX('Spell Tables'!B168:B187,MATCH($O$12,('Spell Tables'!A168:A187),0)),0)</f>
        <v>6</v>
      </c>
      <c r="Q177" s="33">
        <f ca="1">IF($Q176="x",RANDBETWEEN(1,2),IF($Q176="xx",$O$177,0))</f>
        <v>2</v>
      </c>
      <c r="R177" s="33">
        <f ca="1">IF(R176="x",RANDBETWEEN(1,2),IF(R176="xx",$O$177-Q177,0))</f>
        <v>2</v>
      </c>
      <c r="S177" s="33">
        <f ca="1">IF(S176="x",O177-SUM(Q177:R177,U126:X126),IF(S176="xx",$O$177-SUM(Q177:R177),0))</f>
        <v>7</v>
      </c>
      <c r="T177" s="33">
        <f ca="1">IF(T176="x",RANDBETWEEN(1,2),IF(T176="xx",RANDBETWEEN(2,3),0))</f>
        <v>2</v>
      </c>
      <c r="AJ177" s="29">
        <v>2</v>
      </c>
      <c r="AK177" s="29">
        <v>8</v>
      </c>
    </row>
    <row r="178" spans="2:38" hidden="1" x14ac:dyDescent="0.3">
      <c r="B178" s="112" t="s">
        <v>1254</v>
      </c>
      <c r="C178" s="33"/>
      <c r="D178" s="33"/>
      <c r="E178" s="33"/>
      <c r="F178" s="33"/>
      <c r="G178" s="33"/>
      <c r="H178" s="33"/>
      <c r="I178" s="33"/>
      <c r="J178" s="33"/>
      <c r="K178" s="33"/>
      <c r="L178" s="33"/>
      <c r="M178" s="33"/>
      <c r="N178" s="33"/>
      <c r="O178" s="33" t="s">
        <v>530</v>
      </c>
      <c r="P178" s="92" t="s">
        <v>530</v>
      </c>
      <c r="Q178" s="33" t="str">
        <f ca="1">IF(AND(P15="arcane trickster",O12&gt;=7),"x",IF(P15="arcane trickster","xx"," "))</f>
        <v xml:space="preserve"> </v>
      </c>
      <c r="R178" s="33" t="str">
        <f ca="1">IF(AND(P15="arcane trickster",O12=13),"x",IF(AND(P15="arcane trickster",$O$12&gt;=7),"xx"," "))</f>
        <v xml:space="preserve"> </v>
      </c>
      <c r="S178" s="33" t="str">
        <f ca="1">IF(AND(P15="arcane trickster",O12&gt;=19),"x",IF(AND(P15="arcane trickster",$O$12&gt;=13),"xx"," "))</f>
        <v xml:space="preserve"> </v>
      </c>
      <c r="T178" s="33" t="str">
        <f ca="1">IF(AND(P15="arcane trickster",$O$12&gt;=19),"xx"," ")</f>
        <v xml:space="preserve"> </v>
      </c>
      <c r="AJ178" s="29">
        <v>3</v>
      </c>
      <c r="AK178" s="29">
        <v>8</v>
      </c>
    </row>
    <row r="179" spans="2:38" hidden="1" x14ac:dyDescent="0.3">
      <c r="B179" s="112" t="s">
        <v>1253</v>
      </c>
      <c r="C179" s="33"/>
      <c r="D179" s="33"/>
      <c r="E179" s="33"/>
      <c r="F179" s="33"/>
      <c r="G179" s="33"/>
      <c r="H179" s="33"/>
      <c r="I179" s="33"/>
      <c r="J179" s="33"/>
      <c r="K179" s="33"/>
      <c r="L179" s="33"/>
      <c r="M179" s="33"/>
      <c r="N179" s="33"/>
      <c r="O179" s="33" t="str">
        <f ca="1">IF(P15="arcane trickster",INDEX('Spell Tables'!C141:C160,MATCH($O$12,('Spell Tables'!A141:A160),0))," ")</f>
        <v xml:space="preserve"> </v>
      </c>
      <c r="P179" s="92">
        <f ca="1">IF($P$15="arcane trickster",INDEX('Spell Tables'!B141:B160,MATCH($O$12,('Spell Tables'!A141:A160),0)),0)</f>
        <v>0</v>
      </c>
      <c r="Q179" s="33">
        <f ca="1">IF($Q178="x",RANDBETWEEN(2,3),IF($Q178="xx",$O$179,0))</f>
        <v>0</v>
      </c>
      <c r="R179" s="33">
        <f ca="1">IF(R178="x",RANDBETWEEN(2,3),IF(R178="xx",$O$179-Q179,0))</f>
        <v>0</v>
      </c>
      <c r="S179" s="33">
        <f ca="1">IF(S178="x",O179-SUM(Q179:R179,U128:X128),IF(S178="xx",$O$179-SUM(Q179:R179),0))</f>
        <v>0</v>
      </c>
      <c r="T179" s="33">
        <f ca="1">IF(T178="x",RANDBETWEEN(1,2),IF(T178="xx",RANDBETWEEN(2,3),0))</f>
        <v>0</v>
      </c>
      <c r="AJ179" s="29">
        <v>4</v>
      </c>
      <c r="AK179" s="29">
        <v>8</v>
      </c>
      <c r="AL179" s="29" t="str">
        <f ca="1">IF(AND(O11="bard",O12&gt;=18),VLOOKUP(RANDBETWEEN(1,10),Table222346460802859916332389779[],2)," ")</f>
        <v xml:space="preserve"> </v>
      </c>
    </row>
    <row r="180" spans="2:38" hidden="1" x14ac:dyDescent="0.3">
      <c r="B180" s="112" t="s">
        <v>1247</v>
      </c>
      <c r="C180" s="33"/>
      <c r="D180" s="33"/>
      <c r="E180" s="33"/>
      <c r="F180" s="33"/>
      <c r="G180" s="33"/>
      <c r="H180" s="33"/>
      <c r="I180" s="33"/>
      <c r="J180" s="33"/>
      <c r="K180" s="33"/>
      <c r="L180" s="33"/>
      <c r="M180" s="33"/>
      <c r="N180" s="33"/>
      <c r="O180" s="33" t="s">
        <v>530</v>
      </c>
      <c r="P180" s="92" t="s">
        <v>1324</v>
      </c>
      <c r="Q180" s="33" t="str">
        <f ca="1">IF(AND($O$11="ranger",$O$12&gt;=5),"x",IF(AND(O11="ranger",O12&gt;=2),"xx"," "))</f>
        <v xml:space="preserve"> </v>
      </c>
      <c r="R180" s="33" t="str">
        <f ca="1">IF(AND($O$11="ranger",$O$12&gt;=9),"x",IF(AND($O$11="ranger",$O$12&gt;=5),"xx"," "))</f>
        <v xml:space="preserve"> </v>
      </c>
      <c r="S180" s="33" t="str">
        <f ca="1">IF(AND($O$11="ranger",$O$12&gt;=13),"x",IF(AND($O$11="ranger",$O$12&gt;=9),"xx"," "))</f>
        <v xml:space="preserve"> </v>
      </c>
      <c r="T180" s="33" t="str">
        <f ca="1">IF(AND($O$11="ranger",$O$12&gt;=17),"x",IF(AND($O$11="ranger",$O$12&gt;=13),"xx"," "))</f>
        <v xml:space="preserve"> </v>
      </c>
      <c r="AJ180" s="29">
        <v>5</v>
      </c>
      <c r="AK180" s="29">
        <v>9</v>
      </c>
      <c r="AL180" s="29" t="str">
        <f ca="1">IF(AND(O11="bard",O12&gt;=18),VLOOKUP(RANDBETWEEN(1,10),Table222346460802859916332389779[],2)," ")</f>
        <v xml:space="preserve"> </v>
      </c>
    </row>
    <row r="181" spans="2:38" hidden="1" x14ac:dyDescent="0.3">
      <c r="B181" s="112" t="s">
        <v>1246</v>
      </c>
      <c r="C181" s="33"/>
      <c r="D181" s="33"/>
      <c r="E181" s="33"/>
      <c r="F181" s="33"/>
      <c r="G181" s="33"/>
      <c r="H181" s="33"/>
      <c r="I181" s="33"/>
      <c r="J181" s="33"/>
      <c r="K181" s="33"/>
      <c r="L181" s="33"/>
      <c r="M181" s="33"/>
      <c r="N181" s="33"/>
      <c r="O181" s="33" t="str">
        <f ca="1">IF($O$11="ranger",INDEX('Spell Tables'!C119:C138,MATCH($O$12,('Spell Tables'!B119:B138),0))," ")</f>
        <v xml:space="preserve"> </v>
      </c>
      <c r="P181" s="92" t="s">
        <v>1324</v>
      </c>
      <c r="Q181" s="33">
        <f ca="1">IF($Q180="x",RANDBETWEEN(1,2),IF($Q180="xx",$O$181,0))</f>
        <v>0</v>
      </c>
      <c r="R181" s="33">
        <f ca="1">IF(R180="x",RANDBETWEEN(1,2),IF(R180="xx",$O$181-Q181,0))</f>
        <v>0</v>
      </c>
      <c r="S181" s="33">
        <f ca="1">IF(S180="x",O181-SUM(Q181:R181,T130:X130),IF(S180="xx",$O$181-SUM(Q181:R181),0))</f>
        <v>0</v>
      </c>
      <c r="T181" s="33">
        <f ca="1">IF(T180="x",RANDBETWEEN(1,2),IF(T180="xx",RANDBETWEEN(2,3),0))</f>
        <v>0</v>
      </c>
      <c r="AJ181" s="29">
        <v>6</v>
      </c>
      <c r="AK181" s="29">
        <v>9</v>
      </c>
    </row>
    <row r="182" spans="2:38" hidden="1" x14ac:dyDescent="0.3">
      <c r="B182" s="112" t="s">
        <v>1245</v>
      </c>
      <c r="C182" s="33"/>
      <c r="D182" s="33"/>
      <c r="E182" s="33"/>
      <c r="F182" s="33"/>
      <c r="G182" s="33"/>
      <c r="H182" s="33"/>
      <c r="I182" s="33"/>
      <c r="J182" s="33"/>
      <c r="K182" s="33"/>
      <c r="L182" s="33"/>
      <c r="M182" s="33"/>
      <c r="N182" s="33"/>
      <c r="O182" s="33" t="s">
        <v>530</v>
      </c>
      <c r="P182" s="92" t="s">
        <v>1324</v>
      </c>
      <c r="Q182" s="33" t="str">
        <f ca="1">IF(AND($O$11="paladin",$O$12&gt;=5),"x",IF($O$11="paladin","xx"," "))</f>
        <v xml:space="preserve"> </v>
      </c>
      <c r="R182" s="33" t="str">
        <f ca="1">IF(AND(O11="paladin",O12&gt;=9),"x",IF(AND($O$11="paladin",$O$12&gt;=5),"xx"," "))</f>
        <v xml:space="preserve"> </v>
      </c>
      <c r="S182" s="33" t="str">
        <f ca="1">IF(AND(O11="paladin",O12&gt;=13),"x",IF(AND($O$11="paladin",$O$12&gt;=9),"xx"," "))</f>
        <v xml:space="preserve"> </v>
      </c>
      <c r="T182" s="33" t="str">
        <f ca="1">IF(AND(O11="paladin",O12&gt;=17),"x",IF(AND($O$11="paladin",$O$12&gt;=13),"xx"," "))</f>
        <v xml:space="preserve"> </v>
      </c>
      <c r="AJ182" s="29">
        <v>7</v>
      </c>
      <c r="AK182" s="29">
        <v>9</v>
      </c>
    </row>
    <row r="183" spans="2:38" hidden="1" x14ac:dyDescent="0.3">
      <c r="B183" s="112" t="s">
        <v>1244</v>
      </c>
      <c r="C183" s="33"/>
      <c r="D183" s="33"/>
      <c r="E183" s="33"/>
      <c r="F183" s="33"/>
      <c r="G183" s="33"/>
      <c r="H183" s="33"/>
      <c r="I183" s="33"/>
      <c r="J183" s="33"/>
      <c r="K183" s="33"/>
      <c r="L183" s="33"/>
      <c r="M183" s="33"/>
      <c r="N183" s="33"/>
      <c r="O183" s="33" t="str">
        <f ca="1">IF(O11="paladin",ROUNDDOWN(P43+(O12*0.5),0)," ")</f>
        <v xml:space="preserve"> </v>
      </c>
      <c r="P183" s="92" t="s">
        <v>1324</v>
      </c>
      <c r="Q183" s="33">
        <f ca="1">IF($Q182="x",RANDBETWEEN(1,2),IF($Q182="xx",$O$183,0))</f>
        <v>0</v>
      </c>
      <c r="R183" s="33">
        <f ca="1">IF(R182="x",RANDBETWEEN(1,2),IF(R182="xx",$O$183-Q183,0))</f>
        <v>0</v>
      </c>
      <c r="S183" s="33">
        <f ca="1">IF(S182="x",O183-SUM(Q183:R183,U132:X132),IF(S182="xx",$O$183-SUM(Q183:R183),0))</f>
        <v>0</v>
      </c>
      <c r="T183" s="33">
        <f ca="1">IF(T182="x",RANDBETWEEN(1,2),IF(T182="xx",RANDBETWEEN(2,3),0))</f>
        <v>0</v>
      </c>
      <c r="AJ183" s="29">
        <v>8</v>
      </c>
      <c r="AK183" s="29">
        <v>9</v>
      </c>
    </row>
    <row r="184" spans="2:38" hidden="1" x14ac:dyDescent="0.3">
      <c r="B184" s="112" t="s">
        <v>1226</v>
      </c>
      <c r="C184" s="33"/>
      <c r="D184" s="33"/>
      <c r="E184" s="33"/>
      <c r="F184" s="33"/>
      <c r="G184" s="33"/>
      <c r="H184" s="33"/>
      <c r="I184" s="33"/>
      <c r="J184" s="33"/>
      <c r="K184" s="33"/>
      <c r="L184" s="33"/>
      <c r="M184" s="33"/>
      <c r="N184" s="33"/>
      <c r="O184" s="33" t="s">
        <v>530</v>
      </c>
      <c r="P184" s="92" t="s">
        <v>530</v>
      </c>
      <c r="Q184" s="33" t="str">
        <f ca="1">IF(AND(P15="eldritch knight",O12&gt;=7),"x",IF(P15="eldritch knight","xx"," "))</f>
        <v xml:space="preserve"> </v>
      </c>
      <c r="R184" s="33" t="str">
        <f ca="1">IF(AND(P15="eldritch knight",O12&gt;=13),"x",IF(AND(P15="eldritch knight",$O$12&gt;=7),"xx"," "))</f>
        <v xml:space="preserve"> </v>
      </c>
      <c r="S184" s="33" t="str">
        <f ca="1">IF(AND(P15="eldritch knight",O12&gt;=19),"x",IF(AND(P15="eldritch knight",$O$12&gt;=13),"xx"," "))</f>
        <v xml:space="preserve"> </v>
      </c>
      <c r="T184" s="33" t="str">
        <f ca="1">IF(AND(P15="eldritch knight",$O$12&gt;=19),"xx"," ")</f>
        <v xml:space="preserve"> </v>
      </c>
      <c r="AJ184" s="29">
        <v>9</v>
      </c>
      <c r="AK184" s="29">
        <v>9</v>
      </c>
    </row>
    <row r="185" spans="2:38" hidden="1" x14ac:dyDescent="0.3">
      <c r="B185" s="112" t="s">
        <v>1222</v>
      </c>
      <c r="C185" s="33"/>
      <c r="D185" s="33"/>
      <c r="E185" s="33"/>
      <c r="F185" s="33"/>
      <c r="G185" s="33"/>
      <c r="H185" s="33"/>
      <c r="I185" s="33"/>
      <c r="J185" s="33"/>
      <c r="K185" s="33"/>
      <c r="L185" s="33"/>
      <c r="M185" s="33"/>
      <c r="N185" s="33"/>
      <c r="O185" s="33" t="str">
        <f ca="1">IF($P$15="eldritch knight",INDEX('Spell Tables'!C70:C89,MATCH($O$12,('Spell Tables'!$A$70:$A$89),0))," ")</f>
        <v xml:space="preserve"> </v>
      </c>
      <c r="P185" s="92">
        <f ca="1">IF($P$15="eldritch knight",INDEX('Spell Tables'!B70:B89,MATCH($O$12,('Spell Tables'!A70:A89),0)),0)</f>
        <v>0</v>
      </c>
      <c r="Q185" s="33">
        <f ca="1">IF($Q184="x",RANDBETWEEN(2,3),IF($Q184="xx",$O$185,0))</f>
        <v>0</v>
      </c>
      <c r="R185" s="33">
        <f ca="1">IF(R184="x",RANDBETWEEN(2,3),IF(R184="xx",$O$185-Q185,0))</f>
        <v>0</v>
      </c>
      <c r="S185" s="33">
        <f ca="1">IF(S184="x",O185-SUM(Q185:R185,U134:X134),IF(S184="xx",$O$185-SUM(Q185:R185),0))</f>
        <v>0</v>
      </c>
      <c r="T185" s="33">
        <f ca="1">IF(T184="x",RANDBETWEEN(1,2),IF(T184="xx",RANDBETWEEN(2,3),0))</f>
        <v>0</v>
      </c>
      <c r="AJ185" s="29">
        <v>10</v>
      </c>
      <c r="AK185" s="29">
        <v>9</v>
      </c>
    </row>
    <row r="186" spans="2:38" hidden="1" x14ac:dyDescent="0.3">
      <c r="B186" s="112" t="s">
        <v>1219</v>
      </c>
      <c r="C186" s="33"/>
      <c r="D186" s="33"/>
      <c r="E186" s="33"/>
      <c r="F186" s="33"/>
      <c r="G186" s="33"/>
      <c r="H186" s="33"/>
      <c r="I186" s="33"/>
      <c r="J186" s="33"/>
      <c r="K186" s="33"/>
      <c r="L186" s="33"/>
      <c r="M186" s="33"/>
      <c r="N186" s="33"/>
      <c r="O186" s="33" t="s">
        <v>530</v>
      </c>
      <c r="P186" s="92" t="s">
        <v>530</v>
      </c>
      <c r="Q186" s="33" t="str">
        <f ca="1">IF(AND($O$11="druid",$O$12&gt;=3),"x",IF($O$11="druid","xx"," "))</f>
        <v xml:space="preserve"> </v>
      </c>
      <c r="R186" s="33" t="str">
        <f ca="1">IF(AND($O$11="druid",$O$12&gt;=5),"x",IF(AND($O$11="druid",$O$12&gt;=3),"xx"," "))</f>
        <v xml:space="preserve"> </v>
      </c>
      <c r="S186" s="33" t="str">
        <f ca="1">IF(AND($O$11="druid",$O$12&gt;=7),"x",IF(AND($O$11="druid",$O$12&gt;=5),"xx"," "))</f>
        <v xml:space="preserve"> </v>
      </c>
      <c r="T186" s="33" t="str">
        <f ca="1">IF(AND($O$11="druid",$O$12&gt;=9),"x",IF(AND($O$11="druid",$O$12&gt;=7),"xx"," "))</f>
        <v xml:space="preserve"> </v>
      </c>
    </row>
    <row r="187" spans="2:38" hidden="1" x14ac:dyDescent="0.3">
      <c r="B187" s="112" t="s">
        <v>1220</v>
      </c>
      <c r="C187" s="33"/>
      <c r="D187" s="33"/>
      <c r="E187" s="33"/>
      <c r="F187" s="33"/>
      <c r="G187" s="33"/>
      <c r="H187" s="33"/>
      <c r="I187" s="33"/>
      <c r="J187" s="33"/>
      <c r="K187" s="33"/>
      <c r="L187" s="33"/>
      <c r="M187" s="33"/>
      <c r="N187" s="33"/>
      <c r="O187" s="33" t="str">
        <f ca="1">IF(O11="druid",O12+P42," ")</f>
        <v xml:space="preserve"> </v>
      </c>
      <c r="P187" s="92">
        <f ca="1">IF($O$11="druid",INDEX('Spell Tables'!C48:C67,MATCH($O$12,('Spell Tables'!B48:B67),0)),0)</f>
        <v>0</v>
      </c>
      <c r="Q187" s="33">
        <f ca="1">IF($Q186="x",RANDBETWEEN(1,2),IF($Q186="xx",$O$187,0))</f>
        <v>0</v>
      </c>
      <c r="R187" s="33">
        <f ca="1">IF(R186="x",RANDBETWEEN(1,2),IF(R186="xx",$O$187-Q187,0))</f>
        <v>0</v>
      </c>
      <c r="S187" s="33">
        <f ca="1">IF(S186="x",O187-SUM(Q187:R187,U136:X136),IF(S186="xx",$O$187-SUM(Q187:R187),0))</f>
        <v>0</v>
      </c>
      <c r="T187" s="33">
        <f ca="1">IF(T186="x",RANDBETWEEN(1,2),IF(T186="xx",RANDBETWEEN(2,3),0))</f>
        <v>0</v>
      </c>
      <c r="AJ187" s="31" t="s">
        <v>1670</v>
      </c>
    </row>
    <row r="188" spans="2:38" hidden="1" x14ac:dyDescent="0.3">
      <c r="B188" s="112" t="s">
        <v>1143</v>
      </c>
      <c r="C188" s="33"/>
      <c r="D188" s="33"/>
      <c r="E188" s="33"/>
      <c r="F188" s="33"/>
      <c r="G188" s="33"/>
      <c r="H188" s="33"/>
      <c r="I188" s="33"/>
      <c r="J188" s="33"/>
      <c r="K188" s="33"/>
      <c r="L188" s="33"/>
      <c r="M188" s="33"/>
      <c r="N188" s="33"/>
      <c r="O188" s="33" t="s">
        <v>530</v>
      </c>
      <c r="P188" s="92" t="s">
        <v>530</v>
      </c>
      <c r="Q188" s="33" t="str">
        <f ca="1">IF(AND(O11="cleric",O12&gt;=3),"x",IF(O11="cleric","xx"," "))</f>
        <v xml:space="preserve"> </v>
      </c>
      <c r="R188" s="33" t="str">
        <f ca="1">IF(AND(O11="cleric",O12&gt;=5),"x",IF(AND($O$11="cleric",$O$12&gt;=3),"xx"," "))</f>
        <v xml:space="preserve"> </v>
      </c>
      <c r="S188" s="33" t="str">
        <f ca="1">IF(AND(O11="cleric",O12&gt;=7),"x",IF(AND($O$11="cleric",$O$12&gt;=5),"xx"," "))</f>
        <v xml:space="preserve"> </v>
      </c>
      <c r="T188" s="33" t="str">
        <f ca="1">IF(AND(O11="cleric",O12&gt;=9),"x",IF(AND($O$11="cleric",$O$12&gt;=7),"xx"," "))</f>
        <v xml:space="preserve"> </v>
      </c>
      <c r="AJ188" s="29">
        <v>1</v>
      </c>
      <c r="AK188" s="29" t="s">
        <v>1671</v>
      </c>
    </row>
    <row r="189" spans="2:38" hidden="1" x14ac:dyDescent="0.3">
      <c r="B189" s="112" t="s">
        <v>1142</v>
      </c>
      <c r="C189" s="33"/>
      <c r="D189" s="33"/>
      <c r="E189" s="33"/>
      <c r="F189" s="33"/>
      <c r="G189" s="33"/>
      <c r="H189" s="33"/>
      <c r="I189" s="33"/>
      <c r="J189" s="33"/>
      <c r="K189" s="33"/>
      <c r="L189" s="33"/>
      <c r="M189" s="33"/>
      <c r="N189" s="33"/>
      <c r="O189" s="33" t="str">
        <f ca="1">IF(O11="cleric",O12+P42," ")</f>
        <v xml:space="preserve"> </v>
      </c>
      <c r="P189" s="92">
        <f ca="1">IF($O$11="cleric",INDEX('Spell Tables'!C26:C45,MATCH($O$12,('Spell Tables'!B26:B45),0)),0)</f>
        <v>0</v>
      </c>
      <c r="Q189" s="33">
        <f ca="1">IF($Q188="x",RANDBETWEEN(1,2),IF($Q188="xx",$O$189,0))</f>
        <v>0</v>
      </c>
      <c r="R189" s="33">
        <f ca="1">IF(R188="x",RANDBETWEEN(1,2),IF(R188="xx",$O$189-Q189,0))</f>
        <v>0</v>
      </c>
      <c r="S189" s="33">
        <f ca="1">IF(S188="x",O189-SUM(Q189:R189,U138:X138),IF(S188="xx",$O$189-SUM(Q189:R189),0))</f>
        <v>0</v>
      </c>
      <c r="T189" s="33">
        <f ca="1">IF(T188="x",RANDBETWEEN(1,2),IF(T188="xx",RANDBETWEEN(2,3),0))</f>
        <v>0</v>
      </c>
      <c r="AJ189" s="29">
        <v>2</v>
      </c>
      <c r="AK189" s="29">
        <v>1</v>
      </c>
    </row>
    <row r="190" spans="2:38" hidden="1" x14ac:dyDescent="0.3">
      <c r="B190" s="112" t="s">
        <v>1248</v>
      </c>
      <c r="C190" s="33"/>
      <c r="D190" s="33"/>
      <c r="E190" s="33"/>
      <c r="F190" s="33"/>
      <c r="G190" s="33"/>
      <c r="H190" s="33"/>
      <c r="I190" s="33"/>
      <c r="J190" s="33"/>
      <c r="K190" s="33"/>
      <c r="L190" s="33"/>
      <c r="M190" s="33"/>
      <c r="N190" s="33"/>
      <c r="O190" s="33" t="s">
        <v>530</v>
      </c>
      <c r="P190" s="92" t="s">
        <v>530</v>
      </c>
      <c r="Q190" s="33" t="str">
        <f ca="1">IF(AND($O$11="bard",$O$12&gt;=3),"x",IF($O$11="bard","xx"," "))</f>
        <v xml:space="preserve"> </v>
      </c>
      <c r="R190" s="33" t="str">
        <f ca="1">IF(AND($O$11="bard",$O$12&gt;=5),"x",IF(AND($O$11="bard",$O$12&gt;=3),"xx"," "))</f>
        <v xml:space="preserve"> </v>
      </c>
      <c r="S190" s="33" t="str">
        <f ca="1">IF(AND($O$11="bard",$O$12&gt;=7),"x",IF(AND($O$11="bard",$O$12&gt;=5),"xx"," "))</f>
        <v xml:space="preserve"> </v>
      </c>
      <c r="T190" s="33" t="str">
        <f ca="1">IF(AND($O$11="bard",$O$12&gt;=9),"x",IF(AND($O$11="bard",$O$12&gt;=7),"xx"," "))</f>
        <v xml:space="preserve"> </v>
      </c>
      <c r="AJ190" s="29">
        <v>3</v>
      </c>
      <c r="AK190" s="29">
        <v>1</v>
      </c>
    </row>
    <row r="191" spans="2:38" hidden="1" x14ac:dyDescent="0.3">
      <c r="B191" s="112" t="s">
        <v>1141</v>
      </c>
      <c r="C191" s="33"/>
      <c r="D191" s="33"/>
      <c r="E191" s="33"/>
      <c r="F191" s="33"/>
      <c r="G191" s="33"/>
      <c r="H191" s="33"/>
      <c r="I191" s="33"/>
      <c r="J191" s="33"/>
      <c r="K191" s="33"/>
      <c r="L191" s="33"/>
      <c r="M191" s="33"/>
      <c r="N191" s="33"/>
      <c r="O191" s="33" t="str">
        <f ca="1">IF($O$11="bard",INDEX('Spell Tables'!C$2:C$21,MATCH($O$12,('Spell Tables'!$A$2:$A$21),0))," ")</f>
        <v xml:space="preserve"> </v>
      </c>
      <c r="P191" s="92">
        <f ca="1">IF($O$11="bard",INDEX('Spell Tables'!B2:B21,MATCH($O$12,('Spell Tables'!A2:A21),0)),0)</f>
        <v>0</v>
      </c>
      <c r="Q191" s="33">
        <f ca="1">IF($Q190="x",RANDBETWEEN(1,2),IF($Q190="xx",$O$191,0))</f>
        <v>0</v>
      </c>
      <c r="R191" s="33">
        <f ca="1">IF(R190="x",RANDBETWEEN(1,2),IF(R190="xx",$O$191-Q191,0))</f>
        <v>0</v>
      </c>
      <c r="S191" s="33">
        <f ca="1">IF(S190="x",O191-SUM(Q191:R191,U140:X140),IF(S190="xx",$O$191-SUM(Q191:R191),0))</f>
        <v>0</v>
      </c>
      <c r="T191" s="33">
        <f ca="1">IF(T190="x",RANDBETWEEN(1,2),IF(T190="xx",RANDBETWEEN(2,3),0))</f>
        <v>0</v>
      </c>
      <c r="AJ191" s="29">
        <v>4</v>
      </c>
      <c r="AK191" s="29">
        <v>2</v>
      </c>
      <c r="AL191" s="29" t="str">
        <f ca="1">IF(AND(P15="college of lore",O12&gt;=6),VLOOKUP(RANDBETWEEN(1,10),Table250347461803860917333390780[],2),IF(AND(R15="college of lore",Q12&gt;=6),VLOOKUP(RANDBETWEEN(1,10),Table250347461803860917333390780[],2)," "))</f>
        <v xml:space="preserve"> </v>
      </c>
    </row>
    <row r="192" spans="2:38" x14ac:dyDescent="0.3">
      <c r="B192" s="112" t="s">
        <v>1122</v>
      </c>
      <c r="C192" s="33"/>
      <c r="D192" s="33"/>
      <c r="E192" s="33"/>
      <c r="F192" s="33"/>
      <c r="G192" s="33"/>
      <c r="H192" s="33"/>
      <c r="I192" s="33"/>
      <c r="J192" s="33"/>
      <c r="K192" s="33"/>
      <c r="L192" s="33"/>
      <c r="M192" s="33"/>
      <c r="N192" s="33"/>
      <c r="O192" s="33"/>
      <c r="P192" s="92" t="s">
        <v>1124</v>
      </c>
      <c r="Q192" s="92" t="s">
        <v>1326</v>
      </c>
      <c r="R192" s="92" t="s">
        <v>1167</v>
      </c>
      <c r="S192" s="92" t="s">
        <v>1168</v>
      </c>
      <c r="T192" s="92" t="s">
        <v>676</v>
      </c>
      <c r="AJ192" s="29">
        <v>5</v>
      </c>
      <c r="AK192" s="29">
        <v>2</v>
      </c>
      <c r="AL192" s="29" t="str">
        <f ca="1">IF(AND(P15="college of lore",O12&gt;=6),VLOOKUP(RANDBETWEEN(1,10),Table250347461803860917333390780[],2),IF(AND(R15="college of lore",Q12&gt;=6),VLOOKUP(RANDBETWEEN(1,10),Table250347461803860917333390780[],2)," "))</f>
        <v xml:space="preserve"> </v>
      </c>
    </row>
    <row r="193" spans="2:37" x14ac:dyDescent="0.3">
      <c r="B193" s="79">
        <f ca="1">IF(OR(O11="bard",O11="paladin",O11="sorcerer",O11="warlock"),8+$P$8+$P$43,IF(OR(O11="druid",O11="cleric",O11="ranger"),8+P8+P42,IF(OR(P15="eldritch knight",P15="arcane trickster",O11="wizard"),8+P8+P41," ")))</f>
        <v>13</v>
      </c>
      <c r="C193" s="33"/>
      <c r="D193" s="33"/>
      <c r="E193" s="33"/>
      <c r="F193" s="33"/>
      <c r="G193" s="33"/>
      <c r="H193" s="33"/>
      <c r="I193" s="33"/>
      <c r="J193" s="33"/>
      <c r="K193" s="33"/>
      <c r="L193" s="33"/>
      <c r="M193" s="33"/>
      <c r="N193" s="33"/>
      <c r="O193" s="34">
        <v>1</v>
      </c>
      <c r="P193" s="33" t="str">
        <f ca="1">IF(P$173&gt;=O193,INDEX('Spell Tables'!$P$242:$P$257,MATCH(O193,('Spell Tables'!$N$242:$N$257),0)),IF(P$175&gt;=O193,INDEX('Spell Tables'!$P$194:$P$201,MATCH(O193,('Spell Tables'!$N$194:$N$201),0)),IF(P$177&gt;=O193,INDEX('Spell Tables'!$P$168:$P$183,MATCH(O193,('Spell Tables'!$N$168:$N$183),0)),IF(P$179&gt;=O193,INDEX('Spell Tables'!$P$141:$P$156,MATCH(O193,('Spell Tables'!$N$141:$N$157),0)),IF(P$185&gt;=O193,INDEX('Spell Tables'!$P$70:$P$83,MATCH(O193,('Spell Tables'!$N$70:$N$83),0)),IF(P$187&gt;=O193,INDEX('Spell Tables'!$P$48:$P$55,MATCH(O193,('Spell Tables'!$N$48:$N$55),0)),IF(P$189&gt;=O193,INDEX('Spell Tables'!$P$26:$P$32,MATCH(O193,('Spell Tables'!$N$26:$N$32),0)),IF(P$191&gt;=O193,INDEX('Spell Tables'!$P$2:$P$12,MATCH(O193,('Spell Tables'!$N$2:$N$12),0))," "))))))))</f>
        <v>True Strike</v>
      </c>
      <c r="Q193" s="33" t="str">
        <f ca="1">IF(AND($O$15="Otherworldly patron - great old one",Q$175&gt;=O193),INDEX('Spell Tables'!$T$226:$T$238,MATCH(O193,('Spell Tables'!$R$226:$R$238),0)),IF(AND($O$15="Otherworldly patron - fiend",Q$175&gt;=O193),INDEX('Spell Tables'!$T$210:$T$222,MATCH(O193,('Spell Tables'!$R$210:$R$222),0)),IF(Q$173&gt;=O193,INDEX($AL$44:$AL$53,MATCH(O193,($AJ$44:$AJ$53),0)),IF(AND($O$15="Otherworldly patron - archfey",Q$175&gt;=O193),INDEX('Spell Tables'!$T$194:$T$206,MATCH(O193,('Spell Tables'!$R$194:$R$206),0)),IF(Q$177&gt;=O193,INDEX('Spell Tables'!$T$168:$T$187,MATCH(O193,('Spell Tables'!$R$168:$R$187),0)),IF(Q$179&gt;=O193,INDEX('Spell Tables'!$T$141:$T$147,MATCH(O193,('Spell Tables'!$R$141:$R$147),0)),IF(Q$181&gt;=O193,INDEX('Spell Tables'!$P$119:$P$131,MATCH(O193,('Spell Tables'!$N$119:$N$131),0)),IF(Q$183&gt;=O193,INDEX('Spell Tables'!$P$97:$P$111,MATCH(O193,('Spell Tables'!$N$97:$N$111),0)),IF(Q$185&gt;=O193,INDEX('Spell Tables'!$T$70:$T$78,MATCH(O193,('Spell Tables'!$R$70:$R$78),0)),IF(Q$187&gt;=O193,INDEX('Spell Tables'!$T$48:$T$63,MATCH(O193,('Spell Tables'!$R$48:$R$63),0)),IF(Q$189&gt;=O193,INDEX('Spell Tables'!$T$26:$T$40,MATCH(O193,('Spell Tables'!$R$26:$R$40),0)),IF(Q$191&gt;=O193,INDEX('Spell Tables'!$T$2:$T$22,MATCH(O193,('Spell Tables'!$R$2:$R$22),0))," "))))))))))))</f>
        <v>False Life</v>
      </c>
      <c r="R193" s="33" t="str">
        <f ca="1">IF(AND($O$15="Otherworldly patron - great old one",R$175&gt;=O193),INDEX('Spell Tables'!$X$226:$X$239,MATCH(O193,('Spell Tables'!$V$226:$V$239),0)),IF(AND($O$15="Otherworldly patron - fiend",R$175&gt;=O193),INDEX('Spell Tables'!$X$210:$X$223,MATCH(O193,('Spell Tables'!$V$210:$V$223),0)),IF(AND($O$15="Otherworldly patron - archfey",R$175&gt;=O193),INDEX('Spell Tables'!$X$194:$X$207,MATCH(O193,('Spell Tables'!$V$194:$V$207),0)),IF($R$173&gt;=O193,INDEX($AL$56:$AL$65,MATCH(O193,($AJ$56:$AJ$65),0)),IF($R$177&gt;=O193,INDEX('Spell Tables'!$X$168:$X$191,MATCH(O193,('Spell Tables'!$V$168:$V$191),0)),IF($R$179&gt;=O193,INDEX('Spell Tables'!$AB$141:$AB$149,MATCH(O193,('Spell Tables'!$Z$141:$Z$149),0)),IF($R$181&gt;=O193,INDEX('Spell Tables'!$T$119:$T$131,MATCH(O193,('Spell Tables'!$R$119:$R$131),0)),IF($R$183&gt;=O193,INDEX('Spell Tables'!$T$97:$T$104,MATCH(O193,('Spell Tables'!$R$97:$R$104),0)),IF($R$185&gt;=O193,INDEX('Spell Tables'!$AB$70:$AB$75,MATCH(O193,('Spell Tables'!$Z$70:$Z$75),0)),IF($R$187&gt;=O193,INDEX('Spell Tables'!$X$48:$X$65,MATCH(O193,('Spell Tables'!$V$48:$V$65),0)),IF($R$189&gt;=O193,INDEX('Spell Tables'!$X$26:$X$42,MATCH(O193,('Spell Tables'!$V$26:$V$42),0)),IF($R$191&gt;=O193,INDEX('Spell Tables'!$X$2:$X$23,MATCH(O193,('Spell Tables'!$V$2:$V$23),0))," "))))))))))))</f>
        <v>Web</v>
      </c>
      <c r="S193" s="33" t="str">
        <f ca="1">IF(AND($O$15="Otherworldly patron - great old one",S$175&gt;=O193),INDEX('Spell Tables'!$AB$226:$AB$238,MATCH(O193,('Spell Tables'!$Z$226:$Z$238),0)),IF(AND($O$15="Otherworldly patron - fiend",S$175&gt;=O193),INDEX('Spell Tables'!$AB$210:$AB$222,MATCH(O193,('Spell Tables'!$Z$210:$Z$222),0)),IF(AND($O$15="Otherworldly patron - archfey",S$175&gt;=O193),INDEX('Spell Tables'!$AB$194:$AB$206,MATCH(O193,('Spell Tables'!$Z$194:$Z$206),0)),IF($S$173&gt;=O193,INDEX($AL$68:$AL$77,MATCH(O193,($AJ$68:$AJ$77),0)),IF($S$177&gt;=O193,INDEX('Spell Tables'!$AB$168:$AB$187,MATCH(O193,('Spell Tables'!$Z$168:$Z$187),0)),IF($S$179&gt;=O193,INDEX('Spell Tables'!$AJ$141:$AJ$144,MATCH(O193,('Spell Tables'!$AH$141:$AH$144),0)),IF($S$181&gt;=O193,INDEX('Spell Tables'!$X$119:$X$129,MATCH(O193,('Spell Tables'!$V$119:$V$129),0)),IF($S$183&gt;=O193,INDEX('Spell Tables'!$X$97:$X$106,MATCH(O193,('Spell Tables'!$V$97:$V$106),0)),IF($S$185&gt;=O193,INDEX('Spell Tables'!$AJ$70:$AJ$79,MATCH(O193,('Spell Tables'!$AH$70:$AH$79),0)),IF($S$187&gt;=O193,INDEX('Spell Tables'!$AB$48:$AB$60,MATCH(O193,('Spell Tables'!$Z$48:$Z$60),0)),IF($S$189&gt;=O193,INDEX('Spell Tables'!$AB$26:$AB$45,MATCH(O193,('Spell Tables'!$Z$26:$Z$45),0)),IF($S$191&gt;=O193,INDEX('Spell Tables'!$AB$2:$AB$17,MATCH(O193,('Spell Tables'!$Z$2:$Z$17),0))," "))))))))))))</f>
        <v>Gaseous Form</v>
      </c>
      <c r="T193" s="33" t="str">
        <f ca="1">IF(AND($O$15="Otherworldly patron - great old one",T$175&gt;=O193),INDEX('Spell Tables'!$AF$226:$AF$231,MATCH(O193,('Spell Tables'!$AD$226:$AD$231),0)),IF(AND($O$15="Otherworldly patron - fiend",T$175&gt;=O193),INDEX('Spell Tables'!$AF$210:$AF$215,MATCH(O193,('Spell Tables'!$AD$210:$AD$215),0)),IF(AND($O$15="Otherworldly patron - archfey",T$175&gt;=O193),INDEX('Spell Tables'!$AF$194:$AF$199,MATCH(O193,('Spell Tables'!$AD$194:$AD$199),0)),IF($T$173&gt;=O193,INDEX($AL$80:$AL$89,MATCH(O193,($AJ$80:$AJ$89),0)),IF($T$177&gt;=O193,INDEX('Spell Tables'!$AF$168:$AF$177,MATCH(O193,('Spell Tables'!$AD$168:$AD$177),0)),IF($T$179&gt;=O193,INDEX('Spell Tables'!$AR$141:$AR$144,MATCH(O193,('Spell Tables'!$AP$141:$AP$144),0)),IF($T$181&gt;=O193,INDEX('Spell Tables'!$AB$119:$AB$123,MATCH(O193,('Spell Tables'!$Z$119:$Z$123),0)),IF($T$183&gt;=O193,INDEX('Spell Tables'!$AB$97:$AB$102,MATCH(O193,('Spell Tables'!$Z$97:$Z$102),0)),IF($T$185&gt;=O193,INDEX('Spell Tables'!$AR$70:$AR$75,MATCH(O193,('Spell Tables'!$AP$70:$AP$75),0)),IF($T$187&gt;=O193,INDEX('Spell Tables'!$AF$48:$AF$63,MATCH(O193,('Spell Tables'!$AD$48:$AD$63),0)),IF($T$189&gt;=O193,INDEX('Spell Tables'!$AF$26:$AF$33,MATCH(O193,('Spell Tables'!$AD$26:$AD$33),0)),IF($T$191&gt;=O193,INDEX('Spell Tables'!$AF$2:$AF$9,MATCH(O193,('Spell Tables'!$AD$2:$AD$9),0))," "))))))))))))</f>
        <v>Blight</v>
      </c>
      <c r="AJ193" s="29">
        <v>6</v>
      </c>
      <c r="AK193" s="29">
        <v>2</v>
      </c>
    </row>
    <row r="194" spans="2:37" x14ac:dyDescent="0.3">
      <c r="B194" s="112" t="s">
        <v>1123</v>
      </c>
      <c r="C194" s="33"/>
      <c r="D194" s="33"/>
      <c r="E194" s="33"/>
      <c r="F194" s="33"/>
      <c r="G194" s="33"/>
      <c r="H194" s="33"/>
      <c r="I194" s="33"/>
      <c r="J194" s="33"/>
      <c r="K194" s="33"/>
      <c r="L194" s="33"/>
      <c r="M194" s="33"/>
      <c r="N194" s="33"/>
      <c r="O194" s="34">
        <v>2</v>
      </c>
      <c r="P194" s="33" t="str">
        <f ca="1">IF(P$173&gt;=O194,INDEX('Spell Tables'!$P$242:$P$257,MATCH(O194,('Spell Tables'!$N$242:$N$257),0)),IF(P$175&gt;=O194,INDEX('Spell Tables'!$P$194:$P$201,MATCH(O194,('Spell Tables'!$N$194:$N$201),0)),IF(P$177&gt;=O194,INDEX('Spell Tables'!$P$168:$P$183,MATCH(O194,('Spell Tables'!$N$168:$N$183),0)),IF(P$179&gt;=O194,INDEX('Spell Tables'!$P$141:$P$156,MATCH(O194,('Spell Tables'!$N$141:$N$157),0)),IF(P$185&gt;=O194,INDEX('Spell Tables'!$P$70:$P$83,MATCH(O194,('Spell Tables'!$N$70:$N$83),0)),IF(P$187&gt;=O194,INDEX('Spell Tables'!$P$48:$P$55,MATCH(O194,('Spell Tables'!$N$48:$N$55),0)),IF(P$189&gt;=O194,INDEX('Spell Tables'!$P$26:$P$32,MATCH(O194,('Spell Tables'!$N$26:$N$32),0)),IF(P$191&gt;=O194,INDEX('Spell Tables'!$P$2:$P$12,MATCH(O194,('Spell Tables'!$N$2:$N$12),0))," "))))))))</f>
        <v>Friends</v>
      </c>
      <c r="Q194" s="33" t="str">
        <f ca="1">IF(AND($O$15="Otherworldly patron - great old one",Q$175&gt;=O194),INDEX('Spell Tables'!$T$226:$T$238,MATCH(O194,('Spell Tables'!$R$226:$R$238),0)),IF(AND($O$15="Otherworldly patron - fiend",Q$175&gt;=O194),INDEX('Spell Tables'!$T$210:$T$222,MATCH(O194,('Spell Tables'!$R$210:$R$222),0)),IF(Q$173&gt;=O194,INDEX($AL$44:$AL$53,MATCH(O194,($AJ$44:$AJ$53),0)),IF(AND($O$15="Otherworldly patron - archfey",Q$175&gt;=O194),INDEX('Spell Tables'!$T$194:$T$206,MATCH(O194,('Spell Tables'!$R$194:$R$206),0)),IF(Q$177&gt;=O194,INDEX('Spell Tables'!$T$168:$T$187,MATCH(O194,('Spell Tables'!$R$168:$R$187),0)),IF(Q$179&gt;=O194,INDEX('Spell Tables'!$T$141:$T$147,MATCH(O194,('Spell Tables'!$R$141:$R$147),0)),IF(Q$181&gt;=O194,INDEX('Spell Tables'!$P$119:$P$131,MATCH(O194,('Spell Tables'!$N$119:$N$131),0)),IF(Q$183&gt;=O194,INDEX('Spell Tables'!$P$97:$P$111,MATCH(O194,('Spell Tables'!$N$97:$N$111),0)),IF(Q$185&gt;=O194,INDEX('Spell Tables'!$T$70:$T$78,MATCH(O194,('Spell Tables'!$R$70:$R$78),0)),IF(Q$187&gt;=O194,INDEX('Spell Tables'!$T$48:$T$63,MATCH(O194,('Spell Tables'!$R$48:$R$63),0)),IF(Q$189&gt;=O194,INDEX('Spell Tables'!$T$26:$T$40,MATCH(O194,('Spell Tables'!$R$26:$R$40),0)),IF(Q$191&gt;=O194,INDEX('Spell Tables'!$T$2:$T$22,MATCH(O194,('Spell Tables'!$R$2:$R$22),0))," "))))))))))))</f>
        <v>Burning Hands</v>
      </c>
      <c r="R194" s="33" t="str">
        <f ca="1">IF(AND($O$15="Otherworldly patron - great old one",R$175&gt;=O194),INDEX('Spell Tables'!$X$226:$X$239,MATCH(O194,('Spell Tables'!$V$226:$V$239),0)),IF(AND($O$15="Otherworldly patron - fiend",R$175&gt;=O194),INDEX('Spell Tables'!$X$210:$X$223,MATCH(O194,('Spell Tables'!$V$210:$V$223),0)),IF(AND($O$15="Otherworldly patron - archfey",R$175&gt;=O194),INDEX('Spell Tables'!$X$194:$X$207,MATCH(O194,('Spell Tables'!$V$194:$V$207),0)),IF($R$173&gt;=O194,INDEX($AL$56:$AL$65,MATCH(O194,($AJ$56:$AJ$65),0)),IF($R$177&gt;=O194,INDEX('Spell Tables'!$X$168:$X$191,MATCH(O194,('Spell Tables'!$V$168:$V$191),0)),IF($R$179&gt;=O194,INDEX('Spell Tables'!$AB$141:$AB$149,MATCH(O194,('Spell Tables'!$Z$141:$Z$149),0)),IF($R$181&gt;=O194,INDEX('Spell Tables'!$T$119:$T$131,MATCH(O194,('Spell Tables'!$R$119:$R$131),0)),IF($R$183&gt;=O194,INDEX('Spell Tables'!$T$97:$T$104,MATCH(O194,('Spell Tables'!$R$97:$R$104),0)),IF($R$185&gt;=O194,INDEX('Spell Tables'!$AB$70:$AB$75,MATCH(O194,('Spell Tables'!$Z$70:$Z$75),0)),IF($R$187&gt;=O194,INDEX('Spell Tables'!$X$48:$X$65,MATCH(O194,('Spell Tables'!$V$48:$V$65),0)),IF($R$189&gt;=O194,INDEX('Spell Tables'!$X$26:$X$42,MATCH(O194,('Spell Tables'!$V$26:$V$42),0)),IF($R$191&gt;=O194,INDEX('Spell Tables'!$X$2:$X$23,MATCH(O194,('Spell Tables'!$V$2:$V$23),0))," "))))))))))))</f>
        <v>Enlarge/Reduce</v>
      </c>
      <c r="S194" s="33" t="str">
        <f ca="1">IF(AND($O$15="Otherworldly patron - great old one",S$175&gt;=O194),INDEX('Spell Tables'!$AB$226:$AB$238,MATCH(O194,('Spell Tables'!$Z$226:$Z$238),0)),IF(AND($O$15="Otherworldly patron - fiend",S$175&gt;=O194),INDEX('Spell Tables'!$AB$210:$AB$222,MATCH(O194,('Spell Tables'!$Z$210:$Z$222),0)),IF(AND($O$15="Otherworldly patron - archfey",S$175&gt;=O194),INDEX('Spell Tables'!$AB$194:$AB$206,MATCH(O194,('Spell Tables'!$Z$194:$Z$206),0)),IF($S$173&gt;=O194,INDEX($AL$68:$AL$77,MATCH(O194,($AJ$68:$AJ$77),0)),IF($S$177&gt;=O194,INDEX('Spell Tables'!$AB$168:$AB$187,MATCH(O194,('Spell Tables'!$Z$168:$Z$187),0)),IF($S$179&gt;=O194,INDEX('Spell Tables'!$AJ$141:$AJ$144,MATCH(O194,('Spell Tables'!$AH$141:$AH$144),0)),IF($S$181&gt;=O194,INDEX('Spell Tables'!$X$119:$X$129,MATCH(O194,('Spell Tables'!$V$119:$V$129),0)),IF($S$183&gt;=O194,INDEX('Spell Tables'!$X$97:$X$106,MATCH(O194,('Spell Tables'!$V$97:$V$106),0)),IF($S$185&gt;=O194,INDEX('Spell Tables'!$AJ$70:$AJ$79,MATCH(O194,('Spell Tables'!$AH$70:$AH$79),0)),IF($S$187&gt;=O194,INDEX('Spell Tables'!$AB$48:$AB$60,MATCH(O194,('Spell Tables'!$Z$48:$Z$60),0)),IF($S$189&gt;=O194,INDEX('Spell Tables'!$AB$26:$AB$45,MATCH(O194,('Spell Tables'!$Z$26:$Z$45),0)),IF($S$191&gt;=O194,INDEX('Spell Tables'!$AB$2:$AB$17,MATCH(O194,('Spell Tables'!$Z$2:$Z$17),0))," "))))))))))))</f>
        <v>Blink</v>
      </c>
      <c r="T194" s="33" t="str">
        <f ca="1">IF(AND($O$15="Otherworldly patron - great old one",T$175&gt;=O194),INDEX('Spell Tables'!$AF$226:$AF$231,MATCH(O194,('Spell Tables'!$AD$226:$AD$231),0)),IF(AND($O$15="Otherworldly patron - fiend",T$175&gt;=O194),INDEX('Spell Tables'!$AF$210:$AF$215,MATCH(O194,('Spell Tables'!$AD$210:$AD$215),0)),IF(AND($O$15="Otherworldly patron - archfey",T$175&gt;=O194),INDEX('Spell Tables'!$AF$194:$AF$199,MATCH(O194,('Spell Tables'!$AD$194:$AD$199),0)),IF($T$173&gt;=O194,INDEX($AL$80:$AL$89,MATCH(O194,($AJ$80:$AJ$89),0)),IF($T$177&gt;=O194,INDEX('Spell Tables'!$AF$168:$AF$177,MATCH(O194,('Spell Tables'!$AD$168:$AD$177),0)),IF($T$179&gt;=O194,INDEX('Spell Tables'!$AR$141:$AR$144,MATCH(O194,('Spell Tables'!$AP$141:$AP$144),0)),IF($T$181&gt;=O194,INDEX('Spell Tables'!$AB$119:$AB$123,MATCH(O194,('Spell Tables'!$Z$119:$Z$123),0)),IF($T$183&gt;=O194,INDEX('Spell Tables'!$AB$97:$AB$102,MATCH(O194,('Spell Tables'!$Z$97:$Z$102),0)),IF($T$185&gt;=O194,INDEX('Spell Tables'!$AR$70:$AR$75,MATCH(O194,('Spell Tables'!$AP$70:$AP$75),0)),IF($T$187&gt;=O194,INDEX('Spell Tables'!$AF$48:$AF$63,MATCH(O194,('Spell Tables'!$AD$48:$AD$63),0)),IF($T$189&gt;=O194,INDEX('Spell Tables'!$AF$26:$AF$33,MATCH(O194,('Spell Tables'!$AD$26:$AD$33),0)),IF($T$191&gt;=O194,INDEX('Spell Tables'!$AF$2:$AF$9,MATCH(O194,('Spell Tables'!$AD$2:$AD$9),0))," "))))))))))))</f>
        <v>Banishment</v>
      </c>
      <c r="AJ194" s="29">
        <v>7</v>
      </c>
      <c r="AK194" s="29">
        <v>3</v>
      </c>
    </row>
    <row r="195" spans="2:37" x14ac:dyDescent="0.3">
      <c r="B195" s="79">
        <f ca="1">IF(OR(O11="bard",O11="paladin",O11="sorcerer",O11="warlock"),P8+$P$43,IF(OR(O11="druid",O11="cleric",O11="ranger"),P8+P42,IF(OR(P15="eldritch knight",P15="arcane trickster",O11="wizard"),P8+P41," ")))</f>
        <v>5</v>
      </c>
      <c r="C195" s="33"/>
      <c r="D195" s="33"/>
      <c r="E195" s="33"/>
      <c r="F195" s="33"/>
      <c r="G195" s="33"/>
      <c r="H195" s="33"/>
      <c r="I195" s="33"/>
      <c r="J195" s="33"/>
      <c r="K195" s="33"/>
      <c r="L195" s="33"/>
      <c r="M195" s="33"/>
      <c r="N195" s="33"/>
      <c r="O195" s="34">
        <v>3</v>
      </c>
      <c r="P195" s="33" t="str">
        <f ca="1">IF(P$173&gt;=O195,INDEX('Spell Tables'!$P$242:$P$257,MATCH(O195,('Spell Tables'!$N$242:$N$257),0)),IF(P$175&gt;=O195,INDEX('Spell Tables'!$P$194:$P$201,MATCH(O195,('Spell Tables'!$N$194:$N$201),0)),IF(P$177&gt;=O195,INDEX('Spell Tables'!$P$168:$P$183,MATCH(O195,('Spell Tables'!$N$168:$N$183),0)),IF(P$179&gt;=O195,INDEX('Spell Tables'!$P$141:$P$156,MATCH(O195,('Spell Tables'!$N$141:$N$157),0)),IF(P$185&gt;=O195,INDEX('Spell Tables'!$P$70:$P$83,MATCH(O195,('Spell Tables'!$N$70:$N$83),0)),IF(P$187&gt;=O195,INDEX('Spell Tables'!$P$48:$P$55,MATCH(O195,('Spell Tables'!$N$48:$N$55),0)),IF(P$189&gt;=O195,INDEX('Spell Tables'!$P$26:$P$32,MATCH(O195,('Spell Tables'!$N$26:$N$32),0)),IF(P$191&gt;=O195,INDEX('Spell Tables'!$P$2:$P$12,MATCH(O195,('Spell Tables'!$N$2:$N$12),0))," "))))))))</f>
        <v>Light</v>
      </c>
      <c r="Q195" s="33" t="str">
        <f ca="1">IF(AND($O$15="Otherworldly patron - great old one",Q$175&gt;=O195),INDEX('Spell Tables'!$T$226:$T$238,MATCH(O195,('Spell Tables'!$R$226:$R$238),0)),IF(AND($O$15="Otherworldly patron - fiend",Q$175&gt;=O195),INDEX('Spell Tables'!$T$210:$T$222,MATCH(O195,('Spell Tables'!$R$210:$R$222),0)),IF(Q$173&gt;=O195,INDEX($AL$44:$AL$53,MATCH(O195,($AJ$44:$AJ$53),0)),IF(AND($O$15="Otherworldly patron - archfey",Q$175&gt;=O195),INDEX('Spell Tables'!$T$194:$T$206,MATCH(O195,('Spell Tables'!$R$194:$R$206),0)),IF(Q$177&gt;=O195,INDEX('Spell Tables'!$T$168:$T$187,MATCH(O195,('Spell Tables'!$R$168:$R$187),0)),IF(Q$179&gt;=O195,INDEX('Spell Tables'!$T$141:$T$147,MATCH(O195,('Spell Tables'!$R$141:$R$147),0)),IF(Q$181&gt;=O195,INDEX('Spell Tables'!$P$119:$P$131,MATCH(O195,('Spell Tables'!$N$119:$N$131),0)),IF(Q$183&gt;=O195,INDEX('Spell Tables'!$P$97:$P$111,MATCH(O195,('Spell Tables'!$N$97:$N$111),0)),IF(Q$185&gt;=O195,INDEX('Spell Tables'!$T$70:$T$78,MATCH(O195,('Spell Tables'!$R$70:$R$78),0)),IF(Q$187&gt;=O195,INDEX('Spell Tables'!$T$48:$T$63,MATCH(O195,('Spell Tables'!$R$48:$R$63),0)),IF(Q$189&gt;=O195,INDEX('Spell Tables'!$T$26:$T$40,MATCH(O195,('Spell Tables'!$R$26:$R$40),0)),IF(Q$191&gt;=O195,INDEX('Spell Tables'!$T$2:$T$22,MATCH(O195,('Spell Tables'!$R$2:$R$22),0))," "))))))))))))</f>
        <v xml:space="preserve"> </v>
      </c>
      <c r="R195" s="33" t="str">
        <f ca="1">IF(AND($O$15="Otherworldly patron - great old one",R$175&gt;=O195),INDEX('Spell Tables'!$X$226:$X$239,MATCH(O195,('Spell Tables'!$V$226:$V$239),0)),IF(AND($O$15="Otherworldly patron - fiend",R$175&gt;=O195),INDEX('Spell Tables'!$X$210:$X$223,MATCH(O195,('Spell Tables'!$V$210:$V$223),0)),IF(AND($O$15="Otherworldly patron - archfey",R$175&gt;=O195),INDEX('Spell Tables'!$X$194:$X$207,MATCH(O195,('Spell Tables'!$V$194:$V$207),0)),IF($R$173&gt;=O195,INDEX($AL$56:$AL$65,MATCH(O195,($AJ$56:$AJ$65),0)),IF($R$177&gt;=O195,INDEX('Spell Tables'!$X$168:$X$191,MATCH(O195,('Spell Tables'!$V$168:$V$191),0)),IF($R$179&gt;=O195,INDEX('Spell Tables'!$AB$141:$AB$149,MATCH(O195,('Spell Tables'!$Z$141:$Z$149),0)),IF($R$181&gt;=O195,INDEX('Spell Tables'!$T$119:$T$131,MATCH(O195,('Spell Tables'!$R$119:$R$131),0)),IF($R$183&gt;=O195,INDEX('Spell Tables'!$T$97:$T$104,MATCH(O195,('Spell Tables'!$R$97:$R$104),0)),IF($R$185&gt;=O195,INDEX('Spell Tables'!$AB$70:$AB$75,MATCH(O195,('Spell Tables'!$Z$70:$Z$75),0)),IF($R$187&gt;=O195,INDEX('Spell Tables'!$X$48:$X$65,MATCH(O195,('Spell Tables'!$V$48:$V$65),0)),IF($R$189&gt;=O195,INDEX('Spell Tables'!$X$26:$X$42,MATCH(O195,('Spell Tables'!$V$26:$V$42),0)),IF($R$191&gt;=O195,INDEX('Spell Tables'!$X$2:$X$23,MATCH(O195,('Spell Tables'!$V$2:$V$23),0))," "))))))))))))</f>
        <v xml:space="preserve"> </v>
      </c>
      <c r="S195" s="33" t="str">
        <f ca="1">IF(AND($O$15="Otherworldly patron - great old one",S$175&gt;=O195),INDEX('Spell Tables'!$AB$226:$AB$238,MATCH(O195,('Spell Tables'!$Z$226:$Z$238),0)),IF(AND($O$15="Otherworldly patron - fiend",S$175&gt;=O195),INDEX('Spell Tables'!$AB$210:$AB$222,MATCH(O195,('Spell Tables'!$Z$210:$Z$222),0)),IF(AND($O$15="Otherworldly patron - archfey",S$175&gt;=O195),INDEX('Spell Tables'!$AB$194:$AB$206,MATCH(O195,('Spell Tables'!$Z$194:$Z$206),0)),IF($S$173&gt;=O197,INDEX($AL$68:$AL$77,MATCH(O195,($AJ$68:$AJ$77),0)),IF($S$177&gt;=O195,INDEX('Spell Tables'!$AB$168:$AB$187,MATCH(O195,('Spell Tables'!$Z$168:$Z$187),0)),IF($S$179&gt;=O195,INDEX('Spell Tables'!$AJ$141:$AJ$144,MATCH(O195,('Spell Tables'!$AH$141:$AH$144),0)),IF($S$181&gt;=O195,INDEX('Spell Tables'!$X$119:$X$129,MATCH(O195,('Spell Tables'!$V$119:$V$129),0)),IF($S$183&gt;=O195,INDEX('Spell Tables'!$X$97:$X$106,MATCH(O195,('Spell Tables'!$V$97:$V$106),0)),IF($S$185&gt;=O195,INDEX('Spell Tables'!$AJ$70:$AJ$79,MATCH(O195,('Spell Tables'!$AH$70:$AH$79),0)),IF($S$187&gt;=O195,INDEX('Spell Tables'!$AB$48:$AB$60,MATCH(O195,('Spell Tables'!$Z$48:$Z$60),0)),IF($S$189&gt;=O195,INDEX('Spell Tables'!$AB$26:$AB$45,MATCH(O195,('Spell Tables'!$Z$26:$Z$45),0)),IF($S$191&gt;=O195,INDEX('Spell Tables'!$AB$2:$AB$17,MATCH(O195,('Spell Tables'!$Z$2:$Z$17),0))," "))))))))))))</f>
        <v>Slow</v>
      </c>
      <c r="T195" s="33" t="str">
        <f ca="1">IF(AND($O$15="Otherworldly patron - great old one",T$175&gt;=O195),INDEX('Spell Tables'!$AF$226:$AF$231,MATCH(O195,('Spell Tables'!$AD$226:$AD$231),0)),IF(AND($O$15="Otherworldly patron - fiend",T$175&gt;=O195),INDEX('Spell Tables'!$AF$210:$AF$215,MATCH(O195,('Spell Tables'!$AD$210:$AD$215),0)),IF(AND($O$15="Otherworldly patron - archfey",T$175&gt;=O195),INDEX('Spell Tables'!$AF$194:$AF$199,MATCH(O195,('Spell Tables'!$AD$194:$AD$199),0)),IF($T$173&gt;=O195,INDEX($AL$80:$AL$89,MATCH(O195,($AJ$80:$AJ$89),0)),IF($T$177&gt;=O195,INDEX('Spell Tables'!$AF$168:$AF$177,MATCH(O195,('Spell Tables'!$AD$168:$AD$177),0)),IF($T$179&gt;=O195,INDEX('Spell Tables'!$AR$141:$AR$144,MATCH(O195,('Spell Tables'!$AP$141:$AP$144),0)),IF($T$181&gt;=O195,INDEX('Spell Tables'!$AB$119:$AB$123,MATCH(O195,('Spell Tables'!$Z$119:$Z$123),0)),IF($T$183&gt;=O195,INDEX('Spell Tables'!$AB$97:$AB$102,MATCH(O195,('Spell Tables'!$Z$97:$Z$102),0)),IF($T$185&gt;=O195,INDEX('Spell Tables'!$AR$70:$AR$75,MATCH(O195,('Spell Tables'!$AP$70:$AP$75),0)),IF($T$187&gt;=O195,INDEX('Spell Tables'!$AF$48:$AF$63,MATCH(O195,('Spell Tables'!$AD$48:$AD$63),0)),IF($T$189&gt;=O195,INDEX('Spell Tables'!$AF$26:$AF$33,MATCH(O195,('Spell Tables'!$AD$26:$AD$33),0)),IF($T$191&gt;=O195,INDEX('Spell Tables'!$AF$2:$AF$9,MATCH(O195,('Spell Tables'!$AD$2:$AD$9),0))," "))))))))))))</f>
        <v xml:space="preserve"> </v>
      </c>
      <c r="AJ195" s="29">
        <v>8</v>
      </c>
      <c r="AK195" s="29">
        <v>3</v>
      </c>
    </row>
    <row r="196" spans="2:37" x14ac:dyDescent="0.3">
      <c r="B196" s="79"/>
      <c r="C196" s="33"/>
      <c r="D196" s="33"/>
      <c r="E196" s="33"/>
      <c r="F196" s="33"/>
      <c r="G196" s="33"/>
      <c r="H196" s="33"/>
      <c r="I196" s="33"/>
      <c r="J196" s="33"/>
      <c r="K196" s="33"/>
      <c r="L196" s="33"/>
      <c r="M196" s="33"/>
      <c r="N196" s="33"/>
      <c r="O196" s="34">
        <v>4</v>
      </c>
      <c r="P196" s="33" t="str">
        <f ca="1">IF(P$173&gt;=O196,INDEX('Spell Tables'!$P$242:$P$257,MATCH(O196,('Spell Tables'!$N$242:$N$257),0)),IF(P$175&gt;=O196,INDEX('Spell Tables'!$P$194:$P$201,MATCH(O196,('Spell Tables'!$N$194:$N$201),0)),IF(P$177&gt;=O196,INDEX('Spell Tables'!$P$168:$P$183,MATCH(O196,('Spell Tables'!$N$168:$N$183),0)),IF(P$179&gt;=O196,INDEX('Spell Tables'!$P$141:$P$156,MATCH(O196,('Spell Tables'!$N$141:$N$157),0)),IF(P$185&gt;=O196,INDEX('Spell Tables'!$P$70:$P$83,MATCH(O196,('Spell Tables'!$N$70:$N$83),0)),IF(P$187&gt;=O196,INDEX('Spell Tables'!$P$48:$P$55,MATCH(O196,('Spell Tables'!$N$48:$N$55),0)),IF(P$189&gt;=O196,INDEX('Spell Tables'!$P$26:$P$32,MATCH(O196,('Spell Tables'!$N$26:$N$32),0)),IF(P$191&gt;=O196,INDEX('Spell Tables'!$P$2:$P$12,MATCH(O196,('Spell Tables'!$N$2:$N$12),0))," "))))))))</f>
        <v>Message</v>
      </c>
      <c r="Q196" s="33" t="str">
        <f ca="1">IF(AND($O$15="Otherworldly patron - great old one",Q$175&gt;=O196),INDEX('Spell Tables'!$T$226:$T$238,MATCH(O196,('Spell Tables'!$R$226:$R$238),0)),IF(AND($O$15="Otherworldly patron - fiend",Q$175&gt;=O196),INDEX('Spell Tables'!$T$210:$T$222,MATCH(O196,('Spell Tables'!$R$210:$R$222),0)),IF(Q$173&gt;=O196,INDEX($AL$44:$AL$53,MATCH(O196,($AJ$44:$AJ$53),0)),IF(AND($O$15="Otherworldly patron - archfey",Q$175&gt;=O196),INDEX('Spell Tables'!$T$194:$T$206,MATCH(O196,('Spell Tables'!$R$194:$R$206),0)),IF(Q$177&gt;=O196,INDEX('Spell Tables'!$T$168:$T$187,MATCH(O196,('Spell Tables'!$R$168:$R$187),0)),IF(Q$179&gt;=O196,INDEX('Spell Tables'!$T$141:$T$147,MATCH(O196,('Spell Tables'!$R$141:$R$147),0)),IF(Q$181&gt;=O196,INDEX('Spell Tables'!$P$119:$P$131,MATCH(O196,('Spell Tables'!$N$119:$N$131),0)),IF(Q$183&gt;=O196,INDEX('Spell Tables'!$P$97:$P$111,MATCH(O196,('Spell Tables'!$N$97:$N$111),0)),IF(Q$185&gt;=O196,INDEX('Spell Tables'!$T$70:$T$78,MATCH(O196,('Spell Tables'!$R$70:$R$78),0)),IF(Q$187&gt;=O196,INDEX('Spell Tables'!$T$48:$T$63,MATCH(O196,('Spell Tables'!$R$48:$R$63),0)),IF(Q$189&gt;=O196,INDEX('Spell Tables'!$T$26:$T$40,MATCH(O196,('Spell Tables'!$R$26:$R$40),0)),IF(Q$191&gt;=O196,INDEX('Spell Tables'!$T$2:$T$22,MATCH(O196,('Spell Tables'!$R$2:$R$22),0))," "))))))))))))</f>
        <v xml:space="preserve"> </v>
      </c>
      <c r="R196" s="33" t="str">
        <f ca="1">IF(AND($O$15="Otherworldly patron - great old one",R$175&gt;=O196),INDEX('Spell Tables'!$X$226:$X$239,MATCH(O196,('Spell Tables'!$V$226:$V$239),0)),IF(AND($O$15="Otherworldly patron - fiend",R$175&gt;=O196),INDEX('Spell Tables'!$X$210:$X$223,MATCH(O196,('Spell Tables'!$V$210:$V$223),0)),IF(AND($O$15="Otherworldly patron - archfey",R$175&gt;=O196),INDEX('Spell Tables'!$X$194:$X$207,MATCH(O196,('Spell Tables'!$V$194:$V$207),0)),IF($R$173&gt;=O196,INDEX($AL$56:$AL$65,MATCH(O196,($AJ$56:$AJ$65),0)),IF($R$177&gt;=O196,INDEX('Spell Tables'!$X$168:$X$191,MATCH(O196,('Spell Tables'!$V$168:$V$191),0)),IF($R$179&gt;=O196,INDEX('Spell Tables'!$AB$141:$AB$149,MATCH(O196,('Spell Tables'!$Z$141:$Z$149),0)),IF($R$181&gt;=O196,INDEX('Spell Tables'!$T$119:$T$131,MATCH(O196,('Spell Tables'!$R$119:$R$131),0)),IF($R$183&gt;=O196,INDEX('Spell Tables'!$T$97:$T$104,MATCH(O196,('Spell Tables'!$R$97:$R$104),0)),IF($R$185&gt;=O196,INDEX('Spell Tables'!$AB$70:$AB$75,MATCH(O196,('Spell Tables'!$Z$70:$Z$75),0)),IF($R$187&gt;=O196,INDEX('Spell Tables'!$X$48:$X$65,MATCH(O196,('Spell Tables'!$V$48:$V$65),0)),IF($R$189&gt;=O196,INDEX('Spell Tables'!$X$26:$X$42,MATCH(O196,('Spell Tables'!$V$26:$V$42),0)),IF($R$191&gt;=O196,INDEX('Spell Tables'!$X$2:$X$23,MATCH(O196,('Spell Tables'!$V$2:$V$23),0))," "))))))))))))</f>
        <v xml:space="preserve"> </v>
      </c>
      <c r="S196" s="33" t="str">
        <f ca="1">IF(AND($O$15="Otherworldly patron - great old one",S$175&gt;=O196),INDEX('Spell Tables'!$AB$226:$AB$238,MATCH(O196,('Spell Tables'!$Z$226:$Z$238),0)),IF(AND($O$15="Otherworldly patron - fiend",S$175&gt;=O196),INDEX('Spell Tables'!$AB$210:$AB$222,MATCH(O196,('Spell Tables'!$Z$210:$Z$222),0)),IF(AND($O$15="Otherworldly patron - archfey",S$175&gt;=O196),INDEX('Spell Tables'!$AB$194:$AB$206,MATCH(O196,('Spell Tables'!$Z$194:$Z$206),0)),IF($S$173&gt;=O196,INDEX($AL$68:$AL$77,MATCH(O196,($AJ$68:$AJ$77),0)),IF($S$177&gt;=O196,INDEX('Spell Tables'!$AB$168:$AB$187,MATCH(O196,('Spell Tables'!$Z$168:$Z$187),0)),IF($S$179&gt;=O196,INDEX('Spell Tables'!$AJ$141:$AJ$144,MATCH(O196,('Spell Tables'!$AH$141:$AH$144),0)),IF($S$181&gt;=O196,INDEX('Spell Tables'!$X$119:$X$129,MATCH(O196,('Spell Tables'!$V$119:$V$129),0)),IF($S$183&gt;=O196,INDEX('Spell Tables'!$X$97:$X$106,MATCH(O196,('Spell Tables'!$V$97:$V$106),0)),IF($S$185&gt;=O196,INDEX('Spell Tables'!$AJ$70:$AJ$79,MATCH(O196,('Spell Tables'!$AH$70:$AH$79),0)),IF($S$187&gt;=O196,INDEX('Spell Tables'!$AB$48:$AB$60,MATCH(O196,('Spell Tables'!$Z$48:$Z$60),0)),IF($S$189&gt;=O196,INDEX('Spell Tables'!$AB$26:$AB$45,MATCH(O196,('Spell Tables'!$Z$26:$Z$45),0)),IF($S$191&gt;=O196,INDEX('Spell Tables'!$AB$2:$AB$17,MATCH(O196,('Spell Tables'!$Z$2:$Z$17),0))," "))))))))))))</f>
        <v>Tongues</v>
      </c>
      <c r="T196" s="33" t="str">
        <f ca="1">IF(AND($O$15="Otherworldly patron - great old one",T$175&gt;=O196),INDEX('Spell Tables'!$AF$226:$AF$231,MATCH(O196,('Spell Tables'!$AD$226:$AD$231),0)),IF(AND($O$15="Otherworldly patron - fiend",T$175&gt;=O196),INDEX('Spell Tables'!$AF$210:$AF$215,MATCH(O196,('Spell Tables'!$AD$210:$AD$215),0)),IF(AND($O$15="Otherworldly patron - archfey",T$175&gt;=O196),INDEX('Spell Tables'!$AF$194:$AF$199,MATCH(O196,('Spell Tables'!$AD$194:$AD$199),0)),IF($T$173&gt;=O196,INDEX($AL$80:$AL$89,MATCH(O196,($AJ$80:$AJ$89),0)),IF($T$177&gt;=O196,INDEX('Spell Tables'!$AF$168:$AF$177,MATCH(O196,('Spell Tables'!$AD$168:$AD$177),0)),IF($T$179&gt;=O196,INDEX('Spell Tables'!$AR$141:$AR$144,MATCH(O196,('Spell Tables'!$AP$141:$AP$144),0)),IF($T$181&gt;=O196,INDEX('Spell Tables'!$AB$119:$AB$123,MATCH(O196,('Spell Tables'!$Z$119:$Z$123),0)),IF($T$183&gt;=O196,INDEX('Spell Tables'!$AB$97:$AB$102,MATCH(O196,('Spell Tables'!$Z$97:$Z$102),0)),IF($T$185&gt;=O196,INDEX('Spell Tables'!$AR$70:$AR$75,MATCH(O196,('Spell Tables'!$AP$70:$AP$75),0)),IF($T$187&gt;=O196,INDEX('Spell Tables'!$AF$48:$AF$63,MATCH(O196,('Spell Tables'!$AD$48:$AD$63),0)),IF($T$189&gt;=O196,INDEX('Spell Tables'!$AF$26:$AF$33,MATCH(O196,('Spell Tables'!$AD$26:$AD$33),0)),IF($T$191&gt;=O196,INDEX('Spell Tables'!$AF$2:$AF$9,MATCH(O196,('Spell Tables'!$AD$2:$AD$9),0))," "))))))))))))</f>
        <v xml:space="preserve"> </v>
      </c>
      <c r="AJ196" s="29">
        <v>9</v>
      </c>
      <c r="AK196" s="29">
        <v>3</v>
      </c>
    </row>
    <row r="197" spans="2:37" x14ac:dyDescent="0.3">
      <c r="B197" s="79"/>
      <c r="C197" s="33"/>
      <c r="D197" s="33"/>
      <c r="E197" s="33"/>
      <c r="F197" s="33"/>
      <c r="G197" s="33"/>
      <c r="H197" s="33"/>
      <c r="I197" s="33"/>
      <c r="J197" s="33"/>
      <c r="K197" s="33"/>
      <c r="L197" s="33"/>
      <c r="M197" s="33"/>
      <c r="N197" s="33"/>
      <c r="O197" s="34">
        <v>5</v>
      </c>
      <c r="P197" s="33" t="str">
        <f ca="1">IF(P$173&gt;=O197,INDEX('Spell Tables'!$P$242:$P$257,MATCH(O197,('Spell Tables'!$N$242:$N$257),0)),IF(P$175&gt;=O197,INDEX('Spell Tables'!$P$194:$P$201,MATCH(O197,('Spell Tables'!$N$194:$N$201),0)),IF(P$177&gt;=O197,INDEX('Spell Tables'!$P$168:$P$183,MATCH(O197,('Spell Tables'!$N$168:$N$183),0)),IF(P$179&gt;=O197,INDEX('Spell Tables'!$P$141:$P$156,MATCH(O197,('Spell Tables'!$N$141:$N$157),0)),IF(P$185&gt;=O197,INDEX('Spell Tables'!$P$70:$P$83,MATCH(O197,('Spell Tables'!$N$70:$N$83),0)),IF(P$187&gt;=O197,INDEX('Spell Tables'!$P$48:$P$55,MATCH(O197,('Spell Tables'!$N$48:$N$55),0)),IF(P$189&gt;=O197,INDEX('Spell Tables'!$P$26:$P$32,MATCH(O197,('Spell Tables'!$N$26:$N$32),0)),IF(P$191&gt;=O197,INDEX('Spell Tables'!$P$2:$P$12,MATCH(O197,('Spell Tables'!$N$2:$N$12),0))," "))))))))</f>
        <v>Chill Touch</v>
      </c>
      <c r="Q197" s="33" t="str">
        <f ca="1">IF(AND($O$15="Otherworldly patron - great old one",Q$175&gt;=O197),INDEX('Spell Tables'!$T$226:$T$238,MATCH(O197,('Spell Tables'!$R$226:$R$238),0)),IF(AND($O$15="Otherworldly patron - fiend",Q$175&gt;=O197),INDEX('Spell Tables'!$T$210:$T$222,MATCH(O197,('Spell Tables'!$R$210:$R$222),0)),IF(Q$173&gt;=O197,INDEX($AL$44:$AL$53,MATCH(O197,($AJ$44:$AJ$53),0)),IF(AND($O$15="Otherworldly patron - archfey",Q$175&gt;=O197),INDEX('Spell Tables'!$T$194:$T$206,MATCH(O197,('Spell Tables'!$R$194:$R$206),0)),IF(Q$177&gt;=O197,INDEX('Spell Tables'!$T$168:$T$187,MATCH(O197,('Spell Tables'!$R$168:$R$187),0)),IF(Q$179&gt;=O197,INDEX('Spell Tables'!$T$141:$T$147,MATCH(O197,('Spell Tables'!$R$141:$R$147),0)),IF(Q$181&gt;=O197,INDEX('Spell Tables'!$P$119:$P$131,MATCH(O197,('Spell Tables'!$N$119:$N$131),0)),IF(Q$183&gt;=O197,INDEX('Spell Tables'!$P$97:$P$111,MATCH(O197,('Spell Tables'!$N$97:$N$111),0)),IF(Q$185&gt;=O197,INDEX('Spell Tables'!$T$70:$T$78,MATCH(O197,('Spell Tables'!$R$70:$R$78),0)),IF(Q$187&gt;=O197,INDEX('Spell Tables'!$T$48:$T$63,MATCH(O197,('Spell Tables'!$R$48:$R$63),0)),IF(Q$189&gt;=O197,INDEX('Spell Tables'!$T$26:$T$40,MATCH(O197,('Spell Tables'!$R$26:$R$40),0)),IF(Q$191&gt;=O197,INDEX('Spell Tables'!$T$2:$T$22,MATCH(O197,('Spell Tables'!$R$2:$R$22),0))," "))))))))))))</f>
        <v xml:space="preserve"> </v>
      </c>
      <c r="R197" s="33" t="str">
        <f ca="1">IF(AND($O$15="Otherworldly patron - great old one",R$175&gt;=O197),INDEX('Spell Tables'!$X$226:$X$239,MATCH(O197,('Spell Tables'!$V$226:$V$239),0)),IF(AND($O$15="Otherworldly patron - fiend",R$175&gt;=O197),INDEX('Spell Tables'!$X$210:$X$223,MATCH(O197,('Spell Tables'!$V$210:$V$223),0)),IF(AND($O$15="Otherworldly patron - archfey",R$175&gt;=O197),INDEX('Spell Tables'!$X$194:$X$207,MATCH(O197,('Spell Tables'!$V$194:$V$207),0)),IF($R$173&gt;=O197,INDEX($AL$56:$AL$65,MATCH(O197,($AJ$56:$AJ$65),0)),IF($R$177&gt;=O197,INDEX('Spell Tables'!$X$168:$X$191,MATCH(O197,('Spell Tables'!$V$168:$V$191),0)),IF($R$179&gt;=O197,INDEX('Spell Tables'!$AB$141:$AB$149,MATCH(O197,('Spell Tables'!$Z$141:$Z$149),0)),IF($R$181&gt;=O197,INDEX('Spell Tables'!$T$119:$T$131,MATCH(O197,('Spell Tables'!$R$119:$R$131),0)),IF($R$183&gt;=O197,INDEX('Spell Tables'!$T$97:$T$104,MATCH(O197,('Spell Tables'!$R$97:$R$104),0)),IF($R$185&gt;=O197,INDEX('Spell Tables'!$AB$70:$AB$75,MATCH(O197,('Spell Tables'!$Z$70:$Z$75),0)),IF($R$187&gt;=O197,INDEX('Spell Tables'!$X$48:$X$65,MATCH(O197,('Spell Tables'!$V$48:$V$65),0)),IF($R$189&gt;=O197,INDEX('Spell Tables'!$X$26:$X$42,MATCH(O197,('Spell Tables'!$V$26:$V$42),0)),IF($R$191&gt;=O197,INDEX('Spell Tables'!$X$2:$X$23,MATCH(O197,('Spell Tables'!$V$2:$V$23),0))," "))))))))))))</f>
        <v xml:space="preserve"> </v>
      </c>
      <c r="S197" s="33" t="str">
        <f ca="1">IF(AND($O$15="Otherworldly patron - great old one",S$175&gt;=O197),INDEX('Spell Tables'!$AB$226:$AB$238,MATCH(O197,('Spell Tables'!$Z$226:$Z$238),0)),IF(AND($O$15="Otherworldly patron - fiend",S$175&gt;=O197),INDEX('Spell Tables'!$AB$210:$AB$222,MATCH(O197,('Spell Tables'!$Z$210:$Z$222),0)),IF(AND($O$15="Otherworldly patron - archfey",S$175&gt;=O197),INDEX('Spell Tables'!$AB$194:$AB$206,MATCH(O197,('Spell Tables'!$Z$194:$Z$206),0)),IF($S$173&gt;=O197,INDEX($AL$68:$AL$77,MATCH(O197,($AJ$68:$AJ$77),0)),IF($S$177&gt;=O197,INDEX('Spell Tables'!$AB$168:$AB$187,MATCH(O197,('Spell Tables'!$Z$168:$Z$187),0)),IF($S$179&gt;=O197,INDEX('Spell Tables'!$AJ$141:$AJ$144,MATCH(O197,('Spell Tables'!$AH$141:$AH$144),0)),IF($S$181&gt;=O197,INDEX('Spell Tables'!$X$119:$X$129,MATCH(O197,('Spell Tables'!$V$119:$V$129),0)),IF($S$183&gt;=O197,INDEX('Spell Tables'!$X$97:$X$106,MATCH(O197,('Spell Tables'!$V$97:$V$106),0)),IF($S$185&gt;=O197,INDEX('Spell Tables'!$AJ$70:$AJ$79,MATCH(O197,('Spell Tables'!$AH$70:$AH$79),0)),IF($S$187&gt;=O197,INDEX('Spell Tables'!$AB$48:$AB$60,MATCH(O197,('Spell Tables'!$Z$48:$Z$60),0)),IF($S$189&gt;=O197,INDEX('Spell Tables'!$AB$26:$AB$45,MATCH(O197,('Spell Tables'!$Z$26:$Z$45),0)),IF($S$191&gt;=O197,INDEX('Spell Tables'!$AB$2:$AB$17,MATCH(O197,('Spell Tables'!$Z$2:$Z$17),0))," "))))))))))))</f>
        <v>Major Image</v>
      </c>
      <c r="T197" s="33" t="str">
        <f ca="1">IF(AND($O$15="Otherworldly patron - great old one",T$175&gt;=O197),INDEX('Spell Tables'!$AF$226:$AF$231,MATCH(O197,('Spell Tables'!$AD$226:$AD$231),0)),IF(AND($O$15="Otherworldly patron - fiend",T$175&gt;=O197),INDEX('Spell Tables'!$AF$210:$AF$215,MATCH(O197,('Spell Tables'!$AD$210:$AD$215),0)),IF(AND($O$15="Otherworldly patron - archfey",T$175&gt;=O197),INDEX('Spell Tables'!$AF$194:$AF$199,MATCH(O197,('Spell Tables'!$AD$194:$AD$199),0)),IF($T$173&gt;=O197,INDEX($AL$80:$AL$89,MATCH(O197,($AJ$80:$AJ$89),0)),IF($T$177&gt;=O197,INDEX('Spell Tables'!$AF$168:$AF$177,MATCH(O197,('Spell Tables'!$AD$168:$AD$177),0)),IF($T$179&gt;=O197,INDEX('Spell Tables'!$AR$141:$AR$144,MATCH(O197,('Spell Tables'!$AP$141:$AP$144),0)),IF($T$181&gt;=O197,INDEX('Spell Tables'!$AB$119:$AB$123,MATCH(O197,('Spell Tables'!$Z$119:$Z$123),0)),IF($T$183&gt;=O197,INDEX('Spell Tables'!$AB$97:$AB$102,MATCH(O197,('Spell Tables'!$Z$97:$Z$102),0)),IF($T$185&gt;=O197,INDEX('Spell Tables'!$AR$70:$AR$75,MATCH(O197,('Spell Tables'!$AP$70:$AP$75),0)),IF($T$187&gt;=O197,INDEX('Spell Tables'!$AF$48:$AF$63,MATCH(O197,('Spell Tables'!$AD$48:$AD$63),0)),IF($T$189&gt;=O197,INDEX('Spell Tables'!$AF$26:$AF$33,MATCH(O197,('Spell Tables'!$AD$26:$AD$33),0)),IF($T$191&gt;=O197,INDEX('Spell Tables'!$AF$2:$AF$9,MATCH(O197,('Spell Tables'!$AD$2:$AD$9),0))," "))))))))))))</f>
        <v xml:space="preserve"> </v>
      </c>
      <c r="AJ197" s="29">
        <v>10</v>
      </c>
      <c r="AK197" s="29">
        <v>3</v>
      </c>
    </row>
    <row r="198" spans="2:37" x14ac:dyDescent="0.3">
      <c r="B198" s="33"/>
      <c r="C198" s="33"/>
      <c r="D198" s="33"/>
      <c r="E198" s="33"/>
      <c r="F198" s="33"/>
      <c r="G198" s="33"/>
      <c r="H198" s="33"/>
      <c r="I198" s="33"/>
      <c r="J198" s="33"/>
      <c r="K198" s="33"/>
      <c r="L198" s="33"/>
      <c r="M198" s="33"/>
      <c r="N198" s="33"/>
      <c r="O198" s="34">
        <v>6</v>
      </c>
      <c r="P198" s="33" t="str">
        <f ca="1">IF(P$173&gt;=O198,INDEX('Spell Tables'!$P$242:$P$257,MATCH(O198,('Spell Tables'!$N$242:$N$257),0)),IF(P$175&gt;=O198,INDEX('Spell Tables'!$P$194:$P$201,MATCH(O198,('Spell Tables'!$N$194:$N$201),0)),IF(P$177&gt;=O198,INDEX('Spell Tables'!$P$168:$P$183,MATCH(O198,('Spell Tables'!$N$168:$N$183),0)),IF(P$179&gt;=O198,INDEX('Spell Tables'!$P$141:$P$156,MATCH(O198,('Spell Tables'!$N$141:$N$157),0)),IF(P$185&gt;=O198,INDEX('Spell Tables'!$P$70:$P$83,MATCH(O198,('Spell Tables'!$N$70:$N$83),0)),IF(P$187&gt;=O198,INDEX('Spell Tables'!$P$48:$P$55,MATCH(O198,('Spell Tables'!$N$48:$N$55),0)),IF(P$189&gt;=O198,INDEX('Spell Tables'!$P$26:$P$32,MATCH(O198,('Spell Tables'!$N$26:$N$32),0)),IF(P$191&gt;=O198,INDEX('Spell Tables'!$P$2:$P$12,MATCH(O198,('Spell Tables'!$N$2:$N$12),0))," "))))))))</f>
        <v>Shocking Grasp</v>
      </c>
      <c r="Q198" s="33" t="str">
        <f ca="1">IF(AND($O$15="Otherworldly patron - great old one",Q$175&gt;=O198),INDEX('Spell Tables'!$T$226:$T$238,MATCH(O198,('Spell Tables'!$R$226:$R$238),0)),IF(AND($O$15="Otherworldly patron - fiend",Q$175&gt;=O198),INDEX('Spell Tables'!$T$210:$T$222,MATCH(O198,('Spell Tables'!$R$210:$R$222),0)),IF(Q$173&gt;=O198,INDEX($AL$44:$AL$53,MATCH(O198,($AJ$44:$AJ$53),0)),IF(AND($O$15="Otherworldly patron - archfey",Q$175&gt;=O198),INDEX('Spell Tables'!$T$194:$T$206,MATCH(O198,('Spell Tables'!$R$194:$R$206),0)),IF(Q$177&gt;=O198,INDEX('Spell Tables'!$T$168:$T$187,MATCH(O198,('Spell Tables'!$R$168:$R$187),0)),IF(Q$179&gt;=O198,INDEX('Spell Tables'!$T$141:$T$147,MATCH(O198,('Spell Tables'!$R$141:$R$147),0)),IF(Q$181&gt;=O198,INDEX('Spell Tables'!$P$119:$P$131,MATCH(O198,('Spell Tables'!$N$119:$N$131),0)),IF(Q$183&gt;=O198,INDEX('Spell Tables'!$P$97:$P$111,MATCH(O198,('Spell Tables'!$N$97:$N$111),0)),IF(Q$185&gt;=O198,INDEX('Spell Tables'!$T$70:$T$78,MATCH(O198,('Spell Tables'!$R$70:$R$78),0)),IF(Q$187&gt;=O198,INDEX('Spell Tables'!$T$48:$T$63,MATCH(O198,('Spell Tables'!$R$48:$R$63),0)),IF(Q$189&gt;=O198,INDEX('Spell Tables'!$T$26:$T$40,MATCH(O198,('Spell Tables'!$R$26:$R$40),0)),IF(Q$191&gt;=O198,INDEX('Spell Tables'!$T$2:$T$22,MATCH(O198,('Spell Tables'!$R$2:$R$22),0))," "))))))))))))</f>
        <v xml:space="preserve"> </v>
      </c>
      <c r="R198" s="33" t="str">
        <f ca="1">IF(AND($O$15="Otherworldly patron - great old one",R$175&gt;=O198),INDEX('Spell Tables'!$X$226:$X$239,MATCH(O198,('Spell Tables'!$V$226:$V$239),0)),IF(AND($O$15="Otherworldly patron - fiend",R$175&gt;=O198),INDEX('Spell Tables'!$X$210:$X$223,MATCH(O198,('Spell Tables'!$V$210:$V$223),0)),IF(AND($O$15="Otherworldly patron - archfey",R$175&gt;=O198),INDEX('Spell Tables'!$X$194:$X$207,MATCH(O198,('Spell Tables'!$V$194:$V$207),0)),IF($R$173&gt;=O198,INDEX($AL$56:$AL$65,MATCH(O198,($AJ$56:$AJ$65),0)),IF($R$177&gt;=O198,INDEX('Spell Tables'!$X$168:$X$191,MATCH(O198,('Spell Tables'!$V$168:$V$191),0)),IF($R$179&gt;=O198,INDEX('Spell Tables'!$AB$141:$AB$149,MATCH(O198,('Spell Tables'!$Z$141:$Z$149),0)),IF($R$181&gt;=O198,INDEX('Spell Tables'!$T$119:$T$131,MATCH(O198,('Spell Tables'!$R$119:$R$131),0)),IF($R$183&gt;=O198,INDEX('Spell Tables'!$T$97:$T$104,MATCH(O198,('Spell Tables'!$R$97:$R$104),0)),IF($R$185&gt;=O198,INDEX('Spell Tables'!$AB$70:$AB$75,MATCH(O198,('Spell Tables'!$Z$70:$Z$75),0)),IF($R$187&gt;=O198,INDEX('Spell Tables'!$X$48:$X$65,MATCH(O198,('Spell Tables'!$V$48:$V$65),0)),IF($R$189&gt;=O198,INDEX('Spell Tables'!$X$26:$X$42,MATCH(O198,('Spell Tables'!$V$26:$V$42),0)),IF($R$191&gt;=O198,INDEX('Spell Tables'!$X$2:$X$23,MATCH(O198,('Spell Tables'!$V$2:$V$23),0))," "))))))))))))</f>
        <v xml:space="preserve"> </v>
      </c>
      <c r="S198" s="33" t="str">
        <f ca="1">IF(AND($O$15="Otherworldly patron - great old one",S$175&gt;=O198),INDEX('Spell Tables'!$AB$226:$AB$238,MATCH(O198,('Spell Tables'!$Z$226:$Z$238),0)),IF(AND($O$15="Otherworldly patron - fiend",S$175&gt;=O198),INDEX('Spell Tables'!$AB$210:$AB$222,MATCH(O198,('Spell Tables'!$Z$210:$Z$222),0)),IF(AND($O$15="Otherworldly patron - archfey",S$175&gt;=O198),INDEX('Spell Tables'!$AB$194:$AB$206,MATCH(O198,('Spell Tables'!$Z$194:$Z$206),0)),IF($S$173&gt;=O198,INDEX($AL$68:$AL$77,MATCH(O198,($AJ$68:$AJ$77),0)),IF($S$177&gt;=O198,INDEX('Spell Tables'!$AB$168:$AB$187,MATCH(O198,('Spell Tables'!$Z$168:$Z$187),0)),IF($S$179&gt;=O198,INDEX('Spell Tables'!$AJ$141:$AJ$144,MATCH(O198,('Spell Tables'!$AH$141:$AH$144),0)),IF($S$181&gt;=O198,INDEX('Spell Tables'!$X$119:$X$129,MATCH(O198,('Spell Tables'!$V$119:$V$129),0)),IF($S$183&gt;=O198,INDEX('Spell Tables'!$X$97:$X$106,MATCH(O198,('Spell Tables'!$V$97:$V$106),0)),IF($S$185&gt;=O198,INDEX('Spell Tables'!$AJ$70:$AJ$79,MATCH(O198,('Spell Tables'!$AH$70:$AH$79),0)),IF($S$187&gt;=O198,INDEX('Spell Tables'!$AB$48:$AB$60,MATCH(O198,('Spell Tables'!$Z$48:$Z$60),0)),IF($S$189&gt;=O198,INDEX('Spell Tables'!$AB$26:$AB$45,MATCH(O198,('Spell Tables'!$Z$26:$Z$45),0)),IF($S$191&gt;=O198,INDEX('Spell Tables'!$AB$2:$AB$17,MATCH(O198,('Spell Tables'!$Z$2:$Z$17),0))," "))))))))))))</f>
        <v>Lightning Bolt</v>
      </c>
      <c r="T198" s="33" t="str">
        <f ca="1">IF(AND($O$15="Otherworldly patron - great old one",T$175&gt;=O198),INDEX('Spell Tables'!$AF$226:$AF$231,MATCH(O198,('Spell Tables'!$AD$226:$AD$231),0)),IF(AND($O$15="Otherworldly patron - fiend",T$175&gt;=O198),INDEX('Spell Tables'!$AF$210:$AF$215,MATCH(O198,('Spell Tables'!$AD$210:$AD$215),0)),IF(AND($O$15="Otherworldly patron - archfey",T$175&gt;=O198),INDEX('Spell Tables'!$AF$194:$AF$199,MATCH(O198,('Spell Tables'!$AD$194:$AD$199),0)),IF($T$173&gt;=O198,INDEX($AL$80:$AL$89,MATCH(O198,($AJ$80:$AJ$89),0)),IF($T$177&gt;=O198,INDEX('Spell Tables'!$AF$168:$AF$177,MATCH(O198,('Spell Tables'!$AD$168:$AD$177),0)),IF($T$179&gt;=O198,INDEX('Spell Tables'!$AR$141:$AR$144,MATCH(O198,('Spell Tables'!$AP$141:$AP$144),0)),IF($T$181&gt;=O198,INDEX('Spell Tables'!$AB$119:$AB$123,MATCH(O198,('Spell Tables'!$Z$119:$Z$123),0)),IF($T$183&gt;=O198,INDEX('Spell Tables'!$AB$97:$AB$102,MATCH(O198,('Spell Tables'!$Z$97:$Z$102),0)),IF($T$185&gt;=O198,INDEX('Spell Tables'!$AR$70:$AR$75,MATCH(O198,('Spell Tables'!$AP$70:$AP$75),0)),IF($T$187&gt;=O198,INDEX('Spell Tables'!$AF$48:$AF$63,MATCH(O198,('Spell Tables'!$AD$48:$AD$63),0)),IF($T$189&gt;=O198,INDEX('Spell Tables'!$AF$26:$AF$33,MATCH(O198,('Spell Tables'!$AD$26:$AD$33),0)),IF($T$191&gt;=O198,INDEX('Spell Tables'!$AF$2:$AF$9,MATCH(O198,('Spell Tables'!$AD$2:$AD$9),0))," "))))))))))))</f>
        <v xml:space="preserve"> </v>
      </c>
    </row>
    <row r="199" spans="2:37" x14ac:dyDescent="0.3">
      <c r="B199" s="33"/>
      <c r="C199" s="33"/>
      <c r="D199" s="33"/>
      <c r="E199" s="33"/>
      <c r="F199" s="33"/>
      <c r="G199" s="33"/>
      <c r="H199" s="33"/>
      <c r="I199" s="33"/>
      <c r="J199" s="33"/>
      <c r="K199" s="33"/>
      <c r="L199" s="33"/>
      <c r="M199" s="33"/>
      <c r="N199" s="33"/>
      <c r="O199" s="34">
        <v>7</v>
      </c>
      <c r="P199" s="33" t="str">
        <f ca="1">IF(P$173&gt;=O199,INDEX('Spell Tables'!$P$242:$P$257,MATCH(O199,('Spell Tables'!$N$242:$N$257),0)),IF(P$175&gt;=O199,INDEX('Spell Tables'!$P$194:$P$201,MATCH(O199,('Spell Tables'!$N$194:$N$201),0)),IF(P$177&gt;=O199,INDEX('Spell Tables'!$P$168:$P$183,MATCH(O199,('Spell Tables'!$N$168:$N$183),0)),IF(P$179&gt;=O199,INDEX('Spell Tables'!$P$141:$P$156,MATCH(O199,('Spell Tables'!$N$141:$N$157),0)),IF(P$185&gt;=O199,INDEX('Spell Tables'!$P$70:$P$83,MATCH(O199,('Spell Tables'!$N$70:$N$83),0)),IF(P$187&gt;=O199,INDEX('Spell Tables'!$P$48:$P$55,MATCH(O199,('Spell Tables'!$N$48:$N$55),0)),IF(P$189&gt;=O199,INDEX('Spell Tables'!$P$26:$P$32,MATCH(O199,('Spell Tables'!$N$26:$N$32),0)),IF(P$191&gt;=O199,INDEX('Spell Tables'!$P$2:$P$12,MATCH(O199,('Spell Tables'!$N$2:$N$12),0))," "))))))))</f>
        <v xml:space="preserve"> </v>
      </c>
      <c r="Q199" s="33" t="str">
        <f ca="1">IF(AND($O$15="Otherworldly patron - great old one",Q$175&gt;=O199),INDEX('Spell Tables'!$T$226:$T$238,MATCH(O199,('Spell Tables'!$R$226:$R$238),0)),IF(AND($O$15="Otherworldly patron - fiend",Q$175&gt;=O199),INDEX('Spell Tables'!$T$210:$T$222,MATCH(O199,('Spell Tables'!$R$210:$R$222),0)),IF(Q$173&gt;=O199,INDEX($AL$44:$AL$53,MATCH(O199,($AJ$44:$AJ$53),0)),IF(AND($O$15="Otherworldly patron - archfey",Q$175&gt;=O199),INDEX('Spell Tables'!$T$194:$T$206,MATCH(O199,('Spell Tables'!$R$194:$R$206),0)),IF(Q$177&gt;=O199,INDEX('Spell Tables'!$T$168:$T$187,MATCH(O199,('Spell Tables'!$R$168:$R$187),0)),IF(Q$179&gt;=O199,INDEX('Spell Tables'!$T$141:$T$147,MATCH(O199,('Spell Tables'!$R$141:$R$147),0)),IF(Q$181&gt;=O199,INDEX('Spell Tables'!$P$119:$P$131,MATCH(O199,('Spell Tables'!$N$119:$N$131),0)),IF(Q$183&gt;=O199,INDEX('Spell Tables'!$P$97:$P$111,MATCH(O199,('Spell Tables'!$N$97:$N$111),0)),IF(Q$185&gt;=O199,INDEX('Spell Tables'!$T$70:$T$78,MATCH(O199,('Spell Tables'!$R$70:$R$78),0)),IF(Q$187&gt;=O199,INDEX('Spell Tables'!$T$48:$T$63,MATCH(O199,('Spell Tables'!$R$48:$R$63),0)),IF(Q$189&gt;=O199,INDEX('Spell Tables'!$T$26:$T$40,MATCH(O199,('Spell Tables'!$R$26:$R$40),0)),IF(Q$191&gt;=O199,INDEX('Spell Tables'!$T$2:$T$22,MATCH(O199,('Spell Tables'!$R$2:$R$22),0))," "))))))))))))</f>
        <v xml:space="preserve"> </v>
      </c>
      <c r="R199" s="33" t="str">
        <f ca="1">IF(AND($O$15="Otherworldly patron - great old one",R$175&gt;=O199),INDEX('Spell Tables'!$X$226:$X$239,MATCH(O199,('Spell Tables'!$V$226:$V$239),0)),IF(AND($O$15="Otherworldly patron - fiend",R$175&gt;=O199),INDEX('Spell Tables'!$X$210:$X$223,MATCH(O199,('Spell Tables'!$V$210:$V$223),0)),IF(AND($O$15="Otherworldly patron - archfey",R$175&gt;=O199),INDEX('Spell Tables'!$X$194:$X$207,MATCH(O199,('Spell Tables'!$V$194:$V$207),0)),IF($R$173&gt;=O199,INDEX($AL$56:$AL$65,MATCH(O199,($AJ$56:$AJ$65),0)),IF($R$177&gt;=O199,INDEX('Spell Tables'!$X$168:$X$191,MATCH(O199,('Spell Tables'!$V$168:$V$191),0)),IF($R$179&gt;=O199,INDEX('Spell Tables'!$AB$141:$AB$149,MATCH(O199,('Spell Tables'!$Z$141:$Z$149),0)),IF($R$181&gt;=O199,INDEX('Spell Tables'!$T$119:$T$131,MATCH(O199,('Spell Tables'!$R$119:$R$131),0)),IF($R$183&gt;=O199,INDEX('Spell Tables'!$T$97:$T$104,MATCH(O199,('Spell Tables'!$R$97:$R$104),0)),IF($R$185&gt;=O199,INDEX('Spell Tables'!$AB$70:$AB$75,MATCH(O199,('Spell Tables'!$Z$70:$Z$75),0)),IF($R$187&gt;=O199,INDEX('Spell Tables'!$X$48:$X$65,MATCH(O199,('Spell Tables'!$V$48:$V$65),0)),IF($R$189&gt;=O199,INDEX('Spell Tables'!$X$26:$X$42,MATCH(O199,('Spell Tables'!$V$26:$V$42),0)),IF($R$191&gt;=O199,INDEX('Spell Tables'!$X$2:$X$23,MATCH(O199,('Spell Tables'!$V$2:$V$23),0))," "))))))))))))</f>
        <v xml:space="preserve"> </v>
      </c>
      <c r="S199" s="33" t="str">
        <f ca="1">IF(AND($O$15="Otherworldly patron - great old one",S$175&gt;=O199),INDEX('Spell Tables'!$AB$226:$AB$238,MATCH(O199,('Spell Tables'!$Z$226:$Z$238),0)),IF(AND($O$15="Otherworldly patron - fiend",S$175&gt;=O199),INDEX('Spell Tables'!$AB$210:$AB$222,MATCH(O199,('Spell Tables'!$Z$210:$Z$222),0)),IF(AND($O$15="Otherworldly patron - archfey",S$175&gt;=O199),INDEX('Spell Tables'!$AB$194:$AB$206,MATCH(O199,('Spell Tables'!$Z$194:$Z$206),0)),IF($S$173&gt;=O199,INDEX($AL$68:$AL$77,MATCH(O199,($AJ$68:$AJ$77),0)),IF($S$177&gt;=O199,INDEX('Spell Tables'!$AB$168:$AB$187,MATCH(O199,('Spell Tables'!$Z$168:$Z$187),0)),IF($S$179&gt;=O199,INDEX('Spell Tables'!$AJ$141:$AJ$144,MATCH(O199,('Spell Tables'!$AH$141:$AH$144),0)),IF($S$181&gt;=O199,INDEX('Spell Tables'!$X$119:$X$129,MATCH(O199,('Spell Tables'!$V$119:$V$129),0)),IF($S$183&gt;=O199,INDEX('Spell Tables'!$X$97:$X$106,MATCH(O199,('Spell Tables'!$V$97:$V$106),0)),IF($S$185&gt;=O199,INDEX('Spell Tables'!$AJ$70:$AJ$79,MATCH(O199,('Spell Tables'!$AH$70:$AH$79),0)),IF($S$187&gt;=O199,INDEX('Spell Tables'!$AB$48:$AB$60,MATCH(O199,('Spell Tables'!$Z$48:$Z$60),0)),IF($S$189&gt;=O199,INDEX('Spell Tables'!$AB$26:$AB$45,MATCH(O199,('Spell Tables'!$Z$26:$Z$45),0)),IF($S$191&gt;=O199,INDEX('Spell Tables'!$AB$2:$AB$17,MATCH(O199,('Spell Tables'!$Z$2:$Z$17),0))," "))))))))))))</f>
        <v>Haste</v>
      </c>
      <c r="T199" s="33" t="str">
        <f ca="1">IF(AND($O$15="Otherworldly patron - great old one",T$175&gt;=O199),INDEX('Spell Tables'!$AF$226:$AF$231,MATCH(O199,('Spell Tables'!$AD$226:$AD$231),0)),IF(AND($O$15="Otherworldly patron - fiend",T$175&gt;=O199),INDEX('Spell Tables'!$AF$210:$AF$215,MATCH(O199,('Spell Tables'!$AD$210:$AD$215),0)),IF(AND($O$15="Otherworldly patron - archfey",T$175&gt;=O199),INDEX('Spell Tables'!$AF$194:$AF$199,MATCH(O199,('Spell Tables'!$AD$194:$AD$199),0)),IF($T$173&gt;=O199,INDEX($AL$80:$AL$89,MATCH(O199,($AJ$80:$AJ$89),0)),IF($T$177&gt;=O199,INDEX('Spell Tables'!$AF$168:$AF$177,MATCH(O199,('Spell Tables'!$AD$168:$AD$177),0)),IF($T$179&gt;=O199,INDEX('Spell Tables'!$AR$141:$AR$144,MATCH(O199,('Spell Tables'!$AP$141:$AP$144),0)),IF($T$181&gt;=O199,INDEX('Spell Tables'!$AB$119:$AB$123,MATCH(O199,('Spell Tables'!$Z$119:$Z$123),0)),IF($T$183&gt;=O199,INDEX('Spell Tables'!$AB$97:$AB$102,MATCH(O199,('Spell Tables'!$Z$97:$Z$102),0)),IF($T$185&gt;=O199,INDEX('Spell Tables'!$AR$70:$AR$75,MATCH(O199,('Spell Tables'!$AP$70:$AP$75),0)),IF($T$187&gt;=O199,INDEX('Spell Tables'!$AF$48:$AF$63,MATCH(O199,('Spell Tables'!$AD$48:$AD$63),0)),IF($T$189&gt;=O199,INDEX('Spell Tables'!$AF$26:$AF$33,MATCH(O199,('Spell Tables'!$AD$26:$AD$33),0)),IF($T$191&gt;=O199,INDEX('Spell Tables'!$AF$2:$AF$9,MATCH(O199,('Spell Tables'!$AD$2:$AD$9),0))," "))))))))))))</f>
        <v xml:space="preserve"> </v>
      </c>
    </row>
    <row r="200" spans="2:37" x14ac:dyDescent="0.3">
      <c r="B200" s="33"/>
      <c r="C200" s="33"/>
      <c r="D200" s="33"/>
      <c r="E200" s="33"/>
      <c r="F200" s="33"/>
      <c r="G200" s="33"/>
      <c r="H200" s="33"/>
      <c r="I200" s="33"/>
      <c r="J200" s="33"/>
      <c r="K200" s="33"/>
      <c r="L200" s="33"/>
      <c r="M200" s="33"/>
      <c r="N200" s="33"/>
      <c r="O200" s="34">
        <v>8</v>
      </c>
      <c r="P200" s="33" t="str">
        <f ca="1">IF(P$173&gt;=O200,INDEX('Spell Tables'!$P$242:$P$257,MATCH(O200,('Spell Tables'!$N$242:$N$257),0)),IF(P$175&gt;=O200,INDEX('Spell Tables'!$P$194:$P$201,MATCH(O200,('Spell Tables'!$N$194:$N$201),0)),IF(P$177&gt;=O200,INDEX('Spell Tables'!$P$168:$P$183,MATCH(O200,('Spell Tables'!$N$168:$N$183),0)),IF(P$179&gt;=O200,INDEX('Spell Tables'!$P$141:$P$156,MATCH(O200,('Spell Tables'!$N$141:$N$157),0)),IF(P$185&gt;=O200,INDEX('Spell Tables'!$P$70:$P$83,MATCH(O200,('Spell Tables'!$N$70:$N$83),0)),IF(P$187&gt;=O200,INDEX('Spell Tables'!$P$48:$P$55,MATCH(O200,('Spell Tables'!$N$48:$N$55),0)),IF(P$189&gt;=O200,INDEX('Spell Tables'!$P$26:$P$32,MATCH(O200,('Spell Tables'!$N$26:$N$32),0)),IF(P$191&gt;=O200,INDEX('Spell Tables'!$P$2:$P$12,MATCH(O200,('Spell Tables'!$N$2:$N$12),0))," "))))))))</f>
        <v xml:space="preserve"> </v>
      </c>
      <c r="Q200" s="33" t="str">
        <f ca="1">IF(AND($O$15="Otherworldly patron - great old one",Q$175&gt;=O200),INDEX('Spell Tables'!$T$226:$T$238,MATCH(O200,('Spell Tables'!$R$226:$R$238),0)),IF(AND($O$15="Otherworldly patron - fiend",Q$175&gt;=O200),INDEX('Spell Tables'!$T$210:$T$222,MATCH(O200,('Spell Tables'!$R$210:$R$222),0)),IF(Q$173&gt;=O200,INDEX($AL$44:$AL$53,MATCH(O200,($AJ$44:$AJ$53),0)),IF(AND($O$15="Otherworldly patron - archfey",Q$175&gt;=O200),INDEX('Spell Tables'!$T$194:$T$206,MATCH(O200,('Spell Tables'!$R$194:$R$206),0)),IF(Q$177&gt;=O200,INDEX('Spell Tables'!$T$168:$T$187,MATCH(O200,('Spell Tables'!$R$168:$R$187),0)),IF(Q$179&gt;=O200,INDEX('Spell Tables'!$T$141:$T$147,MATCH(O200,('Spell Tables'!$R$141:$R$147),0)),IF(Q$181&gt;=O200,INDEX('Spell Tables'!$P$119:$P$131,MATCH(O200,('Spell Tables'!$N$119:$N$131),0)),IF(Q$183&gt;=O200,INDEX('Spell Tables'!$P$97:$P$111,MATCH(O200,('Spell Tables'!$N$97:$N$111),0)),IF(Q$185&gt;=O200,INDEX('Spell Tables'!$T$70:$T$78,MATCH(O200,('Spell Tables'!$R$70:$R$78),0)),IF(Q$187&gt;=O200,INDEX('Spell Tables'!$T$48:$T$63,MATCH(O200,('Spell Tables'!$R$48:$R$63),0)),IF(Q$189&gt;=O200,INDEX('Spell Tables'!$T$26:$T$40,MATCH(O200,('Spell Tables'!$R$26:$R$40),0)),IF(Q$191&gt;=O200,INDEX('Spell Tables'!$T$2:$T$22,MATCH(O200,('Spell Tables'!$R$2:$R$22),0))," "))))))))))))</f>
        <v xml:space="preserve"> </v>
      </c>
      <c r="R200" s="33" t="str">
        <f ca="1">IF(AND($O$15="Otherworldly patron - great old one",R$175&gt;=O200),INDEX('Spell Tables'!$X$226:$X$239,MATCH(O200,('Spell Tables'!$V$226:$V$239),0)),IF(AND($O$15="Otherworldly patron - fiend",R$175&gt;=O200),INDEX('Spell Tables'!$X$210:$X$223,MATCH(O200,('Spell Tables'!$V$210:$V$223),0)),IF(AND($O$15="Otherworldly patron - archfey",R$175&gt;=O200),INDEX('Spell Tables'!$X$194:$X$207,MATCH(O200,('Spell Tables'!$V$194:$V$207),0)),IF($R$173&gt;=O200,INDEX($AL$56:$AL$65,MATCH(O200,($AJ$56:$AJ$65),0)),IF($R$177&gt;=O200,INDEX('Spell Tables'!$X$168:$X$191,MATCH(O200,('Spell Tables'!$V$168:$V$191),0)),IF($R$179&gt;=O200,INDEX('Spell Tables'!$AB$141:$AB$149,MATCH(O200,('Spell Tables'!$Z$141:$Z$149),0)),IF($R$181&gt;=O200,INDEX('Spell Tables'!$T$119:$T$131,MATCH(O200,('Spell Tables'!$R$119:$R$131),0)),IF($R$183&gt;=O200,INDEX('Spell Tables'!$T$97:$T$104,MATCH(O200,('Spell Tables'!$R$97:$R$104),0)),IF($R$185&gt;=O200,INDEX('Spell Tables'!$AB$70:$AB$75,MATCH(O200,('Spell Tables'!$Z$70:$Z$75),0)),IF($R$187&gt;=O200,INDEX('Spell Tables'!$X$48:$X$65,MATCH(O200,('Spell Tables'!$V$48:$V$65),0)),IF($R$189&gt;=O200,INDEX('Spell Tables'!$X$26:$X$42,MATCH(O200,('Spell Tables'!$V$26:$V$42),0)),IF($R$191&gt;=O200,INDEX('Spell Tables'!$X$2:$X$23,MATCH(O200,('Spell Tables'!$V$2:$V$23),0))," "))))))))))))</f>
        <v xml:space="preserve"> </v>
      </c>
      <c r="S200" s="33" t="str">
        <f ca="1">IF(AND($O$15="Otherworldly patron - great old one",S$175&gt;=O200),INDEX('Spell Tables'!$AB$226:$AB$238,MATCH(O200,('Spell Tables'!$Z$226:$Z$238),0)),IF(AND($O$15="Otherworldly patron - fiend",S$175&gt;=O200),INDEX('Spell Tables'!$AB$210:$AB$222,MATCH(O200,('Spell Tables'!$Z$210:$Z$222),0)),IF(AND($O$15="Otherworldly patron - archfey",S$175&gt;=O200),INDEX('Spell Tables'!$AB$194:$AB$206,MATCH(O200,('Spell Tables'!$Z$194:$Z$206),0)),IF($S$173&gt;=O200,INDEX($AL$68:$AL$77,MATCH(O200,($AJ$68:$AJ$77),0)),IF($S$177&gt;=O200,INDEX('Spell Tables'!$AB$168:$AB$187,MATCH(O200,('Spell Tables'!$Z$168:$Z$187),0)),IF($S$179&gt;=O200,INDEX('Spell Tables'!$AJ$141:$AJ$144,MATCH(O200,('Spell Tables'!$AH$141:$AH$144),0)),IF($S$181&gt;=O200,INDEX('Spell Tables'!$X$119:$X$129,MATCH(O200,('Spell Tables'!$V$119:$V$129),0)),IF($S$183&gt;=O200,INDEX('Spell Tables'!$X$97:$X$106,MATCH(O200,('Spell Tables'!$V$97:$V$106),0)),IF($S$185&gt;=O200,INDEX('Spell Tables'!$AJ$70:$AJ$79,MATCH(O200,('Spell Tables'!$AH$70:$AH$79),0)),IF($S$187&gt;=O200,INDEX('Spell Tables'!$AB$48:$AB$60,MATCH(O200,('Spell Tables'!$Z$48:$Z$60),0)),IF($S$189&gt;=O200,INDEX('Spell Tables'!$AB$26:$AB$45,MATCH(O200,('Spell Tables'!$Z$26:$Z$45),0)),IF($S$191&gt;=O200,INDEX('Spell Tables'!$AB$2:$AB$17,MATCH(O200,('Spell Tables'!$Z$2:$Z$17),0))," "))))))))))))</f>
        <v xml:space="preserve"> </v>
      </c>
      <c r="T200" s="33" t="str">
        <f ca="1">IF(AND($O$15="Otherworldly patron - great old one",T$175&gt;=O200),INDEX('Spell Tables'!$AF$226:$AF$231,MATCH(O200,('Spell Tables'!$AD$226:$AD$231),0)),IF(AND($O$15="Otherworldly patron - fiend",T$175&gt;=O200),INDEX('Spell Tables'!$AF$210:$AF$215,MATCH(O200,('Spell Tables'!$AD$210:$AD$215),0)),IF(AND($O$15="Otherworldly patron - archfey",T$175&gt;=O200),INDEX('Spell Tables'!$AF$194:$AF$199,MATCH(O200,('Spell Tables'!$AD$194:$AD$199),0)),IF($T$173&gt;=O200,INDEX($AL$80:$AL$89,MATCH(O200,($AJ$80:$AJ$89),0)),IF($T$177&gt;=O200,INDEX('Spell Tables'!$AF$168:$AF$177,MATCH(O200,('Spell Tables'!$AD$168:$AD$177),0)),IF($T$179&gt;=O200,INDEX('Spell Tables'!$AR$141:$AR$144,MATCH(O200,('Spell Tables'!$AP$141:$AP$144),0)),IF($T$181&gt;=O200,INDEX('Spell Tables'!$AB$119:$AB$123,MATCH(O200,('Spell Tables'!$Z$119:$Z$123),0)),IF($T$183&gt;=O200,INDEX('Spell Tables'!$AB$97:$AB$102,MATCH(O200,('Spell Tables'!$Z$97:$Z$102),0)),IF($T$185&gt;=O200,INDEX('Spell Tables'!$AR$70:$AR$75,MATCH(O200,('Spell Tables'!$AP$70:$AP$75),0)),IF($T$187&gt;=O200,INDEX('Spell Tables'!$AF$48:$AF$63,MATCH(O200,('Spell Tables'!$AD$48:$AD$63),0)),IF($T$189&gt;=O200,INDEX('Spell Tables'!$AF$26:$AF$33,MATCH(O200,('Spell Tables'!$AD$26:$AD$33),0)),IF($T$191&gt;=O200,INDEX('Spell Tables'!$AF$2:$AF$9,MATCH(O200,('Spell Tables'!$AD$2:$AD$9),0))," "))))))))))))</f>
        <v xml:space="preserve"> </v>
      </c>
    </row>
    <row r="201" spans="2:37" x14ac:dyDescent="0.3">
      <c r="B201" s="33"/>
      <c r="C201" s="33"/>
      <c r="D201" s="33"/>
      <c r="E201" s="33"/>
      <c r="F201" s="33"/>
      <c r="G201" s="33"/>
      <c r="H201" s="33"/>
      <c r="I201" s="33"/>
      <c r="J201" s="33"/>
      <c r="K201" s="33"/>
      <c r="L201" s="33"/>
      <c r="M201" s="33"/>
      <c r="N201" s="33"/>
      <c r="O201" s="34">
        <v>9</v>
      </c>
      <c r="P201" s="33" t="str">
        <f ca="1">IF(P$173&gt;=O201,INDEX('Spell Tables'!$P$242:$P$257,MATCH(O201,('Spell Tables'!$N$242:$N$257),0)),IF(P$175&gt;=O201,INDEX('Spell Tables'!$P$194:$P$201,MATCH(O201,('Spell Tables'!$N$194:$N$201),0)),IF(P$177&gt;=O201,INDEX('Spell Tables'!$P$168:$P$183,MATCH(O201,('Spell Tables'!$N$168:$N$183),0)),IF(P$179&gt;=O201,INDEX('Spell Tables'!$P$141:$P$156,MATCH(O201,('Spell Tables'!$N$141:$N$157),0)),IF(P$185&gt;=O201,INDEX('Spell Tables'!$P$70:$P$83,MATCH(O201,('Spell Tables'!$N$70:$N$83),0)),IF(P$187&gt;=O201,INDEX('Spell Tables'!$P$48:$P$55,MATCH(O201,('Spell Tables'!$N$48:$N$55),0)),IF(P$189&gt;=O201,INDEX('Spell Tables'!$P$26:$P$32,MATCH(O201,('Spell Tables'!$N$26:$N$32),0)),IF(P$191&gt;=O201,INDEX('Spell Tables'!$P$2:$P$12,MATCH(O201,('Spell Tables'!$N$2:$N$12),0))," "))))))))</f>
        <v xml:space="preserve"> </v>
      </c>
      <c r="Q201" s="33" t="str">
        <f ca="1">IF(AND($O$15="Otherworldly patron - great old one",Q$175&gt;=O201),INDEX('Spell Tables'!$T$226:$T$238,MATCH(O201,('Spell Tables'!$R$226:$R$238),0)),IF(AND($O$15="Otherworldly patron - fiend",Q$175&gt;=O201),INDEX('Spell Tables'!$T$210:$T$222,MATCH(O201,('Spell Tables'!$R$210:$R$222),0)),IF(Q$173&gt;=O201,INDEX($AL$44:$AL$53,MATCH(O201,($AJ$44:$AJ$53),0)),IF(AND($O$15="Otherworldly patron - archfey",Q$175&gt;=O201),INDEX('Spell Tables'!$T$194:$T$206,MATCH(O201,('Spell Tables'!$R$194:$R$206),0)),IF(Q$177&gt;=O201,INDEX('Spell Tables'!$T$168:$T$187,MATCH(O201,('Spell Tables'!$R$168:$R$187),0)),IF(Q$179&gt;=O201,INDEX('Spell Tables'!$T$141:$T$147,MATCH(O201,('Spell Tables'!$R$141:$R$147),0)),IF(Q$181&gt;=O201,INDEX('Spell Tables'!$P$119:$P$131,MATCH(O201,('Spell Tables'!$N$119:$N$131),0)),IF(Q$183&gt;=O201,INDEX('Spell Tables'!$P$97:$P$111,MATCH(O201,('Spell Tables'!$N$97:$N$111),0)),IF(Q$185&gt;=O201,INDEX('Spell Tables'!$T$70:$T$78,MATCH(O201,('Spell Tables'!$R$70:$R$78),0)),IF(Q$187&gt;=O201,INDEX('Spell Tables'!$T$48:$T$63,MATCH(O201,('Spell Tables'!$R$48:$R$63),0)),IF(Q$189&gt;=O201,INDEX('Spell Tables'!$T$26:$T$40,MATCH(O201,('Spell Tables'!$R$26:$R$40),0)),IF(Q$191&gt;=O201,INDEX('Spell Tables'!$T$2:$T$22,MATCH(O201,('Spell Tables'!$R$2:$R$22),0))," "))))))))))))</f>
        <v xml:space="preserve"> </v>
      </c>
      <c r="R201" s="33" t="str">
        <f ca="1">IF(AND($O$15="Otherworldly patron - great old one",R$175&gt;=O201),INDEX('Spell Tables'!$X$226:$X$239,MATCH(O201,('Spell Tables'!$V$226:$V$239),0)),IF(AND($O$15="Otherworldly patron - fiend",R$175&gt;=O201),INDEX('Spell Tables'!$X$210:$X$223,MATCH(O201,('Spell Tables'!$V$210:$V$223),0)),IF(AND($O$15="Otherworldly patron - archfey",R$175&gt;=O201),INDEX('Spell Tables'!$X$194:$X$207,MATCH(O201,('Spell Tables'!$V$194:$V$207),0)),IF($R$173&gt;=O201,INDEX($AL$56:$AL$65,MATCH(O201,($AJ$56:$AJ$65),0)),IF($R$177&gt;=O201,INDEX('Spell Tables'!$X$168:$X$191,MATCH(O201,('Spell Tables'!$V$168:$V$191),0)),IF($R$179&gt;=O201,INDEX('Spell Tables'!$AB$141:$AB$149,MATCH(O201,('Spell Tables'!$Z$141:$Z$149),0)),IF($R$181&gt;=O201,INDEX('Spell Tables'!$T$119:$T$131,MATCH(O201,('Spell Tables'!$R$119:$R$131),0)),IF($R$183&gt;=O201,INDEX('Spell Tables'!$T$97:$T$104,MATCH(O201,('Spell Tables'!$R$97:$R$104),0)),IF($R$185&gt;=O201,INDEX('Spell Tables'!$AB$70:$AB$75,MATCH(O201,('Spell Tables'!$Z$70:$Z$75),0)),IF($R$187&gt;=O201,INDEX('Spell Tables'!$X$48:$X$65,MATCH(O201,('Spell Tables'!$V$48:$V$65),0)),IF($R$189&gt;=O201,INDEX('Spell Tables'!$X$26:$X$42,MATCH(O201,('Spell Tables'!$V$26:$V$42),0)),IF($R$191&gt;=O201,INDEX('Spell Tables'!$X$2:$X$23,MATCH(O201,('Spell Tables'!$V$2:$V$23),0))," "))))))))))))</f>
        <v xml:space="preserve"> </v>
      </c>
      <c r="S201" s="33" t="str">
        <f ca="1">IF(AND($O$15="Otherworldly patron - great old one",S$175&gt;=O201),INDEX('Spell Tables'!$AB$226:$AB$238,MATCH(O201,('Spell Tables'!$Z$226:$Z$238),0)),IF(AND($O$15="Otherworldly patron - fiend",S$175&gt;=O201),INDEX('Spell Tables'!$AB$210:$AB$222,MATCH(O201,('Spell Tables'!$Z$210:$Z$222),0)),IF(AND($O$15="Otherworldly patron - archfey",S$175&gt;=O201),INDEX('Spell Tables'!$AB$194:$AB$206,MATCH(O201,('Spell Tables'!$Z$194:$Z$206),0)),IF($S$173&gt;=O201,INDEX($AL$68:$AL$77,MATCH(O201,($AJ$68:$AJ$77),0)),IF($S$177&gt;=O201,INDEX('Spell Tables'!$AB$168:$AB$187,MATCH(O201,('Spell Tables'!$Z$168:$Z$187),0)),IF($S$179&gt;=O201,INDEX('Spell Tables'!$AJ$141:$AJ$144,MATCH(O201,('Spell Tables'!$AH$141:$AH$144),0)),IF($S$181&gt;=O201,INDEX('Spell Tables'!$X$119:$X$129,MATCH(O201,('Spell Tables'!$V$119:$V$129),0)),IF($S$183&gt;=O201,INDEX('Spell Tables'!$X$97:$X$106,MATCH(O201,('Spell Tables'!$V$97:$V$106),0)),IF($S$185&gt;=O201,INDEX('Spell Tables'!$AJ$70:$AJ$79,MATCH(O201,('Spell Tables'!$AH$70:$AH$79),0)),IF($S$187&gt;=O201,INDEX('Spell Tables'!$AB$48:$AB$60,MATCH(O201,('Spell Tables'!$Z$48:$Z$60),0)),IF($S$189&gt;=O201,INDEX('Spell Tables'!$AB$26:$AB$45,MATCH(O201,('Spell Tables'!$Z$26:$Z$45),0)),IF($S$191&gt;=O201,INDEX('Spell Tables'!$AB$2:$AB$17,MATCH(O201,('Spell Tables'!$Z$2:$Z$17),0))," "))))))))))))</f>
        <v xml:space="preserve"> </v>
      </c>
      <c r="T201" s="33" t="str">
        <f ca="1">IF(AND($O$15="Otherworldly patron - great old one",T$175&gt;=O201),INDEX('Spell Tables'!$AF$226:$AF$231,MATCH(O201,('Spell Tables'!$AD$226:$AD$231),0)),IF(AND($O$15="Otherworldly patron - fiend",T$175&gt;=O201),INDEX('Spell Tables'!$AF$210:$AF$215,MATCH(O201,('Spell Tables'!$AD$210:$AD$215),0)),IF(AND($O$15="Otherworldly patron - archfey",T$175&gt;=O201),INDEX('Spell Tables'!$AF$194:$AF$199,MATCH(O201,('Spell Tables'!$AD$194:$AD$199),0)),IF($T$173&gt;=O201,INDEX($AL$80:$AL$89,MATCH(O201,($AJ$80:$AJ$89),0)),IF($T$177&gt;=O201,INDEX('Spell Tables'!$AF$168:$AF$177,MATCH(O201,('Spell Tables'!$AD$168:$AD$177),0)),IF($T$179&gt;=O201,INDEX('Spell Tables'!$AR$141:$AR$144,MATCH(O201,('Spell Tables'!$AP$141:$AP$144),0)),IF($T$181&gt;=O201,INDEX('Spell Tables'!$AB$119:$AB$123,MATCH(O201,('Spell Tables'!$Z$119:$Z$123),0)),IF($T$183&gt;=O201,INDEX('Spell Tables'!$AB$97:$AB$102,MATCH(O201,('Spell Tables'!$Z$97:$Z$102),0)),IF($T$185&gt;=O201,INDEX('Spell Tables'!$AR$70:$AR$75,MATCH(O201,('Spell Tables'!$AP$70:$AP$75),0)),IF($T$187&gt;=O201,INDEX('Spell Tables'!$AF$48:$AF$63,MATCH(O201,('Spell Tables'!$AD$48:$AD$63),0)),IF($T$189&gt;=O201,INDEX('Spell Tables'!$AF$26:$AF$33,MATCH(O201,('Spell Tables'!$AD$26:$AD$33),0)),IF($T$191&gt;=O201,INDEX('Spell Tables'!$AF$2:$AF$9,MATCH(O201,('Spell Tables'!$AD$2:$AD$9),0))," "))))))))))))</f>
        <v xml:space="preserve"> </v>
      </c>
    </row>
    <row r="202" spans="2:37" x14ac:dyDescent="0.3">
      <c r="B202" s="33"/>
      <c r="C202" s="33"/>
      <c r="D202" s="33"/>
      <c r="E202" s="33"/>
      <c r="F202" s="33"/>
      <c r="G202" s="33"/>
      <c r="H202" s="33"/>
      <c r="I202" s="33"/>
      <c r="J202" s="33"/>
      <c r="K202" s="33"/>
      <c r="L202" s="33"/>
      <c r="M202" s="33"/>
      <c r="N202" s="33"/>
      <c r="O202" s="34">
        <v>10</v>
      </c>
      <c r="P202" s="33" t="str">
        <f ca="1">IF(P$173&gt;=O202,INDEX('Spell Tables'!$P$242:$P$257,MATCH(O202,('Spell Tables'!$N$242:$N$257),0)),IF(P$175&gt;=O202,INDEX('Spell Tables'!$P$194:$P$201,MATCH(O202,('Spell Tables'!$N$194:$N$201),0)),IF(P$177&gt;=O202,INDEX('Spell Tables'!$P$168:$P$183,MATCH(O202,('Spell Tables'!$N$168:$N$183),0)),IF(P$179&gt;=O202,INDEX('Spell Tables'!$P$141:$P$156,MATCH(O202,('Spell Tables'!$N$141:$N$157),0)),IF(P$185&gt;=O202,INDEX('Spell Tables'!$P$70:$P$83,MATCH(O202,('Spell Tables'!$N$70:$N$83),0)),IF(P$187&gt;=O202,INDEX('Spell Tables'!$P$48:$P$55,MATCH(O202,('Spell Tables'!$N$48:$N$55),0)),IF(P$189&gt;=O202,INDEX('Spell Tables'!$P$26:$P$32,MATCH(O202,('Spell Tables'!$N$26:$N$32),0)),IF(P$191&gt;=O202,INDEX('Spell Tables'!$P$2:$P$12,MATCH(O202,('Spell Tables'!$N$2:$N$12),0))," "))))))))</f>
        <v xml:space="preserve"> </v>
      </c>
      <c r="Q202" s="33" t="str">
        <f ca="1">IF(AND($O$15="Otherworldly patron - great old one",Q$175&gt;=O202),INDEX('Spell Tables'!$T$226:$T$238,MATCH(O202,('Spell Tables'!$R$226:$R$238),0)),IF(AND($O$15="Otherworldly patron - fiend",Q$175&gt;=O202),INDEX('Spell Tables'!$T$210:$T$222,MATCH(O202,('Spell Tables'!$R$210:$R$222),0)),IF(Q$173&gt;=O202,INDEX($AL$44:$AL$53,MATCH(O202,($AJ$44:$AJ$53),0)),IF(AND($O$15="Otherworldly patron - archfey",Q$175&gt;=O202),INDEX('Spell Tables'!$T$194:$T$206,MATCH(O202,('Spell Tables'!$R$194:$R$206),0)),IF(Q$177&gt;=O202,INDEX('Spell Tables'!$T$168:$T$187,MATCH(O202,('Spell Tables'!$R$168:$R$187),0)),IF(Q$179&gt;=O202,INDEX('Spell Tables'!$T$141:$T$147,MATCH(O202,('Spell Tables'!$R$141:$R$147),0)),IF(Q$181&gt;=O202,INDEX('Spell Tables'!$P$119:$P$131,MATCH(O202,('Spell Tables'!$N$119:$N$131),0)),IF(Q$183&gt;=O202,INDEX('Spell Tables'!$P$97:$P$111,MATCH(O202,('Spell Tables'!$N$97:$N$111),0)),IF(Q$185&gt;=O202,INDEX('Spell Tables'!$T$70:$T$78,MATCH(O202,('Spell Tables'!$R$70:$R$78),0)),IF(Q$187&gt;=O202,INDEX('Spell Tables'!$T$48:$T$63,MATCH(O202,('Spell Tables'!$R$48:$R$63),0)),IF(Q$189&gt;=O202,INDEX('Spell Tables'!$T$26:$T$40,MATCH(O202,('Spell Tables'!$R$26:$R$40),0)),IF(Q$191&gt;=O202,INDEX('Spell Tables'!$T$2:$T$22,MATCH(O202,('Spell Tables'!$R$2:$R$22),0))," "))))))))))))</f>
        <v xml:space="preserve"> </v>
      </c>
      <c r="R202" s="33" t="str">
        <f ca="1">IF(AND($O$15="Otherworldly patron - great old one",R$175&gt;=O202),INDEX('Spell Tables'!$X$226:$X$239,MATCH(O202,('Spell Tables'!$V$226:$V$239),0)),IF(AND($O$15="Otherworldly patron - fiend",R$175&gt;=O202),INDEX('Spell Tables'!$X$210:$X$223,MATCH(O202,('Spell Tables'!$V$210:$V$223),0)),IF(AND($O$15="Otherworldly patron - archfey",R$175&gt;=O202),INDEX('Spell Tables'!$X$194:$X$207,MATCH(O202,('Spell Tables'!$V$194:$V$207),0)),IF($R$173&gt;=O202,INDEX($AL$56:$AL$65,MATCH(O202,($AJ$56:$AJ$65),0)),IF($R$177&gt;=O202,INDEX('Spell Tables'!$X$168:$X$191,MATCH(O202,('Spell Tables'!$V$168:$V$191),0)),IF($R$179&gt;=O202,INDEX('Spell Tables'!$AB$141:$AB$149,MATCH(O202,('Spell Tables'!$Z$141:$Z$149),0)),IF($R$181&gt;=O202,INDEX('Spell Tables'!$T$119:$T$131,MATCH(O202,('Spell Tables'!$R$119:$R$131),0)),IF($R$183&gt;=O202,INDEX('Spell Tables'!$T$97:$T$104,MATCH(O202,('Spell Tables'!$R$97:$R$104),0)),IF($R$185&gt;=O202,INDEX('Spell Tables'!$AB$70:$AB$75,MATCH(O202,('Spell Tables'!$Z$70:$Z$75),0)),IF($R$187&gt;=O202,INDEX('Spell Tables'!$X$48:$X$65,MATCH(O202,('Spell Tables'!$V$48:$V$65),0)),IF($R$189&gt;=O202,INDEX('Spell Tables'!$X$26:$X$42,MATCH(O202,('Spell Tables'!$V$26:$V$42),0)),IF($R$191&gt;=O202,INDEX('Spell Tables'!$X$2:$X$23,MATCH(O202,('Spell Tables'!$V$2:$V$23),0))," "))))))))))))</f>
        <v xml:space="preserve"> </v>
      </c>
      <c r="S202" s="33" t="str">
        <f ca="1">IF(AND($O$15="Otherworldly patron - great old one",S$175&gt;=O202),INDEX('Spell Tables'!$AB$226:$AB$238,MATCH(O202,('Spell Tables'!$Z$226:$Z$238),0)),IF(AND($O$15="Otherworldly patron - fiend",S$175&gt;=O202),INDEX('Spell Tables'!$AB$210:$AB$222,MATCH(O202,('Spell Tables'!$Z$210:$Z$222),0)),IF(AND($O$15="Otherworldly patron - archfey",S$175&gt;=O202),INDEX('Spell Tables'!$AB$194:$AB$206,MATCH(O202,('Spell Tables'!$Z$194:$Z$206),0)),IF($S$173&gt;=O202,INDEX($AL$68:$AL$77,MATCH(O202,($AJ$68:$AJ$77),0)),IF($S$177&gt;=O202,INDEX('Spell Tables'!$AB$168:$AB$187,MATCH(O202,('Spell Tables'!$Z$168:$Z$187),0)),IF($S$179&gt;=O202,INDEX('Spell Tables'!$AJ$141:$AJ$144,MATCH(O202,('Spell Tables'!$AH$141:$AH$144),0)),IF($S$181&gt;=O202,INDEX('Spell Tables'!$X$119:$X$129,MATCH(O202,('Spell Tables'!$V$119:$V$129),0)),IF($S$183&gt;=O202,INDEX('Spell Tables'!$X$97:$X$106,MATCH(O202,('Spell Tables'!$V$97:$V$106),0)),IF($S$185&gt;=O202,INDEX('Spell Tables'!$AJ$70:$AJ$79,MATCH(O202,('Spell Tables'!$AH$70:$AH$79),0)),IF($S$187&gt;=O202,INDEX('Spell Tables'!$AB$48:$AB$60,MATCH(O202,('Spell Tables'!$Z$48:$Z$60),0)),IF($S$189&gt;=O202,INDEX('Spell Tables'!$AB$26:$AB$45,MATCH(O202,('Spell Tables'!$Z$26:$Z$45),0)),IF($S$191&gt;=O202,INDEX('Spell Tables'!$AB$2:$AB$17,MATCH(O202,('Spell Tables'!$Z$2:$Z$17),0))," "))))))))))))</f>
        <v xml:space="preserve"> </v>
      </c>
      <c r="T202" s="33" t="str">
        <f ca="1">IF(AND($O$15="Otherworldly patron - great old one",T$175&gt;=O202),INDEX('Spell Tables'!$AF$226:$AF$231,MATCH(O202,('Spell Tables'!$AD$226:$AD$231),0)),IF(AND($O$15="Otherworldly patron - fiend",T$175&gt;=O202),INDEX('Spell Tables'!$AF$210:$AF$215,MATCH(O202,('Spell Tables'!$AD$210:$AD$215),0)),IF(AND($O$15="Otherworldly patron - archfey",T$175&gt;=O202),INDEX('Spell Tables'!$AF$194:$AF$199,MATCH(O202,('Spell Tables'!$AD$194:$AD$199),0)),IF($T$173&gt;=O202,INDEX('Spell Tables'!$AF$242:$AF$264,MATCH(O202,('Spell Tables'!$AD$242:$AD$264),0)),IF($T$177&gt;=O202,INDEX('Spell Tables'!$AF$168:$AF$177,MATCH(O202,('Spell Tables'!$AD$168:$AD$177),0)),IF($T$179&gt;=O202,INDEX('Spell Tables'!$AR$141:$AR$144,MATCH(O202,('Spell Tables'!$AP$141:$AP$144),0)),IF($T$181&gt;=O202,INDEX('Spell Tables'!$AB$119:$AB$123,MATCH(O202,('Spell Tables'!$Z$119:$Z$123),0)),IF($T$183&gt;=O202,INDEX('Spell Tables'!$AB$97:$AB$102,MATCH(O202,('Spell Tables'!$Z$97:$Z$102),0)),IF($T$185&gt;=O202,INDEX('Spell Tables'!$AR$70:$AR$75,MATCH(O202,('Spell Tables'!$AP$70:$AP$75),0)),IF($T$187&gt;=O202,INDEX('Spell Tables'!$AF$48:$AF$63,MATCH(O202,('Spell Tables'!$AD$48:$AD$63),0)),IF($T$189&gt;=O202,INDEX('Spell Tables'!$AF$26:$AF$33,MATCH(O202,('Spell Tables'!$AD$26:$AD$33),0)),IF($T$191&gt;=O202,INDEX('Spell Tables'!$AF$2:$AF$9,MATCH(O202,('Spell Tables'!$AD$2:$AD$9),0))," "))))))))))))</f>
        <v xml:space="preserve"> </v>
      </c>
    </row>
    <row r="204" spans="2:37" ht="19.5" thickBot="1" x14ac:dyDescent="0.35">
      <c r="C204" s="38"/>
      <c r="D204" s="38"/>
      <c r="E204" s="38"/>
      <c r="F204" s="38"/>
      <c r="G204" s="38"/>
      <c r="H204" s="38"/>
      <c r="I204" s="38"/>
      <c r="J204" s="38"/>
      <c r="K204" s="38"/>
      <c r="L204" s="38"/>
      <c r="M204" s="38"/>
      <c r="O204" s="38"/>
      <c r="P204" s="38"/>
      <c r="Q204" s="38"/>
      <c r="R204" s="38"/>
      <c r="S204" s="38"/>
      <c r="T204" s="38"/>
    </row>
    <row r="205" spans="2:37" hidden="1" x14ac:dyDescent="0.3">
      <c r="N205" s="72"/>
      <c r="P205" s="27"/>
      <c r="Q205" s="27"/>
      <c r="R205" s="27"/>
      <c r="S205" s="91"/>
    </row>
    <row r="206" spans="2:37" x14ac:dyDescent="0.3">
      <c r="N206" s="72"/>
      <c r="O206" s="135" t="s">
        <v>1342</v>
      </c>
      <c r="P206" s="65">
        <f ca="1">IF(AND(AF14=2,OR(O11="monk",O11="barbarian",O11="warlock"),OR(Q11="fighter",Q11="rogue"),OR(P15&lt;&gt;"arcane trickster",R15&lt;&gt;"arcane trickster",P15&lt;&gt;"eldritch knight",R15&lt;&gt;"eldritch knight")),0,IF(AND(AF14=2,OR(O11="monk",O11="barbarian",O11="warlock"),OR(Q11="monk",Q11="barbarian",Q11="warlock")),0,IF(AND(AF14=2,OR(O11="monk",O11="barbarian",O11="warlock",Q11="monk",Q11="barbarian",Q11="warlock"),OR(O11="paladin",Q11="paladin",O11="ranger",Q11="ranger")),INDEX('Spell Tables'!H119:H138,MATCH(AF18,('Spell Tables'!B119:B138),0)),IF(AF14=2,INDEX('Spell Tables'!H242:H261,MATCH(AF18,('Spell Tables'!B242:B261),0)),IF(OR($O$11="bard",$O$11="cleric",$O$11="druid",O11="sorcerer",O11="wizard"),INDEX('Spell Tables'!H$2:H$21,MATCH($O$12,('Spell Tables'!$A$2:$A$21),0))," ")))))</f>
        <v>2</v>
      </c>
      <c r="Q206" s="65">
        <f ca="1">IF(AND(AF14=2,OR(O11="monk",O11="barbarian",O11="warlock"),OR(Q11="fighter",Q11="rogue"),OR(P15&lt;&gt;"arcane trickster",R15&lt;&gt;"arcane trickster",P15&lt;&gt;"eldritch knight",R15&lt;&gt;"eldritch knight")),0,IF(AND(AF14=2,OR(O11="monk",O11="barbarian",O11="warlock"),OR(Q11="monk",Q11="barbarian",Q11="warlock")),0,IF(AF14=2,INDEX('Spell Tables'!I242:I261,MATCH(AF18,('Spell Tables'!B242:B261),0)),IF(OR($O$11="bard",$O$11="cleric",$O$11="druid",O11="sorcerer",O11="wizard"),INDEX('Spell Tables'!I$2:I$21,MATCH($O$12,('Spell Tables'!$A$2:$A$21),0))," "))))</f>
        <v>0</v>
      </c>
      <c r="R206" s="65">
        <f ca="1">IF(AND(AF14=2,OR(O11="monk",O11="barbarian",O11="warlock"),OR(Q11="fighter",Q11="rogue"),OR(P15&lt;&gt;"arcane trickster",R15&lt;&gt;"arcane trickster",P15&lt;&gt;"eldritch knight",R15&lt;&gt;"eldritch knight")),0,IF(AND(AF14=2,OR(O11="monk",O11="barbarian",O11="warlock"),OR(Q11="monk",Q11="barbarian",Q11="warlock")),0,IF(AF14=2,INDEX('Spell Tables'!J242:J261,MATCH(AF18,('Spell Tables'!B242:B261),0)),IF(OR($O$11="bard",$O$11="cleric",$O$11="druid",O11="sorcerer",O11="wizard"),INDEX('Spell Tables'!J$2:J$21,MATCH($O$12,('Spell Tables'!$A$2:$A$21),0))," "))))</f>
        <v>0</v>
      </c>
      <c r="S206" s="65">
        <f ca="1">IF(AND(AF14=2,OR(O11="monk",O11="barbarian",O11="warlock"),OR(Q11="fighter",Q11="rogue"),OR(P15&lt;&gt;"arcane trickster",R15&lt;&gt;"arcane trickster",P15&lt;&gt;"eldritch knight",R15&lt;&gt;"eldritch knight")),0,IF(AND(AF14=2,OR(O11="monk",O11="barbarian",O11="warlock"),OR(Q11="monk",Q11="barbarian",Q11="warlock")),0,IF(AF14=2,INDEX('Spell Tables'!K242:K261,MATCH(AF18,('Spell Tables'!B242:B261),0)),IF(OR($O$11="bard",$O$11="cleric",$O$11="druid",O11="sorcerer",O11="wizard"),INDEX('Spell Tables'!K$2:K$21,MATCH($O$12,('Spell Tables'!$A$2:$A$21),0))," "))))</f>
        <v>0</v>
      </c>
      <c r="T206" s="66">
        <f ca="1">IF(AND(AF14=2,OR(O11="monk",O11="barbarian",O11="warlock"),OR(Q11="fighter",Q11="rogue"),OR(P15&lt;&gt;"arcane trickster",R15&lt;&gt;"arcane trickster",P15&lt;&gt;"eldritch knight",R15&lt;&gt;"eldritch knight")),0,IF(AND(AF14=2,OR(O11="monk",O11="barbarian",O11="warlock"),OR(Q11="monk",Q11="barbarian",Q11="warlock")),0,IF(AF14=2,INDEX('Spell Tables'!L242:L261,MATCH(AF18,('Spell Tables'!B242:B261),0)),IF(OR($O$11="bard",$O$11="cleric",$O$11="druid",O11="sorcerer",O11="wizard"),INDEX('Spell Tables'!L$2:L$21,MATCH($O$12,('Spell Tables'!$A$2:$A$21),0))," "))))</f>
        <v>0</v>
      </c>
    </row>
    <row r="207" spans="2:37" hidden="1" x14ac:dyDescent="0.3">
      <c r="N207" s="72"/>
      <c r="O207" s="79"/>
      <c r="P207" s="29" t="str">
        <f ca="1">IF(AND(O11="wizard",O12&gt;=11),"x",IF(AND($O$11="wizard",$O$12&gt;9),"xx",IF(AND(O11="wizard",O12=9),"xxx"," ")))</f>
        <v xml:space="preserve"> </v>
      </c>
      <c r="Q207" s="29" t="str">
        <f ca="1">IF(AND(O11="wizard",O12&gt;=13),"x",IF(AND($O$11="wizard",$O$12&gt;11),"xx",IF(AND(O11="wizard",O12=11),"xxx"," ")))</f>
        <v xml:space="preserve"> </v>
      </c>
      <c r="R207" s="29" t="str">
        <f ca="1">IF(AND(O11="wizard",O12&gt;=15),"x",IF(AND($O$11="wizard",$O$12&gt;13),"xx",IF(AND(O11="wizard",O12=13),"xxx"," ")))</f>
        <v xml:space="preserve"> </v>
      </c>
      <c r="S207" s="29" t="str">
        <f ca="1">IF(AND(O11="wizard",O12&gt;=17),"x",IF(AND($O$11="wizard",$O$12&gt;15),"xx",IF(AND(O11="wizard",O12=15),"xxx"," ")))</f>
        <v xml:space="preserve"> </v>
      </c>
      <c r="T207" s="72" t="str">
        <f ca="1">IF(AND($O$11="wizard",$O$12&gt;17),"xx",IF(AND(O11="wizard",O12=17),"xxx"," "))</f>
        <v xml:space="preserve"> </v>
      </c>
    </row>
    <row r="208" spans="2:37" hidden="1" x14ac:dyDescent="0.3">
      <c r="N208" s="72"/>
      <c r="O208" s="79"/>
      <c r="P208" s="29">
        <f ca="1">IF(P207="x",RANDBETWEEN(2,3),IF(P207="xx",RANDBETWEEN(2,3),IF(P207="xxx",RANDBETWEEN(1,2),0)))</f>
        <v>0</v>
      </c>
      <c r="Q208" s="29">
        <f ca="1">IF(Q207="x",RANDBETWEEN(2,3),IF(Q207="xx",RANDBETWEEN(2,3),IF(Q207="xxx",RANDBETWEEN(1,2),0)))</f>
        <v>0</v>
      </c>
      <c r="R208" s="29">
        <f ca="1">IF(R207="x",RANDBETWEEN(1,2),IF(R207="xx",RANDBETWEEN(1,2),IF(R207="xxx",RANDBETWEEN(1,2),0)))</f>
        <v>0</v>
      </c>
      <c r="S208" s="29">
        <f ca="1">IF(OR(S207="x",S207="xx"),RANDBETWEEN(1,2),IF(S207="xxx",RANDBETWEEN(1,2),0))</f>
        <v>0</v>
      </c>
      <c r="T208" s="72">
        <f ca="1">IF(T207="xx",RANDBETWEEN(1,2),IF(T207="xxx",RANDBETWEEN(1,2),0))</f>
        <v>0</v>
      </c>
    </row>
    <row r="209" spans="14:20" hidden="1" x14ac:dyDescent="0.3">
      <c r="N209" s="72"/>
      <c r="O209" s="79"/>
      <c r="P209" s="29" t="str">
        <f ca="1">IF(AND($O$11="warlock",$O$12&gt;=9),"xx"," ")</f>
        <v xml:space="preserve"> </v>
      </c>
      <c r="T209" s="72"/>
    </row>
    <row r="210" spans="14:20" hidden="1" x14ac:dyDescent="0.3">
      <c r="N210" s="72"/>
      <c r="O210" s="79"/>
      <c r="P210" s="29">
        <f ca="1">IF(P209="x",RANDBETWEEN(2,3),IF(P209="xx",RANDBETWEEN(2,3),0))</f>
        <v>0</v>
      </c>
      <c r="T210" s="72"/>
    </row>
    <row r="211" spans="14:20" hidden="1" x14ac:dyDescent="0.3">
      <c r="N211" s="72"/>
      <c r="O211" s="79"/>
      <c r="P211" s="29" t="str">
        <f ca="1">IF(AND($O$11="sorcerer",$O$12&gt;=11),"x",IF(AND($O$11="sorcerer",$O$12&gt;=9),"xx"," "))</f>
        <v>xx</v>
      </c>
      <c r="Q211" s="29" t="str">
        <f ca="1">IF(AND($O$11="sorcerer",$O$12&gt;=13),"x",IF(AND($O$11="sorcerer",$O$12&gt;=11),"xx"," "))</f>
        <v xml:space="preserve"> </v>
      </c>
      <c r="R211" s="29" t="str">
        <f ca="1">IF(AND($O$11="sorcerer",$O$12&gt;=15),"x",IF(AND($O$11="sorcerer",$O$12&gt;=13),"xx"," "))</f>
        <v xml:space="preserve"> </v>
      </c>
      <c r="S211" s="29" t="str">
        <f ca="1">IF(AND($O$11="sorcerer",$O$12&gt;=17),"x",IF(AND($O$11="sorcerer",$O$12&gt;15),"xx"," "))</f>
        <v xml:space="preserve"> </v>
      </c>
      <c r="T211" s="72" t="str">
        <f ca="1">IF(AND($O$11="sorcerer",$O$12&gt;=17),"xx"," ")</f>
        <v xml:space="preserve"> </v>
      </c>
    </row>
    <row r="212" spans="14:20" hidden="1" x14ac:dyDescent="0.3">
      <c r="N212" s="72"/>
      <c r="O212" s="79"/>
      <c r="P212" s="29">
        <f ca="1">IF(P211="x",RANDBETWEEN(2,3),IF(P211="xx",RANDBETWEEN(2,3),0))</f>
        <v>2</v>
      </c>
      <c r="Q212" s="29">
        <f ca="1">IF(Q211="x",RANDBETWEEN(2,3),IF(Q211="xx",RANDBETWEEN(2,3),0))</f>
        <v>0</v>
      </c>
      <c r="R212" s="29">
        <f ca="1">IF(R211="x",RANDBETWEEN(1,2),IF(R211="xx",RANDBETWEEN(1,2),0))</f>
        <v>0</v>
      </c>
      <c r="S212" s="29">
        <f ca="1">IF(OR(S211="x",S211="xx"),RANDBETWEEN(1,2),0)</f>
        <v>0</v>
      </c>
      <c r="T212" s="72">
        <f ca="1">IF(T211="xx",RANDBETWEEN(1,2),0)</f>
        <v>0</v>
      </c>
    </row>
    <row r="213" spans="14:20" hidden="1" x14ac:dyDescent="0.3">
      <c r="N213" s="72"/>
      <c r="O213" s="79"/>
      <c r="T213" s="72"/>
    </row>
    <row r="214" spans="14:20" hidden="1" x14ac:dyDescent="0.3">
      <c r="N214" s="72"/>
      <c r="O214" s="79"/>
      <c r="T214" s="72"/>
    </row>
    <row r="215" spans="14:20" hidden="1" x14ac:dyDescent="0.3">
      <c r="N215" s="72"/>
      <c r="O215" s="79"/>
      <c r="P215" s="29" t="str">
        <f ca="1">IF(AND($O$11="ranger",$O$12&gt;=17),"xx"," ")</f>
        <v xml:space="preserve"> </v>
      </c>
      <c r="T215" s="72"/>
    </row>
    <row r="216" spans="14:20" hidden="1" x14ac:dyDescent="0.3">
      <c r="N216" s="72"/>
      <c r="O216" s="79"/>
      <c r="P216" s="29">
        <f ca="1">IF(P215="x",RANDBETWEEN(2,3),IF(P215="xx",RANDBETWEEN(2,3),0))</f>
        <v>0</v>
      </c>
      <c r="T216" s="72"/>
    </row>
    <row r="217" spans="14:20" hidden="1" x14ac:dyDescent="0.3">
      <c r="N217" s="72"/>
      <c r="O217" s="79"/>
      <c r="P217" s="29" t="str">
        <f ca="1">IF(AND(O11="paladin",O12&gt;=17),"xx"," ")</f>
        <v xml:space="preserve"> </v>
      </c>
      <c r="T217" s="72"/>
    </row>
    <row r="218" spans="14:20" hidden="1" x14ac:dyDescent="0.3">
      <c r="N218" s="72"/>
      <c r="O218" s="79"/>
      <c r="P218" s="29">
        <f ca="1">IF(P217="x",RANDBETWEEN(2,3),IF(P217="xx",RANDBETWEEN(2,3),0))</f>
        <v>0</v>
      </c>
      <c r="T218" s="72"/>
    </row>
    <row r="219" spans="14:20" hidden="1" x14ac:dyDescent="0.3">
      <c r="N219" s="72"/>
      <c r="O219" s="79"/>
      <c r="T219" s="72"/>
    </row>
    <row r="220" spans="14:20" hidden="1" x14ac:dyDescent="0.3">
      <c r="N220" s="72"/>
      <c r="O220" s="79"/>
      <c r="T220" s="72"/>
    </row>
    <row r="221" spans="14:20" hidden="1" x14ac:dyDescent="0.3">
      <c r="N221" s="72"/>
      <c r="O221" s="79"/>
      <c r="P221" s="29" t="str">
        <f ca="1">IF(AND($O$11="druid",$O$12&gt;=11),"x",IF(AND($O$11="druid",$O$12&gt;=9),"xx"," "))</f>
        <v xml:space="preserve"> </v>
      </c>
      <c r="Q221" s="29" t="str">
        <f ca="1">IF(AND($O$11="druid",$O$12&gt;=13),"x",IF(AND($O$11="druid",$O$12&gt;=11),"xx"," "))</f>
        <v xml:space="preserve"> </v>
      </c>
      <c r="R221" s="29" t="str">
        <f ca="1">IF(AND($O$11="druid",$O$12&gt;=15),"x",IF(AND($O$11="druid",$O$12&gt;=13),"xx"," "))</f>
        <v xml:space="preserve"> </v>
      </c>
      <c r="S221" s="29" t="str">
        <f ca="1">IF(AND($O$11="druid",$O$12&gt;=17),"x",IF(AND($O$11="druid",$O$12&gt;15),"xx"," "))</f>
        <v xml:space="preserve"> </v>
      </c>
      <c r="T221" s="72" t="str">
        <f ca="1">IF(AND($O$11="druid",$O$12&gt;=17),"xx"," ")</f>
        <v xml:space="preserve"> </v>
      </c>
    </row>
    <row r="222" spans="14:20" hidden="1" x14ac:dyDescent="0.3">
      <c r="N222" s="72"/>
      <c r="O222" s="79"/>
      <c r="P222" s="29">
        <f ca="1">IF(P221="x",RANDBETWEEN(2,3),IF(P221="xx",RANDBETWEEN(2,3),0))</f>
        <v>0</v>
      </c>
      <c r="Q222" s="29">
        <f ca="1">IF(Q221="x",RANDBETWEEN(2,3),IF(Q221="xx",RANDBETWEEN(2,3),0))</f>
        <v>0</v>
      </c>
      <c r="R222" s="29">
        <f ca="1">IF(R221="x",RANDBETWEEN(1,2),IF(R221="xx",RANDBETWEEN(1,2),0))</f>
        <v>0</v>
      </c>
      <c r="S222" s="29">
        <f ca="1">IF(OR(S221="x",S221="xx"),RANDBETWEEN(1,2),0)</f>
        <v>0</v>
      </c>
      <c r="T222" s="72">
        <f ca="1">IF(T221="xx",RANDBETWEEN(1,2),0)</f>
        <v>0</v>
      </c>
    </row>
    <row r="223" spans="14:20" hidden="1" x14ac:dyDescent="0.3">
      <c r="N223" s="72"/>
      <c r="O223" s="79"/>
      <c r="P223" s="29" t="str">
        <f ca="1">IF(AND(O11="cleric",O12&gt;=11),"x",IF(AND($O$11="cleric",$O$12&gt;=9),"xx"," "))</f>
        <v xml:space="preserve"> </v>
      </c>
      <c r="Q223" s="29" t="str">
        <f ca="1">IF(AND(O11="cleric",O12&gt;=13),"x",IF(AND($O$11="cleric",$O$12&gt;=11),"xx"," "))</f>
        <v xml:space="preserve"> </v>
      </c>
      <c r="R223" s="29" t="str">
        <f ca="1">IF(AND(O11="cleric",O12&gt;=15),"x",IF(AND($O$11="cleric",$O$12&gt;=13),"xx"," "))</f>
        <v xml:space="preserve"> </v>
      </c>
      <c r="S223" s="29" t="str">
        <f ca="1">IF(AND(O11="cleric",O12&gt;=17),"x",IF(AND($O$11="cleric",$O$12&gt;15),"xx"," "))</f>
        <v xml:space="preserve"> </v>
      </c>
      <c r="T223" s="72" t="str">
        <f ca="1">IF(AND($O$11="cleric",$O$12&gt;=17),"xx"," ")</f>
        <v xml:space="preserve"> </v>
      </c>
    </row>
    <row r="224" spans="14:20" hidden="1" x14ac:dyDescent="0.3">
      <c r="N224" s="72"/>
      <c r="O224" s="79"/>
      <c r="P224" s="29">
        <f ca="1">IF(P223="x",RANDBETWEEN(2,3),IF(P223="xx",RANDBETWEEN(2,3),0))</f>
        <v>0</v>
      </c>
      <c r="Q224" s="29">
        <f ca="1">IF(Q223="x",RANDBETWEEN(2,3),IF(Q223="xx",RANDBETWEEN(2,3),0))</f>
        <v>0</v>
      </c>
      <c r="R224" s="29">
        <f ca="1">IF(R223="x",RANDBETWEEN(1,2),IF(R223="xx",RANDBETWEEN(1,2),0))</f>
        <v>0</v>
      </c>
      <c r="S224" s="29">
        <f ca="1">IF(OR(S223="x",S223="xx"),RANDBETWEEN(1,2),0)</f>
        <v>0</v>
      </c>
      <c r="T224" s="72">
        <f ca="1">IF(T223="xx",RANDBETWEEN(1,2),0)</f>
        <v>0</v>
      </c>
    </row>
    <row r="225" spans="2:20" hidden="1" x14ac:dyDescent="0.3">
      <c r="N225" s="72"/>
      <c r="O225" s="79"/>
      <c r="P225" s="29" t="str">
        <f ca="1">IF(AND($O$11="bard",$O$12&gt;=11),"x",IF(AND($O$11="bard",$O$12&gt;=9),"xx"," "))</f>
        <v xml:space="preserve"> </v>
      </c>
      <c r="Q225" s="29" t="str">
        <f ca="1">IF(AND($O$11="bard",$O$12&gt;=13),"x",IF(AND($O$11="bard",$O$12&gt;=11),"xx"," "))</f>
        <v xml:space="preserve"> </v>
      </c>
      <c r="R225" s="29" t="str">
        <f ca="1">IF(AND($O$11="bard",$O$12&gt;=15),"x",IF(AND($O$11="bard",$O$12&gt;=13),"xx"," "))</f>
        <v xml:space="preserve"> </v>
      </c>
      <c r="S225" s="29" t="str">
        <f ca="1">IF(AND($O$11="bard",$O$12&gt;=17),"x",IF(AND($O$11="bard",$O$12&gt;15),"xx"," "))</f>
        <v xml:space="preserve"> </v>
      </c>
      <c r="T225" s="72" t="str">
        <f ca="1">IF(AND($O$11="bard",$O$12&gt;=17),"xx"," ")</f>
        <v xml:space="preserve"> </v>
      </c>
    </row>
    <row r="226" spans="2:20" hidden="1" x14ac:dyDescent="0.3">
      <c r="N226" s="72"/>
      <c r="O226" s="79"/>
      <c r="P226" s="29">
        <f ca="1">IF(P225="x",RANDBETWEEN(2,3),IF(P225="xx",RANDBETWEEN(2,3),0))</f>
        <v>0</v>
      </c>
      <c r="Q226" s="29">
        <f ca="1">IF(Q225="x",RANDBETWEEN(2,3),IF(Q225="xx",RANDBETWEEN(2,3),0))</f>
        <v>0</v>
      </c>
      <c r="R226" s="29">
        <f ca="1">IF(R225="x",RANDBETWEEN(1,2),IF(R225="xx",RANDBETWEEN(1,2),0))</f>
        <v>0</v>
      </c>
      <c r="S226" s="29">
        <f ca="1">IF(OR(S225="x",S225="xx"),RANDBETWEEN(1,2),0)</f>
        <v>0</v>
      </c>
      <c r="T226" s="72">
        <f ca="1">IF(T225="xx",RANDBETWEEN(1,2),0)</f>
        <v>0</v>
      </c>
    </row>
    <row r="227" spans="2:20" x14ac:dyDescent="0.3">
      <c r="N227" s="72"/>
      <c r="O227" s="79"/>
      <c r="P227" s="107" t="s">
        <v>1169</v>
      </c>
      <c r="Q227" s="107" t="s">
        <v>1170</v>
      </c>
      <c r="R227" s="107" t="s">
        <v>1171</v>
      </c>
      <c r="S227" s="107" t="s">
        <v>677</v>
      </c>
      <c r="T227" s="93" t="s">
        <v>1172</v>
      </c>
    </row>
    <row r="228" spans="2:20" x14ac:dyDescent="0.3">
      <c r="N228" s="72"/>
      <c r="O228" s="86">
        <v>1</v>
      </c>
      <c r="P228" s="65" t="str">
        <f ca="1">IF(AND($O$15="Otherworldly patron - great old one",P$210&gt;=O193),INDEX('Spell Tables'!$AJ$226:$AJ$231,MATCH(O193,('Spell Tables'!$AH$226:$AH$231),0)),IF(AND($O$15="Otherworldly patron - fiend",P$210&gt;=O193),INDEX('Spell Tables'!$AJ$210:$AJ$215,MATCH(O193,('Spell Tables'!$AH$210:$AH$215),0)),IF(AND($O$15="Otherworldly patron - archfey",P$210&gt;=O193),INDEX('Spell Tables'!$AJ$194:$AJ$199,MATCH(O193,('Spell Tables'!$AH$194:$AH$199),0)),IF($P$208&gt;=O193,INDEX($AL$92:$AL$101,MATCH(O193,($AJ$92:$AJ$101),0)),IF($P$212&gt;=O193,INDEX('Spell Tables'!$AJ$168:$AJ$178,MATCH(O193,('Spell Tables'!$AH$168:$AH$178),0)),IF($P$216&gt;=O193,INDEX('Spell Tables'!$AF$119:$AF$122,MATCH(O193,('Spell Tables'!$AD$119:$AD$122),0)),IF($P$218&gt;=O193,INDEX('Spell Tables'!$AF$97:$AF$102,MATCH(O193,('Spell Tables'!$AD$97:$AD$102),0)),IF($P$222&gt;=O193,INDEX('Spell Tables'!$AJ$48:$AJ$61,MATCH(O193,('Spell Tables'!$AH$48:$AH$61),0)),IF($P$224&gt;=O193,INDEX('Spell Tables'!$AJ$26:$AJ$38,MATCH(O193,('Spell Tables'!$AH$26:$AH$38),0)),IF($P$226&gt;=O193,INDEX('Spell Tables'!$AJ$2:$AJ$17,MATCH(O193,('Spell Tables'!$AH$2:$AH$17),0))," "))))))))))</f>
        <v>Cloudkill</v>
      </c>
      <c r="Q228" s="65" t="str">
        <f ca="1">IF($Q$208&gt;=O193,INDEX($AL$104:$AL$113,MATCH(O193,($AJ$104:$AJ$113),0)),IF($Q$212&gt;=O193,INDEX('Spell Tables'!$AN$168:$AN$177,MATCH(O193,('Spell Tables'!$AL$168:$AL$177),0)),IF($Q$222&gt;=O193,INDEX('Spell Tables'!$AN$48:$AN$56,MATCH(O193,('Spell Tables'!$AL$48:$AL$56),0)),IF($Q$224&gt;=O193,INDEX('Spell Tables'!$AN$26:$AN$35,MATCH(O193,('Spell Tables'!$AL$26:$AL$35),0)),IF($Q$226&gt;=O193,INDEX('Spell Tables'!$AN$2:$AN$8,MATCH(O193,('Spell Tables'!$AL$2:$AL$8),0))," ")))))</f>
        <v xml:space="preserve"> </v>
      </c>
      <c r="R228" s="65" t="str">
        <f ca="1">IF($R$208&gt;=O193,INDEX($AL$116:$AL$125,MATCH(O193,($AJ$116:$AJ$125),0)),IF($R$212&gt;=O193,INDEX('Spell Tables'!$AR$168:$AR$175,MATCH(O193,('Spell Tables'!$AP$168:$AP$175),0)),IF($R$222&gt;=O193,INDEX('Spell Tables'!$AR$48:$AR$52,MATCH(O193,('Spell Tables'!$AP$48:$AP$52),0)),IF($R$224&gt;=O193,INDEX('Spell Tables'!$AR$26:$AR$33,MATCH(O193,('Spell Tables'!$AP$26:$AP$33),0)),IF($R$226&gt;=O193,INDEX('Spell Tables'!$AR$2:$AR$11,MATCH(O193,('Spell Tables'!$AL$2:$AL$11),0))," ")))))</f>
        <v xml:space="preserve"> </v>
      </c>
      <c r="S228" s="65" t="str">
        <f ca="1">IF($S$208&gt;=O193,INDEX($AL$128:$AL$137,MATCH(O193,($AJ$128:$AJ$137),0)),IF($S$212&gt;=O193,INDEX('Spell Tables'!$AV$168:$AV$172,MATCH(O193,('Spell Tables'!$AT$168:$AT$172),0)),IF($S$222&gt;=O193,INDEX('Spell Tables'!$AV$48:$AV$54,MATCH(O193,('Spell Tables'!$AT$48:$AT$54),0)),IF($S$224&gt;=O193,INDEX('Spell Tables'!$AV$26:$AV$29,MATCH(O193,('Spell Tables'!$AT$26:$AT$29),0)),IF($S$226&gt;=O193,INDEX('Spell Tables'!$AV$2:$AV$6,MATCH(O193,('Spell Tables'!$AT$2:$AT$6),0))," ")))))</f>
        <v xml:space="preserve"> </v>
      </c>
      <c r="T228" s="66" t="str">
        <f ca="1">IF($T$222&gt;=O193,INDEX('Spell Tables'!$AZ$48:$AZ$51,MATCH(O193,('Spell Tables'!$AX$48:$AX$51),0)),IF($T$208&gt;=O193,INDEX($AL$140:$AL$149,MATCH(O193,($AJ$140:$AJ$149),0)),IF($T$212&gt;=O193,INDEX('Spell Tables'!$AZ$168:$AZ$172,MATCH(O193,('Spell Tables'!$AX$168:$AX$172),0)),IF($T$224&gt;=O193,INDEX('Spell Tables'!$AZ$26:$AZ$29,MATCH(O193,('Spell Tables'!$AX$26:$AX$29),0)),IF($T$226&gt;=O193,INDEX('Spell Tables'!$AZ$2:$AZ$5,MATCH(O193,('Spell Tables'!$AX$2:$AX$5),0))," ")))))</f>
        <v xml:space="preserve"> </v>
      </c>
    </row>
    <row r="229" spans="2:20" x14ac:dyDescent="0.3">
      <c r="N229" s="72"/>
      <c r="O229" s="133">
        <v>2</v>
      </c>
      <c r="P229" s="60" t="str">
        <f ca="1">IF(AND($O$15="Otherworldly patron - great old one",P$210&gt;=O194),INDEX('Spell Tables'!$AJ$226:$AJ$231,MATCH(O194,('Spell Tables'!$AH$226:$AH$231),0)),IF(AND($O$15="Otherworldly patron - fiend",P$210&gt;=O194),INDEX('Spell Tables'!$AJ$210:$AJ$215,MATCH(O194,('Spell Tables'!$AH$210:$AH$215),0)),IF(AND($O$15="Otherworldly patron - archfey",P$210&gt;=O194),INDEX('Spell Tables'!$AJ$194:$AJ$199,MATCH(O194,('Spell Tables'!$AH$194:$AH$199),0)),IF($P$208&gt;=O194,INDEX($AL$92:$AL$101,MATCH(O194,($AJ$92:$AJ$101),0)),IF($P$212&gt;=O194,INDEX('Spell Tables'!$AJ$168:$AJ$178,MATCH(O194,('Spell Tables'!$AH$168:$AH$178),0)),IF($P$216&gt;=O194,INDEX('Spell Tables'!$AF$119:$AF$122,MATCH(O194,('Spell Tables'!$AD$119:$AD$122),0)),IF($P$218&gt;=O194,INDEX('Spell Tables'!$AF$97:$AF$102,MATCH(O194,('Spell Tables'!$AD$97:$AD$102),0)),IF($P$222&gt;=O194,INDEX('Spell Tables'!$AJ$48:$AJ$61,MATCH(O194,('Spell Tables'!$AH$48:$AH$61),0)),IF($P$224&gt;=O194,INDEX('Spell Tables'!$AJ$26:$AJ$38,MATCH(O194,('Spell Tables'!$AH$26:$AH$38),0)),IF($P$226&gt;=O194,INDEX('Spell Tables'!$AJ$2:$AJ$17,MATCH(O194,('Spell Tables'!$AH$2:$AH$17),0))," "))))))))))</f>
        <v>Seeming</v>
      </c>
      <c r="Q229" s="60" t="str">
        <f ca="1">IF($Q$208&gt;=O194,INDEX($AL$104:$AL$113,MATCH(O194,($AJ$104:$AJ$113),0)),IF($Q$212&gt;=O194,INDEX('Spell Tables'!$AN$168:$AN$177,MATCH(O194,('Spell Tables'!$AL$168:$AL$177),0)),IF($Q$222&gt;=O194,INDEX('Spell Tables'!$AN$48:$AN$56,MATCH(O194,('Spell Tables'!$AL$48:$AL$56),0)),IF($Q$224&gt;=O194,INDEX('Spell Tables'!$AN$26:$AN$35,MATCH(O194,('Spell Tables'!$AL$26:$AL$35),0)),IF($Q$226&gt;=O194,INDEX('Spell Tables'!$AN$2:$AN$8,MATCH(O194,('Spell Tables'!$AL$2:$AL$8),0))," ")))))</f>
        <v xml:space="preserve"> </v>
      </c>
      <c r="R229" s="60" t="str">
        <f ca="1">IF($R$208&gt;=O194,INDEX($AL$116:$AL$125,MATCH(O194,($AJ$116:$AJ$125),0)),IF($R$212&gt;=O194,INDEX('Spell Tables'!$AR$168:$AR$175,MATCH(O194,('Spell Tables'!$AP$168:$AP$175),0)),IF($R$222&gt;=O194,INDEX('Spell Tables'!$AR$48:$AR$52,MATCH(O194,('Spell Tables'!$AP$48:$AP$52),0)),IF($R$224&gt;=O194,INDEX('Spell Tables'!$AR$26:$AR$33,MATCH(O194,('Spell Tables'!$AP$26:$AP$33),0)),IF($R$226&gt;=O194,INDEX('Spell Tables'!$AR$2:$AR$11,MATCH(O194,('Spell Tables'!$AL$2:$AL$11),0))," ")))))</f>
        <v xml:space="preserve"> </v>
      </c>
      <c r="S229" s="60" t="str">
        <f ca="1">IF($S$208&gt;=O194,INDEX($AL$128:$AL$137,MATCH(O194,($AJ$128:$AJ$137),0)),IF($S$212&gt;=O194,INDEX('Spell Tables'!$AV$168:$AV$172,MATCH(O194,('Spell Tables'!$AT$168:$AT$172),0)),IF($S$222&gt;=O194,INDEX('Spell Tables'!$AV$48:$AV$54,MATCH(O194,('Spell Tables'!$AT$48:$AT$54),0)),IF($S$224&gt;=O194,INDEX('Spell Tables'!$AV$26:$AV$29,MATCH(O194,('Spell Tables'!$AT$26:$AT$29),0)),IF($S$226&gt;=O194,INDEX('Spell Tables'!$AV$2:$AV$6,MATCH(O194,('Spell Tables'!$AT$2:$AT$6),0))," ")))))</f>
        <v xml:space="preserve"> </v>
      </c>
      <c r="T229" s="63" t="str">
        <f ca="1">IF($T$222&gt;=O194,INDEX('Spell Tables'!$AZ$48:$AZ$51,MATCH(O194,('Spell Tables'!$AX$48:$AX$51),0)),IF($T$208&gt;=O194,INDEX($AL$140:$AL$149,MATCH(O194,($AJ$140:$AJ$149),0)),IF($T$212&gt;=O194,INDEX('Spell Tables'!$AZ$168:$AZ$172,MATCH(O194,('Spell Tables'!$AX$168:$AX$172),0)),IF($T$224&gt;=O194,INDEX('Spell Tables'!$AZ$26:$AZ$29,MATCH(O194,('Spell Tables'!$AX$26:$AX$29),0)),IF($T$226&gt;=O194,INDEX('Spell Tables'!$AZ$2:$AZ$5,MATCH(O194,('Spell Tables'!$AX$2:$AX$5),0))," ")))))</f>
        <v xml:space="preserve"> </v>
      </c>
    </row>
    <row r="230" spans="2:20" x14ac:dyDescent="0.3">
      <c r="N230" s="72"/>
      <c r="O230" s="86">
        <v>3</v>
      </c>
      <c r="P230" s="65" t="str">
        <f ca="1">IF(AND($O$15="Otherworldly patron - great old one",P$210&gt;=O195),INDEX('Spell Tables'!$AJ$226:$AJ$231,MATCH(O195,('Spell Tables'!$AH$226:$AH$231),0)),IF(AND($O$15="Otherworldly patron - fiend",P$210&gt;=O195),INDEX('Spell Tables'!$AJ$210:$AJ$215,MATCH(O195,('Spell Tables'!$AH$210:$AH$215),0)),IF(AND($O$15="Otherworldly patron - archfey",P$210&gt;=O195),INDEX('Spell Tables'!$AJ$194:$AJ$199,MATCH(O195,('Spell Tables'!$AH$194:$AH$199),0)),IF($P$208&gt;=O195,INDEX($AL$92:$AL$101,MATCH(O195,($AJ$92:$AJ$101),0)),IF($P$212&gt;=O195,INDEX('Spell Tables'!$AJ$168:$AJ$178,MATCH(O195,('Spell Tables'!$AH$168:$AH$178),0)),IF($P$216&gt;=O195,INDEX('Spell Tables'!$AF$119:$AF$122,MATCH(O195,('Spell Tables'!$AD$119:$AD$122),0)),IF($P$218&gt;=O195,INDEX('Spell Tables'!$AF$97:$AF$102,MATCH(O195,('Spell Tables'!$AD$97:$AD$102),0)),IF($P$222&gt;=O195,INDEX('Spell Tables'!$AJ$48:$AJ$61,MATCH(O195,('Spell Tables'!$AH$48:$AH$61),0)),IF($P$224&gt;=O195,INDEX('Spell Tables'!$AJ$26:$AJ$38,MATCH(O195,('Spell Tables'!$AH$26:$AH$38),0)),IF($P$226&gt;=O195,INDEX('Spell Tables'!$AJ$2:$AJ$17,MATCH(O195,('Spell Tables'!$AH$2:$AH$17),0))," "))))))))))</f>
        <v xml:space="preserve"> </v>
      </c>
      <c r="Q230" s="65" t="str">
        <f ca="1">IF($Q$208&gt;=O195,INDEX($AL$104:$AL$113,MATCH(O195,($AJ$104:$AJ$113),0)),IF($Q$212&gt;=O195,INDEX('Spell Tables'!$AN$168:$AN$177,MATCH(O195,('Spell Tables'!$AL$168:$AL$177),0)),IF($Q$222&gt;=O195,INDEX('Spell Tables'!$AN$48:$AN$56,MATCH(O195,('Spell Tables'!$AL$48:$AL$56),0)),IF($Q$224&gt;=O195,INDEX('Spell Tables'!$AN$26:$AN$35,MATCH(O195,('Spell Tables'!$AL$26:$AL$35),0)),IF($Q$226&gt;=O195,INDEX('Spell Tables'!$AN$2:$AN$8,MATCH(O195,('Spell Tables'!$AL$2:$AL$8),0))," ")))))</f>
        <v xml:space="preserve"> </v>
      </c>
      <c r="R230" s="65" t="str">
        <f ca="1">IF($R$208&gt;=O195,INDEX($AL$116:$AL$125,MATCH(O195,($AJ$116:$AJ$125),0)),IF($R$212&gt;=O195,INDEX('Spell Tables'!$AR$168:$AR$175,MATCH(O195,('Spell Tables'!$AP$168:$AP$175),0)),IF($R$222&gt;=O195,INDEX('Spell Tables'!$AR$48:$AR$52,MATCH(O195,('Spell Tables'!$AP$48:$AP$52),0)),IF($R$224&gt;=O195,INDEX('Spell Tables'!$AR$26:$AR$33,MATCH(O195,('Spell Tables'!$AP$26:$AP$33),0)),IF($R$226&gt;=O195,INDEX('Spell Tables'!$AR$2:$AR$11,MATCH(O195,('Spell Tables'!$AL$2:$AL$11),0))," ")))))</f>
        <v xml:space="preserve"> </v>
      </c>
      <c r="S230" s="65" t="str">
        <f ca="1">IF($S$208&gt;=O195,INDEX($AL$128:$AL$137,MATCH(O195,($AJ$128:$AJ$137),0)),IF($S$212&gt;=O195,INDEX('Spell Tables'!$AV$168:$AV$172,MATCH(O195,('Spell Tables'!$AT$168:$AT$172),0)),IF($S$222&gt;=O195,INDEX('Spell Tables'!$AV$48:$AV$54,MATCH(O195,('Spell Tables'!$AT$48:$AT$54),0)),IF($S$224&gt;=O195,INDEX('Spell Tables'!$AV$26:$AV$29,MATCH(O195,('Spell Tables'!$AT$26:$AT$29),0)),IF($S$226&gt;=O195,INDEX('Spell Tables'!$AV$2:$AV$6,MATCH(O195,('Spell Tables'!$AT$2:$AT$6),0))," ")))))</f>
        <v xml:space="preserve"> </v>
      </c>
      <c r="T230" s="66" t="str">
        <f ca="1">IF($T$222&gt;=O195,INDEX('Spell Tables'!$AZ$48:$AZ$51,MATCH(O195,('Spell Tables'!$AX$48:$AX$51),0)),IF($T$208&gt;=O195,INDEX($AL$140:$AL$149,MATCH(O195,($AJ$140:$AJ$149),0)),IF($T$212&gt;=O195,INDEX('Spell Tables'!$AZ$168:$AZ$172,MATCH(O195,('Spell Tables'!$AX$168:$AX$172),0)),IF($T$224&gt;=O195,INDEX('Spell Tables'!$AZ$26:$AZ$29,MATCH(O195,('Spell Tables'!$AX$26:$AX$29),0)),IF($T$226&gt;=O195,INDEX('Spell Tables'!$AZ$2:$AZ$5,MATCH(O195,('Spell Tables'!$AX$2:$AX$5),0))," ")))))</f>
        <v xml:space="preserve"> </v>
      </c>
    </row>
    <row r="231" spans="2:20" x14ac:dyDescent="0.3">
      <c r="N231" s="72"/>
      <c r="O231" s="133">
        <v>4</v>
      </c>
      <c r="P231" s="60" t="str">
        <f ca="1">IF(AND($O$15="Otherworldly patron - great old one",P$210&gt;=O196),INDEX('Spell Tables'!$AJ$226:$AJ$231,MATCH(O196,('Spell Tables'!$AH$226:$AH$231),0)),IF(AND($O$15="Otherworldly patron - fiend",P$210&gt;=O196),INDEX('Spell Tables'!$AJ$210:$AJ$215,MATCH(O196,('Spell Tables'!$AH$210:$AH$215),0)),IF(AND($O$15="Otherworldly patron - archfey",P$210&gt;=O196),INDEX('Spell Tables'!$AJ$194:$AJ$199,MATCH(O196,('Spell Tables'!$AH$194:$AH$199),0)),IF($P$208&gt;=O196,INDEX($AL$92:$AL$101,MATCH(O196,($AJ$92:$AJ$101),0)),IF($P$212&gt;=O196,INDEX('Spell Tables'!$AJ$168:$AJ$178,MATCH(O196,('Spell Tables'!$AH$168:$AH$178),0)),IF($P$216&gt;=O196,INDEX('Spell Tables'!$AF$119:$AF$122,MATCH(O196,('Spell Tables'!$AD$119:$AD$122),0)),IF($P$218&gt;=O196,INDEX('Spell Tables'!$AF$97:$AF$102,MATCH(O196,('Spell Tables'!$AD$97:$AD$102),0)),IF($P$222&gt;=O196,INDEX('Spell Tables'!$AJ$48:$AJ$61,MATCH(O196,('Spell Tables'!$AH$48:$AH$61),0)),IF($P$224&gt;=O196,INDEX('Spell Tables'!$AJ$26:$AJ$38,MATCH(O196,('Spell Tables'!$AH$26:$AH$38),0)),IF($P$226&gt;=O196,INDEX('Spell Tables'!$AJ$2:$AJ$17,MATCH(O196,('Spell Tables'!$AH$2:$AH$17),0))," "))))))))))</f>
        <v xml:space="preserve"> </v>
      </c>
      <c r="Q231" s="60" t="str">
        <f ca="1">IF($Q$208&gt;=O196,INDEX($AL$104:$AL$113,MATCH(O196,($AJ$104:$AJ$113),0)),IF($Q$212&gt;=O196,INDEX('Spell Tables'!$AN$168:$AN$177,MATCH(O196,('Spell Tables'!$AL$168:$AL$177),0)),IF($Q$222&gt;=O196,INDEX('Spell Tables'!$AN$48:$AN$56,MATCH(O196,('Spell Tables'!$AL$48:$AL$56),0)),IF($Q$224&gt;=O196,INDEX('Spell Tables'!$AN$26:$AN$35,MATCH(O196,('Spell Tables'!$AL$26:$AL$35),0)),IF($Q$226&gt;=O196,INDEX('Spell Tables'!$AN$2:$AN$8,MATCH(O196,('Spell Tables'!$AL$2:$AL$8),0))," ")))))</f>
        <v xml:space="preserve"> </v>
      </c>
      <c r="R231" s="60" t="str">
        <f ca="1">IF($R$208&gt;=O196,INDEX($AL$116:$AL$125,MATCH(O196,($AJ$116:$AJ$125),0)),IF($R$212&gt;=O196,INDEX('Spell Tables'!$AR$168:$AR$175,MATCH(O196,('Spell Tables'!$AP$168:$AP$175),0)),IF($R$222&gt;=O196,INDEX('Spell Tables'!$AR$48:$AR$52,MATCH(O196,('Spell Tables'!$AP$48:$AP$52),0)),IF($R$224&gt;=O196,INDEX('Spell Tables'!$AR$26:$AR$33,MATCH(O196,('Spell Tables'!$AP$26:$AP$33),0)),IF($R$226&gt;=O196,INDEX('Spell Tables'!$AR$2:$AR$11,MATCH(O196,('Spell Tables'!$AL$2:$AL$11),0))," ")))))</f>
        <v xml:space="preserve"> </v>
      </c>
      <c r="S231" s="60" t="str">
        <f ca="1">IF($S$208&gt;=O196,INDEX($AL$128:$AL$137,MATCH(O196,($AJ$128:$AJ$137),0)),IF($S$212&gt;=O196,INDEX('Spell Tables'!$AV$168:$AV$172,MATCH(O196,('Spell Tables'!$AT$168:$AT$172),0)),IF($S$222&gt;=O196,INDEX('Spell Tables'!$AV$48:$AV$54,MATCH(O196,('Spell Tables'!$AT$48:$AT$54),0)),IF($S$224&gt;=O196,INDEX('Spell Tables'!$AV$26:$AV$29,MATCH(O196,('Spell Tables'!$AT$26:$AT$29),0)),IF($S$226&gt;=O196,INDEX('Spell Tables'!$AV$2:$AV$6,MATCH(O196,('Spell Tables'!$AT$2:$AT$6),0))," ")))))</f>
        <v xml:space="preserve"> </v>
      </c>
      <c r="T231" s="63" t="str">
        <f ca="1">IF($T$222&gt;=O196,INDEX('Spell Tables'!$AZ$48:$AZ$51,MATCH(O196,('Spell Tables'!$AX$48:$AX$51),0)),IF($T$208&gt;=O196,INDEX($AL$140:$AL$149,MATCH(O196,($AJ$140:$AJ$149),0)),IF($T$212&gt;=O196,INDEX('Spell Tables'!$AZ$168:$AZ$172,MATCH(O196,('Spell Tables'!$AX$168:$AX$172),0)),IF($T$224&gt;=O196,INDEX('Spell Tables'!$AZ$26:$AZ$29,MATCH(O196,('Spell Tables'!$AX$26:$AX$29),0)),IF($T$226&gt;=O196,INDEX('Spell Tables'!$AZ$2:$AZ$5,MATCH(O196,('Spell Tables'!$AX$2:$AX$5),0))," ")))))</f>
        <v xml:space="preserve"> </v>
      </c>
    </row>
    <row r="232" spans="2:20" x14ac:dyDescent="0.3">
      <c r="N232" s="72"/>
      <c r="O232" s="86">
        <v>5</v>
      </c>
      <c r="P232" s="65" t="str">
        <f ca="1">IF(AND($O$15="Otherworldly patron - great old one",P$210&gt;=O197),INDEX('Spell Tables'!$AJ$226:$AJ$231,MATCH(O197,('Spell Tables'!$AH$226:$AH$231),0)),IF(AND($O$15="Otherworldly patron - fiend",P$210&gt;=O197),INDEX('Spell Tables'!$AJ$210:$AJ$215,MATCH(O197,('Spell Tables'!$AH$210:$AH$215),0)),IF(AND($O$15="Otherworldly patron - archfey",P$210&gt;=O197),INDEX('Spell Tables'!$AJ$194:$AJ$199,MATCH(O197,('Spell Tables'!$AH$194:$AH$199),0)),IF($P$208&gt;=O197,INDEX($AL$92:$AL$101,MATCH(O197,($AJ$92:$AJ$101),0)),IF($P$212&gt;=O197,INDEX('Spell Tables'!$AJ$168:$AJ$178,MATCH(O197,('Spell Tables'!$AH$168:$AH$178),0)),IF($P$216&gt;=O197,INDEX('Spell Tables'!$AF$119:$AF$122,MATCH(O197,('Spell Tables'!$AD$119:$AD$122),0)),IF($P$218&gt;=O197,INDEX('Spell Tables'!$AF$97:$AF$102,MATCH(O197,('Spell Tables'!$AD$97:$AD$102),0)),IF($P$222&gt;=O197,INDEX('Spell Tables'!$AJ$48:$AJ$61,MATCH(O197,('Spell Tables'!$AH$48:$AH$61),0)),IF($P$224&gt;=O197,INDEX('Spell Tables'!$AJ$26:$AJ$38,MATCH(O197,('Spell Tables'!$AH$26:$AH$38),0)),IF($P$226&gt;=O197,INDEX('Spell Tables'!$AJ$2:$AJ$17,MATCH(O197,('Spell Tables'!$AH$2:$AH$17),0))," "))))))))))</f>
        <v xml:space="preserve"> </v>
      </c>
      <c r="Q232" s="65" t="str">
        <f ca="1">IF($Q$208&gt;=O197,INDEX($AL$104:$AL$113,MATCH(O197,($AJ$104:$AJ$113),0)),IF($Q$212&gt;=O197,INDEX('Spell Tables'!$AN$168:$AN$177,MATCH(O197,('Spell Tables'!$AL$168:$AL$177),0)),IF($Q$222&gt;=O197,INDEX('Spell Tables'!$AN$48:$AN$56,MATCH(O197,('Spell Tables'!$AL$48:$AL$56),0)),IF($Q$224&gt;=O197,INDEX('Spell Tables'!$AN$26:$AN$35,MATCH(O197,('Spell Tables'!$AL$26:$AL$35),0)),IF($Q$226&gt;=O197,INDEX('Spell Tables'!$AN$2:$AN$8,MATCH(O197,('Spell Tables'!$AL$2:$AL$8),0))," ")))))</f>
        <v xml:space="preserve"> </v>
      </c>
      <c r="R232" s="65" t="str">
        <f ca="1">IF($R$208&gt;=O197,INDEX($AL$116:$AL$125,MATCH(O197,($AJ$116:$AJ$125),0)),IF($R$212&gt;=O197,INDEX('Spell Tables'!$AR$168:$AR$175,MATCH(O197,('Spell Tables'!$AP$168:$AP$175),0)),IF($R$222&gt;=O197,INDEX('Spell Tables'!$AR$48:$AR$52,MATCH(O197,('Spell Tables'!$AP$48:$AP$52),0)),IF($R$224&gt;=O197,INDEX('Spell Tables'!$AR$26:$AR$33,MATCH(O197,('Spell Tables'!$AP$26:$AP$33),0)),IF($R$226&gt;=O197,INDEX('Spell Tables'!$AR$2:$AR$11,MATCH(O197,('Spell Tables'!$AL$2:$AL$11),0))," ")))))</f>
        <v xml:space="preserve"> </v>
      </c>
      <c r="S232" s="65" t="str">
        <f ca="1">IF($S$208&gt;=O197,INDEX($AL$128:$AL$137,MATCH(O197,($AJ$128:$AJ$137),0)),IF($S$212&gt;=O197,INDEX('Spell Tables'!$AV$168:$AV$172,MATCH(O197,('Spell Tables'!$AT$168:$AT$172),0)),IF($S$222&gt;=O197,INDEX('Spell Tables'!$AV$48:$AV$54,MATCH(O197,('Spell Tables'!$AT$48:$AT$54),0)),IF($S$224&gt;=O197,INDEX('Spell Tables'!$AV$26:$AV$29,MATCH(O197,('Spell Tables'!$AT$26:$AT$29),0)),IF($S$226&gt;=O197,INDEX('Spell Tables'!$AV$2:$AV$6,MATCH(O197,('Spell Tables'!$AT$2:$AT$6),0))," ")))))</f>
        <v xml:space="preserve"> </v>
      </c>
      <c r="T232" s="66" t="str">
        <f ca="1">IF($T$222&gt;=O197,INDEX('Spell Tables'!$AZ$48:$AZ$51,MATCH(O197,('Spell Tables'!$AX$48:$AX$51),0)),IF($T$208&gt;=O197,INDEX($AL$140:$AL$149,MATCH(O197,($AJ$140:$AJ$149),0)),IF($T$212&gt;=O197,INDEX('Spell Tables'!$AZ$168:$AZ$172,MATCH(O197,('Spell Tables'!$AX$168:$AX$172),0)),IF($T$224&gt;=O197,INDEX('Spell Tables'!$AZ$26:$AZ$29,MATCH(O197,('Spell Tables'!$AX$26:$AX$29),0)),IF($T$226&gt;=O197,INDEX('Spell Tables'!$AZ$2:$AZ$5,MATCH(O197,('Spell Tables'!$AX$2:$AX$5),0))," ")))))</f>
        <v xml:space="preserve"> </v>
      </c>
    </row>
    <row r="233" spans="2:20" x14ac:dyDescent="0.3">
      <c r="N233" s="72"/>
      <c r="O233" s="133">
        <v>6</v>
      </c>
      <c r="P233" s="60" t="str">
        <f ca="1">IF(AND($O$15="Otherworldly patron - great old one",P$210&gt;=O198),INDEX('Spell Tables'!$AJ$226:$AJ$231,MATCH(O198,('Spell Tables'!$AH$226:$AH$231),0)),IF(AND($O$15="Otherworldly patron - fiend",P$210&gt;=O198),INDEX('Spell Tables'!$AJ$210:$AJ$215,MATCH(O198,('Spell Tables'!$AH$210:$AH$215),0)),IF(AND($O$15="Otherworldly patron - archfey",P$210&gt;=O198),INDEX('Spell Tables'!$AJ$194:$AJ$199,MATCH(O198,('Spell Tables'!$AH$194:$AH$199),0)),IF($P$208&gt;=O198,INDEX($AL$92:$AL$101,MATCH(O198,($AJ$92:$AJ$101),0)),IF($P$212&gt;=O198,INDEX('Spell Tables'!$AJ$168:$AJ$178,MATCH(O198,('Spell Tables'!$AH$168:$AH$178),0)),IF($P$216&gt;=O198,INDEX('Spell Tables'!$AF$119:$AF$122,MATCH(O198,('Spell Tables'!$AD$119:$AD$122),0)),IF($P$218&gt;=O198,INDEX('Spell Tables'!$AF$97:$AF$102,MATCH(O198,('Spell Tables'!$AD$97:$AD$102),0)),IF($P$222&gt;=O198,INDEX('Spell Tables'!$AJ$48:$AJ$61,MATCH(O198,('Spell Tables'!$AH$48:$AH$61),0)),IF($P$224&gt;=O198,INDEX('Spell Tables'!$AJ$26:$AJ$38,MATCH(O198,('Spell Tables'!$AH$26:$AH$38),0)),IF($P$226&gt;=O198,INDEX('Spell Tables'!$AJ$2:$AJ$17,MATCH(O198,('Spell Tables'!$AH$2:$AH$17),0))," "))))))))))</f>
        <v xml:space="preserve"> </v>
      </c>
      <c r="Q233" s="60" t="str">
        <f ca="1">IF($Q$208&gt;=O198,INDEX($AL$104:$AL$113,MATCH(O198,($AJ$104:$AJ$113),0)),IF($Q$212&gt;=O198,INDEX('Spell Tables'!$AN$168:$AN$177,MATCH(O198,('Spell Tables'!$AL$168:$AL$177),0)),IF($Q$222&gt;=O198,INDEX('Spell Tables'!$AN$48:$AN$56,MATCH(O198,('Spell Tables'!$AL$48:$AL$56),0)),IF($Q$224&gt;=O198,INDEX('Spell Tables'!$AN$26:$AN$35,MATCH(O198,('Spell Tables'!$AL$26:$AL$35),0)),IF($Q$226&gt;=O198,INDEX('Spell Tables'!$AN$2:$AN$8,MATCH(O198,('Spell Tables'!$AL$2:$AL$8),0))," ")))))</f>
        <v xml:space="preserve"> </v>
      </c>
      <c r="R233" s="60" t="str">
        <f ca="1">IF($R$208&gt;=O198,INDEX($AL$116:$AL$125,MATCH(O198,($AJ$116:$AJ$125),0)),IF($R$212&gt;=O198,INDEX('Spell Tables'!$AR$168:$AR$175,MATCH(O198,('Spell Tables'!$AP$168:$AP$175),0)),IF($R$222&gt;=O198,INDEX('Spell Tables'!$AR$48:$AR$52,MATCH(O198,('Spell Tables'!$AP$48:$AP$52),0)),IF($R$224&gt;=O198,INDEX('Spell Tables'!$AR$26:$AR$33,MATCH(O198,('Spell Tables'!$AP$26:$AP$33),0)),IF($R$226&gt;=O198,INDEX('Spell Tables'!$AR$2:$AR$11,MATCH(O198,('Spell Tables'!$AL$2:$AL$11),0))," ")))))</f>
        <v xml:space="preserve"> </v>
      </c>
      <c r="S233" s="60" t="str">
        <f ca="1">IF($S$208&gt;=O198,INDEX($AL$128:$AL$137,MATCH(O198,($AJ$128:$AJ$137),0)),IF($S$212&gt;=O198,INDEX('Spell Tables'!$AV$168:$AV$172,MATCH(O198,('Spell Tables'!$AT$168:$AT$172),0)),IF($S$222&gt;=O198,INDEX('Spell Tables'!$AV$48:$AV$54,MATCH(O198,('Spell Tables'!$AT$48:$AT$54),0)),IF($S$224&gt;=O198,INDEX('Spell Tables'!$AV$26:$AV$29,MATCH(O198,('Spell Tables'!$AT$26:$AT$29),0)),IF($S$226&gt;=O198,INDEX('Spell Tables'!$AV$2:$AV$6,MATCH(O198,('Spell Tables'!$AT$2:$AT$6),0))," ")))))</f>
        <v xml:space="preserve"> </v>
      </c>
      <c r="T233" s="63" t="str">
        <f ca="1">IF($T$222&gt;=O198,INDEX('Spell Tables'!$AZ$48:$AZ$51,MATCH(O198,('Spell Tables'!$AX$48:$AX$51),0)),IF($T$208&gt;=O198,INDEX($AL$140:$AL$149,MATCH(O198,($AJ$140:$AJ$149),0)),IF($T$212&gt;=O198,INDEX('Spell Tables'!$AZ$168:$AZ$172,MATCH(O198,('Spell Tables'!$AX$168:$AX$172),0)),IF($T$224&gt;=O198,INDEX('Spell Tables'!$AZ$26:$AZ$29,MATCH(O198,('Spell Tables'!$AX$26:$AX$29),0)),IF($T$226&gt;=O198,INDEX('Spell Tables'!$AZ$2:$AZ$5,MATCH(O198,('Spell Tables'!$AX$2:$AX$5),0))," ")))))</f>
        <v xml:space="preserve"> </v>
      </c>
    </row>
    <row r="234" spans="2:20" x14ac:dyDescent="0.3">
      <c r="N234" s="72"/>
      <c r="O234" s="86">
        <v>7</v>
      </c>
      <c r="P234" s="65" t="str">
        <f ca="1">IF(AND($O$15="Otherworldly patron - great old one",P$210&gt;=O199),INDEX('Spell Tables'!$AJ$226:$AJ$231,MATCH(O199,('Spell Tables'!$AH$226:$AH$231),0)),IF(AND($O$15="Otherworldly patron - fiend",P$210&gt;=O199),INDEX('Spell Tables'!$AJ$210:$AJ$215,MATCH(O199,('Spell Tables'!$AH$210:$AH$215),0)),IF(AND($O$15="Otherworldly patron - archfey",P$210&gt;=O199),INDEX('Spell Tables'!$AJ$194:$AJ$199,MATCH(O199,('Spell Tables'!$AH$194:$AH$199),0)),IF($P$208&gt;=O199,INDEX($AL$92:$AL$101,MATCH(O199,($AJ$92:$AJ$101),0)),IF($P$212&gt;=O199,INDEX('Spell Tables'!$AJ$168:$AJ$178,MATCH(O199,('Spell Tables'!$AH$168:$AH$178),0)),IF($P$216&gt;=O199,INDEX('Spell Tables'!$AF$119:$AF$122,MATCH(O199,('Spell Tables'!$AD$119:$AD$122),0)),IF($P$218&gt;=O199,INDEX('Spell Tables'!$AF$97:$AF$102,MATCH(O199,('Spell Tables'!$AD$97:$AD$102),0)),IF($P$222&gt;=O199,INDEX('Spell Tables'!$AJ$48:$AJ$61,MATCH(O199,('Spell Tables'!$AH$48:$AH$61),0)),IF($P$224&gt;=O199,INDEX('Spell Tables'!$AJ$26:$AJ$38,MATCH(O199,('Spell Tables'!$AH$26:$AH$38),0)),IF($P$226&gt;=O199,INDEX('Spell Tables'!$AJ$2:$AJ$17,MATCH(O199,('Spell Tables'!$AH$2:$AH$17),0))," "))))))))))</f>
        <v xml:space="preserve"> </v>
      </c>
      <c r="Q234" s="65" t="str">
        <f ca="1">IF($Q$208&gt;=O199,INDEX($AL$104:$AL$113,MATCH(O199,($AJ$104:$AJ$113),0)),IF($Q$212&gt;=O199,INDEX('Spell Tables'!$AN$168:$AN$177,MATCH(O199,('Spell Tables'!$AL$168:$AL$177),0)),IF($Q$222&gt;=O199,INDEX('Spell Tables'!$AN$48:$AN$56,MATCH(O199,('Spell Tables'!$AL$48:$AL$56),0)),IF($Q$224&gt;=O199,INDEX('Spell Tables'!$AN$26:$AN$35,MATCH(O199,('Spell Tables'!$AL$26:$AL$35),0)),IF($Q$226&gt;=O199,INDEX('Spell Tables'!$AN$2:$AN$8,MATCH(O199,('Spell Tables'!$AL$2:$AL$8),0))," ")))))</f>
        <v xml:space="preserve"> </v>
      </c>
      <c r="R234" s="65" t="str">
        <f ca="1">IF($R$208&gt;=O199,INDEX($AL$116:$AL$125,MATCH(O199,($AJ$116:$AJ$125),0)),IF($R$212&gt;=O199,INDEX('Spell Tables'!$AR$168:$AR$175,MATCH(O199,('Spell Tables'!$AP$168:$AP$175),0)),IF($R$222&gt;=O199,INDEX('Spell Tables'!$AR$48:$AR$52,MATCH(O199,('Spell Tables'!$AP$48:$AP$52),0)),IF($R$224&gt;=O199,INDEX('Spell Tables'!$AR$26:$AR$33,MATCH(O199,('Spell Tables'!$AP$26:$AP$33),0)),IF($R$226&gt;=O199,INDEX('Spell Tables'!$AR$2:$AR$11,MATCH(O199,('Spell Tables'!$AL$2:$AL$11),0))," ")))))</f>
        <v xml:space="preserve"> </v>
      </c>
      <c r="S234" s="65" t="str">
        <f ca="1">IF($S$208&gt;=O199,INDEX($AL$128:$AL$137,MATCH(O199,($AJ$128:$AJ$137),0)),IF($S$212&gt;=O199,INDEX('Spell Tables'!$AV$168:$AV$172,MATCH(O199,('Spell Tables'!$AT$168:$AT$172),0)),IF($S$222&gt;=O199,INDEX('Spell Tables'!$AV$48:$AV$54,MATCH(O199,('Spell Tables'!$AT$48:$AT$54),0)),IF($S$224&gt;=O199,INDEX('Spell Tables'!$AV$26:$AV$29,MATCH(O199,('Spell Tables'!$AT$26:$AT$29),0)),IF($S$226&gt;=O199,INDEX('Spell Tables'!$AV$2:$AV$6,MATCH(O199,('Spell Tables'!$AT$2:$AT$6),0))," ")))))</f>
        <v xml:space="preserve"> </v>
      </c>
      <c r="T234" s="66" t="str">
        <f ca="1">IF($T$222&gt;=O199,INDEX('Spell Tables'!$AZ$48:$AZ$51,MATCH(O199,('Spell Tables'!$AX$48:$AX$51),0)),IF($T$208&gt;=O199,INDEX($AL$140:$AL$149,MATCH(O199,($AJ$140:$AJ$149),0)),IF($T$212&gt;=O199,INDEX('Spell Tables'!$AZ$168:$AZ$172,MATCH(O199,('Spell Tables'!$AX$168:$AX$172),0)),IF($T$224&gt;=O199,INDEX('Spell Tables'!$AZ$26:$AZ$29,MATCH(O199,('Spell Tables'!$AX$26:$AX$29),0)),IF($T$226&gt;=O199,INDEX('Spell Tables'!$AZ$2:$AZ$5,MATCH(O199,('Spell Tables'!$AX$2:$AX$5),0))," ")))))</f>
        <v xml:space="preserve"> </v>
      </c>
    </row>
    <row r="235" spans="2:20" x14ac:dyDescent="0.3">
      <c r="N235" s="72"/>
      <c r="O235" s="133">
        <v>8</v>
      </c>
      <c r="P235" s="60" t="str">
        <f ca="1">IF(AND($O$15="Otherworldly patron - great old one",P$210&gt;=O200),INDEX('Spell Tables'!$AJ$226:$AJ$231,MATCH(O200,('Spell Tables'!$AH$226:$AH$231),0)),IF(AND($O$15="Otherworldly patron - fiend",P$210&gt;=O200),INDEX('Spell Tables'!$AJ$210:$AJ$215,MATCH(O200,('Spell Tables'!$AH$210:$AH$215),0)),IF(AND($O$15="Otherworldly patron - archfey",P$210&gt;=O200),INDEX('Spell Tables'!$AJ$194:$AJ$199,MATCH(O200,('Spell Tables'!$AH$194:$AH$199),0)),IF($P$208&gt;=O200,INDEX($AL$92:$AL$101,MATCH(O200,($AJ$92:$AJ$101),0)),IF($P$212&gt;=O200,INDEX('Spell Tables'!$AJ$168:$AJ$178,MATCH(O200,('Spell Tables'!$AH$168:$AH$178),0)),IF($P$216&gt;=O200,INDEX('Spell Tables'!$AF$119:$AF$122,MATCH(O200,('Spell Tables'!$AD$119:$AD$122),0)),IF($P$218&gt;=O200,INDEX('Spell Tables'!$AF$97:$AF$102,MATCH(O200,('Spell Tables'!$AD$97:$AD$102),0)),IF($P$222&gt;=O200,INDEX('Spell Tables'!$AJ$48:$AJ$61,MATCH(O200,('Spell Tables'!$AH$48:$AH$61),0)),IF($P$224&gt;=O200,INDEX('Spell Tables'!$AJ$26:$AJ$38,MATCH(O200,('Spell Tables'!$AH$26:$AH$38),0)),IF($P$226&gt;=O200,INDEX('Spell Tables'!$AJ$2:$AJ$17,MATCH(O200,('Spell Tables'!$AH$2:$AH$17),0))," "))))))))))</f>
        <v xml:space="preserve"> </v>
      </c>
      <c r="Q235" s="60" t="str">
        <f ca="1">IF($Q$208&gt;=O200,INDEX($AL$104:$AL$113,MATCH(O200,($AJ$104:$AJ$113),0)),IF($Q$212&gt;=O200,INDEX('Spell Tables'!$AN$168:$AN$177,MATCH(O200,('Spell Tables'!$AL$168:$AL$177),0)),IF($Q$222&gt;=O200,INDEX('Spell Tables'!$AN$48:$AN$56,MATCH(O200,('Spell Tables'!$AL$48:$AL$56),0)),IF($Q$224&gt;=O200,INDEX('Spell Tables'!$AN$26:$AN$35,MATCH(O200,('Spell Tables'!$AL$26:$AL$35),0)),IF($Q$226&gt;=O200,INDEX('Spell Tables'!$AN$2:$AN$8,MATCH(O200,('Spell Tables'!$AL$2:$AL$8),0))," ")))))</f>
        <v xml:space="preserve"> </v>
      </c>
      <c r="R235" s="60" t="str">
        <f ca="1">IF($R$208&gt;=O200,INDEX($AL$116:$AL$125,MATCH(O200,($AJ$116:$AJ$125),0)),IF($R$212&gt;=O200,INDEX('Spell Tables'!$AR$168:$AR$175,MATCH(O200,('Spell Tables'!$AP$168:$AP$175),0)),IF($R$222&gt;=O200,INDEX('Spell Tables'!$AR$48:$AR$52,MATCH(O200,('Spell Tables'!$AP$48:$AP$52),0)),IF($R$224&gt;=O200,INDEX('Spell Tables'!$AR$26:$AR$33,MATCH(O200,('Spell Tables'!$AP$26:$AP$33),0)),IF($R$226&gt;=O200,INDEX('Spell Tables'!$AR$2:$AR$11,MATCH(O200,('Spell Tables'!$AL$2:$AL$11),0))," ")))))</f>
        <v xml:space="preserve"> </v>
      </c>
      <c r="S235" s="60" t="str">
        <f ca="1">IF($S$208&gt;=O200,INDEX($AL$128:$AL$137,MATCH(O200,($AJ$128:$AJ$137),0)),IF($S$212&gt;=O200,INDEX('Spell Tables'!$AV$168:$AV$172,MATCH(O200,('Spell Tables'!$AT$168:$AT$172),0)),IF($S$222&gt;=O200,INDEX('Spell Tables'!$AV$48:$AV$54,MATCH(O200,('Spell Tables'!$AT$48:$AT$54),0)),IF($S$224&gt;=O200,INDEX('Spell Tables'!$AV$26:$AV$29,MATCH(O200,('Spell Tables'!$AT$26:$AT$29),0)),IF($S$226&gt;=O200,INDEX('Spell Tables'!$AV$2:$AV$6,MATCH(O200,('Spell Tables'!$AT$2:$AT$6),0))," ")))))</f>
        <v xml:space="preserve"> </v>
      </c>
      <c r="T235" s="63" t="str">
        <f ca="1">IF($T$222&gt;=O200,INDEX('Spell Tables'!$AZ$48:$AZ$51,MATCH(O200,('Spell Tables'!$AX$48:$AX$51),0)),IF($T$208&gt;=O200,INDEX($AL$140:$AL$149,MATCH(O200,($AJ$140:$AJ$149),0)),IF($T$212&gt;=O200,INDEX('Spell Tables'!$AZ$168:$AZ$172,MATCH(O200,('Spell Tables'!$AX$168:$AX$172),0)),IF($T$224&gt;=O200,INDEX('Spell Tables'!$AZ$26:$AZ$29,MATCH(O200,('Spell Tables'!$AX$26:$AX$29),0)),IF($T$226&gt;=O200,INDEX('Spell Tables'!$AZ$2:$AZ$5,MATCH(O200,('Spell Tables'!$AX$2:$AX$5),0))," ")))))</f>
        <v xml:space="preserve"> </v>
      </c>
    </row>
    <row r="236" spans="2:20" x14ac:dyDescent="0.3">
      <c r="N236" s="72"/>
      <c r="O236" s="86">
        <v>9</v>
      </c>
      <c r="P236" s="65" t="str">
        <f ca="1">IF(AND($O$15="Otherworldly patron - great old one",P$210&gt;=O201),INDEX('Spell Tables'!$AJ$226:$AJ$231,MATCH(O201,('Spell Tables'!$AH$226:$AH$231),0)),IF(AND($O$15="Otherworldly patron - fiend",P$210&gt;=O201),INDEX('Spell Tables'!$AJ$210:$AJ$215,MATCH(O201,('Spell Tables'!$AH$210:$AH$215),0)),IF(AND($O$15="Otherworldly patron - archfey",P$210&gt;=O201),INDEX('Spell Tables'!$AJ$194:$AJ$199,MATCH(O201,('Spell Tables'!$AH$194:$AH$199),0)),IF($P$208&gt;=O201,INDEX($AL$92:$AL$101,MATCH(O201,($AJ$92:$AJ$101),0)),IF($P$212&gt;=O201,INDEX('Spell Tables'!$AJ$168:$AJ$178,MATCH(O201,('Spell Tables'!$AH$168:$AH$178),0)),IF($P$216&gt;=O201,INDEX('Spell Tables'!$AF$119:$AF$122,MATCH(O201,('Spell Tables'!$AD$119:$AD$122),0)),IF($P$218&gt;=O201,INDEX('Spell Tables'!$AF$97:$AF$102,MATCH(O201,('Spell Tables'!$AD$97:$AD$102),0)),IF($P$222&gt;=O201,INDEX('Spell Tables'!$AJ$48:$AJ$61,MATCH(O201,('Spell Tables'!$AH$48:$AH$61),0)),IF($P$224&gt;=O201,INDEX('Spell Tables'!$AJ$26:$AJ$38,MATCH(O201,('Spell Tables'!$AH$26:$AH$38),0)),IF($P$226&gt;=O201,INDEX('Spell Tables'!$AJ$2:$AJ$17,MATCH(O201,('Spell Tables'!$AH$2:$AH$17),0))," "))))))))))</f>
        <v xml:space="preserve"> </v>
      </c>
      <c r="Q236" s="65" t="str">
        <f ca="1">IF($Q$208&gt;=O201,INDEX($AL$104:$AL$113,MATCH(O201,($AJ$104:$AJ$113),0)),IF($Q$212&gt;=O201,INDEX('Spell Tables'!$AN$168:$AN$177,MATCH(O201,('Spell Tables'!$AL$168:$AL$177),0)),IF($Q$222&gt;=O201,INDEX('Spell Tables'!$AN$48:$AN$56,MATCH(O201,('Spell Tables'!$AL$48:$AL$56),0)),IF($Q$224&gt;=O201,INDEX('Spell Tables'!$AN$26:$AN$35,MATCH(O201,('Spell Tables'!$AL$26:$AL$35),0)),IF($Q$226&gt;=O201,INDEX('Spell Tables'!$AN$2:$AN$8,MATCH(O201,('Spell Tables'!$AL$2:$AL$8),0))," ")))))</f>
        <v xml:space="preserve"> </v>
      </c>
      <c r="R236" s="65" t="str">
        <f ca="1">IF($R$208&gt;=O201,INDEX($AL$116:$AL$125,MATCH(O201,($AJ$116:$AJ$125),0)),IF($R$212&gt;=O201,INDEX('Spell Tables'!$AR$168:$AR$175,MATCH(O201,('Spell Tables'!$AP$168:$AP$175),0)),IF($R$222&gt;=O201,INDEX('Spell Tables'!$AR$48:$AR$52,MATCH(O201,('Spell Tables'!$AP$48:$AP$52),0)),IF($R$224&gt;=O201,INDEX('Spell Tables'!$AR$26:$AR$33,MATCH(O201,('Spell Tables'!$AP$26:$AP$33),0)),IF($R$226&gt;=O201,INDEX('Spell Tables'!$AR$2:$AR$11,MATCH(O201,('Spell Tables'!$AL$2:$AL$11),0))," ")))))</f>
        <v xml:space="preserve"> </v>
      </c>
      <c r="S236" s="65" t="str">
        <f ca="1">IF($S$208&gt;=O201,INDEX($AL$128:$AL$137,MATCH(O201,($AJ$128:$AJ$137),0)),IF($S$212&gt;=O201,INDEX('Spell Tables'!$AV$168:$AV$172,MATCH(O201,('Spell Tables'!$AT$168:$AT$172),0)),IF($S$222&gt;=O201,INDEX('Spell Tables'!$AV$48:$AV$54,MATCH(O201,('Spell Tables'!$AT$48:$AT$54),0)),IF($S$224&gt;=O201,INDEX('Spell Tables'!$AV$26:$AV$29,MATCH(O201,('Spell Tables'!$AT$26:$AT$29),0)),IF($S$226&gt;=O201,INDEX('Spell Tables'!$AV$2:$AV$6,MATCH(O201,('Spell Tables'!$AT$2:$AT$6),0))," ")))))</f>
        <v xml:space="preserve"> </v>
      </c>
      <c r="T236" s="66" t="str">
        <f ca="1">IF($T$222&gt;=O201,INDEX('Spell Tables'!$AZ$48:$AZ$51,MATCH(O201,('Spell Tables'!$AX$48:$AX$51),0)),IF($T$208&gt;=O201,INDEX($AL$140:$AL$149,MATCH(O201,($AJ$140:$AJ$149),0)),IF($T$212&gt;=O201,INDEX('Spell Tables'!$AZ$168:$AZ$172,MATCH(O201,('Spell Tables'!$AX$168:$AX$172),0)),IF($T$224&gt;=O201,INDEX('Spell Tables'!$AZ$26:$AZ$29,MATCH(O201,('Spell Tables'!$AX$26:$AX$29),0)),IF($T$226&gt;=O201,INDEX('Spell Tables'!$AZ$2:$AZ$5,MATCH(O201,('Spell Tables'!$AX$2:$AX$5),0))," ")))))</f>
        <v xml:space="preserve"> </v>
      </c>
    </row>
    <row r="237" spans="2:20" ht="19.5" thickBot="1" x14ac:dyDescent="0.35">
      <c r="N237" s="72"/>
      <c r="O237" s="134">
        <v>10</v>
      </c>
      <c r="P237" s="67" t="str">
        <f ca="1">IF(AND($O$15="Otherworldly patron - great old one",P$210&gt;=O202),INDEX('Spell Tables'!$AJ$226:$AJ$231,MATCH(O202,('Spell Tables'!$AH$226:$AH$231),0)),IF(AND($O$15="Otherworldly patron - fiend",P$210&gt;=O202),INDEX('Spell Tables'!$AJ$210:$AJ$215,MATCH(O202,('Spell Tables'!$AH$210:$AH$215),0)),IF(AND($O$15="Otherworldly patron - archfey",P$210&gt;=O202),INDEX('Spell Tables'!$AJ$194:$AJ$199,MATCH(O202,('Spell Tables'!$AH$194:$AH$199),0)),IF($P$208&gt;=O202,INDEX($AL$92:$AL$101,MATCH(O202,($AJ$92:$AJ$101),0)),IF($P$212&gt;=O202,INDEX('Spell Tables'!$AJ$168:$AJ$178,MATCH(O202,('Spell Tables'!$AH$168:$AH$178),0)),IF($P$216&gt;=O202,INDEX('Spell Tables'!$AF$119:$AF$122,MATCH(O202,('Spell Tables'!$AD$119:$AD$122),0)),IF($P$218&gt;=O202,INDEX('Spell Tables'!$AF$97:$AF$102,MATCH(O202,('Spell Tables'!$AD$97:$AD$102),0)),IF($P$222&gt;=O202,INDEX('Spell Tables'!$AJ$48:$AJ$61,MATCH(O202,('Spell Tables'!$AH$48:$AH$61),0)),IF($P$224&gt;=O202,INDEX('Spell Tables'!$AJ$26:$AJ$38,MATCH(O202,('Spell Tables'!$AH$26:$AH$38),0)),IF($P$226&gt;=O202,INDEX('Spell Tables'!$AJ$2:$AJ$17,MATCH(O202,('Spell Tables'!$AH$2:$AH$17),0))," "))))))))))</f>
        <v xml:space="preserve"> </v>
      </c>
      <c r="Q237" s="67" t="str">
        <f ca="1">IF($Q$208&gt;=O202,INDEX($AL$104:$AL$113,MATCH(O202,($AJ$104:$AJ$113),0)),IF($Q$212&gt;=O202,INDEX('Spell Tables'!$AN$168:$AN$177,MATCH(O202,('Spell Tables'!$AL$168:$AL$177),0)),IF($Q$222&gt;=O202,INDEX('Spell Tables'!$AN$48:$AN$56,MATCH(O202,('Spell Tables'!$AL$48:$AL$56),0)),IF($Q$224&gt;=O202,INDEX('Spell Tables'!$AN$26:$AN$35,MATCH(O202,('Spell Tables'!$AL$26:$AL$35),0)),IF($Q$226&gt;=O202,INDEX('Spell Tables'!$AN$2:$AN$8,MATCH(O202,('Spell Tables'!$AL$2:$AL$8),0))," ")))))</f>
        <v xml:space="preserve"> </v>
      </c>
      <c r="R237" s="67" t="str">
        <f ca="1">IF($R$208&gt;=O202,INDEX($AL$116:$AL$125,MATCH(O202,($AJ$116:$AJ$125),0)),IF($R$212&gt;=O202,INDEX('Spell Tables'!$AR$168:$AR$175,MATCH(O202,('Spell Tables'!$AP$168:$AP$175),0)),IF($R$222&gt;=O202,INDEX('Spell Tables'!$AR$48:$AR$52,MATCH(O202,('Spell Tables'!$AP$48:$AP$52),0)),IF($R$224&gt;=O202,INDEX('Spell Tables'!$AR$26:$AR$33,MATCH(O202,('Spell Tables'!$AP$26:$AP$33),0)),IF($R$226&gt;=O202,INDEX('Spell Tables'!$AR$2:$AR$11,MATCH(O202,('Spell Tables'!$AL$2:$AL$11),0))," ")))))</f>
        <v xml:space="preserve"> </v>
      </c>
      <c r="S237" s="67" t="str">
        <f ca="1">IF($S$208&gt;=O202,INDEX($AL$128:$AL$137,MATCH(O202,($AJ$128:$AJ$137),0)),IF($S$212&gt;=O202,INDEX('Spell Tables'!$AV$168:$AV$172,MATCH(O202,('Spell Tables'!$AT$168:$AT$172),0)),IF($S$222&gt;=O202,INDEX('Spell Tables'!$AV$48:$AV$54,MATCH(O202,('Spell Tables'!$AT$48:$AT$54),0)),IF($S$224&gt;=O202,INDEX('Spell Tables'!$AV$26:$AV$29,MATCH(O202,('Spell Tables'!$AT$26:$AT$29),0)),IF($S$226&gt;=O202,INDEX('Spell Tables'!$AV$2:$AV$6,MATCH(O202,('Spell Tables'!$AT$2:$AT$6),0))," ")))))</f>
        <v xml:space="preserve"> </v>
      </c>
      <c r="T237" s="68" t="str">
        <f ca="1">IF($T$222&gt;=O202,INDEX('Spell Tables'!$AZ$48:$AZ$51,MATCH(O202,('Spell Tables'!$AX$48:$AX$51),0)),IF($T$208&gt;=O202,INDEX($AL$140:$AL$149,MATCH(O202,($AJ$140:$AJ$149),0)),IF($T$212&gt;=O202,INDEX('Spell Tables'!$AZ$168:$AZ$172,MATCH(O202,('Spell Tables'!$AX$168:$AX$172),0)),IF($T$224&gt;=O202,INDEX('Spell Tables'!$AZ$26:$AZ$29,MATCH(O202,('Spell Tables'!$AX$26:$AX$29),0)),IF($T$226&gt;=O202,INDEX('Spell Tables'!$AZ$2:$AZ$5,MATCH(O202,('Spell Tables'!$AX$2:$AX$5),0))," ")))))</f>
        <v xml:space="preserve"> </v>
      </c>
    </row>
    <row r="238" spans="2:20" ht="19.5" thickBot="1" x14ac:dyDescent="0.35"/>
    <row r="239" spans="2:20" ht="30.75" thickBot="1" x14ac:dyDescent="0.45">
      <c r="B239" s="105" t="s">
        <v>1323</v>
      </c>
      <c r="C239" s="57"/>
      <c r="D239" s="57"/>
      <c r="E239" s="57"/>
      <c r="F239" s="57"/>
      <c r="G239" s="57"/>
      <c r="H239" s="57"/>
      <c r="I239" s="57"/>
      <c r="J239" s="57"/>
      <c r="K239" s="57"/>
      <c r="L239" s="57"/>
      <c r="M239" s="57"/>
      <c r="N239" s="57"/>
      <c r="O239" s="57"/>
      <c r="P239" s="57"/>
      <c r="Q239" s="57"/>
      <c r="R239" s="57"/>
      <c r="S239" s="57"/>
    </row>
    <row r="240" spans="2:20" ht="19.5" thickBot="1" x14ac:dyDescent="0.35">
      <c r="B240" s="33"/>
      <c r="C240" s="27"/>
      <c r="D240" s="27"/>
      <c r="E240" s="27"/>
      <c r="F240" s="27"/>
      <c r="G240" s="27"/>
      <c r="H240" s="27"/>
      <c r="I240" s="27"/>
      <c r="J240" s="27"/>
      <c r="K240" s="27"/>
      <c r="L240" s="27"/>
      <c r="M240" s="27"/>
      <c r="O240" s="27"/>
      <c r="P240" s="87" t="s">
        <v>1341</v>
      </c>
      <c r="Q240" s="94" t="str">
        <f ca="1">IF($Q$11="warlock",INDEX('Spell Tables'!$D$194:$D$213,MATCH($Q$12,('Spell Tables'!$A$194:$A$213),0))," ")</f>
        <v xml:space="preserve"> </v>
      </c>
      <c r="R240" s="89" t="s">
        <v>1340</v>
      </c>
      <c r="S240" s="90" t="str">
        <f ca="1">IF($Q$11="warlock",INDEX('Spell Tables'!$E$194:$E$213,MATCH($Q$12,('Spell Tables'!$A$194:$A$213),0))," ")</f>
        <v xml:space="preserve"> </v>
      </c>
      <c r="T240" s="27"/>
    </row>
    <row r="241" spans="2:20" hidden="1" x14ac:dyDescent="0.3">
      <c r="B241" s="92" t="s">
        <v>1270</v>
      </c>
      <c r="C241" s="33"/>
      <c r="D241" s="33"/>
      <c r="E241" s="33"/>
      <c r="F241" s="33"/>
      <c r="G241" s="33"/>
      <c r="H241" s="33"/>
      <c r="I241" s="33"/>
      <c r="J241" s="33"/>
      <c r="K241" s="33"/>
      <c r="L241" s="33"/>
      <c r="M241" s="33"/>
      <c r="O241" s="33" t="s">
        <v>530</v>
      </c>
      <c r="P241" s="33" t="s">
        <v>530</v>
      </c>
      <c r="Q241" s="114" t="str">
        <f ca="1">IF(AND(Q11="wizard",Q12&gt;=3),"x",IF(Q11="wizard","xx"," "))</f>
        <v xml:space="preserve"> </v>
      </c>
      <c r="R241" s="114" t="str">
        <f ca="1">IF(AND(Q11="wizard",Q12&gt;=5),"x",IF(AND($Q$11="wizard",$Q$12&gt;=3),"xx"," "))</f>
        <v xml:space="preserve"> </v>
      </c>
      <c r="S241" s="114" t="str">
        <f ca="1">IF(AND(Q11="Wizard",Q12&gt;=7),"x",IF(AND($Q$11="wizard",$Q$12&gt;5),"xx",IF(AND(Q11="wizard",Q12=5),"xxx"," ")))</f>
        <v xml:space="preserve"> </v>
      </c>
      <c r="T241" s="114" t="str">
        <f ca="1">IF(AND(Q11="wizard",Q12&gt;=9),"x",IF(AND($Q$11="wizard",$Q$12&gt;7),"xx",IF(AND(Q11="wizard",Q12=7),"xxx"," ")))</f>
        <v xml:space="preserve"> </v>
      </c>
    </row>
    <row r="242" spans="2:20" hidden="1" x14ac:dyDescent="0.3">
      <c r="B242" s="92" t="s">
        <v>1272</v>
      </c>
      <c r="C242" s="33"/>
      <c r="D242" s="33"/>
      <c r="E242" s="33"/>
      <c r="F242" s="33"/>
      <c r="G242" s="33"/>
      <c r="H242" s="33"/>
      <c r="I242" s="33"/>
      <c r="J242" s="33"/>
      <c r="K242" s="33"/>
      <c r="L242" s="33"/>
      <c r="M242" s="33"/>
      <c r="O242" s="33" t="str">
        <f ca="1">IF(Q11="wizard",N41+Q12," ")</f>
        <v xml:space="preserve"> </v>
      </c>
      <c r="P242" s="33">
        <f ca="1">IF(Q11="wizard",INDEX('Spell Tables'!C242:C261,MATCH(Q12,('Spell Tables'!B242:B261),0)),0)</f>
        <v>0</v>
      </c>
      <c r="Q242" s="114">
        <f ca="1">IF($Q241="x",RANDBETWEEN(1,2),IF($Q241="xx",$O$242,0))</f>
        <v>0</v>
      </c>
      <c r="R242" s="114">
        <f ca="1">IF(R241="x",RANDBETWEEN(1,2),IF(R241="xx",$O$242-Q242,0))</f>
        <v>0</v>
      </c>
      <c r="S242" s="114">
        <f ca="1">IF(S241="x",O242-SUM(Q242:R242,U169:X169),IF(S241="xx",$O$242-SUM(Q242:R242),0))</f>
        <v>0</v>
      </c>
      <c r="T242" s="114">
        <f ca="1">IF(T241="x",RANDBETWEEN(1,2),IF(T241="xx",RANDBETWEEN(2,3),IF(T241="xxx",RANDBETWEEN(1,2),0)))</f>
        <v>0</v>
      </c>
    </row>
    <row r="243" spans="2:20" hidden="1" x14ac:dyDescent="0.3">
      <c r="B243" s="92" t="s">
        <v>1269</v>
      </c>
      <c r="C243" s="33"/>
      <c r="D243" s="33"/>
      <c r="E243" s="33"/>
      <c r="F243" s="33"/>
      <c r="G243" s="33"/>
      <c r="H243" s="33"/>
      <c r="I243" s="33"/>
      <c r="J243" s="33"/>
      <c r="K243" s="33"/>
      <c r="L243" s="33"/>
      <c r="M243" s="33"/>
      <c r="O243" s="33" t="s">
        <v>530</v>
      </c>
      <c r="P243" s="33" t="s">
        <v>530</v>
      </c>
      <c r="Q243" s="114" t="str">
        <f ca="1">IF(AND($Q$11="warlock",$Q$12&gt;=3),"x",IF(Q11="warlock","xx"," "))</f>
        <v xml:space="preserve"> </v>
      </c>
      <c r="R243" s="114" t="str">
        <f ca="1">IF(AND($Q$11="warlock",$Q$12&gt;=5),"x",IF(AND($Q$11="warlock",$Q$12&gt;=3),"xx"," "))</f>
        <v xml:space="preserve"> </v>
      </c>
      <c r="S243" s="114" t="str">
        <f ca="1">IF(AND($Q$11="warlock",$Q$12&gt;=7),"x",IF(AND($Q$11="warlock",$Q$12&gt;=5),"xx"," "))</f>
        <v xml:space="preserve"> </v>
      </c>
      <c r="T243" s="114" t="str">
        <f ca="1">IF(AND($Q$11="warlock",$Q$12&gt;=9),"x",IF(AND($Q$11="warlock",$Q$12&gt;=7),"xx"," "))</f>
        <v xml:space="preserve"> </v>
      </c>
    </row>
    <row r="244" spans="2:20" hidden="1" x14ac:dyDescent="0.3">
      <c r="B244" s="92" t="s">
        <v>1268</v>
      </c>
      <c r="C244" s="33"/>
      <c r="D244" s="33"/>
      <c r="E244" s="33"/>
      <c r="F244" s="33"/>
      <c r="G244" s="33"/>
      <c r="H244" s="33"/>
      <c r="I244" s="33"/>
      <c r="J244" s="33"/>
      <c r="K244" s="33"/>
      <c r="L244" s="33"/>
      <c r="M244" s="33"/>
      <c r="O244" s="33" t="str">
        <f ca="1">IF(Q11="warlock",INDEX('Spell Tables'!C194:C213,MATCH($Q$12,('Spell Tables'!A194:A213),0))," ")</f>
        <v xml:space="preserve"> </v>
      </c>
      <c r="P244" s="33">
        <f ca="1">IF($Q$11="warlock",INDEX('Spell Tables'!B194:B213,MATCH($Q$12,('Spell Tables'!A194:A213),0)),0)</f>
        <v>0</v>
      </c>
      <c r="Q244" s="114">
        <f ca="1">IF($Q243="x",RANDBETWEEN(1,2),IF($Q243="xx",$O$244,0))</f>
        <v>0</v>
      </c>
      <c r="R244" s="114">
        <f ca="1">IF(R243="x",RANDBETWEEN(1,2),IF(R243="xx",$O$244-Q244,0))</f>
        <v>0</v>
      </c>
      <c r="S244" s="114">
        <f ca="1">IF(S243="x",O244-SUM(Q244:R244,U171:X171),IF(S243="xx",$O$244-SUM(Q244:R244),0))</f>
        <v>0</v>
      </c>
      <c r="T244" s="114">
        <f ca="1">IF(T243="x",RANDBETWEEN(1,2),IF(T243="xx",RANDBETWEEN(2,3),0))</f>
        <v>0</v>
      </c>
    </row>
    <row r="245" spans="2:20" hidden="1" x14ac:dyDescent="0.3">
      <c r="B245" s="92" t="s">
        <v>1267</v>
      </c>
      <c r="C245" s="33"/>
      <c r="D245" s="33"/>
      <c r="E245" s="33"/>
      <c r="F245" s="33"/>
      <c r="G245" s="33"/>
      <c r="H245" s="33"/>
      <c r="I245" s="33"/>
      <c r="J245" s="33"/>
      <c r="K245" s="33"/>
      <c r="L245" s="33"/>
      <c r="M245" s="33"/>
      <c r="O245" s="33" t="s">
        <v>530</v>
      </c>
      <c r="P245" s="33" t="s">
        <v>530</v>
      </c>
      <c r="Q245" s="114" t="str">
        <f ca="1">IF(AND($Q$11="sorcerer",$Q$12&gt;=3),"x",IF($Q$11="sorcerer","xx"," "))</f>
        <v xml:space="preserve"> </v>
      </c>
      <c r="R245" s="114" t="str">
        <f ca="1">IF(AND($Q$11="sorcerer",$Q$12&gt;=5),"x",IF(AND($Q$11="sorcerer",$Q$12&gt;=3),"xx"," "))</f>
        <v xml:space="preserve"> </v>
      </c>
      <c r="S245" s="114" t="str">
        <f ca="1">IF(AND($Q$11="sorcerer",$Q$12&gt;=7),"x",IF(AND($Q$11="sorcerer",$Q$12&gt;=5),"xx"," "))</f>
        <v xml:space="preserve"> </v>
      </c>
      <c r="T245" s="114" t="str">
        <f ca="1">IF(AND($Q$11="sorcerer",$Q$12&gt;=9),"x",IF(AND($Q$11="sorcerer",$Q$12&gt;=7),"xx"," "))</f>
        <v xml:space="preserve"> </v>
      </c>
    </row>
    <row r="246" spans="2:20" hidden="1" x14ac:dyDescent="0.3">
      <c r="B246" s="92" t="s">
        <v>1266</v>
      </c>
      <c r="C246" s="33"/>
      <c r="D246" s="33"/>
      <c r="E246" s="33"/>
      <c r="F246" s="33"/>
      <c r="G246" s="33"/>
      <c r="H246" s="33"/>
      <c r="I246" s="33"/>
      <c r="J246" s="33"/>
      <c r="K246" s="33"/>
      <c r="L246" s="33"/>
      <c r="M246" s="33"/>
      <c r="O246" s="33" t="str">
        <f ca="1">IF(Q11="sorcerer",INDEX('Spell Tables'!C168:C187,MATCH($Q$12,('Spell Tables'!A168:A187),0))," ")</f>
        <v xml:space="preserve"> </v>
      </c>
      <c r="P246" s="33">
        <f ca="1">IF($Q$11="sorcerer",INDEX('Spell Tables'!B168:B187,MATCH($Q$12,('Spell Tables'!A168:A187),0)),0)</f>
        <v>0</v>
      </c>
      <c r="Q246" s="114">
        <f ca="1">IF($Q245="x",RANDBETWEEN(1,2),IF($Q245="xx",$O$246,0))</f>
        <v>0</v>
      </c>
      <c r="R246" s="114">
        <f ca="1">IF(R245="x",RANDBETWEEN(1,2),IF(R245="xx",$O$246-Q246,0))</f>
        <v>0</v>
      </c>
      <c r="S246" s="114">
        <f ca="1">IF(S245="x",O246-SUM(Q246:R246,U173:X173),IF(S245="xx",$O$246-SUM(Q246:R246),0))</f>
        <v>0</v>
      </c>
      <c r="T246" s="114">
        <f ca="1">IF(T245="x",RANDBETWEEN(1,2),IF(T245="xx",RANDBETWEEN(2,3),0))</f>
        <v>0</v>
      </c>
    </row>
    <row r="247" spans="2:20" hidden="1" x14ac:dyDescent="0.3">
      <c r="B247" s="92" t="s">
        <v>1254</v>
      </c>
      <c r="C247" s="33"/>
      <c r="D247" s="33"/>
      <c r="E247" s="33"/>
      <c r="F247" s="33"/>
      <c r="G247" s="33"/>
      <c r="H247" s="33"/>
      <c r="I247" s="33"/>
      <c r="J247" s="33"/>
      <c r="K247" s="33"/>
      <c r="L247" s="33"/>
      <c r="M247" s="33"/>
      <c r="O247" s="33" t="s">
        <v>530</v>
      </c>
      <c r="P247" s="33" t="s">
        <v>530</v>
      </c>
      <c r="Q247" s="114" t="str">
        <f ca="1">IF(AND(R15="arcane trickster",Q12&gt;=7),"x",IF(R15="arcane trickster","xx"," "))</f>
        <v xml:space="preserve"> </v>
      </c>
      <c r="R247" s="114" t="str">
        <f ca="1">IF(AND(R15="arcane trickster",Q12=13),"x",IF(AND(R15="arcane trickster",$Q$12&gt;=7),"xx"," "))</f>
        <v xml:space="preserve"> </v>
      </c>
      <c r="S247" s="114" t="str">
        <f ca="1">IF(AND(R15="arcane trickster",Q12&gt;=19),"x",IF(AND(R15="arcane trickster",$Q$12&gt;=13),"xx"," "))</f>
        <v xml:space="preserve"> </v>
      </c>
      <c r="T247" s="114" t="str">
        <f ca="1">IF(AND(R15="arcane trickster",$Q$12&gt;=19),"xx"," ")</f>
        <v xml:space="preserve"> </v>
      </c>
    </row>
    <row r="248" spans="2:20" hidden="1" x14ac:dyDescent="0.3">
      <c r="B248" s="92" t="s">
        <v>1253</v>
      </c>
      <c r="C248" s="33"/>
      <c r="D248" s="33"/>
      <c r="E248" s="33"/>
      <c r="F248" s="33"/>
      <c r="G248" s="33"/>
      <c r="H248" s="33"/>
      <c r="I248" s="33"/>
      <c r="J248" s="33"/>
      <c r="K248" s="33"/>
      <c r="L248" s="33"/>
      <c r="M248" s="33"/>
      <c r="O248" s="33" t="str">
        <f ca="1">IF(R15="arcane trickster",INDEX('Spell Tables'!C141:C160,MATCH($Q$12,('Spell Tables'!A141:A160),0))," ")</f>
        <v xml:space="preserve"> </v>
      </c>
      <c r="P248" s="33">
        <f ca="1">IF($R$15="arcane trickster",INDEX('Spell Tables'!B141:B160,MATCH($Q$12,('Spell Tables'!A141:A160),0)),0)</f>
        <v>0</v>
      </c>
      <c r="Q248" s="114">
        <f ca="1">IF($Q247="x",RANDBETWEEN(2,3),IF($Q247="xx",$O$248,0))</f>
        <v>0</v>
      </c>
      <c r="R248" s="114">
        <f ca="1">IF(R247="x",RANDBETWEEN(2,3),IF(R247="xx",$O$248-Q248,0))</f>
        <v>0</v>
      </c>
      <c r="S248" s="114">
        <f ca="1">IF(S247="x",O248-SUM(Q248:R248,U175:X175),IF(S247="xx",$O$248-SUM(Q248:R248),0))</f>
        <v>0</v>
      </c>
      <c r="T248" s="114">
        <f ca="1">IF(T247="x",RANDBETWEEN(1,2),IF(T247="xx",RANDBETWEEN(2,3),0))</f>
        <v>0</v>
      </c>
    </row>
    <row r="249" spans="2:20" hidden="1" x14ac:dyDescent="0.3">
      <c r="B249" s="92" t="s">
        <v>1247</v>
      </c>
      <c r="C249" s="33"/>
      <c r="D249" s="33"/>
      <c r="E249" s="33"/>
      <c r="F249" s="33"/>
      <c r="G249" s="33"/>
      <c r="H249" s="33"/>
      <c r="I249" s="33"/>
      <c r="J249" s="33"/>
      <c r="K249" s="33"/>
      <c r="L249" s="33"/>
      <c r="M249" s="33"/>
      <c r="O249" s="33" t="s">
        <v>530</v>
      </c>
      <c r="P249" s="33" t="s">
        <v>1324</v>
      </c>
      <c r="Q249" s="114" t="str">
        <f ca="1">IF(AND($Q$11="ranger",$Q$12&gt;=5),"x",IF(AND(Q11="ranger",Q12&gt;=2),"xx"," "))</f>
        <v xml:space="preserve"> </v>
      </c>
      <c r="R249" s="114" t="str">
        <f ca="1">IF(AND($Q$11="ranger",$Q$12&gt;=9),"x",IF(AND($Q$11="ranger",$Q$12&gt;=5),"xx"," "))</f>
        <v xml:space="preserve"> </v>
      </c>
      <c r="S249" s="114" t="str">
        <f ca="1">IF(AND($Q$11="ranger",$Q$12&gt;=13),"x",IF(AND($Q$11="ranger",$Q$12&gt;=9),"xx"," "))</f>
        <v xml:space="preserve"> </v>
      </c>
      <c r="T249" s="114" t="str">
        <f ca="1">IF(AND($Q$11="ranger",$Q$12&gt;=17),"x",IF(AND($Q$11="ranger",$Q$12&gt;=13),"xx"," "))</f>
        <v xml:space="preserve"> </v>
      </c>
    </row>
    <row r="250" spans="2:20" hidden="1" x14ac:dyDescent="0.3">
      <c r="B250" s="92" t="s">
        <v>1246</v>
      </c>
      <c r="C250" s="33"/>
      <c r="D250" s="33"/>
      <c r="E250" s="33"/>
      <c r="F250" s="33"/>
      <c r="G250" s="33"/>
      <c r="H250" s="33"/>
      <c r="I250" s="33"/>
      <c r="J250" s="33"/>
      <c r="K250" s="33"/>
      <c r="L250" s="33"/>
      <c r="M250" s="33"/>
      <c r="O250" s="33" t="str">
        <f ca="1">IF($Q$11="ranger",INDEX('Spell Tables'!C119:C138,MATCH($Q$12,('Spell Tables'!B119:B138),0))," ")</f>
        <v xml:space="preserve"> </v>
      </c>
      <c r="P250" s="33" t="s">
        <v>1324</v>
      </c>
      <c r="Q250" s="114">
        <f ca="1">IF($Q249="x",RANDBETWEEN(1,2),IF($Q249="xx",$O$250,0))</f>
        <v>0</v>
      </c>
      <c r="R250" s="114">
        <f ca="1">IF(R249="x",RANDBETWEEN(1,2),IF(R249="xx",$O$250-Q250,0))</f>
        <v>0</v>
      </c>
      <c r="S250" s="114">
        <f ca="1">IF(S249="x",O250-SUM(Q250:R250,U177:X177),IF(S249="xx",$O$250-SUM(Q250:R250),0))</f>
        <v>0</v>
      </c>
      <c r="T250" s="114">
        <f ca="1">IF(T249="x",RANDBETWEEN(1,2),IF(T249="xx",RANDBETWEEN(2,3),0))</f>
        <v>0</v>
      </c>
    </row>
    <row r="251" spans="2:20" hidden="1" x14ac:dyDescent="0.3">
      <c r="B251" s="92" t="s">
        <v>1245</v>
      </c>
      <c r="C251" s="33"/>
      <c r="D251" s="33"/>
      <c r="E251" s="33"/>
      <c r="F251" s="33"/>
      <c r="G251" s="33"/>
      <c r="H251" s="33"/>
      <c r="I251" s="33"/>
      <c r="J251" s="33"/>
      <c r="K251" s="33"/>
      <c r="L251" s="33"/>
      <c r="M251" s="33"/>
      <c r="O251" s="33" t="s">
        <v>530</v>
      </c>
      <c r="P251" s="33" t="s">
        <v>1324</v>
      </c>
      <c r="Q251" s="114" t="str">
        <f ca="1">IF(AND($Q$11="paladin",$Q$12&gt;=5),"x",IF($Q$11="paladin","xx"," "))</f>
        <v xml:space="preserve"> </v>
      </c>
      <c r="R251" s="114" t="str">
        <f ca="1">IF(AND(Q11="paladin",Q12&gt;=9),"x",IF(AND($Q$11="paladin",$Q$12&gt;=5),"xx"," "))</f>
        <v xml:space="preserve"> </v>
      </c>
      <c r="S251" s="114" t="str">
        <f ca="1">IF(AND(Q11="paladin",Q12&gt;=13),"x",IF(AND($Q$11="paladin",$Q$12&gt;=9),"xx"," "))</f>
        <v xml:space="preserve"> </v>
      </c>
      <c r="T251" s="114" t="str">
        <f ca="1">IF(AND(Q11="paladin",Q12&gt;=17),"x",IF(AND($Q$11="paladin",$Q$12&gt;=13),"xx"," "))</f>
        <v xml:space="preserve"> </v>
      </c>
    </row>
    <row r="252" spans="2:20" hidden="1" x14ac:dyDescent="0.3">
      <c r="B252" s="92" t="s">
        <v>1244</v>
      </c>
      <c r="C252" s="33"/>
      <c r="D252" s="33"/>
      <c r="E252" s="33"/>
      <c r="F252" s="33"/>
      <c r="G252" s="33"/>
      <c r="H252" s="33"/>
      <c r="I252" s="33"/>
      <c r="J252" s="33"/>
      <c r="K252" s="33"/>
      <c r="L252" s="33"/>
      <c r="M252" s="33"/>
      <c r="O252" s="33" t="str">
        <f ca="1">IF(Q11="paladin",ROUNDDOWN(N43+(Q12*0.5),0)," ")</f>
        <v xml:space="preserve"> </v>
      </c>
      <c r="P252" s="33" t="s">
        <v>1324</v>
      </c>
      <c r="Q252" s="114">
        <f ca="1">IF($Q251="x",RANDBETWEEN(1,2),IF($Q251="xx",$O$252,0))</f>
        <v>0</v>
      </c>
      <c r="R252" s="114">
        <f ca="1">IF(R251="x",RANDBETWEEN(1,2),IF(R251="xx",$O$252-Q252,0))</f>
        <v>0</v>
      </c>
      <c r="S252" s="114">
        <f ca="1">IF(S251="x",O252-SUM(Q252:R252,U179:X179),IF(S251="xx",$O$252-SUM(Q252:R252),0))</f>
        <v>0</v>
      </c>
      <c r="T252" s="114">
        <f ca="1">IF(T251="x",RANDBETWEEN(1,2),IF(T251="xx",RANDBETWEEN(2,3),0))</f>
        <v>0</v>
      </c>
    </row>
    <row r="253" spans="2:20" hidden="1" x14ac:dyDescent="0.3">
      <c r="B253" s="92" t="s">
        <v>1226</v>
      </c>
      <c r="C253" s="33"/>
      <c r="D253" s="33"/>
      <c r="E253" s="33"/>
      <c r="F253" s="33"/>
      <c r="G253" s="33"/>
      <c r="H253" s="33"/>
      <c r="I253" s="33"/>
      <c r="J253" s="33"/>
      <c r="K253" s="33"/>
      <c r="L253" s="33"/>
      <c r="M253" s="33"/>
      <c r="O253" s="33" t="s">
        <v>530</v>
      </c>
      <c r="P253" s="33" t="s">
        <v>530</v>
      </c>
      <c r="Q253" s="114" t="str">
        <f ca="1">IF(AND(R15="eldritch knight",Q12&gt;=7),"x",IF(R15="eldritch knight","xx"," "))</f>
        <v xml:space="preserve"> </v>
      </c>
      <c r="R253" s="114" t="str">
        <f ca="1">IF(AND(R15="eldritch knight",Q12&gt;=13),"x",IF(AND(R15="eldritch knight",$Q$12&gt;=7),"xx"," "))</f>
        <v xml:space="preserve"> </v>
      </c>
      <c r="S253" s="114" t="str">
        <f ca="1">IF(AND(R15="eldritch knight",Q12&gt;=19),"x",IF(AND(R15="eldritch knight",$Q$12&gt;=13),"xx"," "))</f>
        <v xml:space="preserve"> </v>
      </c>
      <c r="T253" s="114" t="str">
        <f ca="1">IF(AND(R15="eldritch knight",$Q$12&gt;=19),"xx"," ")</f>
        <v xml:space="preserve"> </v>
      </c>
    </row>
    <row r="254" spans="2:20" hidden="1" x14ac:dyDescent="0.3">
      <c r="B254" s="92" t="s">
        <v>1222</v>
      </c>
      <c r="C254" s="33"/>
      <c r="D254" s="33"/>
      <c r="E254" s="33"/>
      <c r="F254" s="33"/>
      <c r="G254" s="33"/>
      <c r="H254" s="33"/>
      <c r="I254" s="33"/>
      <c r="J254" s="33"/>
      <c r="K254" s="33"/>
      <c r="L254" s="33"/>
      <c r="M254" s="33"/>
      <c r="O254" s="33" t="str">
        <f ca="1">IF($R$15="eldritch knight",INDEX('Spell Tables'!C70:C89,MATCH($Q$12,('Spell Tables'!A70:A89),0))," ")</f>
        <v xml:space="preserve"> </v>
      </c>
      <c r="P254" s="33">
        <f ca="1">IF($R$15="eldritch knight",INDEX('Spell Tables'!B70:B89,MATCH($Q$12,('Spell Tables'!A70:A89),0)),0)</f>
        <v>0</v>
      </c>
      <c r="Q254" s="114">
        <f ca="1">IF($Q253="x",RANDBETWEEN(2,3),IF($Q253="xx",$O$254,0))</f>
        <v>0</v>
      </c>
      <c r="R254" s="114">
        <f ca="1">IF(R253="x",RANDBETWEEN(2,3),IF(R253="xx",$O$254-Q254,0))</f>
        <v>0</v>
      </c>
      <c r="S254" s="114">
        <f ca="1">IF(S253="x",O254-SUM(Q254:R254,U181:X181),IF(S253="xx",$O$254-SUM(Q254:R254),0))</f>
        <v>0</v>
      </c>
      <c r="T254" s="114">
        <f ca="1">IF(T253="x",RANDBETWEEN(1,2),IF(T253="xx",RANDBETWEEN(2,3),0))</f>
        <v>0</v>
      </c>
    </row>
    <row r="255" spans="2:20" hidden="1" x14ac:dyDescent="0.3">
      <c r="B255" s="92" t="s">
        <v>1219</v>
      </c>
      <c r="C255" s="33"/>
      <c r="D255" s="33"/>
      <c r="E255" s="33"/>
      <c r="F255" s="33"/>
      <c r="G255" s="33"/>
      <c r="H255" s="33"/>
      <c r="I255" s="33"/>
      <c r="J255" s="33"/>
      <c r="K255" s="33"/>
      <c r="L255" s="33"/>
      <c r="M255" s="33"/>
      <c r="O255" s="33" t="s">
        <v>530</v>
      </c>
      <c r="P255" s="33" t="s">
        <v>530</v>
      </c>
      <c r="Q255" s="114" t="str">
        <f ca="1">IF(AND($Q$11="druid",$Q$12&gt;=3),"x",IF($Q$11="druid","xx"," "))</f>
        <v xml:space="preserve"> </v>
      </c>
      <c r="R255" s="114" t="str">
        <f ca="1">IF(AND($Q$11="druid",$Q$12&gt;=5),"x",IF(AND($Q$11="druid",$Q$12&gt;=3),"xx"," "))</f>
        <v xml:space="preserve"> </v>
      </c>
      <c r="S255" s="114" t="str">
        <f ca="1">IF(AND($Q$11="druid",$Q$12&gt;=7),"x",IF(AND($Q$11="druid",$Q$12&gt;=5),"xx"," "))</f>
        <v xml:space="preserve"> </v>
      </c>
      <c r="T255" s="114" t="str">
        <f ca="1">IF(AND($Q$11="druid",$Q$12&gt;=9),"x",IF(AND($Q$11="druid",$Q$12&gt;=7),"xx"," "))</f>
        <v xml:space="preserve"> </v>
      </c>
    </row>
    <row r="256" spans="2:20" hidden="1" x14ac:dyDescent="0.3">
      <c r="B256" s="92" t="s">
        <v>1220</v>
      </c>
      <c r="C256" s="33"/>
      <c r="D256" s="33"/>
      <c r="E256" s="33"/>
      <c r="F256" s="33"/>
      <c r="G256" s="33"/>
      <c r="H256" s="33"/>
      <c r="I256" s="33"/>
      <c r="J256" s="95"/>
      <c r="K256" s="95"/>
      <c r="L256" s="95"/>
      <c r="M256" s="95"/>
      <c r="O256" s="33" t="str">
        <f ca="1">IF(Q11="druid",Q12+N42," ")</f>
        <v xml:space="preserve"> </v>
      </c>
      <c r="P256" s="33">
        <f ca="1">IF($Q$11="druid",INDEX('Spell Tables'!C48:C67,MATCH($Q$12,('Spell Tables'!B48:B67),0)),0)</f>
        <v>0</v>
      </c>
      <c r="Q256" s="114">
        <f ca="1">IF($Q255="x",RANDBETWEEN(1,2),IF($Q255="xx",$O$256,0))</f>
        <v>0</v>
      </c>
      <c r="R256" s="114">
        <f ca="1">IF(R255="x",RANDBETWEEN(1,2),IF(R255="xx",$O$256-Q256,0))</f>
        <v>0</v>
      </c>
      <c r="S256" s="114">
        <f ca="1">IF(S255="x",O256-SUM(Q256:R256,U183:X183),IF(S255="xx",$O$256-SUM(Q256:R256),0))</f>
        <v>0</v>
      </c>
      <c r="T256" s="114">
        <f ca="1">IF(T255="x",RANDBETWEEN(1,2),IF(T255="xx",RANDBETWEEN(2,3),0))</f>
        <v>0</v>
      </c>
    </row>
    <row r="257" spans="2:20" hidden="1" x14ac:dyDescent="0.3">
      <c r="B257" s="92" t="s">
        <v>1143</v>
      </c>
      <c r="C257" s="33"/>
      <c r="D257" s="33"/>
      <c r="E257" s="33"/>
      <c r="F257" s="33"/>
      <c r="G257" s="33"/>
      <c r="H257" s="33"/>
      <c r="I257" s="33"/>
      <c r="J257" s="33"/>
      <c r="K257" s="33"/>
      <c r="L257" s="33"/>
      <c r="M257" s="33"/>
      <c r="O257" s="33" t="s">
        <v>530</v>
      </c>
      <c r="P257" s="33" t="s">
        <v>530</v>
      </c>
      <c r="Q257" s="114" t="str">
        <f ca="1">IF(AND(Q11="cleric",Q12&gt;=3),"x",IF(Q11="cleric","xx"," "))</f>
        <v xml:space="preserve"> </v>
      </c>
      <c r="R257" s="114" t="str">
        <f ca="1">IF(AND(Q11="cleric",Q12&gt;=5),"x",IF(AND($Q$11="cleric",$Q$12&gt;=3),"xx"," "))</f>
        <v xml:space="preserve"> </v>
      </c>
      <c r="S257" s="114" t="str">
        <f ca="1">IF(AND(Q11="cleric",Q12&gt;=7),"x",IF(AND($Q$11="cleric",$Q$12&gt;=5),"xx"," "))</f>
        <v xml:space="preserve"> </v>
      </c>
      <c r="T257" s="114" t="str">
        <f ca="1">IF(AND(Q11="cleric",Q12&gt;=9),"x",IF(AND($Q$11="cleric",$Q$12&gt;=7),"xx"," "))</f>
        <v xml:space="preserve"> </v>
      </c>
    </row>
    <row r="258" spans="2:20" hidden="1" x14ac:dyDescent="0.3">
      <c r="B258" s="92" t="s">
        <v>1142</v>
      </c>
      <c r="C258" s="33"/>
      <c r="D258" s="33"/>
      <c r="E258" s="33"/>
      <c r="F258" s="33"/>
      <c r="G258" s="33"/>
      <c r="H258" s="33"/>
      <c r="I258" s="33"/>
      <c r="J258" s="33"/>
      <c r="K258" s="33"/>
      <c r="L258" s="33"/>
      <c r="M258" s="33"/>
      <c r="O258" s="33" t="str">
        <f ca="1">IF(Q11="cleric",Q12+N42," ")</f>
        <v xml:space="preserve"> </v>
      </c>
      <c r="P258" s="33">
        <f ca="1">IF($Q$11="cleric",INDEX('Spell Tables'!C26:C45,MATCH($Q$12,('Spell Tables'!B26:B45),0)),0)</f>
        <v>0</v>
      </c>
      <c r="Q258" s="114">
        <f ca="1">IF($Q257="x",RANDBETWEEN(1,2),IF($Q257="xx",$O$258,0))</f>
        <v>0</v>
      </c>
      <c r="R258" s="114">
        <f ca="1">IF(R257="x",RANDBETWEEN(1,2),IF(R257="xx",$O$258-Q258,0))</f>
        <v>0</v>
      </c>
      <c r="S258" s="114">
        <f ca="1">IF(S257="x",O258-SUM(Q258:R258,U185:X185),IF(S257="xx",$O$258-SUM(Q258:R258),0))</f>
        <v>0</v>
      </c>
      <c r="T258" s="114">
        <f ca="1">IF(T257="x",RANDBETWEEN(1,2),IF(T257="xx",RANDBETWEEN(2,3),0))</f>
        <v>0</v>
      </c>
    </row>
    <row r="259" spans="2:20" hidden="1" x14ac:dyDescent="0.3">
      <c r="B259" s="92" t="s">
        <v>1248</v>
      </c>
      <c r="C259" s="33"/>
      <c r="D259" s="33"/>
      <c r="E259" s="33"/>
      <c r="F259" s="33"/>
      <c r="G259" s="33"/>
      <c r="H259" s="33"/>
      <c r="I259" s="33"/>
      <c r="J259" s="33"/>
      <c r="K259" s="33"/>
      <c r="L259" s="33"/>
      <c r="M259" s="33"/>
      <c r="O259" s="33" t="s">
        <v>530</v>
      </c>
      <c r="P259" s="33" t="s">
        <v>530</v>
      </c>
      <c r="Q259" s="114" t="str">
        <f ca="1">IF(AND($Q$11="bard",$Q$12&gt;=3),"x",IF($Q$11="bard","xx"," "))</f>
        <v xml:space="preserve"> </v>
      </c>
      <c r="R259" s="114" t="str">
        <f ca="1">IF(AND($Q$11="bard",$Q$12&gt;=5),"x",IF(AND($Q$11="bard",$Q$12&gt;=3),"xx"," "))</f>
        <v xml:space="preserve"> </v>
      </c>
      <c r="S259" s="114" t="str">
        <f ca="1">IF(AND($Q$11="bard",$Q$12&gt;=7),"x",IF(AND($Q$11="bard",$Q$12&gt;=5),"xx"," "))</f>
        <v xml:space="preserve"> </v>
      </c>
      <c r="T259" s="114" t="str">
        <f ca="1">IF(AND($Q$11="bard",$Q$12&gt;=9),"x",IF(AND($Q$11="bard",$Q$12&gt;=7),"xx"," "))</f>
        <v xml:space="preserve"> </v>
      </c>
    </row>
    <row r="260" spans="2:20" hidden="1" x14ac:dyDescent="0.3">
      <c r="B260" s="92" t="s">
        <v>1141</v>
      </c>
      <c r="C260" s="33"/>
      <c r="D260" s="33"/>
      <c r="E260" s="33"/>
      <c r="F260" s="33"/>
      <c r="G260" s="33"/>
      <c r="H260" s="33"/>
      <c r="I260" s="33"/>
      <c r="J260" s="33"/>
      <c r="K260" s="33"/>
      <c r="L260" s="33"/>
      <c r="M260" s="33"/>
      <c r="O260" s="33" t="str">
        <f ca="1">IF($Q$11="bard",INDEX('Spell Tables'!C$2:C$21,MATCH($Q$12,('Spell Tables'!$A$2:$A$21),0))," ")</f>
        <v xml:space="preserve"> </v>
      </c>
      <c r="P260" s="33">
        <f ca="1">IF($Q$11="bard",INDEX('Spell Tables'!B2:B21,MATCH($Q$12,('Spell Tables'!A2:A21),0)),0)</f>
        <v>0</v>
      </c>
      <c r="Q260" s="114">
        <f ca="1">IF($Q259="x",RANDBETWEEN(1,2),IF($Q259="xx",$O$260,0))</f>
        <v>0</v>
      </c>
      <c r="R260" s="114">
        <f ca="1">IF(R259="x",RANDBETWEEN(1,2),IF(R259="xx",$O$260-Q260,0))</f>
        <v>0</v>
      </c>
      <c r="S260" s="114">
        <f ca="1">IF(S259="x",O260-SUM(Q260:R260,U187:X187),IF(S259="xx",$O$260-SUM(Q260:R260),0))</f>
        <v>0</v>
      </c>
      <c r="T260" s="114">
        <f ca="1">IF(T259="x",RANDBETWEEN(1,2),IF(T259="xx",RANDBETWEEN(2,3),0))</f>
        <v>0</v>
      </c>
    </row>
    <row r="261" spans="2:20" x14ac:dyDescent="0.3">
      <c r="B261" s="92" t="s">
        <v>1122</v>
      </c>
      <c r="C261" s="33"/>
      <c r="D261" s="33"/>
      <c r="E261" s="33"/>
      <c r="F261" s="33"/>
      <c r="G261" s="33"/>
      <c r="H261" s="33"/>
      <c r="I261" s="33"/>
      <c r="J261" s="33"/>
      <c r="K261" s="33"/>
      <c r="L261" s="33"/>
      <c r="M261" s="33"/>
      <c r="O261" s="33"/>
      <c r="P261" s="92" t="s">
        <v>1124</v>
      </c>
      <c r="Q261" s="92" t="s">
        <v>746</v>
      </c>
      <c r="R261" s="92" t="s">
        <v>747</v>
      </c>
      <c r="S261" s="92" t="s">
        <v>748</v>
      </c>
      <c r="T261" s="92" t="s">
        <v>749</v>
      </c>
    </row>
    <row r="262" spans="2:20" x14ac:dyDescent="0.3">
      <c r="B262" s="33" t="str">
        <f ca="1">IF(OR(Q11="bard",Q11="paladin",Q11="sorcerer",Q11="warlock"),8+$P$8+$N$43,IF(OR(Q11="druid",Q11="cleric",Q11="ranger"),8+P8+N42,IF(OR(R15="eldritch knight",R15="arcane trickster",Q11="wizard"),8+P8+N41," ")))</f>
        <v xml:space="preserve"> </v>
      </c>
      <c r="C262" s="33"/>
      <c r="D262" s="33"/>
      <c r="E262" s="33"/>
      <c r="F262" s="33"/>
      <c r="G262" s="33"/>
      <c r="H262" s="33"/>
      <c r="I262" s="33"/>
      <c r="J262" s="33"/>
      <c r="K262" s="33"/>
      <c r="L262" s="33"/>
      <c r="M262" s="33"/>
      <c r="O262" s="34">
        <v>1</v>
      </c>
      <c r="P262" s="33" t="str">
        <f ca="1">IF(P$242&gt;=O193,INDEX('Spell Tables'!$P$242:$P$257,MATCH(O193,('Spell Tables'!$N$242:$N$257),0)),IF(P$244&gt;=O193,INDEX('Spell Tables'!$P$194:$P$201,MATCH(O193,('Spell Tables'!$N$194:$N$201),0)),IF(P$246&gt;=O193,INDEX('Spell Tables'!$P$168:$P$183,MATCH(O193,('Spell Tables'!$N$168:$N$183),0)),IF(P$248&gt;=O193,INDEX('Spell Tables'!$P$141:$P$156,MATCH(O193,('Spell Tables'!$N$141:$N$157),0)),IF(P$254&gt;=O193,INDEX('Spell Tables'!$P$70:$P$83,MATCH(O193,('Spell Tables'!$N$70:$N$83),0)),IF(P$256&gt;=O193,INDEX('Spell Tables'!$P$48:$P$55,MATCH(O193,('Spell Tables'!$N$48:$N$55),0)),IF(P$258&gt;=O193,INDEX('Spell Tables'!$P$26:$P$32,MATCH(O193,('Spell Tables'!$N$26:$N$32),0)),IF(P$260&gt;=O193,INDEX('Spell Tables'!$P$2:$P$12,MATCH(O193,('Spell Tables'!$N$2:$N$12),0))," "))))))))</f>
        <v xml:space="preserve"> </v>
      </c>
      <c r="Q262" s="33" t="str">
        <f ca="1">IF(AND($Q$15="Otherworldly patron - great old one",Q$244&gt;=O193),INDEX('Spell Tables'!$T$226:$T$238,MATCH(O193,('Spell Tables'!$R$226:$R$238),0)),IF(AND($Q$15="Otherworldly patron - fiend",Q$244&gt;=O193),INDEX('Spell Tables'!$T$210:$T$222,MATCH(O193,('Spell Tables'!$R$210:$R$222),0)),IF(Q$242&gt;=O193,INDEX($AL$44:$AL$53,MATCH(O193,($AJ$44:$AJ$53),0)),IF(AND($Q$15="Otherworldly patron - archfey",Q$244&gt;=O193),INDEX('Spell Tables'!T$206:$T294,MATCH(O193,('Spell Tables'!$R$194:$R$206),0)),IF(Q$246&gt;=O193,INDEX('Spell Tables'!T268:T287,MATCH(O193,('Spell Tables'!$R$168:$R$187),0)),IF(Q$248&gt;=O193,INDEX('Spell Tables'!T241:T247,MATCH(O193,('Spell Tables'!$R$141:$R$147),0)),IF(Q$250&gt;=O193,INDEX('Spell Tables'!$P$119:$P$131,MATCH(O193,('Spell Tables'!$N$119:$N$131),0)),IF(Q$252&gt;=O193,INDEX('Spell Tables'!$P$97:$P$111,MATCH(O193,('Spell Tables'!$N$97:$N$111),0)),IF(Q$254&gt;=O193,INDEX('Spell Tables'!$T$70:$T$78,MATCH(O193,('Spell Tables'!$R$70:$R$78),0)),IF(Q$256&gt;=O193,INDEX('Spell Tables'!$T$48:$T$63,MATCH(O193,('Spell Tables'!$R$48:$R$63),0)),IF(Q$258&gt;=O193,INDEX('Spell Tables'!$T$26:$T$40,MATCH(O193,('Spell Tables'!$R$26:$R$40),0)),IF(Q$260&gt;=O193,INDEX('Spell Tables'!$T$2:$T$22,MATCH(O193,('Spell Tables'!$R$2:$R$22),0))," "))))))))))))</f>
        <v xml:space="preserve"> </v>
      </c>
      <c r="R262" s="33" t="str">
        <f ca="1">IF(AND($Q$15="Otherworldly patron - great old one",R$244&gt;=O193),INDEX('Spell Tables'!$X$226:$X$239,MATCH(O193,('Spell Tables'!$V$226:$V$239),0)),IF(AND($Q$15="Otherworldly patron - fiend",R$244&gt;=O193),INDEX('Spell Tables'!$X$210:$X$223,MATCH(O193,('Spell Tables'!$V$210:$V$223),0)),IF(AND($Q$15="Otherworldly patron - archfey",R$244&gt;=O193),INDEX('Spell Tables'!$X$194:$X$207,MATCH(O193,('Spell Tables'!$V$194:$V$207),0)),IF($R$242&gt;=O193,INDEX($AL$56:$AL$65,MATCH(O193,($AJ$56:$AJ$65),0)),IF($R$246&gt;=O193,INDEX('Spell Tables'!$X$168:$X$191,MATCH(O193,('Spell Tables'!$V$168:$V$191),0)),IF($R$248&gt;=O193,INDEX('Spell Tables'!$AB$141:$AB$149,MATCH(O193,('Spell Tables'!$Z$141:$Z$149),0)),IF($R$250&gt;=O193,INDEX('Spell Tables'!T219:T231,MATCH(O193,('Spell Tables'!$R$119:$R$131),0)),IF($R$252&gt;=O193,INDEX('Spell Tables'!$T$97:T204,MATCH(O193,('Spell Tables'!$R$97:$R$104),0)),IF($R$254&gt;=O193,INDEX('Spell Tables'!$AB$70:$AB$75,MATCH(O193,('Spell Tables'!$Z$70:$Z$75),0)),IF($R$256&gt;=O193,INDEX('Spell Tables'!$X$48:$X$65,MATCH(O193,('Spell Tables'!$V$48:$V$65),0)),IF($R$258&gt;=O193,INDEX('Spell Tables'!$X$26:$X$42,MATCH(O193,('Spell Tables'!$V$26:$V$42),0)),IF($R$260&gt;=O193,INDEX('Spell Tables'!$X$2:$X$23,MATCH(O193,('Spell Tables'!$V$2:$V$23),0))," "))))))))))))</f>
        <v xml:space="preserve"> </v>
      </c>
      <c r="S262" s="33" t="str">
        <f ca="1">IF(AND($Q$15="Otherworldly patron - great old one",S$244&gt;=O193),INDEX('Spell Tables'!$AB$226:$AB$238,MATCH(O193,('Spell Tables'!$Z$226:$Z$238),0)),IF(AND($Q$15="Otherworldly patron - fiend",S$244&gt;=O193),INDEX('Spell Tables'!$AB$210:$AB$222,MATCH(O193,('Spell Tables'!$Z$210:$Z$222),0)),IF(AND($Q$15="Otherworldly patron - archfey",S$244&gt;=O193),INDEX('Spell Tables'!$AB$194:$AB$206,MATCH(O193,('Spell Tables'!$Z$194:$Z$206),0)),IF($S$242&gt;=O193,INDEX($AL$68:$AL$77,MATCH(O193,($AJ$68:$AJ$77),0)),IF($S$246&gt;=O193,INDEX('Spell Tables'!$AB$168:$AB$187,MATCH(O193,('Spell Tables'!$Z$168:$Z$187),0)),IF($S$248&gt;=O193,INDEX('Spell Tables'!$AJ$141:$AJ$144,MATCH(O193,('Spell Tables'!$AH$141:$AH$144),0)),IF($S$250&gt;=O193,INDEX('Spell Tables'!$X$119:$X$129,MATCH(O193,('Spell Tables'!$V$119:$V$129),0)),IF($S$252&gt;=O193,INDEX('Spell Tables'!$X$97:$X$106,MATCH(O193,('Spell Tables'!$V$97:$V$106),0)),IF($S$254&gt;=O193,INDEX('Spell Tables'!$AJ$70:$AJ$79,MATCH(O193,('Spell Tables'!$AH$70:$AH$79),0)),IF($S$256&gt;=O193,INDEX('Spell Tables'!$AB$48:$AB$60,MATCH(O193,('Spell Tables'!$Z$48:$Z$60),0)),IF($S$258&gt;=O193,INDEX('Spell Tables'!$AB$26:$AB$45,MATCH(O193,('Spell Tables'!$Z$26:$Z$45),0)),IF($S$260&gt;=O193,INDEX('Spell Tables'!$AB$2:$AB$17,MATCH(O193,('Spell Tables'!$Z$2:$Z$17),0))," "))))))))))))</f>
        <v xml:space="preserve"> </v>
      </c>
      <c r="T262" s="33" t="str">
        <f ca="1">IF(AND($Q$15="Otherworldly patron - great old one",T$244&gt;=O193),INDEX('Spell Tables'!$AF$226:$AF$231,MATCH(O193,('Spell Tables'!$AD$226:$AD$231),0)),IF(AND($Q$15="Otherworldly patron - fiend",T$244&gt;=O193),INDEX('Spell Tables'!$AF$210:$AF$215,MATCH(O193,('Spell Tables'!$AD$210:$AD$215),0)),IF(AND($Q$15="Otherworldly patron - archfey",T$244&gt;=O193),INDEX('Spell Tables'!$AF$194:$AF$199,MATCH(O193,('Spell Tables'!$AD$194:$AD$199),0)),IF($T$242&gt;=O193,INDEX($AL$80:$AL$89,MATCH(O193,($AJ$80:$AJ$89),0)),IF($T$246&gt;=O193,INDEX('Spell Tables'!$AF$168:$AF$177,MATCH(O193,('Spell Tables'!$AD$168:$AD$177),0)),IF($T$248&gt;=O193,INDEX('Spell Tables'!$AR$141:$AR$144,MATCH(O193,('Spell Tables'!$AP$141:$AP$144),0)),IF($T$250&gt;=O193,INDEX('Spell Tables'!$AB$119:$AB$123,MATCH(O193,('Spell Tables'!$Z$119:$Z$123),0)),IF($T$252&gt;=O193,INDEX('Spell Tables'!$AB$97:$AB$102,MATCH(O193,('Spell Tables'!$Z$97:$Z$102),0)),IF($T$254&gt;=O193,INDEX('Spell Tables'!$AR$70:$AR$75,MATCH(O193,('Spell Tables'!$AP$70:$AP$75),0)),IF($T$256&gt;=O193,INDEX('Spell Tables'!$AF$48:$AF$63,MATCH(O193,('Spell Tables'!$AD$48:$AD$63),0)),IF($T$258&gt;=O193,INDEX('Spell Tables'!$AF$26:$AF$33,MATCH(O193,('Spell Tables'!$AD$26:$AD$33),0)),IF($T$260&gt;=O193,INDEX('Spell Tables'!$AF$2:$AF$9,MATCH(O193,('Spell Tables'!$AD$2:$AD$9),0))," "))))))))))))</f>
        <v xml:space="preserve"> </v>
      </c>
    </row>
    <row r="263" spans="2:20" x14ac:dyDescent="0.3">
      <c r="B263" s="92" t="s">
        <v>1123</v>
      </c>
      <c r="C263" s="33"/>
      <c r="D263" s="33"/>
      <c r="E263" s="33"/>
      <c r="F263" s="33"/>
      <c r="G263" s="33"/>
      <c r="H263" s="33"/>
      <c r="I263" s="33"/>
      <c r="J263" s="33"/>
      <c r="K263" s="33"/>
      <c r="L263" s="33"/>
      <c r="M263" s="33"/>
      <c r="O263" s="34">
        <v>2</v>
      </c>
      <c r="P263" s="33" t="str">
        <f ca="1">IF(P$242&gt;=O194,INDEX('Spell Tables'!$P$242:$P$257,MATCH(O194,('Spell Tables'!$N$242:$N$257),0)),IF(P$244&gt;=O194,INDEX('Spell Tables'!$P$194:$P$201,MATCH(O194,('Spell Tables'!$N$194:$N$201),0)),IF(P$246&gt;=O194,INDEX('Spell Tables'!$P$168:$P$183,MATCH(O194,('Spell Tables'!$N$168:$N$183),0)),IF(P$248&gt;=O194,INDEX('Spell Tables'!$P$141:$P$156,MATCH(O194,('Spell Tables'!$N$141:$N$157),0)),IF(P$254&gt;=O194,INDEX('Spell Tables'!$P$70:$P$83,MATCH(O194,('Spell Tables'!$N$70:$N$83),0)),IF(P$256&gt;=O194,INDEX('Spell Tables'!$P$48:$P$55,MATCH(O194,('Spell Tables'!$N$48:$N$55),0)),IF(P$258&gt;=O194,INDEX('Spell Tables'!$P$26:$P$32,MATCH(O194,('Spell Tables'!$N$26:$N$32),0)),IF(P$260&gt;=O194,INDEX('Spell Tables'!$P$2:$P$12,MATCH(O194,('Spell Tables'!$N$2:$N$12),0))," "))))))))</f>
        <v xml:space="preserve"> </v>
      </c>
      <c r="Q263" s="33" t="str">
        <f ca="1">IF(AND($Q$15="Otherworldly patron - great old one",Q$244&gt;=O194),INDEX('Spell Tables'!$T$226:$T$238,MATCH(O194,('Spell Tables'!$R$226:$R$238),0)),IF(AND($Q$15="Otherworldly patron - fiend",Q$244&gt;=O194),INDEX('Spell Tables'!$T$210:$T$222,MATCH(O194,('Spell Tables'!$R$210:$R$222),0)),IF(Q$242&gt;=O194,INDEX($AL$44:$AL$53,MATCH(O194,($AJ$44:$AJ$53),0)),IF(AND($Q$15="Otherworldly patron - archfey",Q$244&gt;=O194),INDEX('Spell Tables'!T$206:$T295,MATCH(O194,('Spell Tables'!$R$194:$R$206),0)),IF(Q$246&gt;=O194,INDEX('Spell Tables'!T269:T288,MATCH(O194,('Spell Tables'!$R$168:$R$187),0)),IF(Q$248&gt;=O194,INDEX('Spell Tables'!T242:T248,MATCH(O194,('Spell Tables'!$R$141:$R$147),0)),IF(Q$250&gt;=O194,INDEX('Spell Tables'!$P$119:$P$131,MATCH(O194,('Spell Tables'!$N$119:$N$131),0)),IF(Q$252&gt;=O194,INDEX('Spell Tables'!$P$97:$P$111,MATCH(O194,('Spell Tables'!$N$97:$N$111),0)),IF(Q$254&gt;=O194,INDEX('Spell Tables'!$T$70:$T$78,MATCH(O194,('Spell Tables'!$R$70:$R$78),0)),IF(Q$256&gt;=O194,INDEX('Spell Tables'!$T$48:$T$63,MATCH(O194,('Spell Tables'!$R$48:$R$63),0)),IF(Q$258&gt;=O194,INDEX('Spell Tables'!$T$26:$T$40,MATCH(O194,('Spell Tables'!$R$26:$R$40),0)),IF(Q$260&gt;=O194,INDEX('Spell Tables'!$T$2:$T$22,MATCH(O194,('Spell Tables'!$R$2:$R$22),0))," "))))))))))))</f>
        <v xml:space="preserve"> </v>
      </c>
      <c r="R263" s="33" t="str">
        <f ca="1">IF(AND($Q$15="Otherworldly patron - great old one",R$244&gt;=O194),INDEX('Spell Tables'!$X$226:$X$239,MATCH(O194,('Spell Tables'!$V$226:$V$239),0)),IF(AND($Q$15="Otherworldly patron - fiend",R$244&gt;=O194),INDEX('Spell Tables'!$X$210:$X$223,MATCH(O194,('Spell Tables'!$V$210:$V$223),0)),IF(AND($Q$15="Otherworldly patron - archfey",R$244&gt;=O194),INDEX('Spell Tables'!$X$194:$X$207,MATCH(O194,('Spell Tables'!$V$194:$V$207),0)),IF($R$242&gt;=O194,INDEX($AL$56:$AL$65,MATCH(O194,($AJ$56:$AJ$65),0)),IF($R$246&gt;=O194,INDEX('Spell Tables'!$X$168:$X$191,MATCH(O194,('Spell Tables'!$V$168:$V$191),0)),IF($R$248&gt;=O194,INDEX('Spell Tables'!$AB$141:$AB$149,MATCH(O194,('Spell Tables'!$Z$141:$Z$149),0)),IF($R$250&gt;=O194,INDEX('Spell Tables'!T220:T232,MATCH(O194,('Spell Tables'!$R$119:$R$131),0)),IF($R$252&gt;=O194,INDEX('Spell Tables'!$T$97:T205,MATCH(O194,('Spell Tables'!$R$97:$R$104),0)),IF($R$254&gt;=O194,INDEX('Spell Tables'!$AB$70:$AB$75,MATCH(O194,('Spell Tables'!$Z$70:$Z$75),0)),IF($R$256&gt;=O194,INDEX('Spell Tables'!$X$48:$X$65,MATCH(O194,('Spell Tables'!$V$48:$V$65),0)),IF($R$258&gt;=O194,INDEX('Spell Tables'!$X$26:$X$42,MATCH(O194,('Spell Tables'!$V$26:$V$42),0)),IF($R$260&gt;=O194,INDEX('Spell Tables'!$X$2:$X$23,MATCH(O194,('Spell Tables'!$V$2:$V$23),0))," "))))))))))))</f>
        <v xml:space="preserve"> </v>
      </c>
      <c r="S263" s="33" t="str">
        <f ca="1">IF(AND($Q$15="Otherworldly patron - great old one",S$244&gt;=O194),INDEX('Spell Tables'!$AB$226:$AB$238,MATCH(O194,('Spell Tables'!$Z$226:$Z$238),0)),IF(AND($Q$15="Otherworldly patron - fiend",S$244&gt;=O194),INDEX('Spell Tables'!$AB$210:$AB$222,MATCH(O194,('Spell Tables'!$Z$210:$Z$222),0)),IF(AND($Q$15="Otherworldly patron - archfey",S$244&gt;=O194),INDEX('Spell Tables'!$AB$194:$AB$206,MATCH(O194,('Spell Tables'!$Z$194:$Z$206),0)),IF($S$242&gt;=O194,INDEX($AL$68:$AL$77,MATCH(O194,($AJ$68:$AJ$77),0)),IF($S$246&gt;=O194,INDEX('Spell Tables'!$AB$168:$AB$187,MATCH(O194,('Spell Tables'!$Z$168:$Z$187),0)),IF($S$248&gt;=O194,INDEX('Spell Tables'!$AJ$141:$AJ$144,MATCH(O194,('Spell Tables'!$AH$141:$AH$144),0)),IF($S$250&gt;=O194,INDEX('Spell Tables'!$X$119:$X$129,MATCH(O194,('Spell Tables'!$V$119:$V$129),0)),IF($S$252&gt;=O194,INDEX('Spell Tables'!$X$97:$X$106,MATCH(O194,('Spell Tables'!$V$97:$V$106),0)),IF($S$254&gt;=O194,INDEX('Spell Tables'!$AJ$70:$AJ$79,MATCH(O194,('Spell Tables'!$AH$70:$AH$79),0)),IF($S$256&gt;=O194,INDEX('Spell Tables'!$AB$48:$AB$60,MATCH(O194,('Spell Tables'!$Z$48:$Z$60),0)),IF($S$258&gt;=O194,INDEX('Spell Tables'!$AB$26:$AB$45,MATCH(O194,('Spell Tables'!$Z$26:$Z$45),0)),IF($S$260&gt;=O194,INDEX('Spell Tables'!$AB$2:$AB$17,MATCH(O194,('Spell Tables'!$Z$2:$Z$17),0))," "))))))))))))</f>
        <v xml:space="preserve"> </v>
      </c>
      <c r="T263" s="33" t="str">
        <f ca="1">IF(AND($Q$15="Otherworldly patron - great old one",T$244&gt;=O194),INDEX('Spell Tables'!$AF$226:$AF$231,MATCH(O194,('Spell Tables'!$AD$226:$AD$231),0)),IF(AND($Q$15="Otherworldly patron - fiend",T$244&gt;=O194),INDEX('Spell Tables'!$AF$210:$AF$215,MATCH(O194,('Spell Tables'!$AD$210:$AD$215),0)),IF(AND($Q$15="Otherworldly patron - archfey",T$244&gt;=O194),INDEX('Spell Tables'!$AF$194:$AF$199,MATCH(O194,('Spell Tables'!$AD$194:$AD$199),0)),IF($T$242&gt;=O194,INDEX($AL$80:$AL$89,MATCH(O194,($AJ$80:$AJ$89),0)),IF($T$246&gt;=O194,INDEX('Spell Tables'!$AF$168:$AF$177,MATCH(O194,('Spell Tables'!$AD$168:$AD$177),0)),IF($T$248&gt;=O194,INDEX('Spell Tables'!$AR$141:$AR$144,MATCH(O194,('Spell Tables'!$AP$141:$AP$144),0)),IF($T$250&gt;=O194,INDEX('Spell Tables'!$AB$119:$AB$123,MATCH(O194,('Spell Tables'!$Z$119:$Z$123),0)),IF($T$252&gt;=O194,INDEX('Spell Tables'!$AB$97:$AB$102,MATCH(O194,('Spell Tables'!$Z$97:$Z$102),0)),IF($T$254&gt;=O194,INDEX('Spell Tables'!$AR$70:$AR$75,MATCH(O194,('Spell Tables'!$AP$70:$AP$75),0)),IF($T$256&gt;=O194,INDEX('Spell Tables'!$AF$48:$AF$63,MATCH(O194,('Spell Tables'!$AD$48:$AD$63),0)),IF($T$258&gt;=O194,INDEX('Spell Tables'!$AF$26:$AF$33,MATCH(O194,('Spell Tables'!$AD$26:$AD$33),0)),IF($T$260&gt;=O194,INDEX('Spell Tables'!$AF$2:$AF$9,MATCH(O194,('Spell Tables'!$AD$2:$AD$9),0))," "))))))))))))</f>
        <v xml:space="preserve"> </v>
      </c>
    </row>
    <row r="264" spans="2:20" x14ac:dyDescent="0.3">
      <c r="B264" s="33" t="str">
        <f ca="1">IF(OR(Q11="bard",Q11="paladin",Q11="sorcerer",Q11="warlock"),P8+$N$43,IF(OR(Q11="druid",Q11="cleric",Q11="ranger"),P8+N42,IF(OR(R15="eldritch knight",R15="arcane trickster",Q11="wizard"),P8+N41," ")))</f>
        <v xml:space="preserve"> </v>
      </c>
      <c r="C264" s="33"/>
      <c r="D264" s="33"/>
      <c r="E264" s="33"/>
      <c r="F264" s="33"/>
      <c r="G264" s="33"/>
      <c r="H264" s="33"/>
      <c r="I264" s="33"/>
      <c r="J264" s="33"/>
      <c r="K264" s="33"/>
      <c r="L264" s="33"/>
      <c r="M264" s="33"/>
      <c r="O264" s="34">
        <v>3</v>
      </c>
      <c r="P264" s="33" t="str">
        <f ca="1">IF(P$242&gt;=O195,INDEX('Spell Tables'!$P$242:$P$257,MATCH(O195,('Spell Tables'!$N$242:$N$257),0)),IF(P$244&gt;=O195,INDEX('Spell Tables'!$P$194:$P$201,MATCH(O195,('Spell Tables'!$N$194:$N$201),0)),IF(P$246&gt;=O195,INDEX('Spell Tables'!$P$168:$P$183,MATCH(O195,('Spell Tables'!$N$168:$N$183),0)),IF(P$248&gt;=O195,INDEX('Spell Tables'!$P$141:$P$156,MATCH(O195,('Spell Tables'!$N$141:$N$157),0)),IF(P$254&gt;=O195,INDEX('Spell Tables'!$P$70:$P$83,MATCH(O195,('Spell Tables'!$N$70:$N$83),0)),IF(P$256&gt;=O195,INDEX('Spell Tables'!$P$48:$P$55,MATCH(O195,('Spell Tables'!$N$48:$N$55),0)),IF(P$258&gt;=O195,INDEX('Spell Tables'!$P$26:$P$32,MATCH(O195,('Spell Tables'!$N$26:$N$32),0)),IF(P$260&gt;=O195,INDEX('Spell Tables'!$P$2:$P$12,MATCH(O195,('Spell Tables'!$N$2:$N$12),0))," "))))))))</f>
        <v xml:space="preserve"> </v>
      </c>
      <c r="Q264" s="33" t="str">
        <f ca="1">IF(AND($Q$15="Otherworldly patron - great old one",Q$244&gt;=O195),INDEX('Spell Tables'!$T$226:$T$238,MATCH(O195,('Spell Tables'!$R$226:$R$238),0)),IF(AND($Q$15="Otherworldly patron - fiend",Q$244&gt;=O195),INDEX('Spell Tables'!$T$210:$T$222,MATCH(O195,('Spell Tables'!$R$210:$R$222),0)),IF(Q$242&gt;=O195,INDEX($AL$44:$AL$53,MATCH(O195,($AJ$44:$AJ$53),0)),IF(AND($Q$15="Otherworldly patron - archfey",Q$244&gt;=O195),INDEX('Spell Tables'!T$206:$T296,MATCH(O195,('Spell Tables'!$R$194:$R$206),0)),IF(Q$246&gt;=O195,INDEX('Spell Tables'!T270:T289,MATCH(O195,('Spell Tables'!$R$168:$R$187),0)),IF(Q$248&gt;=O195,INDEX('Spell Tables'!T243:T249,MATCH(O195,('Spell Tables'!$R$141:$R$147),0)),IF(Q$250&gt;=O195,INDEX('Spell Tables'!$P$119:$P$131,MATCH(O195,('Spell Tables'!$N$119:$N$131),0)),IF(Q$252&gt;=O195,INDEX('Spell Tables'!$P$97:$P$111,MATCH(O195,('Spell Tables'!$N$97:$N$111),0)),IF(Q$254&gt;=O195,INDEX('Spell Tables'!$T$70:$T$78,MATCH(O195,('Spell Tables'!$R$70:$R$78),0)),IF(Q$256&gt;=O195,INDEX('Spell Tables'!$T$48:$T$63,MATCH(O195,('Spell Tables'!$R$48:$R$63),0)),IF(Q$258&gt;=O195,INDEX('Spell Tables'!$T$26:$T$40,MATCH(O195,('Spell Tables'!$R$26:$R$40),0)),IF(Q$260&gt;=O195,INDEX('Spell Tables'!$T$2:$T$22,MATCH(O195,('Spell Tables'!$R$2:$R$22),0))," "))))))))))))</f>
        <v xml:space="preserve"> </v>
      </c>
      <c r="R264" s="33" t="str">
        <f ca="1">IF(AND($Q$15="Otherworldly patron - great old one",R$244&gt;=O195),INDEX('Spell Tables'!$X$226:$X$239,MATCH(O195,('Spell Tables'!$V$226:$V$239),0)),IF(AND($Q$15="Otherworldly patron - fiend",R$244&gt;=O195),INDEX('Spell Tables'!$X$210:$X$223,MATCH(O195,('Spell Tables'!$V$210:$V$223),0)),IF(AND($Q$15="Otherworldly patron - archfey",R$244&gt;=O195),INDEX('Spell Tables'!$X$194:$X$207,MATCH(O195,('Spell Tables'!$V$194:$V$207),0)),IF($R$242&gt;=O195,INDEX($AL$56:$AL$65,MATCH(O195,($AJ$56:$AJ$65),0)),IF($R$246&gt;=O195,INDEX('Spell Tables'!$X$168:$X$191,MATCH(O195,('Spell Tables'!$V$168:$V$191),0)),IF($R$248&gt;=O195,INDEX('Spell Tables'!$AB$141:$AB$149,MATCH(O195,('Spell Tables'!$Z$141:$Z$149),0)),IF($R$250&gt;=O195,INDEX('Spell Tables'!T221:T233,MATCH(O195,('Spell Tables'!$R$119:$R$131),0)),IF($R$252&gt;=O195,INDEX('Spell Tables'!$T$97:T206,MATCH(O195,('Spell Tables'!$R$97:$R$104),0)),IF($R$254&gt;=O195,INDEX('Spell Tables'!$AB$70:$AB$75,MATCH(O195,('Spell Tables'!$Z$70:$Z$75),0)),IF($R$256&gt;=O195,INDEX('Spell Tables'!$X$48:$X$65,MATCH(O195,('Spell Tables'!$V$48:$V$65),0)),IF($R$258&gt;=O195,INDEX('Spell Tables'!$X$26:$X$42,MATCH(O195,('Spell Tables'!$V$26:$V$42),0)),IF($R$260&gt;=O195,INDEX('Spell Tables'!$X$2:$X$23,MATCH(O195,('Spell Tables'!$V$2:$V$23),0))," "))))))))))))</f>
        <v xml:space="preserve"> </v>
      </c>
      <c r="S264" s="33" t="str">
        <f ca="1">IF(AND($Q$15="Otherworldly patron - great old one",S$244&gt;=O195),INDEX('Spell Tables'!$AB$226:$AB$238,MATCH(O195,('Spell Tables'!$Z$226:$Z$238),0)),IF(AND($Q$15="Otherworldly patron - fiend",S$244&gt;=O195),INDEX('Spell Tables'!$AB$210:$AB$222,MATCH(O195,('Spell Tables'!$Z$210:$Z$222),0)),IF(AND($Q$15="Otherworldly patron - archfey",S$244&gt;=O195),INDEX('Spell Tables'!$AB$194:$AB$206,MATCH(O195,('Spell Tables'!$Z$194:$Z$206),0)),IF($S$242&gt;=O195,INDEX($AL$68:$AL$77,MATCH(O195,($AJ$68:$AJ$77),0)),IF($S$246&gt;=O195,INDEX('Spell Tables'!$AB$168:$AB$187,MATCH(O195,('Spell Tables'!$Z$168:$Z$187),0)),IF($S$248&gt;=O195,INDEX('Spell Tables'!$AJ$141:$AJ$144,MATCH(O195,('Spell Tables'!$AH$141:$AH$144),0)),IF($S$250&gt;=O195,INDEX('Spell Tables'!$X$119:$X$129,MATCH(O195,('Spell Tables'!$V$119:$V$129),0)),IF($S$252&gt;=O195,INDEX('Spell Tables'!$X$97:$X$106,MATCH(O195,('Spell Tables'!$V$97:$V$106),0)),IF($S$254&gt;=O195,INDEX('Spell Tables'!$AJ$70:$AJ$79,MATCH(O195,('Spell Tables'!$AH$70:$AH$79),0)),IF($S$256&gt;=O195,INDEX('Spell Tables'!$AB$48:$AB$60,MATCH(O195,('Spell Tables'!$Z$48:$Z$60),0)),IF($S$258&gt;=O195,INDEX('Spell Tables'!$AB$26:$AB$45,MATCH(O195,('Spell Tables'!$Z$26:$Z$45),0)),IF($S$260&gt;=O195,INDEX('Spell Tables'!$AB$2:$AB$17,MATCH(O195,('Spell Tables'!$Z$2:$Z$17),0))," "))))))))))))</f>
        <v xml:space="preserve"> </v>
      </c>
      <c r="T264" s="33" t="str">
        <f ca="1">IF(AND($Q$15="Otherworldly patron - great old one",T$244&gt;=O195),INDEX('Spell Tables'!$AF$226:$AF$231,MATCH(O195,('Spell Tables'!$AD$226:$AD$231),0)),IF(AND($Q$15="Otherworldly patron - fiend",T$244&gt;=O195),INDEX('Spell Tables'!$AF$210:$AF$215,MATCH(O195,('Spell Tables'!$AD$210:$AD$215),0)),IF(AND($Q$15="Otherworldly patron - archfey",T$244&gt;=O195),INDEX('Spell Tables'!$AF$194:$AF$199,MATCH(O195,('Spell Tables'!$AD$194:$AD$199),0)),IF($T$242&gt;=O195,INDEX($AL$80:$AL$89,MATCH(O195,($AJ$80:$AJ$89),0)),IF($T$246&gt;=O195,INDEX('Spell Tables'!$AF$168:$AF$177,MATCH(O195,('Spell Tables'!$AD$168:$AD$177),0)),IF($T$248&gt;=O195,INDEX('Spell Tables'!$AR$141:$AR$144,MATCH(O195,('Spell Tables'!$AP$141:$AP$144),0)),IF($T$250&gt;=O195,INDEX('Spell Tables'!$AB$119:$AB$123,MATCH(O195,('Spell Tables'!$Z$119:$Z$123),0)),IF($T$252&gt;=O195,INDEX('Spell Tables'!$AB$97:$AB$102,MATCH(O195,('Spell Tables'!$Z$97:$Z$102),0)),IF($T$254&gt;=O195,INDEX('Spell Tables'!$AR$70:$AR$75,MATCH(O195,('Spell Tables'!$AP$70:$AP$75),0)),IF($T$256&gt;=O195,INDEX('Spell Tables'!$AF$48:$AF$63,MATCH(O195,('Spell Tables'!$AD$48:$AD$63),0)),IF($T$258&gt;=O195,INDEX('Spell Tables'!$AF$26:$AF$33,MATCH(O195,('Spell Tables'!$AD$26:$AD$33),0)),IF($T$260&gt;=O195,INDEX('Spell Tables'!$AF$2:$AF$9,MATCH(O195,('Spell Tables'!$AD$2:$AD$9),0))," "))))))))))))</f>
        <v xml:space="preserve"> </v>
      </c>
    </row>
    <row r="265" spans="2:20" x14ac:dyDescent="0.3">
      <c r="C265" s="33"/>
      <c r="D265" s="33"/>
      <c r="E265" s="33"/>
      <c r="F265" s="33"/>
      <c r="G265" s="33"/>
      <c r="H265" s="33"/>
      <c r="I265" s="33"/>
      <c r="J265" s="33"/>
      <c r="K265" s="33"/>
      <c r="L265" s="33"/>
      <c r="M265" s="33"/>
      <c r="O265" s="34">
        <v>4</v>
      </c>
      <c r="P265" s="33" t="str">
        <f ca="1">IF(P$242&gt;=O196,INDEX('Spell Tables'!$P$242:$P$257,MATCH(O196,('Spell Tables'!$N$242:$N$257),0)),IF(P$244&gt;=O196,INDEX('Spell Tables'!$P$194:$P$201,MATCH(O196,('Spell Tables'!$N$194:$N$201),0)),IF(P$246&gt;=O196,INDEX('Spell Tables'!$P$168:$P$183,MATCH(O196,('Spell Tables'!$N$168:$N$183),0)),IF(P$248&gt;=O196,INDEX('Spell Tables'!$P$141:$P$156,MATCH(O196,('Spell Tables'!$N$141:$N$157),0)),IF(P$254&gt;=O196,INDEX('Spell Tables'!$P$70:$P$83,MATCH(O196,('Spell Tables'!$N$70:$N$83),0)),IF(P$256&gt;=O196,INDEX('Spell Tables'!$P$48:$P$55,MATCH(O196,('Spell Tables'!$N$48:$N$55),0)),IF(P$258&gt;=O196,INDEX('Spell Tables'!$P$26:$P$32,MATCH(O196,('Spell Tables'!$N$26:$N$32),0)),IF(P$260&gt;=O196,INDEX('Spell Tables'!$P$2:$P$12,MATCH(O196,('Spell Tables'!$N$2:$N$12),0))," "))))))))</f>
        <v xml:space="preserve"> </v>
      </c>
      <c r="Q265" s="33" t="str">
        <f ca="1">IF(AND($Q$15="Otherworldly patron - great old one",Q$244&gt;=O196),INDEX('Spell Tables'!$T$226:$T$238,MATCH(O196,('Spell Tables'!$R$226:$R$238),0)),IF(AND($Q$15="Otherworldly patron - fiend",Q$244&gt;=O196),INDEX('Spell Tables'!$T$210:$T$222,MATCH(O196,('Spell Tables'!$R$210:$R$222),0)),IF(Q$242&gt;=O196,INDEX($AL$44:$AL$53,MATCH(O196,($AJ$44:$AJ$53),0)),IF(AND($Q$15="Otherworldly patron - archfey",Q$244&gt;=O196),INDEX('Spell Tables'!T$206:$T297,MATCH(O196,('Spell Tables'!$R$194:$R$206),0)),IF(Q$246&gt;=O196,INDEX('Spell Tables'!T271:T290,MATCH(O196,('Spell Tables'!$R$168:$R$187),0)),IF(Q$248&gt;=O196,INDEX('Spell Tables'!T244:T250,MATCH(O196,('Spell Tables'!$R$141:$R$147),0)),IF(Q$250&gt;=O196,INDEX('Spell Tables'!$P$119:$P$131,MATCH(O196,('Spell Tables'!$N$119:$N$131),0)),IF(Q$252&gt;=O196,INDEX('Spell Tables'!$P$97:$P$111,MATCH(O196,('Spell Tables'!$N$97:$N$111),0)),IF(Q$254&gt;=O196,INDEX('Spell Tables'!$T$70:$T$78,MATCH(O196,('Spell Tables'!$R$70:$R$78),0)),IF(Q$256&gt;=O196,INDEX('Spell Tables'!$T$48:$T$63,MATCH(O196,('Spell Tables'!$R$48:$R$63),0)),IF(Q$258&gt;=O196,INDEX('Spell Tables'!$T$26:$T$40,MATCH(O196,('Spell Tables'!$R$26:$R$40),0)),IF(Q$260&gt;=O196,INDEX('Spell Tables'!$T$2:$T$22,MATCH(O196,('Spell Tables'!$R$2:$R$22),0))," "))))))))))))</f>
        <v xml:space="preserve"> </v>
      </c>
      <c r="R265" s="33" t="str">
        <f ca="1">IF(AND($Q$15="Otherworldly patron - great old one",R$244&gt;=O196),INDEX('Spell Tables'!$X$226:$X$239,MATCH(O196,('Spell Tables'!$V$226:$V$239),0)),IF(AND($Q$15="Otherworldly patron - fiend",R$244&gt;=O196),INDEX('Spell Tables'!$X$210:$X$223,MATCH(O196,('Spell Tables'!$V$210:$V$223),0)),IF(AND($Q$15="Otherworldly patron - archfey",R$244&gt;=O196),INDEX('Spell Tables'!$X$194:$X$207,MATCH(O196,('Spell Tables'!$V$194:$V$207),0)),IF($R$242&gt;=O196,INDEX($AL$56:$AL$65,MATCH(O196,($AJ$56:$AJ$65),0)),IF($R$246&gt;=O196,INDEX('Spell Tables'!$X$168:$X$191,MATCH(O196,('Spell Tables'!$V$168:$V$191),0)),IF($R$248&gt;=O196,INDEX('Spell Tables'!$AB$141:$AB$149,MATCH(O196,('Spell Tables'!$Z$141:$Z$149),0)),IF($R$250&gt;=O196,INDEX('Spell Tables'!T222:T234,MATCH(O196,('Spell Tables'!$R$119:$R$131),0)),IF($R$252&gt;=O196,INDEX('Spell Tables'!$T$97:T207,MATCH(O196,('Spell Tables'!$R$97:$R$104),0)),IF($R$254&gt;=O196,INDEX('Spell Tables'!$AB$70:$AB$75,MATCH(O196,('Spell Tables'!$Z$70:$Z$75),0)),IF($R$256&gt;=O196,INDEX('Spell Tables'!$X$48:$X$65,MATCH(O196,('Spell Tables'!$V$48:$V$65),0)),IF($R$258&gt;=O196,INDEX('Spell Tables'!$X$26:$X$42,MATCH(O196,('Spell Tables'!$V$26:$V$42),0)),IF($R$260&gt;=O196,INDEX('Spell Tables'!$X$2:$X$23,MATCH(O196,('Spell Tables'!$V$2:$V$23),0))," "))))))))))))</f>
        <v xml:space="preserve"> </v>
      </c>
      <c r="S265" s="33" t="str">
        <f ca="1">IF(AND($Q$15="Otherworldly patron - great old one",S$244&gt;=O196),INDEX('Spell Tables'!$AB$226:$AB$238,MATCH(O196,('Spell Tables'!$Z$226:$Z$238),0)),IF(AND($Q$15="Otherworldly patron - fiend",S$244&gt;=O196),INDEX('Spell Tables'!$AB$210:$AB$222,MATCH(O196,('Spell Tables'!$Z$210:$Z$222),0)),IF(AND($Q$15="Otherworldly patron - archfey",S$244&gt;=O196),INDEX('Spell Tables'!$AB$194:$AB$206,MATCH(O196,('Spell Tables'!$Z$194:$Z$206),0)),IF($S$242&gt;=O196,INDEX($AL$68:$AL$77,MATCH(O196,($AJ$68:$AJ$77),0)),IF($S$246&gt;=O196,INDEX('Spell Tables'!$AB$168:$AB$187,MATCH(O196,('Spell Tables'!$Z$168:$Z$187),0)),IF($S$248&gt;=O196,INDEX('Spell Tables'!$AJ$141:$AJ$144,MATCH(O196,('Spell Tables'!$AH$141:$AH$144),0)),IF($S$250&gt;=O196,INDEX('Spell Tables'!$X$119:$X$129,MATCH(O196,('Spell Tables'!$V$119:$V$129),0)),IF($S$252&gt;=O196,INDEX('Spell Tables'!$X$97:$X$106,MATCH(O196,('Spell Tables'!$V$97:$V$106),0)),IF($S$254&gt;=O196,INDEX('Spell Tables'!$AJ$70:$AJ$79,MATCH(O196,('Spell Tables'!$AH$70:$AH$79),0)),IF($S$256&gt;=O196,INDEX('Spell Tables'!$AB$48:$AB$60,MATCH(O196,('Spell Tables'!$Z$48:$Z$60),0)),IF($S$258&gt;=O196,INDEX('Spell Tables'!$AB$26:$AB$45,MATCH(O196,('Spell Tables'!$Z$26:$Z$45),0)),IF($S$260&gt;=O196,INDEX('Spell Tables'!$AB$2:$AB$17,MATCH(O196,('Spell Tables'!$Z$2:$Z$17),0))," "))))))))))))</f>
        <v xml:space="preserve"> </v>
      </c>
      <c r="T265" s="33" t="str">
        <f ca="1">IF(AND($Q$15="Otherworldly patron - great old one",T$244&gt;=O196),INDEX('Spell Tables'!$AF$226:$AF$231,MATCH(O196,('Spell Tables'!$AD$226:$AD$231),0)),IF(AND($Q$15="Otherworldly patron - fiend",T$244&gt;=O196),INDEX('Spell Tables'!$AF$210:$AF$215,MATCH(O196,('Spell Tables'!$AD$210:$AD$215),0)),IF(AND($Q$15="Otherworldly patron - archfey",T$244&gt;=O196),INDEX('Spell Tables'!$AF$194:$AF$199,MATCH(O196,('Spell Tables'!$AD$194:$AD$199),0)),IF($T$242&gt;=O196,INDEX($AL$80:$AL$89,MATCH(O196,($AJ$80:$AJ$89),0)),IF($T$246&gt;=O196,INDEX('Spell Tables'!$AF$168:$AF$177,MATCH(O196,('Spell Tables'!$AD$168:$AD$177),0)),IF($T$248&gt;=O196,INDEX('Spell Tables'!$AR$141:$AR$144,MATCH(O196,('Spell Tables'!$AP$141:$AP$144),0)),IF($T$250&gt;=O196,INDEX('Spell Tables'!$AB$119:$AB$123,MATCH(O196,('Spell Tables'!$Z$119:$Z$123),0)),IF($T$252&gt;=O196,INDEX('Spell Tables'!$AB$97:$AB$102,MATCH(O196,('Spell Tables'!$Z$97:$Z$102),0)),IF($T$254&gt;=O196,INDEX('Spell Tables'!$AR$70:$AR$75,MATCH(O196,('Spell Tables'!$AP$70:$AP$75),0)),IF($T$256&gt;=O196,INDEX('Spell Tables'!$AF$48:$AF$63,MATCH(O196,('Spell Tables'!$AD$48:$AD$63),0)),IF($T$258&gt;=O196,INDEX('Spell Tables'!$AF$26:$AF$33,MATCH(O196,('Spell Tables'!$AD$26:$AD$33),0)),IF($T$260&gt;=O196,INDEX('Spell Tables'!$AF$2:$AF$9,MATCH(O196,('Spell Tables'!$AD$2:$AD$9),0))," "))))))))))))</f>
        <v xml:space="preserve"> </v>
      </c>
    </row>
    <row r="266" spans="2:20" x14ac:dyDescent="0.3">
      <c r="C266" s="33"/>
      <c r="D266" s="33"/>
      <c r="E266" s="33"/>
      <c r="F266" s="33"/>
      <c r="G266" s="33"/>
      <c r="H266" s="33"/>
      <c r="I266" s="33"/>
      <c r="J266" s="33"/>
      <c r="K266" s="33"/>
      <c r="L266" s="33"/>
      <c r="M266" s="33"/>
      <c r="O266" s="34">
        <v>5</v>
      </c>
      <c r="P266" s="33" t="str">
        <f ca="1">IF(P$242&gt;=O197,INDEX('Spell Tables'!$P$242:$P$257,MATCH(O197,('Spell Tables'!$N$242:$N$257),0)),IF(P$244&gt;=O197,INDEX('Spell Tables'!$P$194:$P$201,MATCH(O197,('Spell Tables'!$N$194:$N$201),0)),IF(P$246&gt;=O197,INDEX('Spell Tables'!$P$168:$P$183,MATCH(O197,('Spell Tables'!$N$168:$N$183),0)),IF(P$248&gt;=O197,INDEX('Spell Tables'!$P$141:$P$156,MATCH(O197,('Spell Tables'!$N$141:$N$157),0)),IF(P$254&gt;=O197,INDEX('Spell Tables'!$P$70:$P$83,MATCH(O197,('Spell Tables'!$N$70:$N$83),0)),IF(P$256&gt;=O197,INDEX('Spell Tables'!$P$48:$P$55,MATCH(O197,('Spell Tables'!$N$48:$N$55),0)),IF(P$258&gt;=O197,INDEX('Spell Tables'!$P$26:$P$32,MATCH(O197,('Spell Tables'!$N$26:$N$32),0)),IF(P$260&gt;=O197,INDEX('Spell Tables'!$P$2:$P$12,MATCH(O197,('Spell Tables'!$N$2:$N$12),0))," "))))))))</f>
        <v xml:space="preserve"> </v>
      </c>
      <c r="Q266" s="33" t="str">
        <f ca="1">IF(AND($Q$15="Otherworldly patron - great old one",Q$244&gt;=O197),INDEX('Spell Tables'!$T$226:$T$238,MATCH(O197,('Spell Tables'!$R$226:$R$238),0)),IF(AND($Q$15="Otherworldly patron - fiend",Q$244&gt;=O197),INDEX('Spell Tables'!$T$210:$T$222,MATCH(O197,('Spell Tables'!$R$210:$R$222),0)),IF(Q$242&gt;=O197,INDEX($AL$44:$AL$53,MATCH(O197,($AJ$44:$AJ$53),0)),IF(AND($Q$15="Otherworldly patron - archfey",Q$244&gt;=O197),INDEX('Spell Tables'!T$206:$T298,MATCH(O197,('Spell Tables'!$R$194:$R$206),0)),IF(Q$246&gt;=O197,INDEX('Spell Tables'!T272:T291,MATCH(O197,('Spell Tables'!$R$168:$R$187),0)),IF(Q$248&gt;=O197,INDEX('Spell Tables'!T245:T251,MATCH(O197,('Spell Tables'!$R$141:$R$147),0)),IF(Q$250&gt;=O197,INDEX('Spell Tables'!$P$119:$P$131,MATCH(O197,('Spell Tables'!$N$119:$N$131),0)),IF(Q$252&gt;=O197,INDEX('Spell Tables'!$P$97:$P$111,MATCH(O197,('Spell Tables'!$N$97:$N$111),0)),IF(Q$254&gt;=O197,INDEX('Spell Tables'!$T$70:$T$78,MATCH(O197,('Spell Tables'!$R$70:$R$78),0)),IF(Q$256&gt;=O197,INDEX('Spell Tables'!$T$48:$T$63,MATCH(O197,('Spell Tables'!$R$48:$R$63),0)),IF(Q$258&gt;=O197,INDEX('Spell Tables'!$T$26:$T$40,MATCH(O197,('Spell Tables'!$R$26:$R$40),0)),IF(Q$260&gt;=O197,INDEX('Spell Tables'!$T$2:$T$22,MATCH(O197,('Spell Tables'!$R$2:$R$22),0))," "))))))))))))</f>
        <v xml:space="preserve"> </v>
      </c>
      <c r="R266" s="33" t="str">
        <f ca="1">IF(AND($Q$15="Otherworldly patron - great old one",R$244&gt;=O197),INDEX('Spell Tables'!$X$226:$X$239,MATCH(O197,('Spell Tables'!$V$226:$V$239),0)),IF(AND($Q$15="Otherworldly patron - fiend",R$244&gt;=O197),INDEX('Spell Tables'!$X$210:$X$223,MATCH(O197,('Spell Tables'!$V$210:$V$223),0)),IF(AND($Q$15="Otherworldly patron - archfey",R$244&gt;=O197),INDEX('Spell Tables'!$X$194:$X$207,MATCH(O197,('Spell Tables'!$V$194:$V$207),0)),IF($R$242&gt;=O197,INDEX($AL$56:$AL$65,MATCH(O197,($AJ$56:$AJ$65),0)),IF($R$246&gt;=O197,INDEX('Spell Tables'!$X$168:$X$191,MATCH(O197,('Spell Tables'!$V$168:$V$191),0)),IF($R$248&gt;=O197,INDEX('Spell Tables'!$AB$141:$AB$149,MATCH(O197,('Spell Tables'!$Z$141:$Z$149),0)),IF($R$250&gt;=O197,INDEX('Spell Tables'!T223:T235,MATCH(O197,('Spell Tables'!$R$119:$R$131),0)),IF($R$252&gt;=O197,INDEX('Spell Tables'!$T$97:T208,MATCH(O197,('Spell Tables'!$R$97:$R$104),0)),IF($R$254&gt;=O197,INDEX('Spell Tables'!$AB$70:$AB$75,MATCH(O197,('Spell Tables'!$Z$70:$Z$75),0)),IF($R$256&gt;=O197,INDEX('Spell Tables'!$X$48:$X$65,MATCH(O197,('Spell Tables'!$V$48:$V$65),0)),IF($R$258&gt;=O197,INDEX('Spell Tables'!$X$26:$X$42,MATCH(O197,('Spell Tables'!$V$26:$V$42),0)),IF($R$260&gt;=O197,INDEX('Spell Tables'!$X$2:$X$23,MATCH(O197,('Spell Tables'!$V$2:$V$23),0))," "))))))))))))</f>
        <v xml:space="preserve"> </v>
      </c>
      <c r="S266" s="33" t="str">
        <f ca="1">IF(AND($Q$15="Otherworldly patron - great old one",S$244&gt;=O197),INDEX('Spell Tables'!$AB$226:$AB$238,MATCH(O197,('Spell Tables'!$Z$226:$Z$238),0)),IF(AND($Q$15="Otherworldly patron - fiend",S$244&gt;=O197),INDEX('Spell Tables'!$AB$210:$AB$222,MATCH(O197,('Spell Tables'!$Z$210:$Z$222),0)),IF(AND($Q$15="Otherworldly patron - archfey",S$244&gt;=O197),INDEX('Spell Tables'!$AB$194:$AB$206,MATCH(O197,('Spell Tables'!$Z$194:$Z$206),0)),IF($S$242&gt;=O197,INDEX($AL$68:$AL$77,MATCH(O197,($AJ$68:$AJ$77),0)),IF($S$246&gt;=O197,INDEX('Spell Tables'!$AB$168:$AB$187,MATCH(O197,('Spell Tables'!$Z$168:$Z$187),0)),IF($S$248&gt;=O197,INDEX('Spell Tables'!$AJ$141:$AJ$144,MATCH(O197,('Spell Tables'!$AH$141:$AH$144),0)),IF($S$250&gt;=O197,INDEX('Spell Tables'!$X$119:$X$129,MATCH(O197,('Spell Tables'!$V$119:$V$129),0)),IF($S$252&gt;=O197,INDEX('Spell Tables'!$X$97:$X$106,MATCH(O197,('Spell Tables'!$V$97:$V$106),0)),IF($S$254&gt;=O197,INDEX('Spell Tables'!$AJ$70:$AJ$79,MATCH(O197,('Spell Tables'!$AH$70:$AH$79),0)),IF($S$256&gt;=O197,INDEX('Spell Tables'!$AB$48:$AB$60,MATCH(O197,('Spell Tables'!$Z$48:$Z$60),0)),IF($S$258&gt;=O197,INDEX('Spell Tables'!$AB$26:$AB$45,MATCH(O197,('Spell Tables'!$Z$26:$Z$45),0)),IF($S$260&gt;=O197,INDEX('Spell Tables'!$AB$2:$AB$17,MATCH(O197,('Spell Tables'!$Z$2:$Z$17),0))," "))))))))))))</f>
        <v xml:space="preserve"> </v>
      </c>
      <c r="T266" s="33" t="str">
        <f ca="1">IF(AND($Q$15="Otherworldly patron - great old one",T$244&gt;=O197),INDEX('Spell Tables'!$AF$226:$AF$231,MATCH(O197,('Spell Tables'!$AD$226:$AD$231),0)),IF(AND($Q$15="Otherworldly patron - fiend",T$244&gt;=O197),INDEX('Spell Tables'!$AF$210:$AF$215,MATCH(O197,('Spell Tables'!$AD$210:$AD$215),0)),IF(AND($Q$15="Otherworldly patron - archfey",T$244&gt;=O197),INDEX('Spell Tables'!$AF$194:$AF$199,MATCH(O197,('Spell Tables'!$AD$194:$AD$199),0)),IF($T$242&gt;=O197,INDEX($AL$80:$AL$89,MATCH(O197,($AJ$80:$AJ$89),0)),IF($T$246&gt;=O197,INDEX('Spell Tables'!$AF$168:$AF$177,MATCH(O197,('Spell Tables'!$AD$168:$AD$177),0)),IF($T$248&gt;=O197,INDEX('Spell Tables'!$AR$141:$AR$144,MATCH(O197,('Spell Tables'!$AP$141:$AP$144),0)),IF($T$250&gt;=O197,INDEX('Spell Tables'!$AB$119:$AB$123,MATCH(O197,('Spell Tables'!$Z$119:$Z$123),0)),IF($T$252&gt;=O197,INDEX('Spell Tables'!$AB$97:$AB$102,MATCH(O197,('Spell Tables'!$Z$97:$Z$102),0)),IF($T$254&gt;=O197,INDEX('Spell Tables'!$AR$70:$AR$75,MATCH(O197,('Spell Tables'!$AP$70:$AP$75),0)),IF($T$256&gt;=O197,INDEX('Spell Tables'!$AF$48:$AF$63,MATCH(O197,('Spell Tables'!$AD$48:$AD$63),0)),IF($T$258&gt;=O197,INDEX('Spell Tables'!$AF$26:$AF$33,MATCH(O197,('Spell Tables'!$AD$26:$AD$33),0)),IF($T$260&gt;=O197,INDEX('Spell Tables'!$AF$2:$AF$9,MATCH(O197,('Spell Tables'!$AD$2:$AD$9),0))," "))))))))))))</f>
        <v xml:space="preserve"> </v>
      </c>
    </row>
    <row r="267" spans="2:20" x14ac:dyDescent="0.3">
      <c r="B267" s="33"/>
      <c r="C267" s="33"/>
      <c r="D267" s="33"/>
      <c r="E267" s="33"/>
      <c r="F267" s="33"/>
      <c r="G267" s="33"/>
      <c r="H267" s="33"/>
      <c r="I267" s="33"/>
      <c r="J267" s="33"/>
      <c r="K267" s="33"/>
      <c r="L267" s="33"/>
      <c r="M267" s="33"/>
      <c r="O267" s="34">
        <v>6</v>
      </c>
      <c r="P267" s="33" t="str">
        <f ca="1">IF(P$242&gt;=O198,INDEX('Spell Tables'!$P$242:$P$257,MATCH(O198,('Spell Tables'!$N$242:$N$257),0)),IF(P$244&gt;=O198,INDEX('Spell Tables'!$P$194:$P$201,MATCH(O198,('Spell Tables'!$N$194:$N$201),0)),IF(P$246&gt;=O198,INDEX('Spell Tables'!$P$168:$P$183,MATCH(O198,('Spell Tables'!$N$168:$N$183),0)),IF(P$248&gt;=O198,INDEX('Spell Tables'!$P$141:$P$156,MATCH(O198,('Spell Tables'!$N$141:$N$157),0)),IF(P$254&gt;=O198,INDEX('Spell Tables'!$P$70:$P$83,MATCH(O198,('Spell Tables'!$N$70:$N$83),0)),IF(P$256&gt;=O198,INDEX('Spell Tables'!$P$48:$P$55,MATCH(O198,('Spell Tables'!$N$48:$N$55),0)),IF(P$258&gt;=O198,INDEX('Spell Tables'!$P$26:$P$32,MATCH(O198,('Spell Tables'!$N$26:$N$32),0)),IF(P$260&gt;=O198,INDEX('Spell Tables'!$P$2:$P$12,MATCH(O198,('Spell Tables'!$N$2:$N$12),0))," "))))))))</f>
        <v xml:space="preserve"> </v>
      </c>
      <c r="Q267" s="33" t="str">
        <f ca="1">IF(AND($Q$15="Otherworldly patron - great old one",Q$244&gt;=O198),INDEX('Spell Tables'!$T$226:$T$238,MATCH(O198,('Spell Tables'!$R$226:$R$238),0)),IF(AND($Q$15="Otherworldly patron - fiend",Q$244&gt;=O198),INDEX('Spell Tables'!$T$210:$T$222,MATCH(O198,('Spell Tables'!$R$210:$R$222),0)),IF(Q$242&gt;=O198,INDEX($AL$44:$AL$53,MATCH(O198,($AJ$44:$AJ$53),0)),IF(AND($Q$15="Otherworldly patron - archfey",Q$244&gt;=O198),INDEX('Spell Tables'!T$206:$T299,MATCH(O198,('Spell Tables'!$R$194:$R$206),0)),IF(Q$246&gt;=O198,INDEX('Spell Tables'!T273:T292,MATCH(O198,('Spell Tables'!$R$168:$R$187),0)),IF(Q$248&gt;=O198,INDEX('Spell Tables'!T246:T252,MATCH(O198,('Spell Tables'!$R$141:$R$147),0)),IF(Q$250&gt;=O198,INDEX('Spell Tables'!$P$119:$P$131,MATCH(O198,('Spell Tables'!$N$119:$N$131),0)),IF(Q$252&gt;=O198,INDEX('Spell Tables'!$P$97:$P$111,MATCH(O198,('Spell Tables'!$N$97:$N$111),0)),IF(Q$254&gt;=O198,INDEX('Spell Tables'!$T$70:$T$78,MATCH(O198,('Spell Tables'!$R$70:$R$78),0)),IF(Q$256&gt;=O198,INDEX('Spell Tables'!$T$48:$T$63,MATCH(O198,('Spell Tables'!$R$48:$R$63),0)),IF(Q$258&gt;=O198,INDEX('Spell Tables'!$T$26:$T$40,MATCH(O198,('Spell Tables'!$R$26:$R$40),0)),IF(Q$260&gt;=O198,INDEX('Spell Tables'!$T$2:$T$22,MATCH(O198,('Spell Tables'!$R$2:$R$22),0))," "))))))))))))</f>
        <v xml:space="preserve"> </v>
      </c>
      <c r="R267" s="33" t="str">
        <f ca="1">IF(AND($Q$15="Otherworldly patron - great old one",R$244&gt;=O198),INDEX('Spell Tables'!$X$226:$X$239,MATCH(O198,('Spell Tables'!$V$226:$V$239),0)),IF(AND($Q$15="Otherworldly patron - fiend",R$244&gt;=O198),INDEX('Spell Tables'!$X$210:$X$223,MATCH(O198,('Spell Tables'!$V$210:$V$223),0)),IF(AND($Q$15="Otherworldly patron - archfey",R$244&gt;=O198),INDEX('Spell Tables'!$X$194:$X$207,MATCH(O198,('Spell Tables'!$V$194:$V$207),0)),IF($R$242&gt;=O198,INDEX($AL$56:$AL$65,MATCH(O198,($AJ$56:$AJ$65),0)),IF($R$246&gt;=O198,INDEX('Spell Tables'!$X$168:$X$191,MATCH(O198,('Spell Tables'!$V$168:$V$191),0)),IF($R$248&gt;=O198,INDEX('Spell Tables'!$AB$141:$AB$149,MATCH(O198,('Spell Tables'!$Z$141:$Z$149),0)),IF($R$250&gt;=O198,INDEX('Spell Tables'!T224:T236,MATCH(O198,('Spell Tables'!$R$119:$R$131),0)),IF($R$252&gt;=O198,INDEX('Spell Tables'!$T$97:T209,MATCH(O198,('Spell Tables'!$R$97:$R$104),0)),IF($R$254&gt;=O198,INDEX('Spell Tables'!$AB$70:$AB$75,MATCH(O198,('Spell Tables'!$Z$70:$Z$75),0)),IF($R$256&gt;=O198,INDEX('Spell Tables'!$X$48:$X$65,MATCH(O198,('Spell Tables'!$V$48:$V$65),0)),IF($R$258&gt;=O198,INDEX('Spell Tables'!$X$26:$X$42,MATCH(O198,('Spell Tables'!$V$26:$V$42),0)),IF($R$260&gt;=O198,INDEX('Spell Tables'!$X$2:$X$23,MATCH(O198,('Spell Tables'!$V$2:$V$23),0))," "))))))))))))</f>
        <v xml:space="preserve"> </v>
      </c>
      <c r="S267" s="33" t="str">
        <f ca="1">IF(AND($Q$15="Otherworldly patron - great old one",S$244&gt;=O198),INDEX('Spell Tables'!$AB$226:$AB$238,MATCH(O198,('Spell Tables'!$Z$226:$Z$238),0)),IF(AND($Q$15="Otherworldly patron - fiend",S$244&gt;=O198),INDEX('Spell Tables'!$AB$210:$AB$222,MATCH(O198,('Spell Tables'!$Z$210:$Z$222),0)),IF(AND($Q$15="Otherworldly patron - archfey",S$244&gt;=O198),INDEX('Spell Tables'!$AB$194:$AB$206,MATCH(O198,('Spell Tables'!$Z$194:$Z$206),0)),IF($S$242&gt;=O198,INDEX($AL$68:$AL$77,MATCH(O198,($AJ$68:$AJ$77),0)),IF($S$246&gt;=O198,INDEX('Spell Tables'!$AB$168:$AB$187,MATCH(O198,('Spell Tables'!$Z$168:$Z$187),0)),IF($S$248&gt;=O198,INDEX('Spell Tables'!$AJ$141:$AJ$144,MATCH(O198,('Spell Tables'!$AH$141:$AH$144),0)),IF($S$250&gt;=O198,INDEX('Spell Tables'!$X$119:$X$129,MATCH(O198,('Spell Tables'!$V$119:$V$129),0)),IF($S$252&gt;=O198,INDEX('Spell Tables'!$X$97:$X$106,MATCH(O198,('Spell Tables'!$V$97:$V$106),0)),IF($S$254&gt;=O198,INDEX('Spell Tables'!$AJ$70:$AJ$79,MATCH(O198,('Spell Tables'!$AH$70:$AH$79),0)),IF($S$256&gt;=O198,INDEX('Spell Tables'!$AB$48:$AB$60,MATCH(O198,('Spell Tables'!$Z$48:$Z$60),0)),IF($S$258&gt;=O198,INDEX('Spell Tables'!$AB$26:$AB$45,MATCH(O198,('Spell Tables'!$Z$26:$Z$45),0)),IF($S$260&gt;=O198,INDEX('Spell Tables'!$AB$2:$AB$17,MATCH(O198,('Spell Tables'!$Z$2:$Z$17),0))," "))))))))))))</f>
        <v xml:space="preserve"> </v>
      </c>
      <c r="T267" s="33" t="str">
        <f ca="1">IF(AND($Q$15="Otherworldly patron - great old one",T$244&gt;=O198),INDEX('Spell Tables'!$AF$226:$AF$231,MATCH(O198,('Spell Tables'!$AD$226:$AD$231),0)),IF(AND($Q$15="Otherworldly patron - fiend",T$244&gt;=O198),INDEX('Spell Tables'!$AF$210:$AF$215,MATCH(O198,('Spell Tables'!$AD$210:$AD$215),0)),IF(AND($Q$15="Otherworldly patron - archfey",T$244&gt;=O198),INDEX('Spell Tables'!$AF$194:$AF$199,MATCH(O198,('Spell Tables'!$AD$194:$AD$199),0)),IF($T$242&gt;=O198,INDEX($AL$80:$AL$89,MATCH(O198,($AJ$80:$AJ$89),0)),IF($T$246&gt;=O198,INDEX('Spell Tables'!$AF$168:$AF$177,MATCH(O198,('Spell Tables'!$AD$168:$AD$177),0)),IF($T$248&gt;=O198,INDEX('Spell Tables'!$AR$141:$AR$144,MATCH(O198,('Spell Tables'!$AP$141:$AP$144),0)),IF($T$250&gt;=O198,INDEX('Spell Tables'!$AB$119:$AB$123,MATCH(O198,('Spell Tables'!$Z$119:$Z$123),0)),IF($T$252&gt;=O198,INDEX('Spell Tables'!$AB$97:$AB$102,MATCH(O198,('Spell Tables'!$Z$97:$Z$102),0)),IF($T$254&gt;=O198,INDEX('Spell Tables'!$AR$70:$AR$75,MATCH(O198,('Spell Tables'!$AP$70:$AP$75),0)),IF($T$256&gt;=O198,INDEX('Spell Tables'!$AF$48:$AF$63,MATCH(O198,('Spell Tables'!$AD$48:$AD$63),0)),IF($T$258&gt;=O198,INDEX('Spell Tables'!$AF$26:$AF$33,MATCH(O198,('Spell Tables'!$AD$26:$AD$33),0)),IF($T$260&gt;=O198,INDEX('Spell Tables'!$AF$2:$AF$9,MATCH(O198,('Spell Tables'!$AD$2:$AD$9),0))," "))))))))))))</f>
        <v xml:space="preserve"> </v>
      </c>
    </row>
    <row r="268" spans="2:20" x14ac:dyDescent="0.3">
      <c r="B268" s="33"/>
      <c r="C268" s="33"/>
      <c r="D268" s="33"/>
      <c r="E268" s="33"/>
      <c r="F268" s="33"/>
      <c r="G268" s="33"/>
      <c r="H268" s="33"/>
      <c r="I268" s="33"/>
      <c r="J268" s="33"/>
      <c r="K268" s="33"/>
      <c r="L268" s="33"/>
      <c r="M268" s="33"/>
      <c r="O268" s="34">
        <v>7</v>
      </c>
      <c r="P268" s="33" t="str">
        <f ca="1">IF(P$242&gt;=O199,INDEX('Spell Tables'!$P$242:$P$257,MATCH(O199,('Spell Tables'!$N$242:$N$257),0)),IF(P$244&gt;=O199,INDEX('Spell Tables'!$P$194:$P$201,MATCH(O199,('Spell Tables'!$N$194:$N$201),0)),IF(P$246&gt;=O199,INDEX('Spell Tables'!$P$168:$P$183,MATCH(O199,('Spell Tables'!$N$168:$N$183),0)),IF(P$248&gt;=O199,INDEX('Spell Tables'!$P$141:$P$156,MATCH(O199,('Spell Tables'!$N$141:$N$157),0)),IF(P$254&gt;=O199,INDEX('Spell Tables'!$P$70:$P$83,MATCH(O199,('Spell Tables'!$N$70:$N$83),0)),IF(P$256&gt;=O199,INDEX('Spell Tables'!$P$48:$P$55,MATCH(O199,('Spell Tables'!$N$48:$N$55),0)),IF(P$258&gt;=O199,INDEX('Spell Tables'!$P$26:$P$32,MATCH(O199,('Spell Tables'!$N$26:$N$32),0)),IF(P$260&gt;=O199,INDEX('Spell Tables'!$P$2:$P$12,MATCH(O199,('Spell Tables'!$N$2:$N$12),0))," "))))))))</f>
        <v xml:space="preserve"> </v>
      </c>
      <c r="Q268" s="33" t="str">
        <f ca="1">IF(AND($Q$15="Otherworldly patron - great old one",Q$244&gt;=O199),INDEX('Spell Tables'!$T$226:$T$238,MATCH(O199,('Spell Tables'!$R$226:$R$238),0)),IF(AND($Q$15="Otherworldly patron - fiend",Q$244&gt;=O199),INDEX('Spell Tables'!$T$210:$T$222,MATCH(O199,('Spell Tables'!$R$210:$R$222),0)),IF(Q$242&gt;=O199,INDEX($AL$44:$AL$53,MATCH(O199,($AJ$44:$AJ$53),0)),IF(AND($Q$15="Otherworldly patron - archfey",Q$244&gt;=O199),INDEX('Spell Tables'!T$206:$T300,MATCH(O199,('Spell Tables'!$R$194:$R$206),0)),IF(Q$246&gt;=O199,INDEX('Spell Tables'!T274:T293,MATCH(O199,('Spell Tables'!$R$168:$R$187),0)),IF(Q$248&gt;=O199,INDEX('Spell Tables'!T247:T253,MATCH(O199,('Spell Tables'!$R$141:$R$147),0)),IF(Q$250&gt;=O199,INDEX('Spell Tables'!$P$119:$P$131,MATCH(O199,('Spell Tables'!$N$119:$N$131),0)),IF(Q$252&gt;=O199,INDEX('Spell Tables'!$P$97:$P$111,MATCH(O199,('Spell Tables'!$N$97:$N$111),0)),IF(Q$254&gt;=O199,INDEX('Spell Tables'!$T$70:$T$78,MATCH(O199,('Spell Tables'!$R$70:$R$78),0)),IF(Q$256&gt;=O199,INDEX('Spell Tables'!$T$48:$T$63,MATCH(O199,('Spell Tables'!$R$48:$R$63),0)),IF(Q$258&gt;=O199,INDEX('Spell Tables'!$T$26:$T$40,MATCH(O199,('Spell Tables'!$R$26:$R$40),0)),IF(Q$260&gt;=O199,INDEX('Spell Tables'!$T$2:$T$22,MATCH(O199,('Spell Tables'!$R$2:$R$22),0))," "))))))))))))</f>
        <v xml:space="preserve"> </v>
      </c>
      <c r="R268" s="33" t="str">
        <f ca="1">IF(AND($Q$15="Otherworldly patron - great old one",R$244&gt;=O199),INDEX('Spell Tables'!$X$226:$X$239,MATCH(O199,('Spell Tables'!$V$226:$V$239),0)),IF(AND($Q$15="Otherworldly patron - fiend",R$244&gt;=O199),INDEX('Spell Tables'!$X$210:$X$223,MATCH(O199,('Spell Tables'!$V$210:$V$223),0)),IF(AND($Q$15="Otherworldly patron - archfey",R$244&gt;=O199),INDEX('Spell Tables'!$X$194:$X$207,MATCH(O199,('Spell Tables'!$V$194:$V$207),0)),IF($R$242&gt;=O199,INDEX($AL$56:$AL$65,MATCH(O199,($AJ$56:$AJ$65),0)),IF($R$246&gt;=O199,INDEX('Spell Tables'!$X$168:$X$191,MATCH(O199,('Spell Tables'!$V$168:$V$191),0)),IF($R$248&gt;=O199,INDEX('Spell Tables'!$AB$141:$AB$149,MATCH(O199,('Spell Tables'!$Z$141:$Z$149),0)),IF($R$250&gt;=O199,INDEX('Spell Tables'!T225:T237,MATCH(O199,('Spell Tables'!$R$119:$R$131),0)),IF($R$252&gt;=O199,INDEX('Spell Tables'!$T$97:T210,MATCH(O199,('Spell Tables'!$R$97:$R$104),0)),IF($R$254&gt;=O199,INDEX('Spell Tables'!$AB$70:$AB$75,MATCH(O199,('Spell Tables'!$Z$70:$Z$75),0)),IF($R$256&gt;=O199,INDEX('Spell Tables'!$X$48:$X$65,MATCH(O199,('Spell Tables'!$V$48:$V$65),0)),IF($R$258&gt;=O199,INDEX('Spell Tables'!$X$26:$X$42,MATCH(O199,('Spell Tables'!$V$26:$V$42),0)),IF($R$260&gt;=O199,INDEX('Spell Tables'!$X$2:$X$23,MATCH(O199,('Spell Tables'!$V$2:$V$23),0))," "))))))))))))</f>
        <v xml:space="preserve"> </v>
      </c>
      <c r="S268" s="33" t="str">
        <f ca="1">IF(AND($Q$15="Otherworldly patron - great old one",S$244&gt;=O199),INDEX('Spell Tables'!$AB$226:$AB$238,MATCH(O199,('Spell Tables'!$Z$226:$Z$238),0)),IF(AND($Q$15="Otherworldly patron - fiend",S$244&gt;=O199),INDEX('Spell Tables'!$AB$210:$AB$222,MATCH(O199,('Spell Tables'!$Z$210:$Z$222),0)),IF(AND($Q$15="Otherworldly patron - archfey",S$244&gt;=O199),INDEX('Spell Tables'!$AB$194:$AB$206,MATCH(O199,('Spell Tables'!$Z$194:$Z$206),0)),IF($S$242&gt;=O199,INDEX($AL$68:$AL$77,MATCH(O199,($AJ$68:$AJ$77),0)),IF($S$246&gt;=O199,INDEX('Spell Tables'!$AB$168:$AB$187,MATCH(O199,('Spell Tables'!$Z$168:$Z$187),0)),IF($S$248&gt;=O199,INDEX('Spell Tables'!$AJ$141:$AJ$144,MATCH(O199,('Spell Tables'!$AH$141:$AH$144),0)),IF($S$250&gt;=O199,INDEX('Spell Tables'!$X$119:$X$129,MATCH(O199,('Spell Tables'!$V$119:$V$129),0)),IF($S$252&gt;=O199,INDEX('Spell Tables'!$X$97:$X$106,MATCH(O199,('Spell Tables'!$V$97:$V$106),0)),IF($S$254&gt;=O199,INDEX('Spell Tables'!$AJ$70:$AJ$79,MATCH(O199,('Spell Tables'!$AH$70:$AH$79),0)),IF($S$256&gt;=O199,INDEX('Spell Tables'!$AB$48:$AB$60,MATCH(O199,('Spell Tables'!$Z$48:$Z$60),0)),IF($S$258&gt;=O199,INDEX('Spell Tables'!$AB$26:$AB$45,MATCH(O199,('Spell Tables'!$Z$26:$Z$45),0)),IF($S$260&gt;=O199,INDEX('Spell Tables'!$AB$2:$AB$17,MATCH(O199,('Spell Tables'!$Z$2:$Z$17),0))," "))))))))))))</f>
        <v xml:space="preserve"> </v>
      </c>
      <c r="T268" s="33" t="str">
        <f ca="1">IF(AND($Q$15="Otherworldly patron - great old one",T$244&gt;=O199),INDEX('Spell Tables'!$AF$226:$AF$231,MATCH(O199,('Spell Tables'!$AD$226:$AD$231),0)),IF(AND($Q$15="Otherworldly patron - fiend",T$244&gt;=O199),INDEX('Spell Tables'!$AF$210:$AF$215,MATCH(O199,('Spell Tables'!$AD$210:$AD$215),0)),IF(AND($Q$15="Otherworldly patron - archfey",T$244&gt;=O199),INDEX('Spell Tables'!$AF$194:$AF$199,MATCH(O199,('Spell Tables'!$AD$194:$AD$199),0)),IF($T$242&gt;=O199,INDEX($AL$80:$AL$89,MATCH(O199,($AJ$80:$AJ$89),0)),IF($T$246&gt;=O199,INDEX('Spell Tables'!$AF$168:$AF$177,MATCH(O199,('Spell Tables'!$AD$168:$AD$177),0)),IF($T$248&gt;=O199,INDEX('Spell Tables'!$AR$141:$AR$144,MATCH(O199,('Spell Tables'!$AP$141:$AP$144),0)),IF($T$250&gt;=O199,INDEX('Spell Tables'!$AB$119:$AB$123,MATCH(O199,('Spell Tables'!$Z$119:$Z$123),0)),IF($T$252&gt;=O199,INDEX('Spell Tables'!$AB$97:$AB$102,MATCH(O199,('Spell Tables'!$Z$97:$Z$102),0)),IF($T$254&gt;=O199,INDEX('Spell Tables'!$AR$70:$AR$75,MATCH(O199,('Spell Tables'!$AP$70:$AP$75),0)),IF($T$256&gt;=O199,INDEX('Spell Tables'!$AF$48:$AF$63,MATCH(O199,('Spell Tables'!$AD$48:$AD$63),0)),IF($T$258&gt;=O199,INDEX('Spell Tables'!$AF$26:$AF$33,MATCH(O199,('Spell Tables'!$AD$26:$AD$33),0)),IF($T$260&gt;=O199,INDEX('Spell Tables'!$AF$2:$AF$9,MATCH(O199,('Spell Tables'!$AD$2:$AD$9),0))," "))))))))))))</f>
        <v xml:space="preserve"> </v>
      </c>
    </row>
    <row r="269" spans="2:20" x14ac:dyDescent="0.3">
      <c r="B269" s="33"/>
      <c r="C269" s="33"/>
      <c r="D269" s="33"/>
      <c r="E269" s="33"/>
      <c r="F269" s="33"/>
      <c r="G269" s="33"/>
      <c r="H269" s="33"/>
      <c r="I269" s="33"/>
      <c r="J269" s="33"/>
      <c r="K269" s="33"/>
      <c r="L269" s="33"/>
      <c r="M269" s="33"/>
      <c r="O269" s="34">
        <v>8</v>
      </c>
      <c r="P269" s="33" t="str">
        <f ca="1">IF(P$242&gt;=O200,INDEX('Spell Tables'!$P$242:$P$257,MATCH(O200,('Spell Tables'!$N$242:$N$257),0)),IF(P$244&gt;=O200,INDEX('Spell Tables'!$P$194:$P$201,MATCH(O200,('Spell Tables'!$N$194:$N$201),0)),IF(P$246&gt;=O200,INDEX('Spell Tables'!$P$168:$P$183,MATCH(O200,('Spell Tables'!$N$168:$N$183),0)),IF(P$248&gt;=O200,INDEX('Spell Tables'!$P$141:$P$156,MATCH(O200,('Spell Tables'!$N$141:$N$157),0)),IF(P$254&gt;=O200,INDEX('Spell Tables'!$P$70:$P$83,MATCH(O200,('Spell Tables'!$N$70:$N$83),0)),IF(P$256&gt;=O200,INDEX('Spell Tables'!$P$48:$P$55,MATCH(O200,('Spell Tables'!$N$48:$N$55),0)),IF(P$258&gt;=O200,INDEX('Spell Tables'!$P$26:$P$32,MATCH(O200,('Spell Tables'!$N$26:$N$32),0)),IF(P$260&gt;=O200,INDEX('Spell Tables'!$P$2:$P$12,MATCH(O200,('Spell Tables'!$N$2:$N$12),0))," "))))))))</f>
        <v xml:space="preserve"> </v>
      </c>
      <c r="Q269" s="33" t="str">
        <f ca="1">IF(AND($Q$15="Otherworldly patron - great old one",Q$244&gt;=O200),INDEX('Spell Tables'!$T$226:$T$238,MATCH(O200,('Spell Tables'!$R$226:$R$238),0)),IF(AND($Q$15="Otherworldly patron - fiend",Q$244&gt;=O200),INDEX('Spell Tables'!$T$210:$T$222,MATCH(O200,('Spell Tables'!$R$210:$R$222),0)),IF(Q$242&gt;=O200,INDEX($AL$44:$AL$53,MATCH(O200,($AJ$44:$AJ$53),0)),IF(AND($Q$15="Otherworldly patron - archfey",Q$244&gt;=O200),INDEX('Spell Tables'!T$206:$T301,MATCH(O200,('Spell Tables'!$R$194:$R$206),0)),IF(Q$246&gt;=O200,INDEX('Spell Tables'!T275:T294,MATCH(O200,('Spell Tables'!$R$168:$R$187),0)),IF(Q$248&gt;=O200,INDEX('Spell Tables'!T248:T254,MATCH(O200,('Spell Tables'!$R$141:$R$147),0)),IF(Q$250&gt;=O200,INDEX('Spell Tables'!$P$119:$P$131,MATCH(O200,('Spell Tables'!$N$119:$N$131),0)),IF(Q$252&gt;=O200,INDEX('Spell Tables'!$P$97:$P$111,MATCH(O200,('Spell Tables'!$N$97:$N$111),0)),IF(Q$254&gt;=O200,INDEX('Spell Tables'!$T$70:$T$78,MATCH(O200,('Spell Tables'!$R$70:$R$78),0)),IF(Q$256&gt;=O200,INDEX('Spell Tables'!$T$48:$T$63,MATCH(O200,('Spell Tables'!$R$48:$R$63),0)),IF(Q$258&gt;=O200,INDEX('Spell Tables'!$T$26:$T$40,MATCH(O200,('Spell Tables'!$R$26:$R$40),0)),IF(Q$260&gt;=O200,INDEX('Spell Tables'!$T$2:$T$22,MATCH(O200,('Spell Tables'!$R$2:$R$22),0))," "))))))))))))</f>
        <v xml:space="preserve"> </v>
      </c>
      <c r="R269" s="33" t="str">
        <f ca="1">IF(AND($Q$15="Otherworldly patron - great old one",R$244&gt;=O200),INDEX('Spell Tables'!$X$226:$X$239,MATCH(O200,('Spell Tables'!$V$226:$V$239),0)),IF(AND($Q$15="Otherworldly patron - fiend",R$244&gt;=O200),INDEX('Spell Tables'!$X$210:$X$223,MATCH(O200,('Spell Tables'!$V$210:$V$223),0)),IF(AND($Q$15="Otherworldly patron - archfey",R$244&gt;=O200),INDEX('Spell Tables'!$X$194:$X$207,MATCH(O200,('Spell Tables'!$V$194:$V$207),0)),IF($R$242&gt;=O200,INDEX($AL$56:$AL$65,MATCH(O200,($AJ$56:$AJ$65),0)),IF($R$246&gt;=O200,INDEX('Spell Tables'!$X$168:$X$191,MATCH(O200,('Spell Tables'!$V$168:$V$191),0)),IF($R$248&gt;=O200,INDEX('Spell Tables'!$AB$141:$AB$149,MATCH(O200,('Spell Tables'!$Z$141:$Z$149),0)),IF($R$250&gt;=O200,INDEX('Spell Tables'!T226:T238,MATCH(O200,('Spell Tables'!$R$119:$R$131),0)),IF($R$252&gt;=O200,INDEX('Spell Tables'!$T$97:T211,MATCH(O200,('Spell Tables'!$R$97:$R$104),0)),IF($R$254&gt;=O200,INDEX('Spell Tables'!$AB$70:$AB$75,MATCH(O200,('Spell Tables'!$Z$70:$Z$75),0)),IF($R$256&gt;=O200,INDEX('Spell Tables'!$X$48:$X$65,MATCH(O200,('Spell Tables'!$V$48:$V$65),0)),IF($R$258&gt;=O200,INDEX('Spell Tables'!$X$26:$X$42,MATCH(O200,('Spell Tables'!$V$26:$V$42),0)),IF($R$260&gt;=O200,INDEX('Spell Tables'!$X$2:$X$23,MATCH(O200,('Spell Tables'!$V$2:$V$23),0))," "))))))))))))</f>
        <v xml:space="preserve"> </v>
      </c>
      <c r="S269" s="33" t="str">
        <f ca="1">IF(AND($Q$15="Otherworldly patron - great old one",S$244&gt;=O200),INDEX('Spell Tables'!$AB$226:$AB$238,MATCH(O200,('Spell Tables'!$Z$226:$Z$238),0)),IF(AND($Q$15="Otherworldly patron - fiend",S$244&gt;=O200),INDEX('Spell Tables'!$AB$210:$AB$222,MATCH(O200,('Spell Tables'!$Z$210:$Z$222),0)),IF(AND($Q$15="Otherworldly patron - archfey",S$244&gt;=O200),INDEX('Spell Tables'!$AB$194:$AB$206,MATCH(O200,('Spell Tables'!$Z$194:$Z$206),0)),IF($S$242&gt;=O200,INDEX($AL$68:$AL$77,MATCH(O200,($AJ$68:$AJ$77),0)),IF($S$246&gt;=O200,INDEX('Spell Tables'!$AB$168:$AB$187,MATCH(O200,('Spell Tables'!$Z$168:$Z$187),0)),IF($S$248&gt;=O200,INDEX('Spell Tables'!$AJ$141:$AJ$144,MATCH(O200,('Spell Tables'!$AH$141:$AH$144),0)),IF($S$250&gt;=O200,INDEX('Spell Tables'!$X$119:$X$129,MATCH(O200,('Spell Tables'!$V$119:$V$129),0)),IF($S$252&gt;=O200,INDEX('Spell Tables'!$X$97:$X$106,MATCH(O200,('Spell Tables'!$V$97:$V$106),0)),IF($S$254&gt;=O200,INDEX('Spell Tables'!$AJ$70:$AJ$79,MATCH(O200,('Spell Tables'!$AH$70:$AH$79),0)),IF($S$256&gt;=O200,INDEX('Spell Tables'!$AB$48:$AB$60,MATCH(O200,('Spell Tables'!$Z$48:$Z$60),0)),IF($S$258&gt;=O200,INDEX('Spell Tables'!$AB$26:$AB$45,MATCH(O200,('Spell Tables'!$Z$26:$Z$45),0)),IF($S$260&gt;=O200,INDEX('Spell Tables'!$AB$2:$AB$17,MATCH(O200,('Spell Tables'!$Z$2:$Z$17),0))," "))))))))))))</f>
        <v xml:space="preserve"> </v>
      </c>
      <c r="T269" s="33" t="str">
        <f ca="1">IF(AND($Q$15="Otherworldly patron - great old one",T$244&gt;=O200),INDEX('Spell Tables'!$AF$226:$AF$231,MATCH(O200,('Spell Tables'!$AD$226:$AD$231),0)),IF(AND($Q$15="Otherworldly patron - fiend",T$244&gt;=O200),INDEX('Spell Tables'!$AF$210:$AF$215,MATCH(O200,('Spell Tables'!$AD$210:$AD$215),0)),IF(AND($Q$15="Otherworldly patron - archfey",T$244&gt;=O200),INDEX('Spell Tables'!$AF$194:$AF$199,MATCH(O200,('Spell Tables'!$AD$194:$AD$199),0)),IF($T$242&gt;=O200,INDEX($AL$80:$AL$89,MATCH(O200,($AJ$80:$AJ$89),0)),IF($T$246&gt;=O200,INDEX('Spell Tables'!$AF$168:$AF$177,MATCH(O200,('Spell Tables'!$AD$168:$AD$177),0)),IF($T$248&gt;=O200,INDEX('Spell Tables'!$AR$141:$AR$144,MATCH(O200,('Spell Tables'!$AP$141:$AP$144),0)),IF($T$250&gt;=O200,INDEX('Spell Tables'!$AB$119:$AB$123,MATCH(O200,('Spell Tables'!$Z$119:$Z$123),0)),IF($T$252&gt;=O200,INDEX('Spell Tables'!$AB$97:$AB$102,MATCH(O200,('Spell Tables'!$Z$97:$Z$102),0)),IF($T$254&gt;=O200,INDEX('Spell Tables'!$AR$70:$AR$75,MATCH(O200,('Spell Tables'!$AP$70:$AP$75),0)),IF($T$256&gt;=O200,INDEX('Spell Tables'!$AF$48:$AF$63,MATCH(O200,('Spell Tables'!$AD$48:$AD$63),0)),IF($T$258&gt;=O200,INDEX('Spell Tables'!$AF$26:$AF$33,MATCH(O200,('Spell Tables'!$AD$26:$AD$33),0)),IF($T$260&gt;=O200,INDEX('Spell Tables'!$AF$2:$AF$9,MATCH(O200,('Spell Tables'!$AD$2:$AD$9),0))," "))))))))))))</f>
        <v xml:space="preserve"> </v>
      </c>
    </row>
    <row r="270" spans="2:20" x14ac:dyDescent="0.3">
      <c r="B270" s="33"/>
      <c r="C270" s="33"/>
      <c r="D270" s="33"/>
      <c r="E270" s="33"/>
      <c r="F270" s="33"/>
      <c r="G270" s="33"/>
      <c r="H270" s="33"/>
      <c r="I270" s="33"/>
      <c r="J270" s="33"/>
      <c r="K270" s="33"/>
      <c r="L270" s="33"/>
      <c r="M270" s="33"/>
      <c r="O270" s="34">
        <v>9</v>
      </c>
      <c r="P270" s="33" t="str">
        <f ca="1">IF(P$242&gt;=O201,INDEX('Spell Tables'!$P$242:$P$257,MATCH(O201,('Spell Tables'!$N$242:$N$257),0)),IF(P$244&gt;=O201,INDEX('Spell Tables'!$P$194:$P$201,MATCH(O201,('Spell Tables'!$N$194:$N$201),0)),IF(P$246&gt;=O201,INDEX('Spell Tables'!$P$168:$P$183,MATCH(O201,('Spell Tables'!$N$168:$N$183),0)),IF(P$248&gt;=O201,INDEX('Spell Tables'!$P$141:$P$156,MATCH(O201,('Spell Tables'!$N$141:$N$157),0)),IF(P$254&gt;=O201,INDEX('Spell Tables'!$P$70:$P$83,MATCH(O201,('Spell Tables'!$N$70:$N$83),0)),IF(P$256&gt;=O201,INDEX('Spell Tables'!$P$48:$P$55,MATCH(O201,('Spell Tables'!$N$48:$N$55),0)),IF(P$258&gt;=O201,INDEX('Spell Tables'!$P$26:$P$32,MATCH(O201,('Spell Tables'!$N$26:$N$32),0)),IF(P$260&gt;=O201,INDEX('Spell Tables'!$P$2:$P$12,MATCH(O201,('Spell Tables'!$N$2:$N$12),0))," "))))))))</f>
        <v xml:space="preserve"> </v>
      </c>
      <c r="Q270" s="33" t="str">
        <f ca="1">IF(AND($Q$15="Otherworldly patron - great old one",Q$244&gt;=O201),INDEX('Spell Tables'!$T$226:$T$238,MATCH(O201,('Spell Tables'!$R$226:$R$238),0)),IF(AND($Q$15="Otherworldly patron - fiend",Q$244&gt;=O201),INDEX('Spell Tables'!$T$210:$T$222,MATCH(O201,('Spell Tables'!$R$210:$R$222),0)),IF(Q$242&gt;=O201,INDEX($AL$44:$AL$53,MATCH(O201,($AJ$44:$AJ$53),0)),IF(AND($Q$15="Otherworldly patron - archfey",Q$244&gt;=O201),INDEX('Spell Tables'!T$206:$T302,MATCH(O201,('Spell Tables'!$R$194:$R$206),0)),IF(Q$246&gt;=O201,INDEX('Spell Tables'!T276:T295,MATCH(O201,('Spell Tables'!$R$168:$R$187),0)),IF(Q$248&gt;=O201,INDEX('Spell Tables'!T249:T255,MATCH(O201,('Spell Tables'!$R$141:$R$147),0)),IF(Q$250&gt;=O201,INDEX('Spell Tables'!$P$119:$P$131,MATCH(O201,('Spell Tables'!$N$119:$N$131),0)),IF(Q$252&gt;=O201,INDEX('Spell Tables'!$P$97:$P$111,MATCH(O201,('Spell Tables'!$N$97:$N$111),0)),IF(Q$254&gt;=O201,INDEX('Spell Tables'!$T$70:$T$78,MATCH(O201,('Spell Tables'!$R$70:$R$78),0)),IF(Q$256&gt;=O201,INDEX('Spell Tables'!$T$48:$T$63,MATCH(O201,('Spell Tables'!$R$48:$R$63),0)),IF(Q$258&gt;=O201,INDEX('Spell Tables'!$T$26:$T$40,MATCH(O201,('Spell Tables'!$R$26:$R$40),0)),IF(Q$260&gt;=O201,INDEX('Spell Tables'!$T$2:$T$22,MATCH(O201,('Spell Tables'!$R$2:$R$22),0))," "))))))))))))</f>
        <v xml:space="preserve"> </v>
      </c>
      <c r="R270" s="33" t="str">
        <f ca="1">IF(AND($Q$15="Otherworldly patron - great old one",R$244&gt;=O201),INDEX('Spell Tables'!$X$226:$X$239,MATCH(O201,('Spell Tables'!$V$226:$V$239),0)),IF(AND($Q$15="Otherworldly patron - fiend",R$244&gt;=O201),INDEX('Spell Tables'!$X$210:$X$223,MATCH(O201,('Spell Tables'!$V$210:$V$223),0)),IF(AND($Q$15="Otherworldly patron - archfey",R$244&gt;=O201),INDEX('Spell Tables'!$X$194:$X$207,MATCH(O201,('Spell Tables'!$V$194:$V$207),0)),IF($R$242&gt;=O201,INDEX($AL$56:$AL$65,MATCH(O201,($AJ$56:$AJ$65),0)),IF($R$246&gt;=O201,INDEX('Spell Tables'!$X$168:$X$191,MATCH(O201,('Spell Tables'!$V$168:$V$191),0)),IF($R$248&gt;=O201,INDEX('Spell Tables'!$AB$141:$AB$149,MATCH(O201,('Spell Tables'!$Z$141:$Z$149),0)),IF($R$250&gt;=O201,INDEX('Spell Tables'!T227:T239,MATCH(O201,('Spell Tables'!$R$119:$R$131),0)),IF($R$252&gt;=O201,INDEX('Spell Tables'!$T$97:T212,MATCH(O201,('Spell Tables'!$R$97:$R$104),0)),IF($R$254&gt;=O201,INDEX('Spell Tables'!$AB$70:$AB$75,MATCH(O201,('Spell Tables'!$Z$70:$Z$75),0)),IF($R$256&gt;=O201,INDEX('Spell Tables'!$X$48:$X$65,MATCH(O201,('Spell Tables'!$V$48:$V$65),0)),IF($R$258&gt;=O201,INDEX('Spell Tables'!$X$26:$X$42,MATCH(O201,('Spell Tables'!$V$26:$V$42),0)),IF($R$260&gt;=O201,INDEX('Spell Tables'!$X$2:$X$23,MATCH(O201,('Spell Tables'!$V$2:$V$23),0))," "))))))))))))</f>
        <v xml:space="preserve"> </v>
      </c>
      <c r="S270" s="33" t="str">
        <f ca="1">IF(AND($Q$15="Otherworldly patron - great old one",S$244&gt;=O201),INDEX('Spell Tables'!$AB$226:$AB$238,MATCH(O201,('Spell Tables'!$Z$226:$Z$238),0)),IF(AND($Q$15="Otherworldly patron - fiend",S$244&gt;=O201),INDEX('Spell Tables'!$AB$210:$AB$222,MATCH(O201,('Spell Tables'!$Z$210:$Z$222),0)),IF(AND($Q$15="Otherworldly patron - archfey",S$244&gt;=O201),INDEX('Spell Tables'!$AB$194:$AB$206,MATCH(O201,('Spell Tables'!$Z$194:$Z$206),0)),IF($S$242&gt;=O201,INDEX($AL$68:$AL$77,MATCH(O201,($AJ$68:$AJ$77),0)),IF($S$246&gt;=O201,INDEX('Spell Tables'!$AB$168:$AB$187,MATCH(O201,('Spell Tables'!$Z$168:$Z$187),0)),IF($S$248&gt;=O201,INDEX('Spell Tables'!$AJ$141:$AJ$144,MATCH(O201,('Spell Tables'!$AH$141:$AH$144),0)),IF($S$250&gt;=O201,INDEX('Spell Tables'!$X$119:$X$129,MATCH(O201,('Spell Tables'!$V$119:$V$129),0)),IF($S$252&gt;=O201,INDEX('Spell Tables'!$X$97:$X$106,MATCH(O201,('Spell Tables'!$V$97:$V$106),0)),IF($S$254&gt;=O201,INDEX('Spell Tables'!$AJ$70:$AJ$79,MATCH(O201,('Spell Tables'!$AH$70:$AH$79),0)),IF($S$256&gt;=O201,INDEX('Spell Tables'!$AB$48:$AB$60,MATCH(O201,('Spell Tables'!$Z$48:$Z$60),0)),IF($S$258&gt;=O201,INDEX('Spell Tables'!$AB$26:$AB$45,MATCH(O201,('Spell Tables'!$Z$26:$Z$45),0)),IF($S$260&gt;=O201,INDEX('Spell Tables'!$AB$2:$AB$17,MATCH(O201,('Spell Tables'!$Z$2:$Z$17),0))," "))))))))))))</f>
        <v xml:space="preserve"> </v>
      </c>
      <c r="T270" s="33" t="str">
        <f ca="1">IF(AND($Q$15="Otherworldly patron - great old one",T$244&gt;=O201),INDEX('Spell Tables'!$AF$226:$AF$231,MATCH(O201,('Spell Tables'!$AD$226:$AD$231),0)),IF(AND($Q$15="Otherworldly patron - fiend",T$244&gt;=O201),INDEX('Spell Tables'!$AF$210:$AF$215,MATCH(O201,('Spell Tables'!$AD$210:$AD$215),0)),IF(AND($Q$15="Otherworldly patron - archfey",T$244&gt;=O201),INDEX('Spell Tables'!$AF$194:$AF$199,MATCH(O201,('Spell Tables'!$AD$194:$AD$199),0)),IF($T$242&gt;=O201,INDEX($AL$80:$AL$89,MATCH(O201,($AJ$80:$AJ$89),0)),IF($T$246&gt;=O201,INDEX('Spell Tables'!$AF$168:$AF$177,MATCH(O201,('Spell Tables'!$AD$168:$AD$177),0)),IF($T$248&gt;=O201,INDEX('Spell Tables'!$AR$141:$AR$144,MATCH(O201,('Spell Tables'!$AP$141:$AP$144),0)),IF($T$250&gt;=O201,INDEX('Spell Tables'!$AB$119:$AB$123,MATCH(O201,('Spell Tables'!$Z$119:$Z$123),0)),IF($T$252&gt;=O201,INDEX('Spell Tables'!$AB$97:$AB$102,MATCH(O201,('Spell Tables'!$Z$97:$Z$102),0)),IF($T$254&gt;=O201,INDEX('Spell Tables'!$AR$70:$AR$75,MATCH(O201,('Spell Tables'!$AP$70:$AP$75),0)),IF($T$256&gt;=O201,INDEX('Spell Tables'!$AF$48:$AF$63,MATCH(O201,('Spell Tables'!$AD$48:$AD$63),0)),IF($T$258&gt;=O201,INDEX('Spell Tables'!$AF$26:$AF$33,MATCH(O201,('Spell Tables'!$AD$26:$AD$33),0)),IF($T$260&gt;=O201,INDEX('Spell Tables'!$AF$2:$AF$9,MATCH(O201,('Spell Tables'!$AD$2:$AD$9),0))," "))))))))))))</f>
        <v xml:space="preserve"> </v>
      </c>
    </row>
    <row r="271" spans="2:20" x14ac:dyDescent="0.3">
      <c r="B271" s="33"/>
      <c r="C271" s="33"/>
      <c r="D271" s="33"/>
      <c r="E271" s="33"/>
      <c r="F271" s="33"/>
      <c r="G271" s="33"/>
      <c r="H271" s="33"/>
      <c r="I271" s="33"/>
      <c r="J271" s="33"/>
      <c r="K271" s="33"/>
      <c r="L271" s="33"/>
      <c r="M271" s="33"/>
      <c r="O271" s="34">
        <v>10</v>
      </c>
      <c r="P271" s="33" t="str">
        <f ca="1">IF(P$242&gt;=O202,INDEX('Spell Tables'!$P$242:$P$257,MATCH(O202,('Spell Tables'!$N$242:$N$257),0)),IF(P$244&gt;=O202,INDEX('Spell Tables'!$P$194:$P$201,MATCH(O202,('Spell Tables'!$N$194:$N$201),0)),IF(P$246&gt;=O202,INDEX('Spell Tables'!$P$168:$P$183,MATCH(O202,('Spell Tables'!$N$168:$N$183),0)),IF(P$248&gt;=O202,INDEX('Spell Tables'!$P$141:$P$156,MATCH(O202,('Spell Tables'!$N$141:$N$157),0)),IF(P$254&gt;=O202,INDEX('Spell Tables'!$P$70:$P$83,MATCH(O202,('Spell Tables'!$N$70:$N$83),0)),IF(P$256&gt;=O202,INDEX('Spell Tables'!$P$48:$P$55,MATCH(O202,('Spell Tables'!$N$48:$N$55),0)),IF(P$258&gt;=O202,INDEX('Spell Tables'!$P$26:$P$32,MATCH(O202,('Spell Tables'!$N$26:$N$32),0)),IF(P$260&gt;=O202,INDEX('Spell Tables'!$P$2:$P$12,MATCH(O202,('Spell Tables'!$N$2:$N$12),0))," "))))))))</f>
        <v xml:space="preserve"> </v>
      </c>
      <c r="Q271" s="33" t="str">
        <f ca="1">IF(AND($Q$15="Otherworldly patron - great old one",Q$244&gt;=O202),INDEX('Spell Tables'!$T$226:$T$238,MATCH(O202,('Spell Tables'!$R$226:$R$238),0)),IF(AND($Q$15="Otherworldly patron - fiend",Q$244&gt;=O202),INDEX('Spell Tables'!$T$210:$T$222,MATCH(O202,('Spell Tables'!$R$210:$R$222),0)),IF(Q$242&gt;=O202,INDEX($AL$44:$AL$53,MATCH(O202,($AJ$44:$AJ$53),0)),IF(AND($Q$15="Otherworldly patron - archfey",Q$244&gt;=O202),INDEX('Spell Tables'!T$206:$T303,MATCH(O202,('Spell Tables'!$R$194:$R$206),0)),IF(Q$246&gt;=O202,INDEX('Spell Tables'!T277:T296,MATCH(O202,('Spell Tables'!$R$168:$R$187),0)),IF(Q$248&gt;=O202,INDEX('Spell Tables'!T250:T256,MATCH(O202,('Spell Tables'!$R$141:$R$147),0)),IF(Q$250&gt;=O202,INDEX('Spell Tables'!$P$119:$P$131,MATCH(O202,('Spell Tables'!$N$119:$N$131),0)),IF(Q$252&gt;=O202,INDEX('Spell Tables'!$P$97:$P$111,MATCH(O202,('Spell Tables'!$N$97:$N$111),0)),IF(Q$254&gt;=O202,INDEX('Spell Tables'!$T$70:$T$78,MATCH(O202,('Spell Tables'!$R$70:$R$78),0)),IF(Q$256&gt;=O202,INDEX('Spell Tables'!$T$48:$T$63,MATCH(O202,('Spell Tables'!$R$48:$R$63),0)),IF(Q$258&gt;=O202,INDEX('Spell Tables'!$T$26:$T$40,MATCH(O202,('Spell Tables'!$R$26:$R$40),0)),IF(Q$260&gt;=O202,INDEX('Spell Tables'!$T$2:$T$22,MATCH(O202,('Spell Tables'!$R$2:$R$22),0))," "))))))))))))</f>
        <v xml:space="preserve"> </v>
      </c>
      <c r="R271" s="33" t="str">
        <f ca="1">IF(AND($Q$15="Otherworldly patron - great old one",R$244&gt;=O202),INDEX('Spell Tables'!$X$226:$X$239,MATCH(O202,('Spell Tables'!$V$226:$V$239),0)),IF(AND($Q$15="Otherworldly patron - fiend",R$244&gt;=O202),INDEX('Spell Tables'!$X$210:$X$223,MATCH(O202,('Spell Tables'!$V$210:$V$223),0)),IF(AND($Q$15="Otherworldly patron - archfey",R$244&gt;=O202),INDEX('Spell Tables'!$X$194:$X$207,MATCH(O202,('Spell Tables'!$V$194:$V$207),0)),IF($R$242&gt;=O202,INDEX($AL$56:$AL$65,MATCH(O202,($AJ$56:$AJ$65),0)),IF($R$246&gt;=O202,INDEX('Spell Tables'!$X$168:$X$191,MATCH(O202,('Spell Tables'!$V$168:$V$191),0)),IF($R$248&gt;=O202,INDEX('Spell Tables'!$AB$141:$AB$149,MATCH(O202,('Spell Tables'!$Z$141:$Z$149),0)),IF($R$250&gt;=O202,INDEX('Spell Tables'!T228:T240,MATCH(O202,('Spell Tables'!$R$119:$R$131),0)),IF($R$252&gt;=O202,INDEX('Spell Tables'!$T$97:T213,MATCH(O202,('Spell Tables'!$R$97:$R$104),0)),IF($R$254&gt;=O202,INDEX('Spell Tables'!$AB$70:$AB$75,MATCH(O202,('Spell Tables'!$Z$70:$Z$75),0)),IF($R$256&gt;=O202,INDEX('Spell Tables'!$X$48:$X$65,MATCH(O202,('Spell Tables'!$V$48:$V$65),0)),IF($R$258&gt;=O202,INDEX('Spell Tables'!$X$26:$X$42,MATCH(O202,('Spell Tables'!$V$26:$V$42),0)),IF($R$260&gt;=O202,INDEX('Spell Tables'!$X$2:$X$23,MATCH(O202,('Spell Tables'!$V$2:$V$23),0))," "))))))))))))</f>
        <v xml:space="preserve"> </v>
      </c>
      <c r="S271" s="33" t="str">
        <f ca="1">IF(AND($Q$15="Otherworldly patron - great old one",S$244&gt;=O202),INDEX('Spell Tables'!$AB$226:$AB$238,MATCH(O202,('Spell Tables'!$Z$226:$Z$238),0)),IF(AND($Q$15="Otherworldly patron - fiend",S$244&gt;=O202),INDEX('Spell Tables'!$AB$210:$AB$222,MATCH(O202,('Spell Tables'!$Z$210:$Z$222),0)),IF(AND($Q$15="Otherworldly patron - archfey",S$244&gt;=O202),INDEX('Spell Tables'!$AB$194:$AB$206,MATCH(O202,('Spell Tables'!$Z$194:$Z$206),0)),IF($S$242&gt;=O202,INDEX($AL$68:$AL$77,MATCH(O202,($AJ$68:$AJ$77),0)),IF($S$246&gt;=O202,INDEX('Spell Tables'!$AB$168:$AB$187,MATCH(O202,('Spell Tables'!$Z$168:$Z$187),0)),IF($S$248&gt;=O202,INDEX('Spell Tables'!$AJ$141:$AJ$144,MATCH(O202,('Spell Tables'!$AH$141:$AH$144),0)),IF($S$250&gt;=O202,INDEX('Spell Tables'!$X$119:$X$129,MATCH(O202,('Spell Tables'!$V$119:$V$129),0)),IF($S$252&gt;=O202,INDEX('Spell Tables'!$X$97:$X$106,MATCH(O202,('Spell Tables'!$V$97:$V$106),0)),IF($S$254&gt;=O202,INDEX('Spell Tables'!$AJ$70:$AJ$79,MATCH(O202,('Spell Tables'!$AH$70:$AH$79),0)),IF($S$256&gt;=O202,INDEX('Spell Tables'!$AB$48:$AB$60,MATCH(O202,('Spell Tables'!$Z$48:$Z$60),0)),IF($S$258&gt;=O202,INDEX('Spell Tables'!$AB$26:$AB$45,MATCH(O202,('Spell Tables'!$Z$26:$Z$45),0)),IF($S$260&gt;=O202,INDEX('Spell Tables'!$AB$2:$AB$17,MATCH(O202,('Spell Tables'!$Z$2:$Z$17),0))," "))))))))))))</f>
        <v xml:space="preserve"> </v>
      </c>
      <c r="T271" s="33" t="str">
        <f ca="1">IF(AND($Q$15="Otherworldly patron - great old one",T$244&gt;=O202),INDEX('Spell Tables'!$AF$226:$AF$231,MATCH(O202,('Spell Tables'!$AD$226:$AD$231),0)),IF(AND($Q$15="Otherworldly patron - fiend",T$244&gt;=O202),INDEX('Spell Tables'!$AF$210:$AF$215,MATCH(O202,('Spell Tables'!$AD$210:$AD$215),0)),IF(AND($Q$15="Otherworldly patron - archfey",T$244&gt;=O202),INDEX('Spell Tables'!$AF$194:$AF$199,MATCH(O202,('Spell Tables'!$AD$194:$AD$199),0)),IF($T$242&gt;=O202,INDEX($AL$80:$AL$89,MATCH(O202,($AJ$80:$AJ$89),0)),IF($T$246&gt;=O202,INDEX('Spell Tables'!$AF$168:$AF$177,MATCH(O202,('Spell Tables'!$AD$168:$AD$177),0)),IF($T$248&gt;=O202,INDEX('Spell Tables'!$AR$141:$AR$144,MATCH(O202,('Spell Tables'!$AP$141:$AP$144),0)),IF($T$250&gt;=O202,INDEX('Spell Tables'!$AB$119:$AB$123,MATCH(O202,('Spell Tables'!$Z$119:$Z$123),0)),IF($T$252&gt;=O202,INDEX('Spell Tables'!$AB$97:$AB$102,MATCH(O202,('Spell Tables'!$Z$97:$Z$102),0)),IF($T$254&gt;=O202,INDEX('Spell Tables'!$AR$70:$AR$75,MATCH(O202,('Spell Tables'!$AP$70:$AP$75),0)),IF($T$256&gt;=O202,INDEX('Spell Tables'!$AF$48:$AF$63,MATCH(O202,('Spell Tables'!$AD$48:$AD$63),0)),IF($T$258&gt;=O202,INDEX('Spell Tables'!$AF$26:$AF$33,MATCH(O202,('Spell Tables'!$AD$26:$AD$33),0)),IF($T$260&gt;=O202,INDEX('Spell Tables'!$AF$2:$AF$9,MATCH(O202,('Spell Tables'!$AD$2:$AD$9),0))," "))))))))))))</f>
        <v xml:space="preserve"> </v>
      </c>
    </row>
    <row r="272" spans="2:20" ht="19.5" thickBot="1" x14ac:dyDescent="0.35">
      <c r="B272" s="33"/>
      <c r="C272" s="38"/>
      <c r="D272" s="38"/>
      <c r="E272" s="38"/>
      <c r="F272" s="38"/>
      <c r="G272" s="38"/>
      <c r="H272" s="38"/>
      <c r="I272" s="38"/>
      <c r="J272" s="38"/>
      <c r="K272" s="38"/>
      <c r="L272" s="38"/>
      <c r="M272" s="38"/>
      <c r="N272" s="38"/>
      <c r="O272" s="38"/>
      <c r="P272" s="38"/>
      <c r="Q272" s="38"/>
      <c r="R272" s="38"/>
      <c r="S272" s="38"/>
      <c r="T272" s="38"/>
    </row>
    <row r="273" spans="15:19" hidden="1" x14ac:dyDescent="0.3">
      <c r="O273" s="108"/>
      <c r="P273" s="108"/>
      <c r="Q273" s="108"/>
      <c r="R273" s="108"/>
      <c r="S273" s="109"/>
    </row>
    <row r="274" spans="15:19" hidden="1" x14ac:dyDescent="0.3">
      <c r="O274" s="60" t="str">
        <f ca="1">IF(AND(Q11="wizard",Q12&gt;=11),"x",IF(AND($Q$11="wizard",$Q$12&gt;9),"xx",IF(AND(Q11="wizard",Q12=9),"xxx"," ")))</f>
        <v xml:space="preserve"> </v>
      </c>
      <c r="P274" s="60" t="str">
        <f ca="1">IF(AND(Q11="wizard",Q12&gt;=13),"x",IF(AND($Q$11="wizard",$Q$12&gt;11),"xx",IF(AND(Q11="wizard",Q12=11),"xxx"," ")))</f>
        <v xml:space="preserve"> </v>
      </c>
      <c r="Q274" s="60" t="str">
        <f ca="1">IF(AND(Q11="wizard",Q12&gt;=15),"x",IF(AND($Q$11="wizard",$Q$12&gt;13),"xx",IF(AND(Q11="wizard",Q12=13),"xxx"," ")))</f>
        <v xml:space="preserve"> </v>
      </c>
      <c r="R274" s="60" t="str">
        <f ca="1">IF(AND(Q11="wizard",Q12&gt;=17),"x",IF(AND($Q$11="wizard",$Q$12&gt;15),"xx",IF(AND(Q11="wizard",Q12=15),"xxx"," ")))</f>
        <v xml:space="preserve"> </v>
      </c>
      <c r="S274" s="63" t="str">
        <f ca="1">IF(AND($Q$11="wizard",$Q$12&gt;17),"xx",IF(AND(Q11="wizard",Q12=17),"xxx"," "))</f>
        <v xml:space="preserve"> </v>
      </c>
    </row>
    <row r="275" spans="15:19" hidden="1" x14ac:dyDescent="0.3">
      <c r="O275" s="65">
        <f ca="1">IF(O274="x",RANDBETWEEN(2,3),IF(O274="xx",RANDBETWEEN(2,3),IF(O274="xxx",RANDBETWEEN(1,2),0)))</f>
        <v>0</v>
      </c>
      <c r="P275" s="65">
        <f ca="1">IF(P274="x",RANDBETWEEN(2,3),IF(P274="xx",RANDBETWEEN(2,3),IF(P274="xxx",RANDBETWEEN(1,2),0)))</f>
        <v>0</v>
      </c>
      <c r="Q275" s="65">
        <f ca="1">IF(Q274="x",RANDBETWEEN(1,2),IF(Q274="xx",RANDBETWEEN(1,2),IF(Q274="xxx",RANDBETWEEN(1,2),0)))</f>
        <v>0</v>
      </c>
      <c r="R275" s="65">
        <f ca="1">IF(OR(R274="x",R274="xx"),RANDBETWEEN(1,2),IF(R274="xxx",RANDBETWEEN(1,2),0))</f>
        <v>0</v>
      </c>
      <c r="S275" s="66">
        <f ca="1">IF(S274="xx",RANDBETWEEN(1,2),IF(S274="xxx",RANDBETWEEN(1,2),0))</f>
        <v>0</v>
      </c>
    </row>
    <row r="276" spans="15:19" hidden="1" x14ac:dyDescent="0.3">
      <c r="O276" s="60" t="str">
        <f ca="1">IF(AND($Q$11="warlock",$Q$12&gt;=9),"xx"," ")</f>
        <v xml:space="preserve"> </v>
      </c>
      <c r="P276" s="60"/>
      <c r="Q276" s="60"/>
      <c r="R276" s="60"/>
      <c r="S276" s="63"/>
    </row>
    <row r="277" spans="15:19" hidden="1" x14ac:dyDescent="0.3">
      <c r="O277" s="65">
        <f ca="1">IF(O276="x",RANDBETWEEN(2,3),IF(O276="xx",RANDBETWEEN(2,3),0))</f>
        <v>0</v>
      </c>
      <c r="P277" s="65"/>
      <c r="Q277" s="65"/>
      <c r="R277" s="65"/>
      <c r="S277" s="66"/>
    </row>
    <row r="278" spans="15:19" hidden="1" x14ac:dyDescent="0.3">
      <c r="O278" s="60" t="str">
        <f ca="1">IF(AND($Q$11="sorcerer",$Q$12&gt;=11),"x",IF(AND($Q$11="sorcerer",$Q$12&gt;=9),"xx"," "))</f>
        <v xml:space="preserve"> </v>
      </c>
      <c r="P278" s="60" t="str">
        <f ca="1">IF(AND($Q$11="sorcerer",$Q$12&gt;=13),"x",IF(AND($Q$11="sorcerer",$Q$12&gt;=11),"xx"," "))</f>
        <v xml:space="preserve"> </v>
      </c>
      <c r="Q278" s="60" t="str">
        <f ca="1">IF(AND($Q$11="sorcerer",$Q$12&gt;=15),"x",IF(AND($Q$11="sorcerer",$Q$12&gt;=13),"xx"," "))</f>
        <v xml:space="preserve"> </v>
      </c>
      <c r="R278" s="60" t="str">
        <f ca="1">IF(AND($Q$11="sorcerer",$Q$12&gt;=17),"x",IF(AND($Q$11="sorcerer",$Q$12&gt;15),"xx"," "))</f>
        <v xml:space="preserve"> </v>
      </c>
      <c r="S278" s="63" t="str">
        <f ca="1">IF(AND($Q$11="sorcerer",$Q$12&gt;=17),"xx"," ")</f>
        <v xml:space="preserve"> </v>
      </c>
    </row>
    <row r="279" spans="15:19" hidden="1" x14ac:dyDescent="0.3">
      <c r="O279" s="65">
        <f ca="1">IF(O278="x",RANDBETWEEN(2,3),IF(O278="xx",RANDBETWEEN(2,3),0))</f>
        <v>0</v>
      </c>
      <c r="P279" s="65">
        <f ca="1">IF(P278="x",RANDBETWEEN(2,3),IF(P278="xx",RANDBETWEEN(2,3),0))</f>
        <v>0</v>
      </c>
      <c r="Q279" s="65">
        <f ca="1">IF(Q278="x",RANDBETWEEN(1,2),IF(Q278="xx",RANDBETWEEN(1,2),0))</f>
        <v>0</v>
      </c>
      <c r="R279" s="65">
        <f ca="1">IF(OR(R278="x",R278="xx"),RANDBETWEEN(1,2),0)</f>
        <v>0</v>
      </c>
      <c r="S279" s="66">
        <f ca="1">IF(S278="xx",RANDBETWEEN(1,2),0)</f>
        <v>0</v>
      </c>
    </row>
    <row r="280" spans="15:19" hidden="1" x14ac:dyDescent="0.3">
      <c r="O280" s="60"/>
      <c r="P280" s="60"/>
      <c r="Q280" s="60"/>
      <c r="R280" s="60"/>
      <c r="S280" s="63"/>
    </row>
    <row r="281" spans="15:19" hidden="1" x14ac:dyDescent="0.3">
      <c r="O281" s="65"/>
      <c r="P281" s="65"/>
      <c r="Q281" s="65"/>
      <c r="R281" s="65"/>
      <c r="S281" s="66"/>
    </row>
    <row r="282" spans="15:19" hidden="1" x14ac:dyDescent="0.3">
      <c r="O282" s="60" t="str">
        <f ca="1">IF(AND($Q$11="ranger",$Q$12&gt;=17),"xx"," ")</f>
        <v xml:space="preserve"> </v>
      </c>
      <c r="P282" s="60"/>
      <c r="Q282" s="60"/>
      <c r="R282" s="60"/>
      <c r="S282" s="63"/>
    </row>
    <row r="283" spans="15:19" hidden="1" x14ac:dyDescent="0.3">
      <c r="O283" s="65">
        <f ca="1">IF(O282="x",RANDBETWEEN(2,3),IF(O282="xx",RANDBETWEEN(2,3),0))</f>
        <v>0</v>
      </c>
      <c r="P283" s="65"/>
      <c r="Q283" s="65"/>
      <c r="R283" s="65"/>
      <c r="S283" s="66"/>
    </row>
    <row r="284" spans="15:19" hidden="1" x14ac:dyDescent="0.3">
      <c r="O284" s="60" t="str">
        <f ca="1">IF(AND(Q11="paladin",Q12&gt;=17),"xx"," ")</f>
        <v xml:space="preserve"> </v>
      </c>
      <c r="P284" s="60"/>
      <c r="Q284" s="60"/>
      <c r="R284" s="60"/>
      <c r="S284" s="63"/>
    </row>
    <row r="285" spans="15:19" hidden="1" x14ac:dyDescent="0.3">
      <c r="O285" s="65">
        <f ca="1">IF(O284="x",RANDBETWEEN(2,3),IF(O284="xx",RANDBETWEEN(2,3),0))</f>
        <v>0</v>
      </c>
      <c r="P285" s="65"/>
      <c r="Q285" s="65"/>
      <c r="R285" s="65"/>
      <c r="S285" s="66"/>
    </row>
    <row r="286" spans="15:19" hidden="1" x14ac:dyDescent="0.3">
      <c r="O286" s="60"/>
      <c r="P286" s="60"/>
      <c r="Q286" s="60"/>
      <c r="R286" s="60"/>
      <c r="S286" s="63"/>
    </row>
    <row r="287" spans="15:19" hidden="1" x14ac:dyDescent="0.3">
      <c r="O287" s="65"/>
      <c r="P287" s="65"/>
      <c r="Q287" s="65"/>
      <c r="R287" s="65"/>
      <c r="S287" s="66"/>
    </row>
    <row r="288" spans="15:19" hidden="1" x14ac:dyDescent="0.3">
      <c r="O288" s="60" t="str">
        <f ca="1">IF(AND($Q$11="druid",$Q$12&gt;=11),"x",IF(AND($Q$11="druid",$Q$12&gt;=9),"xx"," "))</f>
        <v xml:space="preserve"> </v>
      </c>
      <c r="P288" s="60" t="str">
        <f ca="1">IF(AND($Q$11="druid",$Q$12&gt;=13),"x",IF(AND($Q$11="druid",$Q$12&gt;=11),"xx"," "))</f>
        <v xml:space="preserve"> </v>
      </c>
      <c r="Q288" s="60" t="str">
        <f ca="1">IF(AND($Q$11="druid",$Q$12&gt;=15),"x",IF(AND($Q$11="druid",$Q$12&gt;=13),"xx"," "))</f>
        <v xml:space="preserve"> </v>
      </c>
      <c r="R288" s="60" t="str">
        <f ca="1">IF(AND($Q$11="druid",$Q$12&gt;=17),"x",IF(AND($Q$11="druid",$Q$12&gt;15),"xx"," "))</f>
        <v xml:space="preserve"> </v>
      </c>
      <c r="S288" s="63" t="str">
        <f ca="1">IF(AND($Q$11="druid",$Q$12&gt;=17),"xx"," ")</f>
        <v xml:space="preserve"> </v>
      </c>
    </row>
    <row r="289" spans="14:20" hidden="1" x14ac:dyDescent="0.3">
      <c r="O289" s="65">
        <f ca="1">IF(O288="x",RANDBETWEEN(2,3),IF(O288="xx",RANDBETWEEN(2,3),0))</f>
        <v>0</v>
      </c>
      <c r="P289" s="65">
        <f ca="1">IF(P288="x",RANDBETWEEN(2,3),IF(P288="xx",RANDBETWEEN(2,3),0))</f>
        <v>0</v>
      </c>
      <c r="Q289" s="65">
        <f ca="1">IF(Q288="x",RANDBETWEEN(1,2),IF(Q288="xx",RANDBETWEEN(1,2),0))</f>
        <v>0</v>
      </c>
      <c r="R289" s="65">
        <f ca="1">IF(OR(R288="x",R288="xx"),RANDBETWEEN(1,2),0)</f>
        <v>0</v>
      </c>
      <c r="S289" s="66">
        <f ca="1">IF(S288="xx",RANDBETWEEN(1,2),0)</f>
        <v>0</v>
      </c>
    </row>
    <row r="290" spans="14:20" hidden="1" x14ac:dyDescent="0.3">
      <c r="O290" s="60" t="str">
        <f ca="1">IF(AND(Q11="cleric",Q12&gt;=11),"x",IF(AND($Q$11="cleric",$Q$12&gt;=9),"xx"," "))</f>
        <v xml:space="preserve"> </v>
      </c>
      <c r="P290" s="60" t="str">
        <f ca="1">IF(AND(Q11="cleric",Q12&gt;=13),"x",IF(AND($Q$11="cleric",$Q$12&gt;=11),"xx"," "))</f>
        <v xml:space="preserve"> </v>
      </c>
      <c r="Q290" s="60" t="str">
        <f ca="1">IF(AND(Q11="cleric",Q12&gt;=15),"x",IF(AND($Q$11="cleric",$Q$12&gt;=13),"xx"," "))</f>
        <v xml:space="preserve"> </v>
      </c>
      <c r="R290" s="60" t="str">
        <f ca="1">IF(AND(Q11="cleric",Q12&gt;=17),"x",IF(AND($Q$11="cleric",$Q$12&gt;15),"xx"," "))</f>
        <v xml:space="preserve"> </v>
      </c>
      <c r="S290" s="63" t="str">
        <f ca="1">IF(AND($Q$11="cleric",$Q$12&gt;=17),"xx"," ")</f>
        <v xml:space="preserve"> </v>
      </c>
    </row>
    <row r="291" spans="14:20" hidden="1" x14ac:dyDescent="0.3">
      <c r="O291" s="65">
        <f ca="1">IF(O290="x",RANDBETWEEN(2,3),IF(O290="xx",RANDBETWEEN(2,3),0))</f>
        <v>0</v>
      </c>
      <c r="P291" s="65">
        <f ca="1">IF(P290="x",RANDBETWEEN(2,3),IF(P290="xx",RANDBETWEEN(2,3),0))</f>
        <v>0</v>
      </c>
      <c r="Q291" s="65">
        <f ca="1">IF(Q290="x",RANDBETWEEN(1,2),IF(Q290="xx",RANDBETWEEN(1,2),0))</f>
        <v>0</v>
      </c>
      <c r="R291" s="65">
        <f ca="1">IF(OR(R290="x",R290="xx"),RANDBETWEEN(1,2),0)</f>
        <v>0</v>
      </c>
      <c r="S291" s="66">
        <f ca="1">IF(S290="xx",RANDBETWEEN(1,2),0)</f>
        <v>0</v>
      </c>
    </row>
    <row r="292" spans="14:20" hidden="1" x14ac:dyDescent="0.3">
      <c r="O292" s="60" t="str">
        <f ca="1">IF(AND($Q$11="bard",$Q$12&gt;=11),"x",IF(AND($Q$11="bard",$Q$12&gt;=9),"xx"," "))</f>
        <v xml:space="preserve"> </v>
      </c>
      <c r="P292" s="60" t="str">
        <f ca="1">IF(AND($Q$11="bard",$Q$12&gt;=13),"x",IF(AND($Q$11="bard",$Q$12&gt;=11),"xx"," "))</f>
        <v xml:space="preserve"> </v>
      </c>
      <c r="Q292" s="60" t="str">
        <f ca="1">IF(AND($Q$11="bard",$Q$12&gt;=15),"x",IF(AND($Q$11="bard",$Q$12&gt;=13),"xx"," "))</f>
        <v xml:space="preserve"> </v>
      </c>
      <c r="R292" s="60" t="str">
        <f ca="1">IF(AND($Q$11="bard",$Q$12&gt;=17),"x",IF(AND($Q$11="bard",$Q$12&gt;15),"xx"," "))</f>
        <v xml:space="preserve"> </v>
      </c>
      <c r="S292" s="63" t="str">
        <f ca="1">IF(AND($Q$11="bard",$Q$12&gt;=17),"xx"," ")</f>
        <v xml:space="preserve"> </v>
      </c>
    </row>
    <row r="293" spans="14:20" hidden="1" x14ac:dyDescent="0.3">
      <c r="O293" s="65">
        <f ca="1">IF(O292="x",RANDBETWEEN(2,3),IF(O292="xx",RANDBETWEEN(2,3),0))</f>
        <v>0</v>
      </c>
      <c r="P293" s="65">
        <f ca="1">IF(P292="x",RANDBETWEEN(2,3),IF(P292="xx",RANDBETWEEN(2,3),0))</f>
        <v>0</v>
      </c>
      <c r="Q293" s="65">
        <f ca="1">IF(Q292="x",RANDBETWEEN(1,2),IF(Q292="xx",RANDBETWEEN(1,2),0))</f>
        <v>0</v>
      </c>
      <c r="R293" s="65">
        <f ca="1">IF(OR(R292="x",R292="xx"),RANDBETWEEN(1,2),0)</f>
        <v>0</v>
      </c>
      <c r="S293" s="66">
        <f ca="1">IF(S292="xx",RANDBETWEEN(1,2),0)</f>
        <v>0</v>
      </c>
    </row>
    <row r="294" spans="14:20" x14ac:dyDescent="0.3">
      <c r="N294" s="72"/>
      <c r="O294" s="136"/>
      <c r="P294" s="96" t="s">
        <v>750</v>
      </c>
      <c r="Q294" s="96" t="s">
        <v>1125</v>
      </c>
      <c r="R294" s="96" t="s">
        <v>1126</v>
      </c>
      <c r="S294" s="96" t="s">
        <v>1127</v>
      </c>
      <c r="T294" s="97" t="s">
        <v>751</v>
      </c>
    </row>
    <row r="295" spans="14:20" x14ac:dyDescent="0.3">
      <c r="N295" s="72"/>
      <c r="O295" s="86">
        <v>1</v>
      </c>
      <c r="P295" s="65" t="str">
        <f ca="1">IF(AND($Q$15="Otherworldly patron - great old one",O$277&gt;=O193),INDEX('Spell Tables'!$AJ$226:$AJ$231,MATCH(O193,('Spell Tables'!$AH$226:$AH$231),0)),IF(AND($Q$15="Otherworldly patron - fiend",O$277&gt;=O193),INDEX('Spell Tables'!$AJ$210:$AJ$215,MATCH(O193,('Spell Tables'!$AH$210:$AH$215),0)),IF(AND($Q$15="Otherworldly patron - archfey",O$277&gt;=O193),INDEX('Spell Tables'!$AJ$194:$AJ$199,MATCH(O193,('Spell Tables'!$AH$194:$AH$199),0)),IF($O$275&gt;=O193,INDEX($AL$92:$AL$101,MATCH(O193,($AJ$92:$AJ$101),0)),IF($O$279&gt;=O193,INDEX('Spell Tables'!$AJ$168:$AJ$178,MATCH(O193,('Spell Tables'!$AH$168:$AH$178),0)),IF($O$283&gt;=O193,INDEX('Spell Tables'!$AF$119:$AF$122,MATCH(O193,('Spell Tables'!$AD$119:$AD$122),0)),IF($O$285&gt;=O193,INDEX('Spell Tables'!$AF$97:$AF$102,MATCH(O193,('Spell Tables'!$AD$97:$AD$102),0)),IF($O$289&gt;=O193,INDEX('Spell Tables'!$AJ$48:$AJ$61,MATCH(O193,('Spell Tables'!$AH$48:$AH$61),0)),IF($O$291&gt;=O193,INDEX('Spell Tables'!$AJ$26:$AJ$38,MATCH(O193,('Spell Tables'!$AH$26:$AH$38),0)),IF($O$293&gt;=O193,INDEX('Spell Tables'!$AJ$2:$AJ$17,MATCH(O193,('Spell Tables'!$AH$2:$AH$17),0))," "))))))))))</f>
        <v xml:space="preserve"> </v>
      </c>
      <c r="Q295" s="65" t="str">
        <f ca="1">IF($P$275&gt;=O262,INDEX($AL$104:$AL$113,MATCH(O262,($AJ$104:$AJ$113),0)),IF($P$279&gt;=O262,INDEX('Spell Tables'!$AN$168:$AN$177,MATCH(O262,('Spell Tables'!$AL$168:$AL$177),0)),IF($P$289&gt;=O262,INDEX('Spell Tables'!$AN$48:$AN$56,MATCH(O262,('Spell Tables'!$AL$48:$AL$56),0)),IF($P$291&gt;=O262,INDEX('Spell Tables'!$AN$26:$AN$35,MATCH(O262,('Spell Tables'!$AL$26:$AL$35),0)),IF($P$293&gt;=O262,INDEX('Spell Tables'!$AN$2:$AN$8,MATCH(O262,('Spell Tables'!$AL$2:$AL$8),0))," ")))))</f>
        <v xml:space="preserve"> </v>
      </c>
      <c r="R295" s="65" t="str">
        <f ca="1">IF($Q$275&gt;=O262,INDEX($AL$116:$AL$125,MATCH(O262,($AJ$116:$AJ$125),0)),IF($Q$279&gt;=O262,INDEX('Spell Tables'!$AR$168:$AR$175,MATCH(O262,('Spell Tables'!$AP$168:$AP$175),0)),IF($Q$289&gt;=O262,INDEX('Spell Tables'!$AR$48:$AR$52,MATCH(O262,('Spell Tables'!$AP$48:$AP$52),0)),IF($Q$291&gt;=O262,INDEX('Spell Tables'!$AR$26:$AR$33,MATCH(O262,('Spell Tables'!$AP$26:$AP$33),0)),IF($Q$293&gt;=O262,INDEX('Spell Tables'!$AR$2:$AR$11,MATCH(O262,('Spell Tables'!$AL$2:$AL$11),0))," ")))))</f>
        <v xml:space="preserve"> </v>
      </c>
      <c r="S295" s="65" t="str">
        <f ca="1">IF($R$275&gt;=O262,INDEX($AL$128:$AL$137,MATCH(O262,($AJ$128:$AJ$137),0)),IF($R$279&gt;=O262,INDEX('Spell Tables'!$AV$168:$AV$172,MATCH(O262,('Spell Tables'!$AT$168:$AT$172),0)),IF($R$289&gt;=O262,INDEX('Spell Tables'!$AV$48:$AV$54,MATCH(O262,('Spell Tables'!$AT$48:$AT$54),0)),IF($R$291&gt;=O262,INDEX('Spell Tables'!$AV$26:$AV$29,MATCH(O262,('Spell Tables'!$AT$26:$AT$29),0)),IF($R$293&gt;=O262,INDEX('Spell Tables'!$AV$2:$AV$6,MATCH(O262,('Spell Tables'!$AT$2:$AT$6),0))," ")))))</f>
        <v xml:space="preserve"> </v>
      </c>
      <c r="T295" s="66" t="str">
        <f ca="1">IF($S$289&gt;=O262,INDEX($AL$140:$AL$149,MATCH(O262,($AJ$140:$AJ$149),0)),IF($S$275&gt;=O262,INDEX('Spell Tables'!$AZ$242:$AZ$253,MATCH(O262,('Spell Tables'!$AX$242:$AX$253),0)),IF($S$279&gt;=O262,INDEX('Spell Tables'!$AZ$168:$AZ$172,MATCH(O262,('Spell Tables'!$AX$168:$AX$172),0)),IF($S$291&gt;=O262,INDEX('Spell Tables'!$AZ$26:$AZ$29,MATCH(O262,('Spell Tables'!$AX$26:$AX$29),0)),IF($S$293&gt;=O262,INDEX('Spell Tables'!$AZ$2:$AZ$5,MATCH(O262,('Spell Tables'!$AX$2:$AX$5),0))," ")))))</f>
        <v xml:space="preserve"> </v>
      </c>
    </row>
    <row r="296" spans="14:20" x14ac:dyDescent="0.3">
      <c r="N296" s="72"/>
      <c r="O296" s="133">
        <v>2</v>
      </c>
      <c r="P296" s="60" t="str">
        <f ca="1">IF(AND($Q$15="Otherworldly patron - great old one",O$277&gt;=O194),INDEX('Spell Tables'!$AJ$226:$AJ$231,MATCH(O194,('Spell Tables'!$AH$226:$AH$231),0)),IF(AND($Q$15="Otherworldly patron - fiend",O$277&gt;=O194),INDEX('Spell Tables'!$AJ$210:$AJ$215,MATCH(O194,('Spell Tables'!$AH$210:$AH$215),0)),IF(AND($Q$15="Otherworldly patron - archfey",O$277&gt;=O194),INDEX('Spell Tables'!$AJ$194:$AJ$199,MATCH(O194,('Spell Tables'!$AH$194:$AH$199),0)),IF($O$275&gt;=O194,INDEX($AL$92:$AL$101,MATCH(O194,($AJ$92:$AJ$101),0)),IF($O$279&gt;=O194,INDEX('Spell Tables'!$AJ$168:$AJ$178,MATCH(O194,('Spell Tables'!$AH$168:$AH$178),0)),IF($O$283&gt;=O194,INDEX('Spell Tables'!$AF$119:$AF$122,MATCH(O194,('Spell Tables'!$AD$119:$AD$122),0)),IF($O$285&gt;=O194,INDEX('Spell Tables'!$AF$97:$AF$102,MATCH(O194,('Spell Tables'!$AD$97:$AD$102),0)),IF($O$289&gt;=O194,INDEX('Spell Tables'!$AJ$48:$AJ$61,MATCH(O194,('Spell Tables'!$AH$48:$AH$61),0)),IF($O$291&gt;=O194,INDEX('Spell Tables'!$AJ$26:$AJ$38,MATCH(O194,('Spell Tables'!$AH$26:$AH$38),0)),IF($O$293&gt;=O194,INDEX('Spell Tables'!$AJ$2:$AJ$17,MATCH(O194,('Spell Tables'!$AH$2:$AH$17),0))," "))))))))))</f>
        <v xml:space="preserve"> </v>
      </c>
      <c r="Q296" s="60" t="str">
        <f ca="1">IF($P$275&gt;=O263,INDEX($AL$104:$AL$113,MATCH(O263,($AJ$104:$AJ$113),0)),IF($P$279&gt;=O263,INDEX('Spell Tables'!$AN$168:$AN$177,MATCH(O263,('Spell Tables'!$AL$168:$AL$177),0)),IF($P$289&gt;=O263,INDEX('Spell Tables'!$AN$48:$AN$56,MATCH(O263,('Spell Tables'!$AL$48:$AL$56),0)),IF($P$291&gt;=O263,INDEX('Spell Tables'!$AN$26:$AN$35,MATCH(O263,('Spell Tables'!$AL$26:$AL$35),0)),IF($P$293&gt;=O263,INDEX('Spell Tables'!$AN$2:$AN$8,MATCH(O263,('Spell Tables'!$AL$2:$AL$8),0))," ")))))</f>
        <v xml:space="preserve"> </v>
      </c>
      <c r="R296" s="60" t="str">
        <f ca="1">IF($Q$275&gt;=O263,INDEX($AL$116:$AL$125,MATCH(O263,($AJ$116:$AJ$125),0)),IF($Q$279&gt;=O263,INDEX('Spell Tables'!$AR$168:$AR$175,MATCH(O263,('Spell Tables'!$AP$168:$AP$175),0)),IF($Q$289&gt;=O263,INDEX('Spell Tables'!$AR$48:$AR$52,MATCH(O263,('Spell Tables'!$AP$48:$AP$52),0)),IF($Q$291&gt;=O263,INDEX('Spell Tables'!$AR$26:$AR$33,MATCH(O263,('Spell Tables'!$AP$26:$AP$33),0)),IF($Q$293&gt;=O263,INDEX('Spell Tables'!$AR$2:$AR$11,MATCH(O263,('Spell Tables'!$AL$2:$AL$11),0))," ")))))</f>
        <v xml:space="preserve"> </v>
      </c>
      <c r="S296" s="60" t="str">
        <f ca="1">IF($R$275&gt;=O263,INDEX($AL$128:$AL$137,MATCH(O263,($AJ$128:$AJ$137),0)),IF($R$279&gt;=O263,INDEX('Spell Tables'!$AV$168:$AV$172,MATCH(O263,('Spell Tables'!$AT$168:$AT$172),0)),IF($R$289&gt;=O263,INDEX('Spell Tables'!$AV$48:$AV$54,MATCH(O263,('Spell Tables'!$AT$48:$AT$54),0)),IF($R$291&gt;=O263,INDEX('Spell Tables'!$AV$26:$AV$29,MATCH(O263,('Spell Tables'!$AT$26:$AT$29),0)),IF($R$293&gt;=O263,INDEX('Spell Tables'!$AV$2:$AV$6,MATCH(O263,('Spell Tables'!$AT$2:$AT$6),0))," ")))))</f>
        <v xml:space="preserve"> </v>
      </c>
      <c r="T296" s="63" t="str">
        <f ca="1">IF($S$289&gt;=O263,INDEX($AL$140:$AL$149,MATCH(O263,($AJ$140:$AJ$149),0)),IF($S$275&gt;=O263,INDEX('Spell Tables'!$AZ$242:$AZ$253,MATCH(O263,('Spell Tables'!$AX$242:$AX$253),0)),IF($S$279&gt;=O263,INDEX('Spell Tables'!$AZ$168:$AZ$172,MATCH(O263,('Spell Tables'!$AX$168:$AX$172),0)),IF($S$291&gt;=O263,INDEX('Spell Tables'!$AZ$26:$AZ$29,MATCH(O263,('Spell Tables'!$AX$26:$AX$29),0)),IF($S$293&gt;=O263,INDEX('Spell Tables'!$AZ$2:$AZ$5,MATCH(O263,('Spell Tables'!$AX$2:$AX$5),0))," ")))))</f>
        <v xml:space="preserve"> </v>
      </c>
    </row>
    <row r="297" spans="14:20" x14ac:dyDescent="0.3">
      <c r="N297" s="72"/>
      <c r="O297" s="86">
        <v>3</v>
      </c>
      <c r="P297" s="65" t="str">
        <f ca="1">IF(AND($Q$15="Otherworldly patron - great old one",O$277&gt;=O195),INDEX('Spell Tables'!$AJ$226:$AJ$231,MATCH(O195,('Spell Tables'!$AH$226:$AH$231),0)),IF(AND($Q$15="Otherworldly patron - fiend",O$277&gt;=O195),INDEX('Spell Tables'!$AJ$210:$AJ$215,MATCH(O195,('Spell Tables'!$AH$210:$AH$215),0)),IF(AND($Q$15="Otherworldly patron - archfey",O$277&gt;=O195),INDEX('Spell Tables'!$AJ$194:$AJ$199,MATCH(O195,('Spell Tables'!$AH$194:$AH$199),0)),IF($O$275&gt;=O195,INDEX($AL$92:$AL$101,MATCH(O195,($AJ$92:$AJ$101),0)),IF($O$279&gt;=O195,INDEX('Spell Tables'!$AJ$168:$AJ$178,MATCH(O195,('Spell Tables'!$AH$168:$AH$178),0)),IF($O$283&gt;=O195,INDEX('Spell Tables'!$AF$119:$AF$122,MATCH(O195,('Spell Tables'!$AD$119:$AD$122),0)),IF($O$285&gt;=O195,INDEX('Spell Tables'!$AF$97:$AF$102,MATCH(O195,('Spell Tables'!$AD$97:$AD$102),0)),IF($O$289&gt;=O195,INDEX('Spell Tables'!$AJ$48:$AJ$61,MATCH(O195,('Spell Tables'!$AH$48:$AH$61),0)),IF($O$291&gt;=O195,INDEX('Spell Tables'!$AJ$26:$AJ$38,MATCH(O195,('Spell Tables'!$AH$26:$AH$38),0)),IF($O$293&gt;=O195,INDEX('Spell Tables'!$AJ$2:$AJ$17,MATCH(O195,('Spell Tables'!$AH$2:$AH$17),0))," "))))))))))</f>
        <v xml:space="preserve"> </v>
      </c>
      <c r="Q297" s="65" t="str">
        <f ca="1">IF($P$275&gt;=O264,INDEX($AL$104:$AL$113,MATCH(O264,($AJ$104:$AJ$113),0)),IF($P$279&gt;=O264,INDEX('Spell Tables'!$AN$168:$AN$177,MATCH(O264,('Spell Tables'!$AL$168:$AL$177),0)),IF($P$289&gt;=O264,INDEX('Spell Tables'!$AN$48:$AN$56,MATCH(O264,('Spell Tables'!$AL$48:$AL$56),0)),IF($P$291&gt;=O264,INDEX('Spell Tables'!$AN$26:$AN$35,MATCH(O264,('Spell Tables'!$AL$26:$AL$35),0)),IF($P$293&gt;=O264,INDEX('Spell Tables'!$AN$2:$AN$8,MATCH(O264,('Spell Tables'!$AL$2:$AL$8),0))," ")))))</f>
        <v xml:space="preserve"> </v>
      </c>
      <c r="R297" s="65" t="str">
        <f ca="1">IF($Q$275&gt;=O264,INDEX($AL$116:$AL$125,MATCH(O264,($AJ$116:$AJ$125),0)),IF($Q$279&gt;=O264,INDEX('Spell Tables'!$AR$168:$AR$175,MATCH(O264,('Spell Tables'!$AP$168:$AP$175),0)),IF($Q$289&gt;=O264,INDEX('Spell Tables'!$AR$48:$AR$52,MATCH(O264,('Spell Tables'!$AP$48:$AP$52),0)),IF($Q$291&gt;=O264,INDEX('Spell Tables'!$AR$26:$AR$33,MATCH(O264,('Spell Tables'!$AP$26:$AP$33),0)),IF($Q$293&gt;=O264,INDEX('Spell Tables'!$AR$2:$AR$11,MATCH(O264,('Spell Tables'!$AL$2:$AL$11),0))," ")))))</f>
        <v xml:space="preserve"> </v>
      </c>
      <c r="S297" s="65" t="str">
        <f ca="1">IF($R$275&gt;=O264,INDEX($AL$128:$AL$137,MATCH(O264,($AJ$128:$AJ$137),0)),IF($R$279&gt;=O264,INDEX('Spell Tables'!$AV$168:$AV$172,MATCH(O264,('Spell Tables'!$AT$168:$AT$172),0)),IF($R$289&gt;=O264,INDEX('Spell Tables'!$AV$48:$AV$54,MATCH(O264,('Spell Tables'!$AT$48:$AT$54),0)),IF($R$291&gt;=O264,INDEX('Spell Tables'!$AV$26:$AV$29,MATCH(O264,('Spell Tables'!$AT$26:$AT$29),0)),IF($R$293&gt;=O264,INDEX('Spell Tables'!$AV$2:$AV$6,MATCH(O264,('Spell Tables'!$AT$2:$AT$6),0))," ")))))</f>
        <v xml:space="preserve"> </v>
      </c>
      <c r="T297" s="66" t="str">
        <f ca="1">IF($S$289&gt;=O264,INDEX($AL$140:$AL$149,MATCH(O264,($AJ$140:$AJ$149),0)),IF($S$275&gt;=O264,INDEX('Spell Tables'!$AZ$242:$AZ$253,MATCH(O264,('Spell Tables'!$AX$242:$AX$253),0)),IF($S$279&gt;=O264,INDEX('Spell Tables'!$AZ$168:$AZ$172,MATCH(O264,('Spell Tables'!$AX$168:$AX$172),0)),IF($S$291&gt;=O264,INDEX('Spell Tables'!$AZ$26:$AZ$29,MATCH(O264,('Spell Tables'!$AX$26:$AX$29),0)),IF($S$293&gt;=O264,INDEX('Spell Tables'!$AZ$2:$AZ$5,MATCH(O264,('Spell Tables'!$AX$2:$AX$5),0))," ")))))</f>
        <v xml:space="preserve"> </v>
      </c>
    </row>
    <row r="298" spans="14:20" x14ac:dyDescent="0.3">
      <c r="N298" s="72"/>
      <c r="O298" s="133">
        <v>4</v>
      </c>
      <c r="P298" s="60" t="str">
        <f ca="1">IF(AND($Q$15="Otherworldly patron - great old one",O$277&gt;=O196),INDEX('Spell Tables'!$AJ$226:$AJ$231,MATCH(O196,('Spell Tables'!$AH$226:$AH$231),0)),IF(AND($Q$15="Otherworldly patron - fiend",O$277&gt;=O196),INDEX('Spell Tables'!$AJ$210:$AJ$215,MATCH(O196,('Spell Tables'!$AH$210:$AH$215),0)),IF(AND($Q$15="Otherworldly patron - archfey",O$277&gt;=O196),INDEX('Spell Tables'!$AJ$194:$AJ$199,MATCH(O196,('Spell Tables'!$AH$194:$AH$199),0)),IF($O$275&gt;=O196,INDEX($AL$92:$AL$101,MATCH(O196,($AJ$92:$AJ$101),0)),IF($O$279&gt;=O196,INDEX('Spell Tables'!$AJ$168:$AJ$178,MATCH(O196,('Spell Tables'!$AH$168:$AH$178),0)),IF($O$283&gt;=O196,INDEX('Spell Tables'!$AF$119:$AF$122,MATCH(O196,('Spell Tables'!$AD$119:$AD$122),0)),IF($O$285&gt;=O196,INDEX('Spell Tables'!$AF$97:$AF$102,MATCH(O196,('Spell Tables'!$AD$97:$AD$102),0)),IF($O$289&gt;=O196,INDEX('Spell Tables'!$AJ$48:$AJ$61,MATCH(O196,('Spell Tables'!$AH$48:$AH$61),0)),IF($O$291&gt;=O196,INDEX('Spell Tables'!$AJ$26:$AJ$38,MATCH(O196,('Spell Tables'!$AH$26:$AH$38),0)),IF($O$293&gt;=O196,INDEX('Spell Tables'!$AJ$2:$AJ$17,MATCH(O196,('Spell Tables'!$AH$2:$AH$17),0))," "))))))))))</f>
        <v xml:space="preserve"> </v>
      </c>
      <c r="Q298" s="60" t="str">
        <f ca="1">IF($P$275&gt;=O265,INDEX($AL$104:$AL$113,MATCH(O265,($AJ$104:$AJ$113),0)),IF($P$279&gt;=O265,INDEX('Spell Tables'!$AN$168:$AN$177,MATCH(O265,('Spell Tables'!$AL$168:$AL$177),0)),IF($P$289&gt;=O265,INDEX('Spell Tables'!$AN$48:$AN$56,MATCH(O265,('Spell Tables'!$AL$48:$AL$56),0)),IF($P$291&gt;=O265,INDEX('Spell Tables'!$AN$26:$AN$35,MATCH(O265,('Spell Tables'!$AL$26:$AL$35),0)),IF($P$293&gt;=O265,INDEX('Spell Tables'!$AN$2:$AN$8,MATCH(O265,('Spell Tables'!$AL$2:$AL$8),0))," ")))))</f>
        <v xml:space="preserve"> </v>
      </c>
      <c r="R298" s="60" t="str">
        <f ca="1">IF($Q$275&gt;=O265,INDEX($AL$116:$AL$125,MATCH(O265,($AJ$116:$AJ$125),0)),IF($Q$279&gt;=O265,INDEX('Spell Tables'!$AR$168:$AR$175,MATCH(O265,('Spell Tables'!$AP$168:$AP$175),0)),IF($Q$289&gt;=O265,INDEX('Spell Tables'!$AR$48:$AR$52,MATCH(O265,('Spell Tables'!$AP$48:$AP$52),0)),IF($Q$291&gt;=O265,INDEX('Spell Tables'!$AR$26:$AR$33,MATCH(O265,('Spell Tables'!$AP$26:$AP$33),0)),IF($Q$293&gt;=O265,INDEX('Spell Tables'!$AR$2:$AR$11,MATCH(O265,('Spell Tables'!$AL$2:$AL$11),0))," ")))))</f>
        <v xml:space="preserve"> </v>
      </c>
      <c r="S298" s="60" t="str">
        <f ca="1">IF($R$275&gt;=O265,INDEX($AL$128:$AL$137,MATCH(O265,($AJ$128:$AJ$137),0)),IF($R$279&gt;=O265,INDEX('Spell Tables'!$AV$168:$AV$172,MATCH(O265,('Spell Tables'!$AT$168:$AT$172),0)),IF($R$289&gt;=O265,INDEX('Spell Tables'!$AV$48:$AV$54,MATCH(O265,('Spell Tables'!$AT$48:$AT$54),0)),IF($R$291&gt;=O265,INDEX('Spell Tables'!$AV$26:$AV$29,MATCH(O265,('Spell Tables'!$AT$26:$AT$29),0)),IF($R$293&gt;=O265,INDEX('Spell Tables'!$AV$2:$AV$6,MATCH(O265,('Spell Tables'!$AT$2:$AT$6),0))," ")))))</f>
        <v xml:space="preserve"> </v>
      </c>
      <c r="T298" s="63" t="str">
        <f ca="1">IF($S$289&gt;=O265,INDEX($AL$140:$AL$149,MATCH(O265,($AJ$140:$AJ$149),0)),IF($S$275&gt;=O265,INDEX('Spell Tables'!$AZ$242:$AZ$253,MATCH(O265,('Spell Tables'!$AX$242:$AX$253),0)),IF($S$279&gt;=O265,INDEX('Spell Tables'!$AZ$168:$AZ$172,MATCH(O265,('Spell Tables'!$AX$168:$AX$172),0)),IF($S$291&gt;=O265,INDEX('Spell Tables'!$AZ$26:$AZ$29,MATCH(O265,('Spell Tables'!$AX$26:$AX$29),0)),IF($S$293&gt;=O265,INDEX('Spell Tables'!$AZ$2:$AZ$5,MATCH(O265,('Spell Tables'!$AX$2:$AX$5),0))," ")))))</f>
        <v xml:space="preserve"> </v>
      </c>
    </row>
    <row r="299" spans="14:20" x14ac:dyDescent="0.3">
      <c r="N299" s="72"/>
      <c r="O299" s="86">
        <v>5</v>
      </c>
      <c r="P299" s="65" t="str">
        <f ca="1">IF(AND($Q$15="Otherworldly patron - great old one",O$277&gt;=O197),INDEX('Spell Tables'!$AJ$226:$AJ$231,MATCH(O197,('Spell Tables'!$AH$226:$AH$231),0)),IF(AND($Q$15="Otherworldly patron - fiend",O$277&gt;=O197),INDEX('Spell Tables'!$AJ$210:$AJ$215,MATCH(O197,('Spell Tables'!$AH$210:$AH$215),0)),IF(AND($Q$15="Otherworldly patron - archfey",O$277&gt;=O197),INDEX('Spell Tables'!$AJ$194:$AJ$199,MATCH(O197,('Spell Tables'!$AH$194:$AH$199),0)),IF($O$275&gt;=O197,INDEX($AL$92:$AL$101,MATCH(O197,($AJ$92:$AJ$101),0)),IF($O$279&gt;=O197,INDEX('Spell Tables'!$AJ$168:$AJ$178,MATCH(O197,('Spell Tables'!$AH$168:$AH$178),0)),IF($O$283&gt;=O197,INDEX('Spell Tables'!$AF$119:$AF$122,MATCH(O197,('Spell Tables'!$AD$119:$AD$122),0)),IF($O$285&gt;=O197,INDEX('Spell Tables'!$AF$97:$AF$102,MATCH(O197,('Spell Tables'!$AD$97:$AD$102),0)),IF($O$289&gt;=O197,INDEX('Spell Tables'!$AJ$48:$AJ$61,MATCH(O197,('Spell Tables'!$AH$48:$AH$61),0)),IF($O$291&gt;=O197,INDEX('Spell Tables'!$AJ$26:$AJ$38,MATCH(O197,('Spell Tables'!$AH$26:$AH$38),0)),IF($O$293&gt;=O197,INDEX('Spell Tables'!$AJ$2:$AJ$17,MATCH(O197,('Spell Tables'!$AH$2:$AH$17),0))," "))))))))))</f>
        <v xml:space="preserve"> </v>
      </c>
      <c r="Q299" s="65" t="str">
        <f ca="1">IF($P$275&gt;=O266,INDEX($AL$104:$AL$113,MATCH(O266,($AJ$104:$AJ$113),0)),IF($P$279&gt;=O266,INDEX('Spell Tables'!$AN$168:$AN$177,MATCH(O266,('Spell Tables'!$AL$168:$AL$177),0)),IF($P$289&gt;=O266,INDEX('Spell Tables'!$AN$48:$AN$56,MATCH(O266,('Spell Tables'!$AL$48:$AL$56),0)),IF($P$291&gt;=O266,INDEX('Spell Tables'!$AN$26:$AN$35,MATCH(O266,('Spell Tables'!$AL$26:$AL$35),0)),IF($P$293&gt;=O266,INDEX('Spell Tables'!$AN$2:$AN$8,MATCH(O266,('Spell Tables'!$AL$2:$AL$8),0))," ")))))</f>
        <v xml:space="preserve"> </v>
      </c>
      <c r="R299" s="65" t="str">
        <f ca="1">IF($Q$275&gt;=O266,INDEX($AL$116:$AL$125,MATCH(O266,($AJ$116:$AJ$125),0)),IF($Q$279&gt;=O266,INDEX('Spell Tables'!$AR$168:$AR$175,MATCH(O266,('Spell Tables'!$AP$168:$AP$175),0)),IF($Q$289&gt;=O266,INDEX('Spell Tables'!$AR$48:$AR$52,MATCH(O266,('Spell Tables'!$AP$48:$AP$52),0)),IF($Q$291&gt;=O266,INDEX('Spell Tables'!$AR$26:$AR$33,MATCH(O266,('Spell Tables'!$AP$26:$AP$33),0)),IF($Q$293&gt;=O266,INDEX('Spell Tables'!$AR$2:$AR$11,MATCH(O266,('Spell Tables'!$AL$2:$AL$11),0))," ")))))</f>
        <v xml:space="preserve"> </v>
      </c>
      <c r="S299" s="65" t="str">
        <f ca="1">IF($R$275&gt;=O266,INDEX($AL$128:$AL$137,MATCH(O266,($AJ$128:$AJ$137),0)),IF($R$279&gt;=O266,INDEX('Spell Tables'!$AV$168:$AV$172,MATCH(O266,('Spell Tables'!$AT$168:$AT$172),0)),IF($R$289&gt;=O266,INDEX('Spell Tables'!$AV$48:$AV$54,MATCH(O266,('Spell Tables'!$AT$48:$AT$54),0)),IF($R$291&gt;=O266,INDEX('Spell Tables'!$AV$26:$AV$29,MATCH(O266,('Spell Tables'!$AT$26:$AT$29),0)),IF($R$293&gt;=O266,INDEX('Spell Tables'!$AV$2:$AV$6,MATCH(O266,('Spell Tables'!$AT$2:$AT$6),0))," ")))))</f>
        <v xml:space="preserve"> </v>
      </c>
      <c r="T299" s="66" t="str">
        <f ca="1">IF($S$289&gt;=O266,INDEX($AL$140:$AL$149,MATCH(O266,($AJ$140:$AJ$149),0)),IF($S$275&gt;=O266,INDEX('Spell Tables'!$AZ$242:$AZ$253,MATCH(O266,('Spell Tables'!$AX$242:$AX$253),0)),IF($S$279&gt;=O266,INDEX('Spell Tables'!$AZ$168:$AZ$172,MATCH(O266,('Spell Tables'!$AX$168:$AX$172),0)),IF($S$291&gt;=O266,INDEX('Spell Tables'!$AZ$26:$AZ$29,MATCH(O266,('Spell Tables'!$AX$26:$AX$29),0)),IF($S$293&gt;=O266,INDEX('Spell Tables'!$AZ$2:$AZ$5,MATCH(O266,('Spell Tables'!$AX$2:$AX$5),0))," ")))))</f>
        <v xml:space="preserve"> </v>
      </c>
    </row>
    <row r="300" spans="14:20" x14ac:dyDescent="0.3">
      <c r="N300" s="72"/>
      <c r="O300" s="133">
        <v>6</v>
      </c>
      <c r="P300" s="60" t="str">
        <f ca="1">IF(AND($Q$15="Otherworldly patron - great old one",O$277&gt;=O198),INDEX('Spell Tables'!$AJ$226:$AJ$231,MATCH(O198,('Spell Tables'!$AH$226:$AH$231),0)),IF(AND($Q$15="Otherworldly patron - fiend",O$277&gt;=O198),INDEX('Spell Tables'!$AJ$210:$AJ$215,MATCH(O198,('Spell Tables'!$AH$210:$AH$215),0)),IF(AND($Q$15="Otherworldly patron - archfey",O$277&gt;=O198),INDEX('Spell Tables'!$AJ$194:$AJ$199,MATCH(O198,('Spell Tables'!$AH$194:$AH$199),0)),IF($O$275&gt;=O198,INDEX($AL$92:$AL$101,MATCH(O198,($AJ$92:$AJ$101),0)),IF($O$279&gt;=O198,INDEX('Spell Tables'!$AJ$168:$AJ$178,MATCH(O198,('Spell Tables'!$AH$168:$AH$178),0)),IF($O$283&gt;=O198,INDEX('Spell Tables'!$AF$119:$AF$122,MATCH(O198,('Spell Tables'!$AD$119:$AD$122),0)),IF($O$285&gt;=O198,INDEX('Spell Tables'!$AF$97:$AF$102,MATCH(O198,('Spell Tables'!$AD$97:$AD$102),0)),IF($O$289&gt;=O198,INDEX('Spell Tables'!$AJ$48:$AJ$61,MATCH(O198,('Spell Tables'!$AH$48:$AH$61),0)),IF($O$291&gt;=O198,INDEX('Spell Tables'!$AJ$26:$AJ$38,MATCH(O198,('Spell Tables'!$AH$26:$AH$38),0)),IF($O$293&gt;=O198,INDEX('Spell Tables'!$AJ$2:$AJ$17,MATCH(O198,('Spell Tables'!$AH$2:$AH$17),0))," "))))))))))</f>
        <v xml:space="preserve"> </v>
      </c>
      <c r="Q300" s="60" t="str">
        <f ca="1">IF($P$275&gt;=O267,INDEX($AL$104:$AL$113,MATCH(O267,($AJ$104:$AJ$113),0)),IF($P$279&gt;=O267,INDEX('Spell Tables'!$AN$168:$AN$177,MATCH(O267,('Spell Tables'!$AL$168:$AL$177),0)),IF($P$289&gt;=O267,INDEX('Spell Tables'!$AN$48:$AN$56,MATCH(O267,('Spell Tables'!$AL$48:$AL$56),0)),IF($P$291&gt;=O267,INDEX('Spell Tables'!$AN$26:$AN$35,MATCH(O267,('Spell Tables'!$AL$26:$AL$35),0)),IF($P$293&gt;=O267,INDEX('Spell Tables'!$AN$2:$AN$8,MATCH(O267,('Spell Tables'!$AL$2:$AL$8),0))," ")))))</f>
        <v xml:space="preserve"> </v>
      </c>
      <c r="R300" s="60" t="str">
        <f ca="1">IF($Q$275&gt;=O267,INDEX($AL$116:$AL$125,MATCH(O267,($AJ$116:$AJ$125),0)),IF($Q$279&gt;=O267,INDEX('Spell Tables'!$AR$168:$AR$175,MATCH(O267,('Spell Tables'!$AP$168:$AP$175),0)),IF($Q$289&gt;=O267,INDEX('Spell Tables'!$AR$48:$AR$52,MATCH(O267,('Spell Tables'!$AP$48:$AP$52),0)),IF($Q$291&gt;=O267,INDEX('Spell Tables'!$AR$26:$AR$33,MATCH(O267,('Spell Tables'!$AP$26:$AP$33),0)),IF($Q$293&gt;=O267,INDEX('Spell Tables'!$AR$2:$AR$11,MATCH(O267,('Spell Tables'!$AL$2:$AL$11),0))," ")))))</f>
        <v xml:space="preserve"> </v>
      </c>
      <c r="S300" s="60" t="str">
        <f ca="1">IF($R$275&gt;=O267,INDEX($AL$128:$AL$137,MATCH(O267,($AJ$128:$AJ$137),0)),IF($R$279&gt;=O267,INDEX('Spell Tables'!$AV$168:$AV$172,MATCH(O267,('Spell Tables'!$AT$168:$AT$172),0)),IF($R$289&gt;=O267,INDEX('Spell Tables'!$AV$48:$AV$54,MATCH(O267,('Spell Tables'!$AT$48:$AT$54),0)),IF($R$291&gt;=O267,INDEX('Spell Tables'!$AV$26:$AV$29,MATCH(O267,('Spell Tables'!$AT$26:$AT$29),0)),IF($R$293&gt;=O267,INDEX('Spell Tables'!$AV$2:$AV$6,MATCH(O267,('Spell Tables'!$AT$2:$AT$6),0))," ")))))</f>
        <v xml:space="preserve"> </v>
      </c>
      <c r="T300" s="63" t="str">
        <f ca="1">IF($S$289&gt;=O267,INDEX($AL$140:$AL$149,MATCH(O267,($AJ$140:$AJ$149),0)),IF($S$275&gt;=O267,INDEX('Spell Tables'!$AZ$242:$AZ$253,MATCH(O267,('Spell Tables'!$AX$242:$AX$253),0)),IF($S$279&gt;=O267,INDEX('Spell Tables'!$AZ$168:$AZ$172,MATCH(O267,('Spell Tables'!$AX$168:$AX$172),0)),IF($S$291&gt;=O267,INDEX('Spell Tables'!$AZ$26:$AZ$29,MATCH(O267,('Spell Tables'!$AX$26:$AX$29),0)),IF($S$293&gt;=O267,INDEX('Spell Tables'!$AZ$2:$AZ$5,MATCH(O267,('Spell Tables'!$AX$2:$AX$5),0))," ")))))</f>
        <v xml:space="preserve"> </v>
      </c>
    </row>
    <row r="301" spans="14:20" x14ac:dyDescent="0.3">
      <c r="N301" s="72"/>
      <c r="O301" s="86">
        <v>7</v>
      </c>
      <c r="P301" s="65" t="str">
        <f ca="1">IF(AND($Q$15="Otherworldly patron - great old one",O$277&gt;=O199),INDEX('Spell Tables'!$AJ$226:$AJ$231,MATCH(O199,('Spell Tables'!$AH$226:$AH$231),0)),IF(AND($Q$15="Otherworldly patron - fiend",O$277&gt;=O199),INDEX('Spell Tables'!$AJ$210:$AJ$215,MATCH(O199,('Spell Tables'!$AH$210:$AH$215),0)),IF(AND($Q$15="Otherworldly patron - archfey",O$277&gt;=O199),INDEX('Spell Tables'!$AJ$194:$AJ$199,MATCH(O199,('Spell Tables'!$AH$194:$AH$199),0)),IF($O$275&gt;=O199,INDEX($AL$92:$AL$101,MATCH(O199,($AJ$92:$AJ$101),0)),IF($O$279&gt;=O199,INDEX('Spell Tables'!$AJ$168:$AJ$178,MATCH(O199,('Spell Tables'!$AH$168:$AH$178),0)),IF($O$283&gt;=O199,INDEX('Spell Tables'!$AF$119:$AF$122,MATCH(O199,('Spell Tables'!$AD$119:$AD$122),0)),IF($O$285&gt;=O199,INDEX('Spell Tables'!$AF$97:$AF$102,MATCH(O199,('Spell Tables'!$AD$97:$AD$102),0)),IF($O$289&gt;=O199,INDEX('Spell Tables'!$AJ$48:$AJ$61,MATCH(O199,('Spell Tables'!$AH$48:$AH$61),0)),IF($O$291&gt;=O199,INDEX('Spell Tables'!$AJ$26:$AJ$38,MATCH(O199,('Spell Tables'!$AH$26:$AH$38),0)),IF($O$293&gt;=O199,INDEX('Spell Tables'!$AJ$2:$AJ$17,MATCH(O199,('Spell Tables'!$AH$2:$AH$17),0))," "))))))))))</f>
        <v xml:space="preserve"> </v>
      </c>
      <c r="Q301" s="65" t="str">
        <f ca="1">IF($P$275&gt;=O268,INDEX($AL$104:$AL$113,MATCH(O268,($AJ$104:$AJ$113),0)),IF($P$279&gt;=O268,INDEX('Spell Tables'!$AN$168:$AN$177,MATCH(O268,('Spell Tables'!$AL$168:$AL$177),0)),IF($P$289&gt;=O268,INDEX('Spell Tables'!$AN$48:$AN$56,MATCH(O268,('Spell Tables'!$AL$48:$AL$56),0)),IF($P$291&gt;=O268,INDEX('Spell Tables'!$AN$26:$AN$35,MATCH(O268,('Spell Tables'!$AL$26:$AL$35),0)),IF($P$293&gt;=O268,INDEX('Spell Tables'!$AN$2:$AN$8,MATCH(O268,('Spell Tables'!$AL$2:$AL$8),0))," ")))))</f>
        <v xml:space="preserve"> </v>
      </c>
      <c r="R301" s="65" t="str">
        <f ca="1">IF($Q$275&gt;=O268,INDEX($AL$116:$AL$125,MATCH(O268,($AJ$116:$AJ$125),0)),IF($Q$279&gt;=O268,INDEX('Spell Tables'!$AR$168:$AR$175,MATCH(O268,('Spell Tables'!$AP$168:$AP$175),0)),IF($Q$289&gt;=O268,INDEX('Spell Tables'!$AR$48:$AR$52,MATCH(O268,('Spell Tables'!$AP$48:$AP$52),0)),IF($Q$291&gt;=O268,INDEX('Spell Tables'!$AR$26:$AR$33,MATCH(O268,('Spell Tables'!$AP$26:$AP$33),0)),IF($Q$293&gt;=O268,INDEX('Spell Tables'!$AR$2:$AR$11,MATCH(O268,('Spell Tables'!$AL$2:$AL$11),0))," ")))))</f>
        <v xml:space="preserve"> </v>
      </c>
      <c r="S301" s="65" t="str">
        <f ca="1">IF($R$275&gt;=O268,INDEX($AL$128:$AL$137,MATCH(O268,($AJ$128:$AJ$137),0)),IF($R$279&gt;=O268,INDEX('Spell Tables'!$AV$168:$AV$172,MATCH(O268,('Spell Tables'!$AT$168:$AT$172),0)),IF($R$289&gt;=O268,INDEX('Spell Tables'!$AV$48:$AV$54,MATCH(O268,('Spell Tables'!$AT$48:$AT$54),0)),IF($R$291&gt;=O268,INDEX('Spell Tables'!$AV$26:$AV$29,MATCH(O268,('Spell Tables'!$AT$26:$AT$29),0)),IF($R$293&gt;=O268,INDEX('Spell Tables'!$AV$2:$AV$6,MATCH(O268,('Spell Tables'!$AT$2:$AT$6),0))," ")))))</f>
        <v xml:space="preserve"> </v>
      </c>
      <c r="T301" s="66" t="str">
        <f ca="1">IF($S$289&gt;=O268,INDEX($AL$140:$AL$149,MATCH(O268,($AJ$140:$AJ$149),0)),IF($S$275&gt;=O268,INDEX('Spell Tables'!$AZ$242:$AZ$253,MATCH(O268,('Spell Tables'!$AX$242:$AX$253),0)),IF($S$279&gt;=O268,INDEX('Spell Tables'!$AZ$168:$AZ$172,MATCH(O268,('Spell Tables'!$AX$168:$AX$172),0)),IF($S$291&gt;=O268,INDEX('Spell Tables'!$AZ$26:$AZ$29,MATCH(O268,('Spell Tables'!$AX$26:$AX$29),0)),IF($S$293&gt;=O268,INDEX('Spell Tables'!$AZ$2:$AZ$5,MATCH(O268,('Spell Tables'!$AX$2:$AX$5),0))," ")))))</f>
        <v xml:space="preserve"> </v>
      </c>
    </row>
    <row r="302" spans="14:20" x14ac:dyDescent="0.3">
      <c r="N302" s="72"/>
      <c r="O302" s="133">
        <v>8</v>
      </c>
      <c r="P302" s="60" t="str">
        <f ca="1">IF(AND($Q$15="Otherworldly patron - great old one",O$277&gt;=O200),INDEX('Spell Tables'!$AJ$226:$AJ$231,MATCH(O200,('Spell Tables'!$AH$226:$AH$231),0)),IF(AND($Q$15="Otherworldly patron - fiend",O$277&gt;=O200),INDEX('Spell Tables'!$AJ$210:$AJ$215,MATCH(O200,('Spell Tables'!$AH$210:$AH$215),0)),IF(AND($Q$15="Otherworldly patron - archfey",O$277&gt;=O200),INDEX('Spell Tables'!$AJ$194:$AJ$199,MATCH(O200,('Spell Tables'!$AH$194:$AH$199),0)),IF($O$275&gt;=O200,INDEX($AL$92:$AL$101,MATCH(O200,($AJ$92:$AJ$101),0)),IF($O$279&gt;=O200,INDEX('Spell Tables'!$AJ$168:$AJ$178,MATCH(O200,('Spell Tables'!$AH$168:$AH$178),0)),IF($O$283&gt;=O200,INDEX('Spell Tables'!$AF$119:$AF$122,MATCH(O200,('Spell Tables'!$AD$119:$AD$122),0)),IF($O$285&gt;=O200,INDEX('Spell Tables'!$AF$97:$AF$102,MATCH(O200,('Spell Tables'!$AD$97:$AD$102),0)),IF($O$289&gt;=O200,INDEX('Spell Tables'!$AJ$48:$AJ$61,MATCH(O200,('Spell Tables'!$AH$48:$AH$61),0)),IF($O$291&gt;=O200,INDEX('Spell Tables'!$AJ$26:$AJ$38,MATCH(O200,('Spell Tables'!$AH$26:$AH$38),0)),IF($O$293&gt;=O200,INDEX('Spell Tables'!$AJ$2:$AJ$17,MATCH(O200,('Spell Tables'!$AH$2:$AH$17),0))," "))))))))))</f>
        <v xml:space="preserve"> </v>
      </c>
      <c r="Q302" s="60" t="str">
        <f ca="1">IF($P$275&gt;=O269,INDEX($AL$104:$AL$113,MATCH(O269,($AJ$104:$AJ$113),0)),IF($P$279&gt;=O269,INDEX('Spell Tables'!$AN$168:$AN$177,MATCH(O269,('Spell Tables'!$AL$168:$AL$177),0)),IF($P$289&gt;=O269,INDEX('Spell Tables'!$AN$48:$AN$56,MATCH(O269,('Spell Tables'!$AL$48:$AL$56),0)),IF($P$291&gt;=O269,INDEX('Spell Tables'!$AN$26:$AN$35,MATCH(O269,('Spell Tables'!$AL$26:$AL$35),0)),IF($P$293&gt;=O269,INDEX('Spell Tables'!$AN$2:$AN$8,MATCH(O269,('Spell Tables'!$AL$2:$AL$8),0))," ")))))</f>
        <v xml:space="preserve"> </v>
      </c>
      <c r="R302" s="60" t="str">
        <f ca="1">IF($Q$275&gt;=O269,INDEX($AL$116:$AL$125,MATCH(O269,($AJ$116:$AJ$125),0)),IF($Q$279&gt;=O269,INDEX('Spell Tables'!$AR$168:$AR$175,MATCH(O269,('Spell Tables'!$AP$168:$AP$175),0)),IF($Q$289&gt;=O269,INDEX('Spell Tables'!$AR$48:$AR$52,MATCH(O269,('Spell Tables'!$AP$48:$AP$52),0)),IF($Q$291&gt;=O269,INDEX('Spell Tables'!$AR$26:$AR$33,MATCH(O269,('Spell Tables'!$AP$26:$AP$33),0)),IF($Q$293&gt;=O269,INDEX('Spell Tables'!$AR$2:$AR$11,MATCH(O269,('Spell Tables'!$AL$2:$AL$11),0))," ")))))</f>
        <v xml:space="preserve"> </v>
      </c>
      <c r="S302" s="60" t="str">
        <f ca="1">IF($R$275&gt;=O269,INDEX($AL$128:$AL$137,MATCH(O269,($AJ$128:$AJ$137),0)),IF($R$279&gt;=O269,INDEX('Spell Tables'!$AV$168:$AV$172,MATCH(O269,('Spell Tables'!$AT$168:$AT$172),0)),IF($R$289&gt;=O269,INDEX('Spell Tables'!$AV$48:$AV$54,MATCH(O269,('Spell Tables'!$AT$48:$AT$54),0)),IF($R$291&gt;=O269,INDEX('Spell Tables'!$AV$26:$AV$29,MATCH(O269,('Spell Tables'!$AT$26:$AT$29),0)),IF($R$293&gt;=O269,INDEX('Spell Tables'!$AV$2:$AV$6,MATCH(O269,('Spell Tables'!$AT$2:$AT$6),0))," ")))))</f>
        <v xml:space="preserve"> </v>
      </c>
      <c r="T302" s="63" t="str">
        <f ca="1">IF($S$289&gt;=O269,INDEX($AL$140:$AL$149,MATCH(O269,($AJ$140:$AJ$149),0)),IF($S$275&gt;=O269,INDEX('Spell Tables'!$AZ$242:$AZ$253,MATCH(O269,('Spell Tables'!$AX$242:$AX$253),0)),IF($S$279&gt;=O269,INDEX('Spell Tables'!$AZ$168:$AZ$172,MATCH(O269,('Spell Tables'!$AX$168:$AX$172),0)),IF($S$291&gt;=O269,INDEX('Spell Tables'!$AZ$26:$AZ$29,MATCH(O269,('Spell Tables'!$AX$26:$AX$29),0)),IF($S$293&gt;=O269,INDEX('Spell Tables'!$AZ$2:$AZ$5,MATCH(O269,('Spell Tables'!$AX$2:$AX$5),0))," ")))))</f>
        <v xml:space="preserve"> </v>
      </c>
    </row>
    <row r="303" spans="14:20" x14ac:dyDescent="0.3">
      <c r="N303" s="72"/>
      <c r="O303" s="86">
        <v>9</v>
      </c>
      <c r="P303" s="65" t="str">
        <f ca="1">IF(AND($Q$15="Otherworldly patron - great old one",O$277&gt;=O201),INDEX('Spell Tables'!$AJ$226:$AJ$231,MATCH(O201,('Spell Tables'!$AH$226:$AH$231),0)),IF(AND($Q$15="Otherworldly patron - fiend",O$277&gt;=O201),INDEX('Spell Tables'!$AJ$210:$AJ$215,MATCH(O201,('Spell Tables'!$AH$210:$AH$215),0)),IF(AND($Q$15="Otherworldly patron - archfey",O$277&gt;=O201),INDEX('Spell Tables'!$AJ$194:$AJ$199,MATCH(O201,('Spell Tables'!$AH$194:$AH$199),0)),IF($O$275&gt;=O201,INDEX($AL$92:$AL$101,MATCH(O201,($AJ$92:$AJ$101),0)),IF($O$279&gt;=O201,INDEX('Spell Tables'!$AJ$168:$AJ$178,MATCH(O201,('Spell Tables'!$AH$168:$AH$178),0)),IF($O$283&gt;=O201,INDEX('Spell Tables'!$AF$119:$AF$122,MATCH(O201,('Spell Tables'!$AD$119:$AD$122),0)),IF($O$285&gt;=O201,INDEX('Spell Tables'!$AF$97:$AF$102,MATCH(O201,('Spell Tables'!$AD$97:$AD$102),0)),IF($O$289&gt;=O201,INDEX('Spell Tables'!$AJ$48:$AJ$61,MATCH(O201,('Spell Tables'!$AH$48:$AH$61),0)),IF($O$291&gt;=O201,INDEX('Spell Tables'!$AJ$26:$AJ$38,MATCH(O201,('Spell Tables'!$AH$26:$AH$38),0)),IF($O$293&gt;=O201,INDEX('Spell Tables'!$AJ$2:$AJ$17,MATCH(O201,('Spell Tables'!$AH$2:$AH$17),0))," "))))))))))</f>
        <v xml:space="preserve"> </v>
      </c>
      <c r="Q303" s="65" t="str">
        <f ca="1">IF($P$275&gt;=O270,INDEX($AL$104:$AL$113,MATCH(O270,($AJ$104:$AJ$113),0)),IF($P$279&gt;=O270,INDEX('Spell Tables'!$AN$168:$AN$177,MATCH(O270,('Spell Tables'!$AL$168:$AL$177),0)),IF($P$289&gt;=O270,INDEX('Spell Tables'!$AN$48:$AN$56,MATCH(O270,('Spell Tables'!$AL$48:$AL$56),0)),IF($P$291&gt;=O270,INDEX('Spell Tables'!$AN$26:$AN$35,MATCH(O270,('Spell Tables'!$AL$26:$AL$35),0)),IF($P$293&gt;=O270,INDEX('Spell Tables'!$AN$2:$AN$8,MATCH(O270,('Spell Tables'!$AL$2:$AL$8),0))," ")))))</f>
        <v xml:space="preserve"> </v>
      </c>
      <c r="R303" s="65" t="str">
        <f ca="1">IF($Q$275&gt;=O270,INDEX($AL$116:$AL$125,MATCH(O270,($AJ$116:$AJ$125),0)),IF($Q$279&gt;=O270,INDEX('Spell Tables'!$AR$168:$AR$175,MATCH(O270,('Spell Tables'!$AP$168:$AP$175),0)),IF($Q$289&gt;=O270,INDEX('Spell Tables'!$AR$48:$AR$52,MATCH(O270,('Spell Tables'!$AP$48:$AP$52),0)),IF($Q$291&gt;=O270,INDEX('Spell Tables'!$AR$26:$AR$33,MATCH(O270,('Spell Tables'!$AP$26:$AP$33),0)),IF($Q$293&gt;=O270,INDEX('Spell Tables'!$AR$2:$AR$11,MATCH(O270,('Spell Tables'!$AL$2:$AL$11),0))," ")))))</f>
        <v xml:space="preserve"> </v>
      </c>
      <c r="S303" s="65" t="str">
        <f ca="1">IF($R$275&gt;=O270,INDEX($AL$128:$AL$137,MATCH(O270,($AJ$128:$AJ$137),0)),IF($R$279&gt;=O270,INDEX('Spell Tables'!$AV$168:$AV$172,MATCH(O270,('Spell Tables'!$AT$168:$AT$172),0)),IF($R$289&gt;=O270,INDEX('Spell Tables'!$AV$48:$AV$54,MATCH(O270,('Spell Tables'!$AT$48:$AT$54),0)),IF($R$291&gt;=O270,INDEX('Spell Tables'!$AV$26:$AV$29,MATCH(O270,('Spell Tables'!$AT$26:$AT$29),0)),IF($R$293&gt;=O270,INDEX('Spell Tables'!$AV$2:$AV$6,MATCH(O270,('Spell Tables'!$AT$2:$AT$6),0))," ")))))</f>
        <v xml:space="preserve"> </v>
      </c>
      <c r="T303" s="66" t="str">
        <f ca="1">IF($S$289&gt;=O270,INDEX($AL$140:$AL$149,MATCH(O270,($AJ$140:$AJ$149),0)),IF($S$275&gt;=O270,INDEX('Spell Tables'!$AZ$242:$AZ$253,MATCH(O270,('Spell Tables'!$AX$242:$AX$253),0)),IF($S$279&gt;=O270,INDEX('Spell Tables'!$AZ$168:$AZ$172,MATCH(O270,('Spell Tables'!$AX$168:$AX$172),0)),IF($S$291&gt;=O270,INDEX('Spell Tables'!$AZ$26:$AZ$29,MATCH(O270,('Spell Tables'!$AX$26:$AX$29),0)),IF($S$293&gt;=O270,INDEX('Spell Tables'!$AZ$2:$AZ$5,MATCH(O270,('Spell Tables'!$AX$2:$AX$5),0))," ")))))</f>
        <v xml:space="preserve"> </v>
      </c>
    </row>
    <row r="304" spans="14:20" ht="19.5" thickBot="1" x14ac:dyDescent="0.35">
      <c r="N304" s="72"/>
      <c r="O304" s="134">
        <v>10</v>
      </c>
      <c r="P304" s="67" t="str">
        <f ca="1">IF(AND($Q$15="Otherworldly patron - great old one",O$277&gt;=O202),INDEX('Spell Tables'!$AJ$226:$AJ$231,MATCH(O202,('Spell Tables'!$AH$226:$AH$231),0)),IF(AND($Q$15="Otherworldly patron - fiend",O$277&gt;=O202),INDEX('Spell Tables'!$AJ$210:$AJ$215,MATCH(O202,('Spell Tables'!$AH$210:$AH$215),0)),IF(AND($Q$15="Otherworldly patron - archfey",O$277&gt;=O202),INDEX('Spell Tables'!$AJ$194:$AJ$199,MATCH(O202,('Spell Tables'!$AH$194:$AH$199),0)),IF($O$275&gt;=O202,INDEX($AL$92:$AL$101,MATCH(O202,($AJ$92:$AJ$101),0)),IF($O$279&gt;=O202,INDEX('Spell Tables'!$AJ$168:$AJ$178,MATCH(O202,('Spell Tables'!$AH$168:$AH$178),0)),IF($O$283&gt;=O202,INDEX('Spell Tables'!$AF$119:$AF$122,MATCH(O202,('Spell Tables'!$AD$119:$AD$122),0)),IF($O$285&gt;=O202,INDEX('Spell Tables'!$AF$97:$AF$102,MATCH(O202,('Spell Tables'!$AD$97:$AD$102),0)),IF($O$289&gt;=O202,INDEX('Spell Tables'!$AJ$48:$AJ$61,MATCH(O202,('Spell Tables'!$AH$48:$AH$61),0)),IF($O$291&gt;=O202,INDEX('Spell Tables'!$AJ$26:$AJ$38,MATCH(O202,('Spell Tables'!$AH$26:$AH$38),0)),IF($O$293&gt;=O202,INDEX('Spell Tables'!$AJ$2:$AJ$17,MATCH(O202,('Spell Tables'!$AH$2:$AH$17),0))," "))))))))))</f>
        <v xml:space="preserve"> </v>
      </c>
      <c r="Q304" s="67" t="str">
        <f ca="1">IF($P$275&gt;=O271,INDEX($AL$104:$AL$113,MATCH(O271,($AJ$104:$AJ$113),0)),IF($P$279&gt;=O271,INDEX('Spell Tables'!$AN$168:$AN$177,MATCH(O271,('Spell Tables'!$AL$168:$AL$177),0)),IF($P$289&gt;=O271,INDEX('Spell Tables'!$AN$48:$AN$56,MATCH(O271,('Spell Tables'!$AL$48:$AL$56),0)),IF($P$291&gt;=O271,INDEX('Spell Tables'!$AN$26:$AN$35,MATCH(O271,('Spell Tables'!$AL$26:$AL$35),0)),IF($P$293&gt;=O271,INDEX('Spell Tables'!$AN$2:$AN$8,MATCH(O271,('Spell Tables'!$AL$2:$AL$8),0))," ")))))</f>
        <v xml:space="preserve"> </v>
      </c>
      <c r="R304" s="67" t="str">
        <f ca="1">IF($Q$275&gt;=O271,INDEX($AL$116:$AL$125,MATCH(O271,($AJ$116:$AJ$125),0)),IF($Q$279&gt;=O271,INDEX('Spell Tables'!$AR$168:$AR$175,MATCH(O271,('Spell Tables'!$AP$168:$AP$175),0)),IF($Q$289&gt;=O271,INDEX('Spell Tables'!$AR$48:$AR$52,MATCH(O271,('Spell Tables'!$AP$48:$AP$52),0)),IF($Q$291&gt;=O271,INDEX('Spell Tables'!$AR$26:$AR$33,MATCH(O271,('Spell Tables'!$AP$26:$AP$33),0)),IF($Q$293&gt;=O271,INDEX('Spell Tables'!$AR$2:$AR$11,MATCH(O271,('Spell Tables'!$AL$2:$AL$11),0))," ")))))</f>
        <v xml:space="preserve"> </v>
      </c>
      <c r="S304" s="67" t="str">
        <f ca="1">IF($R$275&gt;=O271,INDEX($AL$128:$AL$137,MATCH(O271,($AJ$128:$AJ$137),0)),IF($R$279&gt;=O271,INDEX('Spell Tables'!$AV$168:$AV$172,MATCH(O271,('Spell Tables'!$AT$168:$AT$172),0)),IF($R$289&gt;=O271,INDEX('Spell Tables'!$AV$48:$AV$54,MATCH(O271,('Spell Tables'!$AT$48:$AT$54),0)),IF($R$291&gt;=O271,INDEX('Spell Tables'!$AV$26:$AV$29,MATCH(O271,('Spell Tables'!$AT$26:$AT$29),0)),IF($R$293&gt;=O271,INDEX('Spell Tables'!$AV$2:$AV$6,MATCH(O271,('Spell Tables'!$AT$2:$AT$6),0))," ")))))</f>
        <v xml:space="preserve"> </v>
      </c>
      <c r="T304" s="68" t="str">
        <f ca="1">IF($S$289&gt;=O271,INDEX($AL$140:$AL$149,MATCH(O271,($AJ$140:$AJ$149),0)),IF($S$275&gt;=O271,INDEX('Spell Tables'!$AZ$242:$AZ$253,MATCH(O271,('Spell Tables'!$AX$242:$AX$253),0)),IF($S$279&gt;=O271,INDEX('Spell Tables'!$AZ$168:$AZ$172,MATCH(O271,('Spell Tables'!$AX$168:$AX$172),0)),IF($S$291&gt;=O271,INDEX('Spell Tables'!$AZ$26:$AZ$29,MATCH(O271,('Spell Tables'!$AX$26:$AX$29),0)),IF($S$293&gt;=O271,INDEX('Spell Tables'!$AZ$2:$AZ$5,MATCH(O271,('Spell Tables'!$AX$2:$AX$5),0))," ")))))</f>
        <v xml:space="preserve"> </v>
      </c>
    </row>
    <row r="305" spans="2:20" ht="19.5" thickBot="1" x14ac:dyDescent="0.35"/>
    <row r="306" spans="2:20" ht="30.75" thickBot="1" x14ac:dyDescent="0.45">
      <c r="B306" s="105" t="s">
        <v>1271</v>
      </c>
    </row>
    <row r="307" spans="2:20" ht="19.5" hidden="1" thickBot="1" x14ac:dyDescent="0.35">
      <c r="P307" s="29" t="s">
        <v>1166</v>
      </c>
      <c r="Q307" s="29" t="s">
        <v>1167</v>
      </c>
      <c r="R307" s="29" t="s">
        <v>1168</v>
      </c>
      <c r="S307" s="29" t="s">
        <v>676</v>
      </c>
    </row>
    <row r="308" spans="2:20" ht="19.5" hidden="1" thickBot="1" x14ac:dyDescent="0.35">
      <c r="B308" s="29" t="s">
        <v>1270</v>
      </c>
      <c r="O308" s="29" t="s">
        <v>530</v>
      </c>
      <c r="P308" s="29" t="str">
        <f ca="1">IF(AND(O11="wizard",O12&gt;=3),"x",IF(O11="wizard","xx"," "))</f>
        <v xml:space="preserve"> </v>
      </c>
      <c r="Q308" s="29" t="str">
        <f ca="1">IF(AND(O11="wizard",O12&gt;=9),"xxxx",IF(AND(O11="wizard",O12&gt;=5),"x",IF(AND($O$11="wizard",$O$12&gt;3),"xx",IF(AND(O11="wizard",O12=3),"xxx"," "))))</f>
        <v xml:space="preserve"> </v>
      </c>
      <c r="R308" s="29" t="str">
        <f ca="1">IF(AND(O11="wizard",O12&gt;=11),"xxxx",IF(AND(O11="wizard",O12&gt;=7),"x",IF(AND($O$11="wizard",$O$12&gt;5),"xx",IF(AND(O11="wizard",O12=5),"xxx"," "))))</f>
        <v xml:space="preserve"> </v>
      </c>
      <c r="S308" s="29" t="str">
        <f ca="1">IF(AND(O11="wizard",O12&gt;=13),"xxxx",IF(AND(O11="wizard",O12&gt;=9),"x",IF(AND($O$11="wizard",$O$12&gt;7),"xx",IF(AND(O11="wizard",O12=7),"xxx"," "))))</f>
        <v xml:space="preserve"> </v>
      </c>
    </row>
    <row r="309" spans="2:20" ht="19.5" hidden="1" thickBot="1" x14ac:dyDescent="0.35">
      <c r="B309" s="29" t="s">
        <v>1271</v>
      </c>
      <c r="O309" s="29" t="str">
        <f ca="1">IF(O11="wizard",((O12-1)*2)+6," ")</f>
        <v xml:space="preserve"> </v>
      </c>
      <c r="P309" s="29">
        <f ca="1">IF(AND(O11="wizard",O12=2),O309,IF(AND(O11="wizard",O12=1),$O$309,IF(AND(O11="wizard",O12&gt;=3),MAX(8,O309-SUM(U216:X216)),0)))</f>
        <v>0</v>
      </c>
      <c r="Q309" s="29">
        <f ca="1">IF(Q$308="xxxx",MAX(R173,(RANDBETWEEN(5,6))),IF(Q308="x",MAX(R173,(RANDBETWEEN(3,6))),IF(Q308="xx",MAX(R173,(RANDBETWEEN(2,4))),IF(Q308="xxx",MAX(R173,(2)),0))))</f>
        <v>0</v>
      </c>
      <c r="R309" s="29">
        <f ca="1">IF($R308="xxxx",MAX(S173,(RANDBETWEEN(5,6))),IF(R308="x",MAX(S173,(RANDBETWEEN(3,6))),IF(R308="xx",MAX(S173,(RANDBETWEEN(2,4))),IF(R308="xxx",MAX(S173,(2)),0))))</f>
        <v>0</v>
      </c>
      <c r="S309" s="29">
        <f ca="1">IF(S$308="xxxx",MAX(T173,(RANDBETWEEN(5,6))),IF(S308="x",MAX(T173,(RANDBETWEEN(3,6))),IF(S308="xx",MAX(T173,(RANDBETWEEN(2,4))),IF(S308="xxx",MAX(T173,(2)),0))))</f>
        <v>0</v>
      </c>
    </row>
    <row r="310" spans="2:20" ht="19.5" hidden="1" thickBot="1" x14ac:dyDescent="0.35">
      <c r="P310" s="98" t="s">
        <v>1166</v>
      </c>
      <c r="Q310" s="98" t="s">
        <v>1167</v>
      </c>
      <c r="R310" s="98" t="s">
        <v>1168</v>
      </c>
      <c r="S310" s="98" t="s">
        <v>676</v>
      </c>
    </row>
    <row r="311" spans="2:20" ht="19.5" hidden="1" thickBot="1" x14ac:dyDescent="0.35">
      <c r="P311" s="98" t="str">
        <f ca="1">IF(AND(Q11="wizard",Q12&gt;=3),"x",IF(Q11="wizard","xx"," "))</f>
        <v xml:space="preserve"> </v>
      </c>
      <c r="Q311" s="98" t="str">
        <f ca="1">IF(AND(Q11="wizard",Q12&gt;=9),"xxxx",IF(AND(Q11="wizard",Q12&gt;=5),"x",IF(AND($Q$11="wizard",$Q$12&gt;3),"xx",IF(AND(Q11="wizard",Q12=3),"xxx"," "))))</f>
        <v xml:space="preserve"> </v>
      </c>
      <c r="R311" s="98" t="str">
        <f ca="1">IF(AND(Q11="wizard",Q12&gt;=11),"xxxx",IF(AND(Q11="wizard",Q12&gt;=7),"x",IF(AND($Q$11="wizard",$Q$12&gt;5),"xx",IF(AND(Q11="wizard",Q12=5),"xxx"," "))))</f>
        <v xml:space="preserve"> </v>
      </c>
      <c r="S311" s="98" t="str">
        <f ca="1">IF(AND(Q11="wizard",Q12&gt;=13),"xxxx",IF(AND(Q11="wizard",Q12&gt;=9),"x",IF(AND($Q$11="wizard",$Q$12&gt;7),"xx",IF(AND(Q11="wizard",Q12=7),"xxx"," "))))</f>
        <v xml:space="preserve"> </v>
      </c>
    </row>
    <row r="312" spans="2:20" ht="19.5" hidden="1" thickBot="1" x14ac:dyDescent="0.35">
      <c r="P312" s="98">
        <f ca="1">IF(AND(Q11="wizard",Q12=2),AK41,IF(AND(Q11="wizard",Q12=1),$AK$41,IF(AND(Q11="wizard",Q12&gt;=3),MAX(8,AK41-SUM(U219:X219)),0)))</f>
        <v>0</v>
      </c>
      <c r="Q312" s="98">
        <f ca="1">IF(Q$311="xxxx",MAX(R242,(RANDBETWEEN(5,6))),IF(Q311="x",MAX(R242,(RANDBETWEEN(3,6))),IF(Q311="xx",MAX(R242,(RANDBETWEEN(2,4))),IF(Q311="xxx",MAX(R242,(2)),0))))</f>
        <v>0</v>
      </c>
      <c r="R312" s="98">
        <f ca="1">IF($R311="xxxx",MAX(S242,(RANDBETWEEN(5,6))),IF(R311="x",MAX(S242,(RANDBETWEEN(3,6))),IF(R311="xx",MAX(S242,(RANDBETWEEN(2,4))),IF(R311="xxx",MAX(S242,(2)),0))))</f>
        <v>0</v>
      </c>
      <c r="S312" s="98">
        <f ca="1">IF(S$311="xxxx",MAX(T242,(RANDBETWEEN(5,6))),IF(S311="x",MAX(T242,(RANDBETWEEN(3,6))),IF(S311="xx",MAX(T242,(RANDBETWEEN(2,4))),IF(S311="xxx",MAX(T242,(2)),0))))</f>
        <v>0</v>
      </c>
    </row>
    <row r="313" spans="2:20" ht="19.5" hidden="1" thickBot="1" x14ac:dyDescent="0.35"/>
    <row r="314" spans="2:20" x14ac:dyDescent="0.3">
      <c r="B314" s="79"/>
      <c r="C314" s="27"/>
      <c r="D314" s="27"/>
      <c r="E314" s="27"/>
      <c r="F314" s="27"/>
      <c r="G314" s="27"/>
      <c r="H314" s="27"/>
      <c r="I314" s="27"/>
      <c r="J314" s="27"/>
      <c r="K314" s="27"/>
      <c r="L314" s="27"/>
      <c r="M314" s="27"/>
      <c r="N314" s="27"/>
      <c r="O314" s="27"/>
      <c r="P314" s="76" t="s">
        <v>1124</v>
      </c>
      <c r="Q314" s="76" t="s">
        <v>1166</v>
      </c>
      <c r="R314" s="76" t="s">
        <v>1167</v>
      </c>
      <c r="S314" s="76" t="s">
        <v>1168</v>
      </c>
      <c r="T314" s="77" t="s">
        <v>676</v>
      </c>
    </row>
    <row r="315" spans="2:20" x14ac:dyDescent="0.3">
      <c r="B315" s="79"/>
      <c r="C315" s="33"/>
      <c r="D315" s="33"/>
      <c r="E315" s="33"/>
      <c r="F315" s="33"/>
      <c r="G315" s="33"/>
      <c r="H315" s="33"/>
      <c r="I315" s="33"/>
      <c r="J315" s="33"/>
      <c r="K315" s="33"/>
      <c r="L315" s="33"/>
      <c r="M315" s="33"/>
      <c r="N315" s="33"/>
      <c r="O315" s="34">
        <v>1</v>
      </c>
      <c r="P315" s="33" t="str">
        <f t="shared" ref="P315:P324" ca="1" si="67">IF($O$11="wizard",P193,IF($Q$11="wizard",P262," "))</f>
        <v xml:space="preserve"> </v>
      </c>
      <c r="Q315" s="33" t="str">
        <f ca="1">IF(AND($O$11="wizard",$P$309&gt;=O315),INDEX('Spell Tables'!$T$242:$T$271,MATCH(1,(O315:O324),0)),IF(AND($Q$11="wizard",$P$312&gt;=O315),INDEX('Spell Tables'!$T$242:$T$271,MATCH(O315,('Spell Tables'!$R$242:$R$271),0))," "))</f>
        <v xml:space="preserve"> </v>
      </c>
      <c r="R315" s="33" t="str">
        <f ca="1">IF($Q$309&gt;=O315,INDEX('Spell Tables'!$X$242:$X$275,MATCH(O315,('Spell Tables'!$V$242:$V$275),0)),IF(AND($Q$11="wizard",$Q$312&gt;=O315),INDEX('Spell Tables'!$X$242:$X$275,MATCH(O315,('Spell Tables'!$V$242:$V$275),0))," "))</f>
        <v xml:space="preserve"> </v>
      </c>
      <c r="S315" s="33" t="str">
        <f ca="1">IF($R$309&gt;=O315,INDEX('Spell Tables'!$AB$242:$AB$270,MATCH(O315,('Spell Tables'!$Z$242:$Z$270),0)),IF(AND($Q$11="wizard",$R$312&gt;=O315),INDEX('Spell Tables'!$AB$242:$AB$270,MATCH(O315,('Spell Tables'!$Z$242:$Z$270),0))," "))</f>
        <v xml:space="preserve"> </v>
      </c>
      <c r="T315" s="72" t="str">
        <f ca="1">IF($S$309&gt;=O315,INDEX('Spell Tables'!$AF$242:$AF$264,MATCH(O315,('Spell Tables'!$AD$242:$AD$264),0)),IF(AND($Q$11="wizard",$S$312&gt;=O315),INDEX('Spell Tables'!$AF$242:$AF$264,MATCH(O315,('Spell Tables'!$AD$242:$AD$264),0))," "))</f>
        <v xml:space="preserve"> </v>
      </c>
    </row>
    <row r="316" spans="2:20" x14ac:dyDescent="0.3">
      <c r="B316" s="79"/>
      <c r="C316" s="33"/>
      <c r="D316" s="33"/>
      <c r="E316" s="33"/>
      <c r="F316" s="33"/>
      <c r="G316" s="33"/>
      <c r="H316" s="33"/>
      <c r="I316" s="33"/>
      <c r="J316" s="33"/>
      <c r="K316" s="33"/>
      <c r="L316" s="33"/>
      <c r="M316" s="33"/>
      <c r="N316" s="33"/>
      <c r="O316" s="34">
        <v>2</v>
      </c>
      <c r="P316" s="33" t="str">
        <f t="shared" ca="1" si="67"/>
        <v xml:space="preserve"> </v>
      </c>
      <c r="Q316" s="33" t="str">
        <f ca="1">IF(AND($O$11="wizard",$P$309&gt;=O316),INDEX('Spell Tables'!$T$242:$T$271,MATCH(O316,('Spell Tables'!$R$242:$R$271),0)),IF(AND($Q$11="wizard",$P$312&gt;=O316),INDEX('Spell Tables'!$T$242:$T$271,MATCH(O316,('Spell Tables'!$R$242:$R$271),0))," "))</f>
        <v xml:space="preserve"> </v>
      </c>
      <c r="R316" s="33" t="str">
        <f ca="1">IF($Q$309&gt;=O316,INDEX('Spell Tables'!$X$242:$X$275,MATCH(O316,('Spell Tables'!$V$242:$V$275),0)),IF(AND($Q$11="wizard",$Q$312&gt;=O316),INDEX('Spell Tables'!$X$242:$X$275,MATCH(O316,('Spell Tables'!$V$242:$V$275),0))," "))</f>
        <v xml:space="preserve"> </v>
      </c>
      <c r="S316" s="33" t="str">
        <f ca="1">IF($R$309&gt;=O316,INDEX('Spell Tables'!$AB$242:$AB$270,MATCH(O316,('Spell Tables'!$Z$242:$Z$270),0)),IF(AND($Q$11="wizard",$R$312&gt;=O316),INDEX('Spell Tables'!$AB$242:$AB$270,MATCH(O316,('Spell Tables'!$Z$242:$Z$270),0))," "))</f>
        <v xml:space="preserve"> </v>
      </c>
      <c r="T316" s="72" t="str">
        <f ca="1">IF($S$309&gt;=O316,INDEX('Spell Tables'!$AF$242:$AF$264,MATCH(O316,('Spell Tables'!$AD$242:$AD$264),0)),IF(AND($Q$11="wizard",$S$312&gt;=O316),INDEX('Spell Tables'!$AF$242:$AF$264,MATCH(O316,('Spell Tables'!$AD$242:$AD$264),0))," "))</f>
        <v xml:space="preserve"> </v>
      </c>
    </row>
    <row r="317" spans="2:20" x14ac:dyDescent="0.3">
      <c r="B317" s="79"/>
      <c r="C317" s="33"/>
      <c r="D317" s="33"/>
      <c r="E317" s="33"/>
      <c r="F317" s="33"/>
      <c r="G317" s="33"/>
      <c r="H317" s="33"/>
      <c r="I317" s="33"/>
      <c r="J317" s="33"/>
      <c r="K317" s="33"/>
      <c r="L317" s="33"/>
      <c r="M317" s="33"/>
      <c r="N317" s="33"/>
      <c r="O317" s="34">
        <v>3</v>
      </c>
      <c r="P317" s="33" t="str">
        <f t="shared" ca="1" si="67"/>
        <v xml:space="preserve"> </v>
      </c>
      <c r="Q317" s="33" t="str">
        <f ca="1">IF(AND($O$11="wizard",$P$309&gt;=O317),INDEX('Spell Tables'!$T$242:$T$271,MATCH(O317,('Spell Tables'!$R$242:$R$271),0)),IF(AND($Q$11="wizard",$P$312&gt;=O317),INDEX('Spell Tables'!$T$242:$T$271,MATCH(O317,('Spell Tables'!$R$242:$R$271),0))," "))</f>
        <v xml:space="preserve"> </v>
      </c>
      <c r="R317" s="33" t="str">
        <f ca="1">IF($Q$309&gt;=O317,INDEX('Spell Tables'!$X$242:$X$275,MATCH(O317,('Spell Tables'!$V$242:$V$275),0)),IF(AND($Q$11="wizard",$Q$312&gt;=O317),INDEX('Spell Tables'!$X$242:$X$275,MATCH(O317,('Spell Tables'!$V$242:$V$275),0))," "))</f>
        <v xml:space="preserve"> </v>
      </c>
      <c r="S317" s="33" t="str">
        <f ca="1">IF($R$309&gt;=O317,INDEX('Spell Tables'!$AB$242:$AB$270,MATCH(O317,('Spell Tables'!$Z$242:$Z$270),0)),IF(AND($Q$11="wizard",$R$312&gt;=O317),INDEX('Spell Tables'!$AB$242:$AB$270,MATCH(O317,('Spell Tables'!$Z$242:$Z$270),0))," "))</f>
        <v xml:space="preserve"> </v>
      </c>
      <c r="T317" s="72" t="str">
        <f ca="1">IF($S$309&gt;=O317,INDEX('Spell Tables'!$AF$242:$AF$264,MATCH(O317,('Spell Tables'!$AD$242:$AD$264),0)),IF(AND($Q$11="wizard",$S$312&gt;=O317),INDEX('Spell Tables'!$AF$242:$AF$264,MATCH(O317,('Spell Tables'!$AD$242:$AD$264),0))," "))</f>
        <v xml:space="preserve"> </v>
      </c>
    </row>
    <row r="318" spans="2:20" x14ac:dyDescent="0.3">
      <c r="B318" s="79"/>
      <c r="C318" s="33"/>
      <c r="D318" s="33"/>
      <c r="E318" s="33"/>
      <c r="F318" s="33"/>
      <c r="G318" s="33"/>
      <c r="H318" s="33"/>
      <c r="I318" s="33"/>
      <c r="J318" s="33"/>
      <c r="K318" s="33"/>
      <c r="L318" s="33"/>
      <c r="M318" s="33"/>
      <c r="N318" s="33"/>
      <c r="O318" s="34">
        <v>4</v>
      </c>
      <c r="P318" s="33" t="str">
        <f t="shared" ca="1" si="67"/>
        <v xml:space="preserve"> </v>
      </c>
      <c r="Q318" s="33" t="str">
        <f ca="1">IF(AND($O$11="wizard",$P$309&gt;=O318),INDEX('Spell Tables'!$T$242:$T$271,MATCH(O318,('Spell Tables'!$R$242:$R$271),0)),IF(AND($Q$11="wizard",$P$312&gt;=O318),INDEX('Spell Tables'!$T$242:$T$271,MATCH(O318,('Spell Tables'!$R$242:$R$271),0))," "))</f>
        <v xml:space="preserve"> </v>
      </c>
      <c r="R318" s="33" t="str">
        <f ca="1">IF($Q$309&gt;=O318,INDEX('Spell Tables'!$X$242:$X$275,MATCH(O318,('Spell Tables'!$V$242:$V$275),0)),IF(AND($Q$11="wizard",$Q$312&gt;=O318),INDEX('Spell Tables'!$X$242:$X$275,MATCH(O318,('Spell Tables'!$V$242:$V$275),0))," "))</f>
        <v xml:space="preserve"> </v>
      </c>
      <c r="S318" s="33" t="str">
        <f ca="1">IF($R$309&gt;=O318,INDEX('Spell Tables'!$AB$242:$AB$270,MATCH(O318,('Spell Tables'!$Z$242:$Z$270),0)),IF(AND($Q$11="wizard",$R$312&gt;=O318),INDEX('Spell Tables'!$AB$242:$AB$270,MATCH(O318,('Spell Tables'!$Z$242:$Z$270),0))," "))</f>
        <v xml:space="preserve"> </v>
      </c>
      <c r="T318" s="72" t="str">
        <f ca="1">IF($S$309&gt;=O318,INDEX('Spell Tables'!$AF$242:$AF$264,MATCH(O318,('Spell Tables'!$AD$242:$AD$264),0)),IF(AND($Q$11="wizard",$S$312&gt;=O318),INDEX('Spell Tables'!$AF$242:$AF$264,MATCH(O318,('Spell Tables'!$AD$242:$AD$264),0))," "))</f>
        <v xml:space="preserve"> </v>
      </c>
    </row>
    <row r="319" spans="2:20" x14ac:dyDescent="0.3">
      <c r="B319" s="79"/>
      <c r="C319" s="33"/>
      <c r="D319" s="33"/>
      <c r="E319" s="33"/>
      <c r="F319" s="33"/>
      <c r="G319" s="33"/>
      <c r="H319" s="33"/>
      <c r="I319" s="33"/>
      <c r="J319" s="33"/>
      <c r="K319" s="33"/>
      <c r="L319" s="33"/>
      <c r="M319" s="33"/>
      <c r="N319" s="33"/>
      <c r="O319" s="34">
        <v>5</v>
      </c>
      <c r="P319" s="33" t="str">
        <f t="shared" ca="1" si="67"/>
        <v xml:space="preserve"> </v>
      </c>
      <c r="Q319" s="33" t="str">
        <f ca="1">IF(AND($O$11="wizard",$P$309&gt;=O319),INDEX('Spell Tables'!$T$242:$T$271,MATCH(O319,('Spell Tables'!$R$242:$R$271),0)),IF(AND($Q$11="wizard",$P$312&gt;=O319),INDEX('Spell Tables'!$T$242:$T$271,MATCH(O319,('Spell Tables'!$R$242:$R$271),0))," "))</f>
        <v xml:space="preserve"> </v>
      </c>
      <c r="R319" s="33" t="str">
        <f ca="1">IF($Q$309&gt;=O319,INDEX('Spell Tables'!$X$242:$X$275,MATCH(O319,('Spell Tables'!$V$242:$V$275),0)),IF(AND($Q$11="wizard",$Q$312&gt;=O319),INDEX('Spell Tables'!$X$242:$X$275,MATCH(O319,('Spell Tables'!$V$242:$V$275),0))," "))</f>
        <v xml:space="preserve"> </v>
      </c>
      <c r="S319" s="33" t="str">
        <f ca="1">IF($R$309&gt;=O319,INDEX('Spell Tables'!$AB$242:$AB$270,MATCH(O319,('Spell Tables'!$Z$242:$Z$270),0)),IF(AND($Q$11="wizard",$R$312&gt;=O319),INDEX('Spell Tables'!$AB$242:$AB$270,MATCH(O319,('Spell Tables'!$Z$242:$Z$270),0))," "))</f>
        <v xml:space="preserve"> </v>
      </c>
      <c r="T319" s="72" t="str">
        <f ca="1">IF($S$309&gt;=O319,INDEX('Spell Tables'!$AF$242:$AF$264,MATCH(O319,('Spell Tables'!$AD$242:$AD$264),0)),IF(AND($Q$11="wizard",$S$312&gt;=O319),INDEX('Spell Tables'!$AF$242:$AF$264,MATCH(O319,('Spell Tables'!$AD$242:$AD$264),0))," "))</f>
        <v xml:space="preserve"> </v>
      </c>
    </row>
    <row r="320" spans="2:20" x14ac:dyDescent="0.3">
      <c r="B320" s="79"/>
      <c r="C320" s="33"/>
      <c r="D320" s="33"/>
      <c r="E320" s="33"/>
      <c r="F320" s="33"/>
      <c r="G320" s="33"/>
      <c r="H320" s="33"/>
      <c r="I320" s="33"/>
      <c r="J320" s="33"/>
      <c r="K320" s="33"/>
      <c r="L320" s="33"/>
      <c r="M320" s="33"/>
      <c r="N320" s="33"/>
      <c r="O320" s="34">
        <v>6</v>
      </c>
      <c r="P320" s="33" t="str">
        <f t="shared" ca="1" si="67"/>
        <v xml:space="preserve"> </v>
      </c>
      <c r="Q320" s="33" t="str">
        <f ca="1">IF(AND($O$11="wizard",$P$309&gt;=O320),INDEX('Spell Tables'!$T$242:$T$271,MATCH(O320,('Spell Tables'!$R$242:$R$271),0)),IF(AND($Q$11="wizard",$P$312&gt;=O320),INDEX('Spell Tables'!$T$242:$T$271,MATCH(O320,('Spell Tables'!$R$242:$R$271),0))," "))</f>
        <v xml:space="preserve"> </v>
      </c>
      <c r="R320" s="33" t="str">
        <f ca="1">IF($Q$309&gt;=O320,INDEX('Spell Tables'!$X$242:$X$275,MATCH(O320,('Spell Tables'!$V$242:$V$275),0)),IF(AND($Q$11="wizard",$Q$312&gt;=O320),INDEX('Spell Tables'!$X$242:$X$275,MATCH(O320,('Spell Tables'!$V$242:$V$275),0))," "))</f>
        <v xml:space="preserve"> </v>
      </c>
      <c r="S320" s="33" t="str">
        <f ca="1">IF($R$309&gt;=O320,INDEX('Spell Tables'!$AB$242:$AB$270,MATCH(O320,('Spell Tables'!$Z$242:$Z$270),0)),IF(AND($Q$11="wizard",$R$312&gt;=O320),INDEX('Spell Tables'!$AB$242:$AB$270,MATCH(O320,('Spell Tables'!$Z$242:$Z$270),0))," "))</f>
        <v xml:space="preserve"> </v>
      </c>
      <c r="T320" s="72" t="str">
        <f ca="1">IF($S$309&gt;=O320,INDEX('Spell Tables'!$AF$242:$AF$264,MATCH(O320,('Spell Tables'!$AD$242:$AD$264),0)),IF(AND($Q$11="wizard",$S$312&gt;=O320),INDEX('Spell Tables'!$AF$242:$AF$264,MATCH(O320,('Spell Tables'!$AD$242:$AD$264),0))," "))</f>
        <v xml:space="preserve"> </v>
      </c>
    </row>
    <row r="321" spans="1:20" x14ac:dyDescent="0.3">
      <c r="B321" s="79"/>
      <c r="C321" s="33"/>
      <c r="D321" s="33"/>
      <c r="E321" s="33"/>
      <c r="F321" s="33"/>
      <c r="G321" s="33"/>
      <c r="H321" s="33"/>
      <c r="I321" s="33"/>
      <c r="J321" s="33"/>
      <c r="K321" s="33"/>
      <c r="L321" s="33"/>
      <c r="M321" s="33"/>
      <c r="N321" s="33"/>
      <c r="O321" s="34">
        <v>7</v>
      </c>
      <c r="P321" s="33" t="str">
        <f t="shared" ca="1" si="67"/>
        <v xml:space="preserve"> </v>
      </c>
      <c r="Q321" s="33" t="str">
        <f ca="1">IF(AND($O$11="wizard",$P$309&gt;=O321),INDEX('Spell Tables'!$T$242:$T$271,MATCH(O321,('Spell Tables'!$R$242:$R$271),0)),IF(AND($Q$11="wizard",$P$312&gt;=O321),INDEX('Spell Tables'!$T$242:$T$271,MATCH(O321,('Spell Tables'!$R$242:$R$271),0))," "))</f>
        <v xml:space="preserve"> </v>
      </c>
      <c r="R321" s="33" t="str">
        <f ca="1">IF($Q$309&gt;=O321,INDEX('Spell Tables'!$X$242:$X$275,MATCH(O321,('Spell Tables'!$V$242:$V$275),0)),IF(AND($Q$11="wizard",$Q$312&gt;=O321),INDEX('Spell Tables'!$X$242:$X$275,MATCH(O321,('Spell Tables'!$V$242:$V$275),0))," "))</f>
        <v xml:space="preserve"> </v>
      </c>
      <c r="S321" s="33" t="str">
        <f ca="1">IF($R$309&gt;=O321,INDEX('Spell Tables'!$AB$242:$AB$270,MATCH(O321,('Spell Tables'!$Z$242:$Z$270),0)),IF(AND($Q$11="wizard",$R$312&gt;=O321),INDEX('Spell Tables'!$AB$242:$AB$270,MATCH(O321,('Spell Tables'!$Z$242:$Z$270),0))," "))</f>
        <v xml:space="preserve"> </v>
      </c>
      <c r="T321" s="72" t="str">
        <f ca="1">IF($S$309&gt;=O321,INDEX('Spell Tables'!$AF$242:$AF$264,MATCH(O321,('Spell Tables'!$AD$242:$AD$264),0)),IF(AND($Q$11="wizard",$S$312&gt;=O321),INDEX('Spell Tables'!$AF$242:$AF$264,MATCH(O321,('Spell Tables'!$AD$242:$AD$264),0))," "))</f>
        <v xml:space="preserve"> </v>
      </c>
    </row>
    <row r="322" spans="1:20" x14ac:dyDescent="0.3">
      <c r="B322" s="79"/>
      <c r="C322" s="33"/>
      <c r="D322" s="33"/>
      <c r="E322" s="33"/>
      <c r="F322" s="33"/>
      <c r="G322" s="33"/>
      <c r="H322" s="33"/>
      <c r="I322" s="33"/>
      <c r="J322" s="33"/>
      <c r="K322" s="33"/>
      <c r="L322" s="33"/>
      <c r="M322" s="33"/>
      <c r="N322" s="33"/>
      <c r="O322" s="34">
        <v>8</v>
      </c>
      <c r="P322" s="33" t="str">
        <f t="shared" ca="1" si="67"/>
        <v xml:space="preserve"> </v>
      </c>
      <c r="Q322" s="33" t="str">
        <f ca="1">IF(AND($O$11="wizard",$P$309&gt;=O322),INDEX('Spell Tables'!$T$242:$T$271,MATCH(O322,('Spell Tables'!$R$242:$R$271),0)),IF(AND($Q$11="wizard",$P$312&gt;=O322),INDEX('Spell Tables'!$T$242:$T$271,MATCH(O322,('Spell Tables'!$R$242:$R$271),0))," "))</f>
        <v xml:space="preserve"> </v>
      </c>
      <c r="R322" s="33" t="str">
        <f ca="1">IF($Q$309&gt;=O322,INDEX('Spell Tables'!$X$242:$X$275,MATCH(O322,('Spell Tables'!$V$242:$V$275),0)),IF(AND($Q$11="wizard",$Q$312&gt;=O322),INDEX('Spell Tables'!$X$242:$X$275,MATCH(O322,('Spell Tables'!$V$242:$V$275),0))," "))</f>
        <v xml:space="preserve"> </v>
      </c>
      <c r="S322" s="33" t="str">
        <f ca="1">IF($R$309&gt;=O322,INDEX('Spell Tables'!$AB$242:$AB$270,MATCH(O322,('Spell Tables'!$Z$242:$Z$270),0)),IF(AND($Q$11="wizard",$R$312&gt;=O322),INDEX('Spell Tables'!$AB$242:$AB$270,MATCH(O322,('Spell Tables'!$Z$242:$Z$270),0))," "))</f>
        <v xml:space="preserve"> </v>
      </c>
      <c r="T322" s="72" t="str">
        <f ca="1">IF($S$309&gt;=O322,INDEX('Spell Tables'!$AF$242:$AF$264,MATCH(O322,('Spell Tables'!$AD$242:$AD$264),0)),IF(AND($Q$11="wizard",$S$312&gt;=O322),INDEX('Spell Tables'!$AF$242:$AF$264,MATCH(O322,('Spell Tables'!$AD$242:$AD$264),0))," "))</f>
        <v xml:space="preserve"> </v>
      </c>
    </row>
    <row r="323" spans="1:20" x14ac:dyDescent="0.3">
      <c r="B323" s="79"/>
      <c r="C323" s="33"/>
      <c r="D323" s="33"/>
      <c r="E323" s="33"/>
      <c r="F323" s="33"/>
      <c r="G323" s="33"/>
      <c r="H323" s="33"/>
      <c r="I323" s="33"/>
      <c r="J323" s="33"/>
      <c r="K323" s="33"/>
      <c r="L323" s="33"/>
      <c r="M323" s="33"/>
      <c r="N323" s="33"/>
      <c r="O323" s="34">
        <v>9</v>
      </c>
      <c r="P323" s="33" t="str">
        <f t="shared" ca="1" si="67"/>
        <v xml:space="preserve"> </v>
      </c>
      <c r="Q323" s="33" t="str">
        <f ca="1">IF(AND($O$11="wizard",$P$309&gt;=O323),INDEX('Spell Tables'!$T$242:$T$271,MATCH(O323,('Spell Tables'!$R$242:$R$271),0)),IF(AND($Q$11="wizard",$P$312&gt;=O323),INDEX('Spell Tables'!$T$242:$T$271,MATCH(O323,('Spell Tables'!$R$242:$R$271),0))," "))</f>
        <v xml:space="preserve"> </v>
      </c>
      <c r="R323" s="33" t="str">
        <f ca="1">IF($Q$309&gt;=O323,INDEX('Spell Tables'!$X$242:$X$275,MATCH(O323,('Spell Tables'!$V$242:$V$275),0)),IF(AND($Q$11="wizard",$Q$312&gt;=O323),INDEX('Spell Tables'!$X$242:$X$275,MATCH(O323,('Spell Tables'!$V$242:$V$275),0))," "))</f>
        <v xml:space="preserve"> </v>
      </c>
      <c r="S323" s="33" t="str">
        <f ca="1">IF($R$309&gt;=O323,INDEX('Spell Tables'!$AB$242:$AB$270,MATCH(O323,('Spell Tables'!$Z$242:$Z$270),0)),IF(AND($Q$11="wizard",$R$312&gt;=O323),INDEX('Spell Tables'!$AB$242:$AB$270,MATCH(O323,('Spell Tables'!$Z$242:$Z$270),0))," "))</f>
        <v xml:space="preserve"> </v>
      </c>
      <c r="T323" s="72" t="str">
        <f ca="1">IF($S$309&gt;=O323,INDEX('Spell Tables'!$AF$242:$AF$264,MATCH(O323,('Spell Tables'!$AD$242:$AD$264),0)),IF(AND($Q$11="wizard",$S$312&gt;=O323),INDEX('Spell Tables'!$AF$242:$AF$264,MATCH(O323,('Spell Tables'!$AD$242:$AD$264),0))," "))</f>
        <v xml:space="preserve"> </v>
      </c>
    </row>
    <row r="324" spans="1:20" ht="19.5" thickBot="1" x14ac:dyDescent="0.35">
      <c r="B324" s="80"/>
      <c r="C324" s="38"/>
      <c r="D324" s="38"/>
      <c r="E324" s="38"/>
      <c r="F324" s="38"/>
      <c r="G324" s="38"/>
      <c r="H324" s="38"/>
      <c r="I324" s="38"/>
      <c r="J324" s="38"/>
      <c r="K324" s="38"/>
      <c r="L324" s="38"/>
      <c r="M324" s="38"/>
      <c r="N324" s="38"/>
      <c r="O324" s="82">
        <v>10</v>
      </c>
      <c r="P324" s="38" t="str">
        <f t="shared" ca="1" si="67"/>
        <v xml:space="preserve"> </v>
      </c>
      <c r="Q324" s="38" t="str">
        <f ca="1">IF(AND($O$11="wizard",$P$309&gt;=O324),INDEX('Spell Tables'!$T$242:$T$271,MATCH(O324,('Spell Tables'!$R$242:$R$271),0)),IF(AND($Q$11="wizard",$P$312&gt;=O324),INDEX('Spell Tables'!$T$242:$T$271,MATCH(O324,('Spell Tables'!$R$242:$R$271),0))," "))</f>
        <v xml:space="preserve"> </v>
      </c>
      <c r="R324" s="38" t="str">
        <f ca="1">IF($Q$309&gt;=O324,INDEX('Spell Tables'!$X$242:$X$275,MATCH(O324,('Spell Tables'!$V$242:$V$275),0)),IF(AND($Q$11="wizard",$Q$312&gt;=O324),INDEX('Spell Tables'!$X$242:$X$275,MATCH(O324,('Spell Tables'!$V$242:$V$275),0))," "))</f>
        <v xml:space="preserve"> </v>
      </c>
      <c r="S324" s="38" t="str">
        <f ca="1">IF($R$309&gt;=O324,INDEX('Spell Tables'!$AB$242:$AB$270,MATCH(O324,('Spell Tables'!$Z$242:$Z$270),0)),IF(AND($Q$11="wizard",$R$312&gt;=O324),INDEX('Spell Tables'!$AB$242:$AB$270,MATCH(O324,('Spell Tables'!$Z$242:$Z$270),0))," "))</f>
        <v xml:space="preserve"> </v>
      </c>
      <c r="T324" s="73" t="str">
        <f ca="1">IF($S$309&gt;=O324,INDEX('Spell Tables'!$AF$242:$AF$264,MATCH(O324,('Spell Tables'!$AD$242:$AD$264),0)),IF(AND($Q$11="wizard",$S$312&gt;=O324),INDEX('Spell Tables'!$AF$242:$AF$264,MATCH(O324,('Spell Tables'!$AD$242:$AD$264),0))," "))</f>
        <v xml:space="preserve"> </v>
      </c>
    </row>
    <row r="325" spans="1:20" ht="19.5" thickBot="1" x14ac:dyDescent="0.35">
      <c r="K325" s="100"/>
      <c r="L325" s="60"/>
      <c r="O325" s="99"/>
    </row>
    <row r="326" spans="1:20" ht="19.5" hidden="1" thickBot="1" x14ac:dyDescent="0.35">
      <c r="K326" s="100"/>
      <c r="L326" s="60"/>
      <c r="O326" s="65" t="s">
        <v>1169</v>
      </c>
      <c r="P326" s="65" t="s">
        <v>1170</v>
      </c>
      <c r="Q326" s="65" t="s">
        <v>1171</v>
      </c>
      <c r="R326" s="65" t="s">
        <v>677</v>
      </c>
      <c r="S326" s="101" t="s">
        <v>1172</v>
      </c>
    </row>
    <row r="327" spans="1:20" ht="19.5" hidden="1" thickBot="1" x14ac:dyDescent="0.35">
      <c r="K327" s="100"/>
      <c r="L327" s="60"/>
      <c r="O327" s="60" t="str">
        <f ca="1">IF(AND(O11="wizard",O12&gt;=15),"xxxx",IF(AND(O11="wizard",O12&gt;=11),"x",IF(AND($O$11="wizard",$O$12&gt;9),"xx",IF(AND(O11="wizard",O12=9),"xxx"," "))))</f>
        <v xml:space="preserve"> </v>
      </c>
      <c r="P327" s="60" t="str">
        <f ca="1">IF(AND(O11="wizard",O12&gt;=17),"xxxx",IF(AND(O11="wizard",O12&gt;=13),"x",IF(AND($O$11="wizard",$O$12&gt;11),"xx",IF(AND(O11="wizard",O12=11),"xxx"," "))))</f>
        <v xml:space="preserve"> </v>
      </c>
      <c r="Q327" s="60" t="str">
        <f ca="1">IF(AND(O11="wizard",O12&gt;=19),"xxxx",IF(AND(O11="wizard",O12&gt;=15),"x",IF(AND($O$11="wizard",$O$12&gt;13),"xx",IF(AND(O11="wizard",O12=13),"xxx"," "))))</f>
        <v xml:space="preserve"> </v>
      </c>
      <c r="R327" s="60" t="str">
        <f ca="1">IF(AND(O11="wizard",O12&gt;=17),"x",IF(AND($O$11="wizard",$O$12&gt;15),"xx",IF(AND(O11="wizard",O12=15),"xxx"," ")))</f>
        <v xml:space="preserve"> </v>
      </c>
      <c r="S327" s="102" t="str">
        <f ca="1">IF(AND($O$11="wizard",$O$12&gt;17),"xx",IF(AND(O11="wizard",O12=17),"xxx"," "))</f>
        <v xml:space="preserve"> </v>
      </c>
    </row>
    <row r="328" spans="1:20" ht="19.5" hidden="1" thickBot="1" x14ac:dyDescent="0.35">
      <c r="K328" s="100"/>
      <c r="L328" s="60"/>
      <c r="O328" s="65">
        <f ca="1">IF($O327="xxxx",MAX(P208,(RANDBETWEEN(5,6))),IF(O327="x",MAX(P208,(RANDBETWEEN(3,6))),IF(O327="xx",MAX(P208,(RANDBETWEEN(2,4))),IF(O327="xxx",MAX(P208,(2)),0))))</f>
        <v>0</v>
      </c>
      <c r="P328" s="65">
        <f ca="1">IF($P327="xxxx",RANDBETWEEN(5,6),IF(P327="x",RANDBETWEEN(3,6),IF(P327="xx",RANDBETWEEN(2,4),IF(P327="xxx",2,0))))</f>
        <v>0</v>
      </c>
      <c r="Q328" s="65">
        <f ca="1">IF($Q327="xxxx",RANDBETWEEN(5,6),IF(Q327="x",RANDBETWEEN(3,6),IF(Q327="xx",RANDBETWEEN(2,4),IF(Q327="xxx",2,0))))</f>
        <v>0</v>
      </c>
      <c r="R328" s="65">
        <f ca="1">IF(OR(R327="x",R327="xx"),RANDBETWEEN(2,4),IF(R327="xxx",2,0))</f>
        <v>0</v>
      </c>
      <c r="S328" s="101">
        <f ca="1">IF(S327="xx",RANDBETWEEN(2,4),IF(S327="xxx",2,0))</f>
        <v>0</v>
      </c>
    </row>
    <row r="329" spans="1:20" ht="19.5" hidden="1" thickBot="1" x14ac:dyDescent="0.35">
      <c r="K329" s="100"/>
      <c r="L329" s="60"/>
      <c r="O329" s="60" t="s">
        <v>1169</v>
      </c>
      <c r="P329" s="60" t="s">
        <v>1170</v>
      </c>
      <c r="Q329" s="60" t="s">
        <v>1171</v>
      </c>
      <c r="R329" s="60" t="s">
        <v>677</v>
      </c>
      <c r="S329" s="102" t="s">
        <v>1172</v>
      </c>
    </row>
    <row r="330" spans="1:20" ht="19.5" hidden="1" thickBot="1" x14ac:dyDescent="0.35">
      <c r="K330" s="100"/>
      <c r="L330" s="60"/>
      <c r="O330" s="65" t="str">
        <f ca="1">IF(AND(Q11="wizard",Q12&gt;=15),"xxxx",IF(AND(Q11="wizard",Q12&gt;=11),"x",IF(AND($Q$11="wizard",$Q$12&gt;9),"xx",IF(AND(Q11="wizard",Q12=9),"xxx"," "))))</f>
        <v xml:space="preserve"> </v>
      </c>
      <c r="P330" s="65" t="str">
        <f ca="1">IF(AND(Q11="wizard",Q12&gt;=17),"xxxx",IF(AND(Q11="wizard",Q12&gt;=13),"x",IF(AND($Q$11="wizard",$Q$12&gt;11),"xx",IF(AND(Q11="wizard",Q12=11),"xxx"," "))))</f>
        <v xml:space="preserve"> </v>
      </c>
      <c r="Q330" s="65" t="str">
        <f ca="1">IF(AND(Q11="wizard",Q12&gt;=19),"xxxx",IF(AND(Q11="wizard",Q12&gt;=15),"x",IF(AND($Q$11="wizard",$Q$12&gt;13),"xx",IF(AND(Q11="wizard",Q12=13),"xxx"," "))))</f>
        <v xml:space="preserve"> </v>
      </c>
      <c r="R330" s="65" t="str">
        <f ca="1">IF(AND(Q11="wizard",Q12&gt;=17),"x",IF(AND($Q$11="wizard",$Q$12&gt;15),"xx",IF(AND(Q11="wizard",Q12=15),"xxx"," ")))</f>
        <v xml:space="preserve"> </v>
      </c>
      <c r="S330" s="101" t="str">
        <f ca="1">IF(AND($Q$11="wizard",$Q$12&gt;17),"xx",IF(AND(Q11="wizard",Q12=17),"xxx"," "))</f>
        <v xml:space="preserve"> </v>
      </c>
    </row>
    <row r="331" spans="1:20" ht="19.5" hidden="1" thickBot="1" x14ac:dyDescent="0.35">
      <c r="K331" s="100"/>
      <c r="L331" s="60"/>
      <c r="O331" s="60">
        <f ca="1">IF($O330="xxxx",MAX(O275,(RANDBETWEEN(5,6))),IF(O330="x",MAX(O275,(RANDBETWEEN(3,6))),IF(O330="xx",MAX(O275,(RANDBETWEEN(2,4))),IF(O330="xxx",MAX(O275,(2)),0))))</f>
        <v>0</v>
      </c>
      <c r="P331" s="60">
        <f ca="1">IF($P330="xxxx",RANDBETWEEN(5,6),IF(P330="x",RANDBETWEEN(3,6),IF(P330="xx",RANDBETWEEN(2,4),IF(P330="xxx",2,0))))</f>
        <v>0</v>
      </c>
      <c r="Q331" s="60">
        <f ca="1">IF($Q330="xxxx",RANDBETWEEN(5,6),IF(Q330="x",RANDBETWEEN(3,6),IF(Q330="xx",RANDBETWEEN(2,4),IF(Q330="xxx",2,0))))</f>
        <v>0</v>
      </c>
      <c r="R331" s="60">
        <f ca="1">IF(OR(R330="x",R330="xx"),RANDBETWEEN(2,4),IF(R330="xxx",2,0))</f>
        <v>0</v>
      </c>
      <c r="S331" s="102">
        <f ca="1">IF(S330="xx",RANDBETWEEN(2,4),IF(S330="xxx",2,0))</f>
        <v>0</v>
      </c>
    </row>
    <row r="332" spans="1:20" ht="19.5" hidden="1" thickBot="1" x14ac:dyDescent="0.35">
      <c r="K332" s="100"/>
      <c r="L332" s="60"/>
      <c r="O332" s="65"/>
      <c r="P332" s="65"/>
      <c r="Q332" s="65"/>
      <c r="R332" s="65"/>
      <c r="S332" s="101"/>
    </row>
    <row r="333" spans="1:20" x14ac:dyDescent="0.3">
      <c r="A333" s="33"/>
      <c r="B333" s="72"/>
      <c r="K333" s="100"/>
      <c r="L333" s="60"/>
      <c r="P333" s="103" t="s">
        <v>1169</v>
      </c>
      <c r="Q333" s="103" t="s">
        <v>1170</v>
      </c>
      <c r="R333" s="103" t="s">
        <v>1171</v>
      </c>
      <c r="S333" s="103" t="s">
        <v>677</v>
      </c>
      <c r="T333" s="104" t="s">
        <v>1172</v>
      </c>
    </row>
    <row r="334" spans="1:20" x14ac:dyDescent="0.3">
      <c r="A334" s="33"/>
      <c r="B334" s="72"/>
      <c r="K334" s="100"/>
      <c r="L334" s="60"/>
      <c r="O334" s="83">
        <v>1</v>
      </c>
      <c r="P334" s="65" t="str">
        <f ca="1">IF($O$328&gt;=O315,INDEX('Spell Tables'!$AJ$242:$AJ$264,MATCH(O315,('Spell Tables'!$AH$242:$AH$264),0)),IF(AND($Q$11="wizard",$O$331&gt;=O315),INDEX('Spell Tables'!$AJ$242:$AJ$264,MATCH(O315,('Spell Tables'!$AH$242:$AH$264),0))," "))</f>
        <v xml:space="preserve"> </v>
      </c>
      <c r="Q334" s="65" t="str">
        <f ca="1">IF($P$328&gt;=O$315,INDEX('Spell Tables'!$AN$242:$AN$260,MATCH(O$315,('Spell Tables'!$AL$242:$AL$260),0))," ")</f>
        <v xml:space="preserve"> </v>
      </c>
      <c r="R334" s="65" t="str">
        <f ca="1">IF($Q$328&gt;=O$315,INDEX('Spell Tables'!$AR$242:$AR$256,MATCH(O$315,('Spell Tables'!$AP$242:$AP$256),0))," ")</f>
        <v xml:space="preserve"> </v>
      </c>
      <c r="S334" s="65" t="str">
        <f ca="1">IF($R$328&gt;=O$315,INDEX('Spell Tables'!$AV$242:$AV$255,MATCH(O$315,('Spell Tables'!$AT$242:$AT$255),0))," ")</f>
        <v xml:space="preserve"> </v>
      </c>
      <c r="T334" s="66" t="str">
        <f ca="1">IF($S$328&gt;=O$315,INDEX('Spell Tables'!$AZ$242:$AZ$253,MATCH(O$315,('Spell Tables'!$AX$242:$AX$253),0))," ")</f>
        <v xml:space="preserve"> </v>
      </c>
    </row>
    <row r="335" spans="1:20" x14ac:dyDescent="0.3">
      <c r="A335" s="33"/>
      <c r="B335" s="72"/>
      <c r="O335" s="84">
        <v>2</v>
      </c>
      <c r="P335" s="60" t="str">
        <f ca="1">IF($O$328&gt;=O316,INDEX('Spell Tables'!$AJ$242:$AJ$264,MATCH(O316,('Spell Tables'!$AH$242:$AH$264),0)),IF(AND($Q$11="wizard",$O$331&gt;=O316),INDEX('Spell Tables'!$AJ$242:$AJ$264,MATCH(O316,('Spell Tables'!$AH$242:$AH$264),0))," "))</f>
        <v xml:space="preserve"> </v>
      </c>
      <c r="Q335" s="60" t="str">
        <f ca="1">IF($P$328&gt;=O$316,INDEX('Spell Tables'!$AN$242:$AN$260,MATCH(O$316,('Spell Tables'!$AL$242:$AL$260),0))," ")</f>
        <v xml:space="preserve"> </v>
      </c>
      <c r="R335" s="60" t="str">
        <f ca="1">IF($Q$328&gt;=O$316,INDEX('Spell Tables'!$AR$242:$AR$256,MATCH(O$316,('Spell Tables'!$AP$242:$AP$256),0))," ")</f>
        <v xml:space="preserve"> </v>
      </c>
      <c r="S335" s="60" t="str">
        <f ca="1">IF($R$328&gt;=O$316,INDEX('Spell Tables'!$AV$242:$AV$255,MATCH(O$316,('Spell Tables'!$AT$242:$AT$255),0))," ")</f>
        <v xml:space="preserve"> </v>
      </c>
      <c r="T335" s="63" t="str">
        <f ca="1">IF($S$328&gt;=O$316,INDEX('Spell Tables'!$AZ$242:$AZ$253,MATCH(O$316,('Spell Tables'!$AX$242:$AX$253),0))," ")</f>
        <v xml:space="preserve"> </v>
      </c>
    </row>
    <row r="336" spans="1:20" x14ac:dyDescent="0.3">
      <c r="A336" s="33"/>
      <c r="B336" s="72"/>
      <c r="O336" s="83">
        <v>3</v>
      </c>
      <c r="P336" s="65" t="str">
        <f ca="1">IF($O$328&gt;=O317,INDEX('Spell Tables'!$AJ$242:$AJ$264,MATCH(O317,('Spell Tables'!$AH$242:$AH$264),0)),IF(AND($Q$11="wizard",$O$331&gt;=O317),INDEX('Spell Tables'!$AJ$242:$AJ$264,MATCH(O317,('Spell Tables'!$AH$242:$AH$264),0))," "))</f>
        <v xml:space="preserve"> </v>
      </c>
      <c r="Q336" s="65" t="str">
        <f ca="1">IF($P$328&gt;=O$317,INDEX('Spell Tables'!$AN$242:$AN$260,MATCH(O$317,('Spell Tables'!$AL$242:$AL$260),0))," ")</f>
        <v xml:space="preserve"> </v>
      </c>
      <c r="R336" s="65" t="str">
        <f ca="1">IF($Q$328&gt;=O$317,INDEX('Spell Tables'!$AR$242:$AR$256,MATCH(O$317,('Spell Tables'!$AP$242:$AP$256),0))," ")</f>
        <v xml:space="preserve"> </v>
      </c>
      <c r="S336" s="65" t="str">
        <f ca="1">IF($R$328&gt;=O$317,INDEX('Spell Tables'!$AV$242:$AV$255,MATCH(O$317,('Spell Tables'!$AT$242:$AT$255),0))," ")</f>
        <v xml:space="preserve"> </v>
      </c>
      <c r="T336" s="66" t="str">
        <f ca="1">IF($S$328&gt;=O$317,INDEX('Spell Tables'!$AZ$242:$AZ$253,MATCH(O$317,('Spell Tables'!$AX$242:$AX$253),0))," ")</f>
        <v xml:space="preserve"> </v>
      </c>
    </row>
    <row r="337" spans="1:20" x14ac:dyDescent="0.3">
      <c r="A337" s="33"/>
      <c r="B337" s="72"/>
      <c r="O337" s="84">
        <v>4</v>
      </c>
      <c r="P337" s="60" t="str">
        <f ca="1">IF($O$328&gt;=O318,INDEX('Spell Tables'!$AJ$242:$AJ$264,MATCH(O318,('Spell Tables'!$AH$242:$AH$264),0)),IF(AND($Q$11="wizard",$O$331&gt;=O318),INDEX('Spell Tables'!$AJ$242:$AJ$264,MATCH(O318,('Spell Tables'!$AH$242:$AH$264),0))," "))</f>
        <v xml:space="preserve"> </v>
      </c>
      <c r="Q337" s="60" t="str">
        <f ca="1">IF($P$328&gt;=O$318,INDEX('Spell Tables'!$AN$242:$AN$260,MATCH(O$318,('Spell Tables'!$AL$242:$AL$260),0))," ")</f>
        <v xml:space="preserve"> </v>
      </c>
      <c r="R337" s="60" t="str">
        <f ca="1">IF($Q$328&gt;=O$318,INDEX('Spell Tables'!$AR$242:$AR$256,MATCH(O$318,('Spell Tables'!$AP$242:$AP$256),0))," ")</f>
        <v xml:space="preserve"> </v>
      </c>
      <c r="S337" s="60" t="str">
        <f ca="1">IF($R$328&gt;=O$318,INDEX('Spell Tables'!$AV$242:$AV$255,MATCH(O$318,('Spell Tables'!$AT$242:$AT$255),0))," ")</f>
        <v xml:space="preserve"> </v>
      </c>
      <c r="T337" s="63" t="str">
        <f ca="1">IF($S$328&gt;=O$318,INDEX('Spell Tables'!$AZ$242:$AZ$253,MATCH(O$318,('Spell Tables'!$AX$242:$AX$253),0))," ")</f>
        <v xml:space="preserve"> </v>
      </c>
    </row>
    <row r="338" spans="1:20" x14ac:dyDescent="0.3">
      <c r="A338" s="33"/>
      <c r="B338" s="72"/>
      <c r="O338" s="83">
        <v>5</v>
      </c>
      <c r="P338" s="65" t="str">
        <f ca="1">IF($O$328&gt;=O319,INDEX('Spell Tables'!$AJ$242:$AJ$264,MATCH(O319,('Spell Tables'!$AH$242:$AH$264),0)),IF(AND($Q$11="wizard",$O$331&gt;=O319),INDEX('Spell Tables'!$AJ$242:$AJ$264,MATCH(O319,('Spell Tables'!$AH$242:$AH$264),0))," "))</f>
        <v xml:space="preserve"> </v>
      </c>
      <c r="Q338" s="65" t="str">
        <f ca="1">IF($P$328&gt;=O$319,INDEX('Spell Tables'!$AN$242:$AN$260,MATCH(O$319,('Spell Tables'!$AL$242:$AL$260),0))," ")</f>
        <v xml:space="preserve"> </v>
      </c>
      <c r="R338" s="65" t="str">
        <f ca="1">IF($Q$328&gt;=O$319,INDEX('Spell Tables'!$AR$242:$AR$256,MATCH(O$319,('Spell Tables'!$AP$242:$AP$256),0))," ")</f>
        <v xml:space="preserve"> </v>
      </c>
      <c r="S338" s="65" t="str">
        <f ca="1">IF($R$328&gt;=O$319,INDEX('Spell Tables'!$AV$242:$AV$255,MATCH(O$319,('Spell Tables'!$AT$242:$AT$255),0))," ")</f>
        <v xml:space="preserve"> </v>
      </c>
      <c r="T338" s="66" t="str">
        <f ca="1">IF($S$328&gt;=O$319,INDEX('Spell Tables'!$AZ$242:$AZ$253,MATCH(O$319,('Spell Tables'!$AX$242:$AX$253),0))," ")</f>
        <v xml:space="preserve"> </v>
      </c>
    </row>
    <row r="339" spans="1:20" x14ac:dyDescent="0.3">
      <c r="A339" s="33"/>
      <c r="B339" s="72"/>
      <c r="K339" s="100"/>
      <c r="L339" s="60"/>
      <c r="O339" s="84">
        <v>6</v>
      </c>
      <c r="P339" s="60" t="str">
        <f ca="1">IF($O$328&gt;=O320,INDEX('Spell Tables'!$AJ$242:$AJ$264,MATCH(O320,('Spell Tables'!$AH$242:$AH$264),0)),IF(AND($Q$11="wizard",$O$331&gt;=O320),INDEX('Spell Tables'!$AJ$242:$AJ$264,MATCH(O320,('Spell Tables'!$AH$242:$AH$264),0))," "))</f>
        <v xml:space="preserve"> </v>
      </c>
      <c r="Q339" s="60" t="str">
        <f ca="1">IF($P$328&gt;=O$320,INDEX('Spell Tables'!$AN$242:$AN$260,MATCH(O$320,('Spell Tables'!$AL$242:$AL$260),0))," ")</f>
        <v xml:space="preserve"> </v>
      </c>
      <c r="R339" s="60" t="str">
        <f ca="1">IF($Q$328&gt;=O$320,INDEX('Spell Tables'!$AR$242:$AR$256,MATCH(O$320,('Spell Tables'!$AP$242:$AP$256),0))," ")</f>
        <v xml:space="preserve"> </v>
      </c>
      <c r="S339" s="60" t="str">
        <f ca="1">IF($R$328&gt;=O$320,INDEX('Spell Tables'!$AV$242:$AV$255,MATCH(O$320,('Spell Tables'!$AT$242:$AT$255),0))," ")</f>
        <v xml:space="preserve"> </v>
      </c>
      <c r="T339" s="63" t="str">
        <f ca="1">IF($S$328&gt;=O$320,INDEX('Spell Tables'!$AZ$242:$AZ$253,MATCH(O$320,('Spell Tables'!$AX$242:$AX$253),0))," ")</f>
        <v xml:space="preserve"> </v>
      </c>
    </row>
    <row r="340" spans="1:20" x14ac:dyDescent="0.3">
      <c r="A340" s="33"/>
      <c r="B340" s="72"/>
      <c r="K340" s="100"/>
      <c r="L340" s="60"/>
      <c r="O340" s="83">
        <v>7</v>
      </c>
      <c r="P340" s="65" t="str">
        <f ca="1">IF($O$328&gt;=O321,INDEX('Spell Tables'!$AJ$242:$AJ$264,MATCH(O321,('Spell Tables'!$AH$242:$AH$264),0)),IF(AND($Q$11="wizard",$O$331&gt;=O321),INDEX('Spell Tables'!$AJ$242:$AJ$264,MATCH(O321,('Spell Tables'!$AH$242:$AH$264),0))," "))</f>
        <v xml:space="preserve"> </v>
      </c>
      <c r="Q340" s="65" t="str">
        <f ca="1">IF($P$328&gt;=O$321,INDEX('Spell Tables'!$AN$242:$AN$260,MATCH(O$321,('Spell Tables'!$AL$242:$AL$260),0))," ")</f>
        <v xml:space="preserve"> </v>
      </c>
      <c r="R340" s="65" t="str">
        <f ca="1">IF($Q$328&gt;=O$321,INDEX('Spell Tables'!$AR$242:$AR$256,MATCH(O$321,('Spell Tables'!$AP$242:$AP$256),0))," ")</f>
        <v xml:space="preserve"> </v>
      </c>
      <c r="S340" s="65" t="str">
        <f ca="1">IF($R$328&gt;=O$321,INDEX('Spell Tables'!$AV$242:$AV$255,MATCH(O$321,('Spell Tables'!$AT$242:$AT$255),0))," ")</f>
        <v xml:space="preserve"> </v>
      </c>
      <c r="T340" s="66" t="str">
        <f ca="1">IF($S$328&gt;=O$321,INDEX('Spell Tables'!$AZ$242:$AZ$253,MATCH(O$321,('Spell Tables'!$AX$242:$AX$253),0))," ")</f>
        <v xml:space="preserve"> </v>
      </c>
    </row>
    <row r="341" spans="1:20" x14ac:dyDescent="0.3">
      <c r="A341" s="33"/>
      <c r="B341" s="72"/>
      <c r="K341" s="100"/>
      <c r="L341" s="60"/>
      <c r="O341" s="84">
        <v>8</v>
      </c>
      <c r="P341" s="60" t="str">
        <f ca="1">IF($O$328&gt;=O322,INDEX('Spell Tables'!$AJ$242:$AJ$264,MATCH(O322,('Spell Tables'!$AH$242:$AH$264),0)),IF(AND($Q$11="wizard",$O$331&gt;=O322),INDEX('Spell Tables'!$AJ$242:$AJ$264,MATCH(O322,('Spell Tables'!$AH$242:$AH$264),0))," "))</f>
        <v xml:space="preserve"> </v>
      </c>
      <c r="Q341" s="60" t="str">
        <f ca="1">IF($P$328&gt;=O$322,INDEX('Spell Tables'!$AN$242:$AN$260,MATCH(O$322,('Spell Tables'!$AL$242:$AL$260),0))," ")</f>
        <v xml:space="preserve"> </v>
      </c>
      <c r="R341" s="60" t="str">
        <f ca="1">IF($Q$328&gt;=O$322,INDEX('Spell Tables'!$AR$242:$AR$256,MATCH(O$322,('Spell Tables'!$AP$242:$AP$256),0))," ")</f>
        <v xml:space="preserve"> </v>
      </c>
      <c r="S341" s="60" t="str">
        <f ca="1">IF($R$328&gt;=O$322,INDEX('Spell Tables'!$AV$242:$AV$255,MATCH(O$322,('Spell Tables'!$AT$242:$AT$255),0))," ")</f>
        <v xml:space="preserve"> </v>
      </c>
      <c r="T341" s="63" t="str">
        <f ca="1">IF($S$328&gt;=O$322,INDEX('Spell Tables'!$AZ$242:$AZ$253,MATCH(O$322,('Spell Tables'!$AX$242:$AX$253),0))," ")</f>
        <v xml:space="preserve"> </v>
      </c>
    </row>
    <row r="342" spans="1:20" x14ac:dyDescent="0.3">
      <c r="A342" s="33"/>
      <c r="B342" s="72"/>
      <c r="O342" s="83">
        <v>9</v>
      </c>
      <c r="P342" s="65" t="str">
        <f ca="1">IF($O$328&gt;=O323,INDEX('Spell Tables'!$AJ$242:$AJ$264,MATCH(O323,('Spell Tables'!$AH$242:$AH$264),0)),IF(AND($Q$11="wizard",$O$331&gt;=O323),INDEX('Spell Tables'!$AJ$242:$AJ$264,MATCH(O323,('Spell Tables'!$AH$242:$AH$264),0))," "))</f>
        <v xml:space="preserve"> </v>
      </c>
      <c r="Q342" s="65" t="str">
        <f ca="1">IF($P$328&gt;=O$323,INDEX('Spell Tables'!$AN$242:$AN$260,MATCH(O$323,('Spell Tables'!$AL$242:$AL$260),0))," ")</f>
        <v xml:space="preserve"> </v>
      </c>
      <c r="R342" s="65" t="str">
        <f ca="1">IF($Q$328&gt;=O$323,INDEX('Spell Tables'!$AR$242:$AR$256,MATCH(O$323,('Spell Tables'!$AP$242:$AP$256),0))," ")</f>
        <v xml:space="preserve"> </v>
      </c>
      <c r="S342" s="65" t="str">
        <f ca="1">IF($R$328&gt;=O$323,INDEX('Spell Tables'!$AV$242:$AV$255,MATCH(O$323,('Spell Tables'!$AT$242:$AT$255),0))," ")</f>
        <v xml:space="preserve"> </v>
      </c>
      <c r="T342" s="66" t="str">
        <f ca="1">IF($S$328&gt;=O$323,INDEX('Spell Tables'!$AZ$242:$AZ$253,MATCH(O$323,('Spell Tables'!$AX$242:$AX$253),0))," ")</f>
        <v xml:space="preserve"> </v>
      </c>
    </row>
    <row r="343" spans="1:20" ht="19.5" thickBot="1" x14ac:dyDescent="0.35">
      <c r="A343" s="33"/>
      <c r="B343" s="72"/>
      <c r="K343" s="31"/>
      <c r="O343" s="85">
        <v>10</v>
      </c>
      <c r="P343" s="67" t="str">
        <f ca="1">IF($O$328&gt;=O324,INDEX('Spell Tables'!$AJ$242:$AJ$264,MATCH(O324,('Spell Tables'!$AH$242:$AH$264),0)),IF(AND($Q$11="wizard",$O$331&gt;=O324),INDEX('Spell Tables'!$AJ$242:$AJ$264,MATCH(O324,('Spell Tables'!$AH$242:$AH$264),0))," "))</f>
        <v xml:space="preserve"> </v>
      </c>
      <c r="Q343" s="67" t="str">
        <f ca="1">IF($P$328&gt;=O$324,INDEX('Spell Tables'!$AN$242:$AN$260,MATCH(O$324,('Spell Tables'!$AL$242:$AL$260),0))," ")</f>
        <v xml:space="preserve"> </v>
      </c>
      <c r="R343" s="67" t="str">
        <f ca="1">IF($Q$328&gt;=O$324,INDEX('Spell Tables'!$AR$242:$AR$256,MATCH(O$324,('Spell Tables'!$AP$242:$AP$256),0))," ")</f>
        <v xml:space="preserve"> </v>
      </c>
      <c r="S343" s="67" t="str">
        <f ca="1">IF($R$328&gt;=O$324,INDEX('Spell Tables'!$AV$242:$AV$255,MATCH(O$324,('Spell Tables'!$AT$242:$AT$255),0))," ")</f>
        <v xml:space="preserve"> </v>
      </c>
      <c r="T343" s="68" t="str">
        <f ca="1">IF($S$328&gt;=O$324,INDEX('Spell Tables'!$AZ$242:$AZ$253,MATCH(O$324,('Spell Tables'!$AX$242:$AX$253),0))," ")</f>
        <v xml:space="preserve"> </v>
      </c>
    </row>
  </sheetData>
  <sheetProtection sheet="1" objects="1" scenarios="1"/>
  <hyperlinks>
    <hyperlink ref="A1" location="'Character Overview'!A1" display="Back to Overview" xr:uid="{01EB3C73-1160-48EC-B1B1-45B4F76E0882}"/>
  </hyperlinks>
  <pageMargins left="0.25" right="0.25" top="0.75" bottom="0.75" header="0.3" footer="0.3"/>
  <pageSetup scale="34" orientation="landscape" horizontalDpi="4294967293" r:id="rId1"/>
  <drawing r:id="rId2"/>
  <tableParts count="56">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 r:id="rId50"/>
    <tablePart r:id="rId51"/>
    <tablePart r:id="rId52"/>
    <tablePart r:id="rId53"/>
    <tablePart r:id="rId54"/>
    <tablePart r:id="rId55"/>
    <tablePart r:id="rId56"/>
    <tablePart r:id="rId57"/>
    <tablePart r:id="rId58"/>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2F920-3E12-4CC0-8961-C36E2F503F8C}">
  <sheetPr codeName="Аркуш12">
    <pageSetUpPr fitToPage="1"/>
  </sheetPr>
  <dimension ref="A1:CJ343"/>
  <sheetViews>
    <sheetView showGridLines="0" showRowColHeaders="0" zoomScale="54" zoomScaleNormal="54" workbookViewId="0"/>
  </sheetViews>
  <sheetFormatPr defaultColWidth="8.85546875" defaultRowHeight="18.75" x14ac:dyDescent="0.3"/>
  <cols>
    <col min="1" max="1" width="23.140625" style="29" customWidth="1"/>
    <col min="2" max="2" width="62.7109375" style="29" customWidth="1"/>
    <col min="3" max="3" width="13.7109375" style="29" hidden="1" customWidth="1"/>
    <col min="4" max="5" width="3.85546875" style="29" hidden="1" customWidth="1"/>
    <col min="6" max="8" width="5" style="29" hidden="1" customWidth="1"/>
    <col min="9" max="9" width="11.7109375" style="29" hidden="1" customWidth="1"/>
    <col min="10" max="10" width="2.28515625" style="29" hidden="1" customWidth="1"/>
    <col min="11" max="11" width="14.7109375" style="29" hidden="1" customWidth="1"/>
    <col min="12" max="12" width="13.28515625" style="29" hidden="1" customWidth="1"/>
    <col min="13" max="13" width="7.28515625" style="29" hidden="1" customWidth="1"/>
    <col min="14" max="14" width="2.140625" style="29" hidden="1" customWidth="1"/>
    <col min="15" max="19" width="50.7109375" style="29" customWidth="1"/>
    <col min="20" max="20" width="34" style="29" customWidth="1"/>
    <col min="21" max="21" width="34.28515625" style="29" customWidth="1"/>
    <col min="22" max="22" width="34.140625" style="29" customWidth="1"/>
    <col min="23" max="23" width="29.85546875" style="29" customWidth="1"/>
    <col min="24" max="24" width="18.5703125" style="29" customWidth="1"/>
    <col min="25" max="25" width="34.28515625" style="29" bestFit="1" customWidth="1"/>
    <col min="26" max="26" width="32.7109375" style="29" customWidth="1"/>
    <col min="27" max="27" width="9.7109375" style="29" bestFit="1" customWidth="1"/>
    <col min="28" max="28" width="12.140625" style="29" bestFit="1" customWidth="1"/>
    <col min="29" max="29" width="8.85546875" style="29"/>
    <col min="30" max="30" width="0" style="29" hidden="1" customWidth="1"/>
    <col min="31" max="31" width="10.28515625" style="29" hidden="1" customWidth="1"/>
    <col min="32" max="32" width="23.5703125" style="29" hidden="1" customWidth="1"/>
    <col min="33" max="33" width="8.85546875" style="29" hidden="1" customWidth="1"/>
    <col min="34" max="34" width="17.85546875" style="29" hidden="1" customWidth="1"/>
    <col min="35" max="35" width="3.5703125" style="29" hidden="1" customWidth="1"/>
    <col min="36" max="36" width="21.85546875" style="29" hidden="1" customWidth="1"/>
    <col min="37" max="37" width="14.140625" style="29" hidden="1" customWidth="1"/>
    <col min="38" max="38" width="21.85546875" style="29" hidden="1" customWidth="1"/>
    <col min="39" max="39" width="5.7109375" style="29" hidden="1" customWidth="1"/>
    <col min="40" max="40" width="27.7109375" style="29" hidden="1" customWidth="1"/>
    <col min="41" max="41" width="10.7109375" style="29" hidden="1" customWidth="1"/>
    <col min="42" max="42" width="13.28515625" style="29" hidden="1" customWidth="1"/>
    <col min="43" max="43" width="13" style="29" hidden="1" customWidth="1"/>
    <col min="44" max="44" width="8.85546875" style="29" hidden="1" customWidth="1"/>
    <col min="45" max="45" width="11.7109375" style="29" hidden="1" customWidth="1"/>
    <col min="46" max="47" width="8.85546875" style="29" hidden="1" customWidth="1"/>
    <col min="48" max="49" width="15.28515625" style="29" hidden="1" customWidth="1"/>
    <col min="50" max="50" width="14.140625" style="29" hidden="1" customWidth="1"/>
    <col min="51" max="51" width="9.85546875" style="29" hidden="1" customWidth="1"/>
    <col min="52" max="52" width="12.140625" style="29" hidden="1" customWidth="1"/>
    <col min="53" max="53" width="15.28515625" style="29" hidden="1" customWidth="1"/>
    <col min="54" max="54" width="12.140625" style="29" hidden="1" customWidth="1"/>
    <col min="55" max="55" width="9" style="29" hidden="1" customWidth="1"/>
    <col min="56" max="57" width="10.42578125" style="29" hidden="1" customWidth="1"/>
    <col min="58" max="58" width="9.7109375" style="29" hidden="1" customWidth="1"/>
    <col min="59" max="59" width="10.42578125" style="29" hidden="1" customWidth="1"/>
    <col min="60" max="60" width="7.140625" style="29" hidden="1" customWidth="1"/>
    <col min="61" max="61" width="10.42578125" style="29" hidden="1" customWidth="1"/>
    <col min="62" max="62" width="11.7109375" style="29" hidden="1" customWidth="1"/>
    <col min="63" max="63" width="14.140625" style="29" hidden="1" customWidth="1"/>
    <col min="64" max="64" width="8.85546875" style="29" hidden="1" customWidth="1"/>
    <col min="65" max="65" width="15.7109375" style="29" hidden="1" customWidth="1"/>
    <col min="66" max="66" width="10" style="29" hidden="1" customWidth="1"/>
    <col min="67" max="67" width="13.42578125" style="29" hidden="1" customWidth="1"/>
    <col min="68" max="68" width="15.28515625" style="29" hidden="1" customWidth="1"/>
    <col min="69" max="69" width="15" style="29" hidden="1" customWidth="1"/>
    <col min="70" max="70" width="7.28515625" style="29" hidden="1" customWidth="1"/>
    <col min="71" max="71" width="17.85546875" style="29" hidden="1" customWidth="1"/>
    <col min="72" max="72" width="14.140625" style="29" hidden="1" customWidth="1"/>
    <col min="73" max="73" width="8.28515625" style="29" hidden="1" customWidth="1"/>
    <col min="74" max="74" width="15.28515625" style="29" hidden="1" customWidth="1"/>
    <col min="75" max="79" width="8.85546875" style="29" hidden="1" customWidth="1"/>
    <col min="80" max="80" width="21.140625" style="29" hidden="1" customWidth="1"/>
    <col min="81" max="81" width="12" style="29" hidden="1" customWidth="1"/>
    <col min="82" max="82" width="15.28515625" style="29" hidden="1" customWidth="1"/>
    <col min="83" max="88" width="8.85546875" style="29" hidden="1" customWidth="1"/>
    <col min="89" max="115" width="8.85546875" style="29" customWidth="1"/>
    <col min="116" max="16384" width="8.85546875" style="29"/>
  </cols>
  <sheetData>
    <row r="1" spans="1:83" ht="26.25" thickBot="1" x14ac:dyDescent="0.4">
      <c r="A1" s="153" t="s">
        <v>2755</v>
      </c>
      <c r="B1" s="30"/>
      <c r="C1" s="99"/>
      <c r="D1" s="99"/>
      <c r="E1" s="99"/>
      <c r="F1" s="99"/>
      <c r="G1" s="99"/>
      <c r="H1" s="99"/>
      <c r="I1" s="99"/>
      <c r="J1" s="99"/>
      <c r="K1" s="99"/>
      <c r="L1" s="99"/>
      <c r="M1" s="99"/>
      <c r="N1" s="99"/>
      <c r="O1" s="125" t="s">
        <v>0</v>
      </c>
      <c r="P1" s="126" t="str">
        <f ca="1">IF(AND(Q2="dwarf",O2="male"),VLOOKUP(RANDBETWEEN(1,30),Table4[],2),IF(AND(Q2="dwarf",O2="female"),VLOOKUP(RANDBETWEEN(1,23),Table13[],2),IF(AND(Q2="elf",O2="male"),VLOOKUP(RANDBETWEEN(1,38),Table6[],2),IF(AND(Q2="elf",O2="female"),VLOOKUP(RANDBETWEEN(1,36),Table15[],2),IF(AND(Q2="halfling",O2="male"),VLOOKUP(RANDBETWEEN(1,17),Table10[],2),IF(AND(Q2="halfling",O2="female"),VLOOKUP(RANDBETWEEN(1,18),Table16[],2),IF(AND(Q2="human",O2="male"),VLOOKUP(RANDBETWEEN(1,70),Table17[],2),IF(AND(Q2="human",O2="female"),VLOOKUP(RANDBETWEEN(1,67),Table19[],2),IF(AND(Q2="dragonborn",O2="male"),VLOOKUP(RANDBETWEEN(1,17),Table21[],2),IF(AND(Q2="dragonborn",O2="female"),VLOOKUP(RANDBETWEEN(1,17),Table22[],2),IF(AND(Q2="gnome",O2="male"),VLOOKUP(RANDBETWEEN(1,23),Table28[],2),IF(AND(Q2="gnome",O2="female"),VLOOKUP(RANDBETWEEN(1,22),Table29[],2),IF(AND(Q2="half-elf",O2="male"),VLOOKUP(RANDBETWEEN(1,108),Table31[],2),IF(AND(Q2="half-elf",O2="female"),VLOOKUP(RANDBETWEEN(1,103),Table32[],2),IF(AND(Q2="half-orc",O2="male"),VLOOKUP(RANDBETWEEN(1,10),Table35[],2),IF(AND(Q2="half-orc",O2="female"),VLOOKUP(RANDBETWEEN(1,13),Table36[],2),IF(AND(Q2="tiefling",O2="male"),VLOOKUP(RANDBETWEEN(1,33),Table37[],2),IF(AND(Q2="tiefling",O2="female"),VLOOKUP(RANDBETWEEN(1,34),Table38[],2)," "))))))))))))))))))</f>
        <v>Thorin</v>
      </c>
      <c r="Q1" s="127" t="str">
        <f ca="1">IF(Q2="dwarf",VLOOKUP(RANDBETWEEN(1,53),Table5[],2),IF(Q2="elf",VLOOKUP(RANDBETWEEN(1,73),Table7[],2),IF(Q2="halfling",VLOOKUP(RANDBETWEEN(1,20),Table11[],2),IF(Q2="human",VLOOKUP(RANDBETWEEN(1,52),Table18[],2),IF(Q2="dragonborn",VLOOKUP(RANDBETWEEN(1,18),Table24[],2),IF(Q2="gnome",VLOOKUP(RANDBETWEEN(1,13),Table27[],2),IF(Q2="half-elf",VLOOKUP(RANDBETWEEN(1,62),Table33[],2)," ")))))))</f>
        <v>Ungart</v>
      </c>
      <c r="R1" s="30"/>
      <c r="S1" s="30"/>
      <c r="AF1" s="29" t="s">
        <v>674</v>
      </c>
      <c r="AH1" s="29" t="s">
        <v>711</v>
      </c>
      <c r="AI1" s="29">
        <f ca="1">IF(O11="non-classed",RANDBETWEEN(1,10),IF(O11="wizard",SUM(6,4*O12,-4),IF(O11="warlock",SUM(8,5*O12,-5),IF(O11="sorcerer",SUM(6,4*O12,-6),IF(O11="rogue",SUM(8,5*O12,-5),IF(O11="ranger",SUM(10,6*O12,-6),IF(O11="paladin",SUM(10,6*O12,-6),IF(O11="barbarian",SUM(12,7*O12,-7),IF(O11="bard",SUM(8,5*O12,-5),IF(O11="cleric",SUM(8,5*O12,-5),IF(O11="druid",SUM(8,5*O12,-5),IF(O11="fighter",SUM(10,6*O12,-6),IF(O11="monk",SUM(8,5*O12,-5)," ")))))))))))))</f>
        <v>10</v>
      </c>
      <c r="AJ1" s="29" t="s">
        <v>714</v>
      </c>
      <c r="AK1" s="29">
        <f ca="1">(P40*P6)</f>
        <v>3</v>
      </c>
      <c r="CB1" s="31" t="s">
        <v>670</v>
      </c>
      <c r="CE1" s="31"/>
    </row>
    <row r="2" spans="1:83" x14ac:dyDescent="0.3">
      <c r="A2" s="30"/>
      <c r="B2" s="30"/>
      <c r="C2" s="33"/>
      <c r="D2" s="33"/>
      <c r="E2" s="33"/>
      <c r="F2" s="33"/>
      <c r="G2" s="33"/>
      <c r="H2" s="33"/>
      <c r="I2" s="33"/>
      <c r="J2" s="33"/>
      <c r="K2" s="33"/>
      <c r="L2" s="33"/>
      <c r="M2" s="33"/>
      <c r="N2" s="33"/>
      <c r="O2" s="110" t="str">
        <f ca="1">VLOOKUP(RANDBETWEEN(1,2),Table14[],2)</f>
        <v>Male</v>
      </c>
      <c r="P2" s="33" t="str">
        <f ca="1">IF(Q2="dwarf",VLOOKUP(RANDBETWEEN(1,2),Table8[],2),IF(Q2="elf",VLOOKUP(RANDBETWEEN(1,3),Table9[],2),IF(Q2="halfling",VLOOKUP(RANDBETWEEN(1,2),Table12[],2),IF(Q2="Dragonborn",VLOOKUP(RANDBETWEEN(1,10),Table25[],2),IF(Q2="Gnome",VLOOKUP(RANDBETWEEN(1,2),Table30[],2)," ")))))</f>
        <v>Mountain</v>
      </c>
      <c r="Q2" s="72" t="str">
        <f ca="1">VLOOKUP(RANDBETWEEN(1,9),Table2[],2)</f>
        <v>Dwarf</v>
      </c>
      <c r="R2" s="30"/>
      <c r="S2" s="30"/>
      <c r="AE2" s="29" t="s">
        <v>676</v>
      </c>
      <c r="AF2" s="29" t="str">
        <f ca="1">IF($P$6&gt;=4,VLOOKUP(RANDBETWEEN(1,6),Table41[],2)," ")</f>
        <v xml:space="preserve"> </v>
      </c>
      <c r="AH2" s="29" t="s">
        <v>712</v>
      </c>
      <c r="AI2" s="29" t="str">
        <f ca="1">IF(Q11="wizard",4*Q12,IF(Q11="warlock",5*Q12,IF(Q11="sorcerer",4*Q12,IF(Q11="rogue",5*Q12,IF(Q11="ranger",6*Q12,IF(Q11="paladin",6*Q12,IF(Q11="barbarian",7*Q12,IF(Q11="bard",5*Q12,IF(Q11="cleric",5*Q12,IF(Q11="druid",5*Q12,IF(Q11="fighter",6*Q12,IF(Q11="monk",5*Q12," "))))))))))))</f>
        <v xml:space="preserve"> </v>
      </c>
      <c r="CB2" s="35">
        <f t="shared" ref="CB2:CB7" ca="1" si="0">_xlfn.RANK.EQ(CC2,$CC$2:$CC$7)</f>
        <v>5</v>
      </c>
      <c r="CC2" s="36">
        <f ca="1">IF(BM7&gt;0,0,RAND())</f>
        <v>0.14855105138890212</v>
      </c>
      <c r="CD2" s="29" t="s">
        <v>29</v>
      </c>
    </row>
    <row r="3" spans="1:83" ht="19.5" thickBot="1" x14ac:dyDescent="0.35">
      <c r="A3" s="30"/>
      <c r="B3" s="30"/>
      <c r="C3" s="38"/>
      <c r="D3" s="38"/>
      <c r="E3" s="38"/>
      <c r="F3" s="38"/>
      <c r="G3" s="38"/>
      <c r="H3" s="38"/>
      <c r="I3" s="38"/>
      <c r="J3" s="38"/>
      <c r="K3" s="38"/>
      <c r="L3" s="38"/>
      <c r="M3" s="38"/>
      <c r="N3" s="38"/>
      <c r="O3" s="37" t="str">
        <f ca="1">VLOOKUP(RANDBETWEEN(1,20),Table253[],2)</f>
        <v>Young Adult</v>
      </c>
      <c r="P3" s="38" t="str">
        <f ca="1">IF(AND(Q2="tiefling",O3="young adult"),SUM(17,RANDBETWEEN(1,23))&amp;" years old",IF(AND(Q2="tiefling",O3="adult"),SUM(40,RANDBETWEEN(1,30))&amp;" years old",IF(AND(Q2="tiefling",O3="elderly"),SUM(70,RANDBETWEEN(1,30))&amp;" years old",IF(AND(Q2="half-orc",O3="young adult"),SUM(13,RANDBETWEEN(1,32))&amp;" years old",IF(AND(Q2="half-orc",O3="adult"),SUM(45,RANDBETWEEN(1,15))&amp;" years old",IF(AND(Q2="half-orc",O3="elderly"),SUM(60,RANDBETWEEN(1,15))&amp;" years old",IF(AND(Q2="half-elf",O3="young adult"),SUM(19,RANDBETWEEN(1,30))&amp;" years old",IF(AND(Q2="half-elf",O3="adult"),SUM(50,RANDBETWEEN(1,100))&amp;" years old",IF(AND(Q2="half-elf",O3="elderly"),SUM(150,RANDBETWEEN(1,30))&amp;" years old",IF(AND(Q2="gnome",O3="young adult"),SUM(19,RANDBETWEEN(1,20))&amp;" years old",IF(AND(Q2="gnome",O3="adult"),SUM(40,RANDBETWEEN(1,160))&amp;" years old",IF(AND(Q2="gnome",O3="elderly"),SUM(200,RANDBETWEEN(1,200))&amp;" years old",IF(AND(Q2="dragonborn",O3="young adult"),SUM(14,RANDBETWEEN(1,5))&amp;" years old",IF(AND(Q2="dragonborn",O3="adult"),SUM(20,RANDBETWEEN(1,30))&amp;" years old",IF(AND(Q2="dragonborn",O3="elderly"),SUM(50,RANDBETWEEN(1,30))&amp;" years old",IF(AND(Q2="halfling",O3="young adult"),SUM(19,RANDBETWEEN(1,20))&amp;" years old",IF(AND(Q2="halfling",O3="adult"),SUM(40,RANDBETWEEN(1,110))&amp;" years old",IF(AND(Q2="halfling",O3="elderly"),SUM(150,RANDBETWEEN(1,100))&amp;" years old",IF(AND(Q2="elf",O3="young adult"),SUM(99,RANDBETWEEN(1,350))&amp;" years old",IF(AND(Q2="elf",O3="adult"),SUM(450,RANDBETWEEN(1,200))&amp;" years old",IF(AND(Q2="elf",O3="elderly"),SUM(650,RANDBETWEEN(1,100))&amp;" years old",IF(AND(Q2="dwarf",O3="young adult"),SUM(17,RANDBETWEEN(1,32))&amp;" years old",IF(AND(Q2="dwarf",O3="adult"),SUM(50,RANDBETWEEN(1,150))&amp;" years old",IF(AND(Q2="dwarf",O3="elderly"),SUM(200,RANDBETWEEN(1,150))&amp;" years old",IF(AND(Q2="human",O3="young adult"),SUM(17,RANDBETWEEN(1,12))&amp;" years old",IF(AND(Q2="human",O3="adult"),SUM(30,RANDBETWEEN(1,35))&amp;" years old",IF(AND(Q2="human",O3="elderly"),SUM(65,RANDBETWEEN(1,25))&amp;" years old"," ")))))))))))))))))))))))))))</f>
        <v>21 years old</v>
      </c>
      <c r="Q3" s="113"/>
      <c r="R3" s="30"/>
      <c r="AE3" s="29" t="s">
        <v>676</v>
      </c>
      <c r="AF3" s="29" t="str">
        <f ca="1">IF($P$6&gt;=4,VLOOKUP(RANDBETWEEN(1,6),Table41[],2)," ")</f>
        <v xml:space="preserve"> </v>
      </c>
      <c r="AH3" s="29" t="s">
        <v>713</v>
      </c>
      <c r="AI3" s="29" t="str">
        <f ca="1">IF(P2="hill",(P6)," ")</f>
        <v xml:space="preserve"> </v>
      </c>
      <c r="CB3" s="35">
        <f t="shared" ca="1" si="0"/>
        <v>3</v>
      </c>
      <c r="CC3" s="36">
        <f ca="1">IF(BM9&gt;0,0,RAND())</f>
        <v>0.73041130754547712</v>
      </c>
      <c r="CD3" s="29" t="s">
        <v>14</v>
      </c>
    </row>
    <row r="4" spans="1:83" ht="19.5" thickBot="1" x14ac:dyDescent="0.35">
      <c r="A4" s="33"/>
      <c r="B4" s="30"/>
      <c r="C4" s="39"/>
      <c r="D4" s="39"/>
      <c r="E4" s="39"/>
      <c r="F4" s="39"/>
      <c r="G4" s="39"/>
      <c r="H4" s="39"/>
      <c r="I4" s="39"/>
      <c r="J4" s="39"/>
      <c r="K4" s="39"/>
      <c r="L4" s="39"/>
      <c r="M4" s="39"/>
      <c r="N4" s="39"/>
      <c r="O4" s="40"/>
      <c r="Q4" s="41"/>
      <c r="R4" s="41"/>
      <c r="AE4" s="29" t="s">
        <v>677</v>
      </c>
      <c r="AF4" s="29" t="str">
        <f ca="1">IF($P$6&gt;=8,VLOOKUP(RANDBETWEEN(1,6),Table41[],2)," ")</f>
        <v xml:space="preserve"> </v>
      </c>
      <c r="AH4" s="29" t="s">
        <v>1592</v>
      </c>
      <c r="AI4" s="29" t="str">
        <f ca="1">IF(OR(P15="draconic bloodline",R15="draconic bloodline"),O12," ")</f>
        <v xml:space="preserve"> </v>
      </c>
      <c r="CB4" s="35">
        <f t="shared" ca="1" si="0"/>
        <v>2</v>
      </c>
      <c r="CC4" s="36">
        <f ca="1">IF(BM13&gt;0,0,RAND())</f>
        <v>0.80961800359121716</v>
      </c>
      <c r="CD4" s="29" t="s">
        <v>18</v>
      </c>
    </row>
    <row r="5" spans="1:83" ht="19.5" thickBot="1" x14ac:dyDescent="0.35">
      <c r="B5" s="42" t="s">
        <v>35</v>
      </c>
      <c r="O5" s="43" t="s">
        <v>41</v>
      </c>
      <c r="P5" s="43" t="s">
        <v>1881</v>
      </c>
      <c r="Q5" s="44" t="str">
        <f ca="1">"Max. HP: "&amp;SUM(AI1,AI2,AI3,AK1,AI4)</f>
        <v>Max. HP: 13</v>
      </c>
      <c r="R5" s="45" t="s">
        <v>33</v>
      </c>
      <c r="AE5" s="29" t="s">
        <v>677</v>
      </c>
      <c r="AF5" s="29" t="str">
        <f ca="1">IF($P$6&gt;=8,VLOOKUP(RANDBETWEEN(1,6),Table41[],2)," ")</f>
        <v xml:space="preserve"> </v>
      </c>
      <c r="AV5" s="29" t="s">
        <v>744</v>
      </c>
      <c r="BM5" s="29" t="s">
        <v>1825</v>
      </c>
      <c r="BN5" s="29" t="s">
        <v>744</v>
      </c>
      <c r="BO5" s="29" t="s">
        <v>728</v>
      </c>
      <c r="BP5" s="29" t="s">
        <v>745</v>
      </c>
      <c r="BQ5" s="29" t="s">
        <v>1569</v>
      </c>
      <c r="BR5" s="29" t="s">
        <v>211</v>
      </c>
      <c r="BS5" s="29" t="s">
        <v>1343</v>
      </c>
      <c r="BT5" s="29" t="s">
        <v>1344</v>
      </c>
      <c r="BU5" s="29" t="s">
        <v>739</v>
      </c>
      <c r="CB5" s="35">
        <f t="shared" ca="1" si="0"/>
        <v>4</v>
      </c>
      <c r="CC5" s="36">
        <f ca="1">IF(BM16&gt;0,0,RAND())</f>
        <v>0.29204516172596406</v>
      </c>
      <c r="CD5" s="29" t="s">
        <v>21</v>
      </c>
    </row>
    <row r="6" spans="1:83" ht="20.25" thickTop="1" thickBot="1" x14ac:dyDescent="0.35">
      <c r="B6" s="32">
        <f ca="1">P39</f>
        <v>2</v>
      </c>
      <c r="O6" s="46" t="str">
        <f ca="1">IF(OR(Q2="dwarf",Q2="elf",Q2="human",Q2="dragonborn",Q2="half-elf",Q2="half-orc",Q2="tiefling"),"Medium",IF(OR(Q2="gnome",Q2="halfling"),"Small"," "))</f>
        <v>Medium</v>
      </c>
      <c r="P6" s="47">
        <f ca="1">IF(AF14=1,O12,IF(AF14=2,SUM(O12,Q12)))</f>
        <v>3</v>
      </c>
      <c r="Q6" s="48" t="s">
        <v>1882</v>
      </c>
      <c r="R6" s="47" t="str">
        <f ca="1">VLOOKUP(RANDBETWEEN(1,100),Table92[],2)</f>
        <v>Lawful Neutral</v>
      </c>
      <c r="U6" s="49"/>
      <c r="AE6" s="29" t="s">
        <v>678</v>
      </c>
      <c r="AF6" s="29" t="str">
        <f ca="1">IF($P$6&gt;=12,VLOOKUP(RANDBETWEEN(1,6),Table41[],2)," ")</f>
        <v xml:space="preserve"> </v>
      </c>
      <c r="AH6" s="29" t="s">
        <v>12</v>
      </c>
      <c r="AI6" s="29">
        <f ca="1">$P$39</f>
        <v>2</v>
      </c>
      <c r="AJ6" s="29" t="str">
        <f t="shared" ref="AJ6:AU6" ca="1" si="1">IF(COUNTIF(AJ$27:AJ$33,$AH$6),$P$8," ")</f>
        <v xml:space="preserve"> </v>
      </c>
      <c r="AK6" s="29" t="str">
        <f t="shared" ca="1" si="1"/>
        <v xml:space="preserve"> </v>
      </c>
      <c r="AL6" s="29" t="str">
        <f t="shared" ca="1" si="1"/>
        <v xml:space="preserve"> </v>
      </c>
      <c r="AM6" s="29" t="str">
        <f t="shared" ca="1" si="1"/>
        <v xml:space="preserve"> </v>
      </c>
      <c r="AN6" s="29" t="str">
        <f t="shared" ca="1" si="1"/>
        <v xml:space="preserve"> </v>
      </c>
      <c r="AO6" s="29" t="str">
        <f t="shared" ca="1" si="1"/>
        <v xml:space="preserve"> </v>
      </c>
      <c r="AP6" s="29" t="str">
        <f t="shared" ca="1" si="1"/>
        <v xml:space="preserve"> </v>
      </c>
      <c r="AQ6" s="29" t="str">
        <f t="shared" ca="1" si="1"/>
        <v xml:space="preserve"> </v>
      </c>
      <c r="AR6" s="29" t="str">
        <f t="shared" ca="1" si="1"/>
        <v xml:space="preserve"> </v>
      </c>
      <c r="AS6" s="29" t="str">
        <f t="shared" ca="1" si="1"/>
        <v xml:space="preserve"> </v>
      </c>
      <c r="AT6" s="29" t="str">
        <f t="shared" ca="1" si="1"/>
        <v xml:space="preserve"> </v>
      </c>
      <c r="AU6" s="29" t="str">
        <f t="shared" ca="1" si="1"/>
        <v xml:space="preserve"> </v>
      </c>
      <c r="AV6" s="29">
        <f ca="1">SUM(AJ6:AU6)</f>
        <v>0</v>
      </c>
      <c r="AW6" s="29" t="s">
        <v>12</v>
      </c>
      <c r="BA6" s="29" t="str">
        <f ca="1">IF(S11="Entertainer",P8," ")</f>
        <v xml:space="preserve"> </v>
      </c>
      <c r="BM6" s="29">
        <f t="shared" ref="BM6:BM23" ca="1" si="2">SUM(AX6:BL6)</f>
        <v>0</v>
      </c>
      <c r="BN6" s="29">
        <f ca="1">AV6</f>
        <v>0</v>
      </c>
      <c r="BO6" s="29" t="str">
        <f t="shared" ref="BO6:BO23" ca="1" si="3">IF(AND($O$11="bard",$O$12&gt;=3,BN26=1),$P$8,IF(AND($O$11="bard",$O$12&gt;=3,BN26=2),$P$8,IF(AND($O$11="bard",$O$12&gt;=10,BN26=3,$P$15="college of lore"),$P$8,IF(AND($O$11="bard",$O$12&gt;=10,BN26=4,$P$15="college of lore"),$P$8,IF(AND($Q$11="bard",$Q$12&gt;=3,BN26=1),$P$8,IF(AND($Q$11="bard",$Q$12&gt;=3,BN26=2),$P$8,IF(AND($Q$11="bard",$Q$12&gt;=10,BN26=3,$P$15="college of lore"),$P$8,IF(AND($Q$11="bard",$Q$12&gt;=10,BN26=4,$P$15="college of lore"),$P$8," "))))))))</f>
        <v xml:space="preserve"> </v>
      </c>
      <c r="BP6" s="29" t="str">
        <f t="shared" ref="BP6:BP23" ca="1" si="4">IF(AND($O$11="bard",$O$12&gt;=2,AV6&lt;=0),ROUNDDOWN($P$8*0.5,0),IF(AND($Q$11="bard",$Q$12&gt;=2,AV6&lt;=0),ROUNDDOWN($P$8*0.5,0)," "))</f>
        <v xml:space="preserve"> </v>
      </c>
      <c r="BQ6" s="29" t="str">
        <f t="shared" ref="BQ6:BQ23" ca="1" si="5">IF(AND($O$11="rogue",BN26=1),$P$8,IF(AND($O$11="rogue",BN26=2,$AF$25=1),$P$8,IF(AND($O$11="rogue",$O$12&gt;6,BN26=3),$P$8,IF(AND($O$11="rogue",$O$12&gt;6,BN26=4),$P$8," "))))</f>
        <v xml:space="preserve"> </v>
      </c>
      <c r="BR6" s="29">
        <f t="shared" ref="BR6:BR23" ca="1" si="6">IF(AND($Q$2="half-elf",BR26=1),$P$8,IF(AND($Q$2="half-elf",BR26=2),$P$8,0))</f>
        <v>0</v>
      </c>
      <c r="BU6" s="29">
        <f ca="1">SUM(BM6:BT6,AI6)</f>
        <v>2</v>
      </c>
      <c r="BV6" s="29" t="s">
        <v>12</v>
      </c>
      <c r="CB6" s="35">
        <f t="shared" ca="1" si="0"/>
        <v>6</v>
      </c>
      <c r="CC6" s="36">
        <f ca="1">IF(BM17&gt;0,0,RAND())</f>
        <v>5.4605011764152667E-2</v>
      </c>
      <c r="CD6" s="29" t="s">
        <v>22</v>
      </c>
      <c r="CE6" s="31"/>
    </row>
    <row r="7" spans="1:83" ht="19.5" thickBot="1" x14ac:dyDescent="0.35">
      <c r="B7" s="42" t="s">
        <v>36</v>
      </c>
      <c r="O7" s="50" t="str">
        <f ca="1">IF(Q2="Tiefling","Height: "&amp;SUM(57,AE31)&amp;" inches",IF(Q2="half-orc","Height: "&amp;SUM(58,AE32)&amp;" inches",IF(Q2="Half-elf","Height: "&amp;SUM(57,AE31)&amp;" inches",IF(Q2="Gnome","Height: "&amp;SUM(35,AE29)&amp;" inches",IF(Q2="Dragonborn","Height: "&amp;SUM(66,AE31)&amp;" inches",IF(Q2="Halfling","Height: "&amp;SUM(31,AE29)&amp;" inches",IF(P2="dark","Height: "&amp;SUM(53,AE30)&amp;" inches",IF(P2="wood","Height: "&amp;SUM(54,AE32)&amp;" inches",IF(P2="high","Height: "&amp;SUM(54,AE32)&amp;" inches",IF(P2="mountain","Height: "&amp;SUM(48,AE29)&amp;" inches",IF(P2="hill","Height: "&amp;SUM(44,AE29)&amp;" inches",IF(Q2="human","Height: "&amp;SUM(56,AE32)&amp;" inches"," "))))))))))))</f>
        <v>Height: 50 inches</v>
      </c>
      <c r="P7" s="43" t="s">
        <v>34</v>
      </c>
      <c r="AE7" s="29" t="s">
        <v>678</v>
      </c>
      <c r="AF7" s="29" t="str">
        <f ca="1">IF($P$6&gt;=12,VLOOKUP(RANDBETWEEN(1,6),Table41[],2)," ")</f>
        <v xml:space="preserve"> </v>
      </c>
      <c r="AH7" s="29" t="s">
        <v>29</v>
      </c>
      <c r="AI7" s="29">
        <f ca="1">$P$42</f>
        <v>2</v>
      </c>
      <c r="AJ7" s="29" t="str">
        <f t="shared" ref="AJ7:AU7" ca="1" si="7">IF(COUNTIF(AJ$27:AJ$33,$AH$7),$P$8," ")</f>
        <v xml:space="preserve"> </v>
      </c>
      <c r="AK7" s="29" t="str">
        <f t="shared" ca="1" si="7"/>
        <v xml:space="preserve"> </v>
      </c>
      <c r="AL7" s="29" t="str">
        <f t="shared" ca="1" si="7"/>
        <v xml:space="preserve"> </v>
      </c>
      <c r="AM7" s="29" t="str">
        <f t="shared" ca="1" si="7"/>
        <v xml:space="preserve"> </v>
      </c>
      <c r="AN7" s="29" t="str">
        <f t="shared" ca="1" si="7"/>
        <v xml:space="preserve"> </v>
      </c>
      <c r="AO7" s="29" t="str">
        <f t="shared" ca="1" si="7"/>
        <v xml:space="preserve"> </v>
      </c>
      <c r="AP7" s="29" t="str">
        <f t="shared" ca="1" si="7"/>
        <v xml:space="preserve"> </v>
      </c>
      <c r="AQ7" s="29" t="str">
        <f t="shared" ca="1" si="7"/>
        <v xml:space="preserve"> </v>
      </c>
      <c r="AR7" s="29" t="str">
        <f t="shared" ca="1" si="7"/>
        <v xml:space="preserve"> </v>
      </c>
      <c r="AS7" s="29" t="str">
        <f t="shared" ca="1" si="7"/>
        <v xml:space="preserve"> </v>
      </c>
      <c r="AT7" s="29" t="str">
        <f t="shared" ca="1" si="7"/>
        <v xml:space="preserve"> </v>
      </c>
      <c r="AU7" s="29" t="str">
        <f t="shared" ca="1" si="7"/>
        <v xml:space="preserve"> </v>
      </c>
      <c r="AV7" s="29">
        <f t="shared" ref="AV7:AV23" ca="1" si="8">SUM(AJ7:AU7)</f>
        <v>0</v>
      </c>
      <c r="AW7" s="29" t="s">
        <v>29</v>
      </c>
      <c r="BB7" s="29" t="str">
        <f ca="1">IF(S11="Folk Hero",P8," ")</f>
        <v xml:space="preserve"> </v>
      </c>
      <c r="BM7" s="29">
        <f t="shared" ca="1" si="2"/>
        <v>0</v>
      </c>
      <c r="BN7" s="29">
        <f t="shared" ref="BN7:BN23" ca="1" si="9">AV7</f>
        <v>0</v>
      </c>
      <c r="BO7" s="29" t="str">
        <f t="shared" ca="1" si="3"/>
        <v xml:space="preserve"> </v>
      </c>
      <c r="BP7" s="29" t="str">
        <f t="shared" ca="1" si="4"/>
        <v xml:space="preserve"> </v>
      </c>
      <c r="BQ7" s="29" t="str">
        <f t="shared" ca="1" si="5"/>
        <v xml:space="preserve"> </v>
      </c>
      <c r="BR7" s="29">
        <f t="shared" ca="1" si="6"/>
        <v>0</v>
      </c>
      <c r="BT7" s="29">
        <f ca="1">IF(AND(BY30=1,OR($P$15="nature",$R$15="nature")),$P$8,0)</f>
        <v>0</v>
      </c>
      <c r="BU7" s="29">
        <f t="shared" ref="BU7:BU23" ca="1" si="10">SUM(BM7:BT7)</f>
        <v>0</v>
      </c>
      <c r="BV7" s="29" t="s">
        <v>29</v>
      </c>
      <c r="CB7" s="35">
        <f t="shared" ca="1" si="0"/>
        <v>1</v>
      </c>
      <c r="CC7" s="36">
        <f ca="1">IF(BM23&gt;0,0,RAND())</f>
        <v>0.83275130438627065</v>
      </c>
      <c r="CD7" s="29" t="s">
        <v>28</v>
      </c>
    </row>
    <row r="8" spans="1:83" ht="20.25" thickTop="1" thickBot="1" x14ac:dyDescent="0.35">
      <c r="B8" s="51" t="str">
        <f ca="1">IF(AND(B89="unarmored defense",B90&lt;&gt;"shield",Q12&gt;=2,Q11="monk",OR(Q2="dwarf",Q2="halfling",Q2="gnome")),SUM(15,INDEX('Class Tables'!L98:L117,MATCH(O12,('Class Tables'!I98:I117),0)))&amp;" ft.",IF(AND(B89="unarmored defense",B90&lt;&gt;"Shield",Q12&gt;=2,Q11="monk",P2="wood"),SUM(25,INDEX('Class Tables'!L98:L117,MATCH(O12,('Class Tables'!I98:I117),0)))&amp;" ft.",IF(AND(B89="unarmored defense",B90&lt;&gt;"shield",Q12&gt;=2,Q11="monk",OR(Q2="human",Q2="elf",Q2="dragonborn",Q2="half-elf",Q2="half-orc",Q2="tiefling")),SUM(20,INDEX('Class Tables'!L98:L117,MATCH(O12,('Class Tables'!I98:I117),0)))&amp;" ft.",IF(AND(B89="unarmored defense",B90&lt;&gt;"shield",O12&gt;=2,O11="monk",OR(Q2="dwarf",Q2="halfling",Q2="gnome")),SUM(25,INDEX('Class Tables'!L98:L117,MATCH(O12,('Class Tables'!I98:I117),0)))&amp;" ft.",IF(AND(B89="unarmored defense",B90&lt;&gt;"Shield",O12&gt;=2,O11="monk",P2="wood"),SUM(35,INDEX('Class Tables'!L98:L117,MATCH(O12,('Class Tables'!I98:I117),0)))&amp;" ft.",IF(AND(B89="unarmored defense",B90&lt;&gt;"shield",O12&gt;=2,O11="monk",OR(Q2="human",Q2="elf",Q2="dragonborn",Q2="half-elf",Q2="half-orc",Q2="tiefling")),SUM(30,INDEX('Class Tables'!L98:L117,MATCH(O12,('Class Tables'!I98:I117),0)))&amp;" ft.",IF(AND(B89="unarmored defense",Q12&gt;=5,Q11="barbarian",OR(Q2="dwarf",Q2="halfling",Q2="gnome")),"35 ft.",IF(AND(B89="unarmored defense",Q12&gt;=5,Q11="barbarian",P2="wood"),"45 ft.",IF(AND(B89="unarmored defense",Q12&gt;=5,Q11="barbarian",OR(Q2="human",Q2="elf",Q2="dragonborn",Q2="half-elf",Q2="half-orc",Q2="tiefling")),"40 ft.",IF(AND(B89="unarmored defense",O12&gt;=5,O11="barbarian",OR(Q2="dwarf",Q2="halfling",Q2="gnome")),"35 ft.",IF(AND(B89="unarmored defense",O12&gt;=O11="barbarian",P2="wood"),"45 ft.",IF(AND(B89="unarmored defense",O12&gt;=5,O11="barbarian",OR(Q2="human",Q2="elf",Q2="dragonborn",Q2="half-elf",Q2="half-orc",Q2="tiefling")),"40 ft.",IF(OR(Q2="dwarf",Q2="halfling",Q2="gnome"),"25 ft.",IF(P2="wood","35 ft.",IF(OR(Q2="human",Q2="elf",Q2="dragonborn",Q2="half-elf",Q2="half-orc",Q2="tiefling"),"30 ft."," ")))))))))))))))</f>
        <v>25 ft.</v>
      </c>
      <c r="O8" s="47" t="str">
        <f ca="1">IF(P2="dark","Weight: "&amp;SUM(AE30*RANDBETWEEN(1,6),75)&amp;" lbs.",IF(P2="wood","Weight: "&amp;SUM(AE32*RANDBETWEEN(1,4),100)&amp;" lbs.",IF(P2="high","Weight: "&amp;SUM(AE32*RANDBETWEEN(1,4),90)&amp;" lbs.",IF(P2="mountain","Weight: "&amp;SUM(AE29*RANDBETWEEN(2,12),130)&amp;" lbs.",IF(P2="hill","Weight: "&amp;SUM(AE29*RANDBETWEEN(2,12),115)&amp;" lbs.",IF(Q2="tiefling","Weight: "&amp;SUM(AE31*RANDBETWEEN(2,8),110)&amp;" lbs.",IF(Q2="Half-orc","Weight: "&amp;SUM(AE32*RANDBETWEEN(2,12),140),IF(Q2="Half-elf","Weight: "&amp;SUM(AE31*RANDBETWEEN(2,8),110),IF(Q2="Gnome","Weight: "&amp;SUM(AE29,35),IF(Q2="Dragonborn","Weight: "&amp;SUM(AE31*RANDBETWEEN(2,12),175)&amp;" lbs.",IF(Q2="Halfling","Weight: "&amp;SUM(AE29,35)&amp;" lbs.",IF(Q2="Human","Weight: "&amp;SUM(AE32*RANDBETWEEN(2,8),110)&amp;" lbs."," "))))))))))))</f>
        <v>Weight: 152 lbs.</v>
      </c>
      <c r="P8" s="111">
        <f ca="1">VLOOKUP(P6,Table26[],2)</f>
        <v>2</v>
      </c>
      <c r="Q8" s="33"/>
      <c r="R8" s="33"/>
      <c r="AE8" s="29" t="s">
        <v>679</v>
      </c>
      <c r="AF8" s="29" t="str">
        <f ca="1">IF($P$6&gt;=16,VLOOKUP(RANDBETWEEN(1,6),Table41[],2)," ")</f>
        <v xml:space="preserve"> </v>
      </c>
      <c r="AH8" s="29" t="s">
        <v>13</v>
      </c>
      <c r="AI8" s="29">
        <f ca="1">$P$41</f>
        <v>1</v>
      </c>
      <c r="AJ8" s="29" t="str">
        <f t="shared" ref="AJ8:AU8" ca="1" si="11">IF(COUNTIF(AJ$27:AJ$33,$AH$8),$P$8," ")</f>
        <v xml:space="preserve"> </v>
      </c>
      <c r="AK8" s="29" t="str">
        <f t="shared" ca="1" si="11"/>
        <v xml:space="preserve"> </v>
      </c>
      <c r="AL8" s="29" t="str">
        <f t="shared" ca="1" si="11"/>
        <v xml:space="preserve"> </v>
      </c>
      <c r="AM8" s="29" t="str">
        <f t="shared" ca="1" si="11"/>
        <v xml:space="preserve"> </v>
      </c>
      <c r="AN8" s="29" t="str">
        <f t="shared" ca="1" si="11"/>
        <v xml:space="preserve"> </v>
      </c>
      <c r="AO8" s="29" t="str">
        <f t="shared" ca="1" si="11"/>
        <v xml:space="preserve"> </v>
      </c>
      <c r="AP8" s="29" t="str">
        <f t="shared" ca="1" si="11"/>
        <v xml:space="preserve"> </v>
      </c>
      <c r="AQ8" s="29" t="str">
        <f t="shared" ca="1" si="11"/>
        <v xml:space="preserve"> </v>
      </c>
      <c r="AR8" s="29" t="str">
        <f t="shared" ca="1" si="11"/>
        <v xml:space="preserve"> </v>
      </c>
      <c r="AS8" s="29" t="str">
        <f t="shared" ca="1" si="11"/>
        <v xml:space="preserve"> </v>
      </c>
      <c r="AT8" s="29" t="str">
        <f t="shared" ca="1" si="11"/>
        <v xml:space="preserve"> </v>
      </c>
      <c r="AU8" s="29" t="str">
        <f t="shared" ca="1" si="11"/>
        <v xml:space="preserve"> </v>
      </c>
      <c r="AV8" s="29">
        <f t="shared" ca="1" si="8"/>
        <v>0</v>
      </c>
      <c r="AW8" s="29" t="s">
        <v>13</v>
      </c>
      <c r="BI8" s="29" t="str">
        <f ca="1">IF(S11="Sage",P8," ")</f>
        <v xml:space="preserve"> </v>
      </c>
      <c r="BM8" s="29">
        <f t="shared" ca="1" si="2"/>
        <v>0</v>
      </c>
      <c r="BN8" s="29">
        <f t="shared" ca="1" si="9"/>
        <v>0</v>
      </c>
      <c r="BO8" s="29" t="str">
        <f t="shared" ca="1" si="3"/>
        <v xml:space="preserve"> </v>
      </c>
      <c r="BP8" s="29" t="str">
        <f t="shared" ca="1" si="4"/>
        <v xml:space="preserve"> </v>
      </c>
      <c r="BQ8" s="29" t="str">
        <f t="shared" ca="1" si="5"/>
        <v xml:space="preserve"> </v>
      </c>
      <c r="BR8" s="29">
        <f t="shared" ca="1" si="6"/>
        <v>0</v>
      </c>
      <c r="BS8" s="29">
        <f ca="1">IF(AND($BY$26=1,OR($P$15="knowledge",$R$15="knowledge")),$P$8*2,IF(AND($BY$26=2,OR($P$15="knowledge",$R$15="knowledge")),$P$8*2,0))</f>
        <v>0</v>
      </c>
      <c r="BU8" s="29">
        <f t="shared" ca="1" si="10"/>
        <v>0</v>
      </c>
      <c r="BV8" s="29" t="s">
        <v>13</v>
      </c>
      <c r="CB8" s="52"/>
      <c r="CC8" s="52"/>
    </row>
    <row r="9" spans="1:83" ht="19.5" thickBot="1" x14ac:dyDescent="0.35">
      <c r="AE9" s="29" t="s">
        <v>679</v>
      </c>
      <c r="AF9" s="29" t="str">
        <f ca="1">IF($P$6&gt;=16,VLOOKUP(RANDBETWEEN(1,6),Table41[],2)," ")</f>
        <v xml:space="preserve"> </v>
      </c>
      <c r="AH9" s="29" t="s">
        <v>14</v>
      </c>
      <c r="AI9" s="29">
        <f ca="1">$P$38</f>
        <v>3</v>
      </c>
      <c r="AJ9" s="29" t="str">
        <f t="shared" ref="AJ9:AU9" ca="1" si="12">IF(COUNTIF(AJ$27:AJ$33,$AH$9),$P$8," ")</f>
        <v xml:space="preserve"> </v>
      </c>
      <c r="AK9" s="29" t="str">
        <f t="shared" ca="1" si="12"/>
        <v xml:space="preserve"> </v>
      </c>
      <c r="AL9" s="29" t="str">
        <f t="shared" ca="1" si="12"/>
        <v xml:space="preserve"> </v>
      </c>
      <c r="AM9" s="29" t="str">
        <f t="shared" ca="1" si="12"/>
        <v xml:space="preserve"> </v>
      </c>
      <c r="AN9" s="29" t="str">
        <f t="shared" ca="1" si="12"/>
        <v xml:space="preserve"> </v>
      </c>
      <c r="AO9" s="29" t="str">
        <f t="shared" ca="1" si="12"/>
        <v xml:space="preserve"> </v>
      </c>
      <c r="AP9" s="29" t="str">
        <f t="shared" ca="1" si="12"/>
        <v xml:space="preserve"> </v>
      </c>
      <c r="AQ9" s="29" t="str">
        <f t="shared" ca="1" si="12"/>
        <v xml:space="preserve"> </v>
      </c>
      <c r="AR9" s="29" t="str">
        <f t="shared" ca="1" si="12"/>
        <v xml:space="preserve"> </v>
      </c>
      <c r="AS9" s="29" t="str">
        <f t="shared" ca="1" si="12"/>
        <v xml:space="preserve"> </v>
      </c>
      <c r="AT9" s="29" t="str">
        <f t="shared" ca="1" si="12"/>
        <v xml:space="preserve"> </v>
      </c>
      <c r="AU9" s="29" t="str">
        <f t="shared" ca="1" si="12"/>
        <v xml:space="preserve"> </v>
      </c>
      <c r="AV9" s="29">
        <f t="shared" ca="1" si="8"/>
        <v>0</v>
      </c>
      <c r="AW9" s="29" t="s">
        <v>14</v>
      </c>
      <c r="BG9" s="29" t="str">
        <f ca="1">IF(S11="Outlander",P8," ")</f>
        <v xml:space="preserve"> </v>
      </c>
      <c r="BH9" s="29" t="str">
        <f ca="1">IF(S11="Pirate",P8," ")</f>
        <v xml:space="preserve"> </v>
      </c>
      <c r="BJ9" s="29" t="str">
        <f ca="1">IF(S11="Sailor",P8," ")</f>
        <v xml:space="preserve"> </v>
      </c>
      <c r="BK9" s="29" t="str">
        <f ca="1">IF(S11="Soldier",P8," ")</f>
        <v xml:space="preserve"> </v>
      </c>
      <c r="BM9" s="29">
        <f t="shared" ca="1" si="2"/>
        <v>0</v>
      </c>
      <c r="BN9" s="29">
        <f t="shared" ca="1" si="9"/>
        <v>0</v>
      </c>
      <c r="BO9" s="29" t="str">
        <f t="shared" ca="1" si="3"/>
        <v xml:space="preserve"> </v>
      </c>
      <c r="BP9" s="29" t="str">
        <f t="shared" ca="1" si="4"/>
        <v xml:space="preserve"> </v>
      </c>
      <c r="BQ9" s="29" t="str">
        <f t="shared" ca="1" si="5"/>
        <v xml:space="preserve"> </v>
      </c>
      <c r="BR9" s="29">
        <f t="shared" ca="1" si="6"/>
        <v>0</v>
      </c>
      <c r="BU9" s="29">
        <f t="shared" ca="1" si="10"/>
        <v>0</v>
      </c>
      <c r="BV9" s="29" t="s">
        <v>14</v>
      </c>
      <c r="CB9" s="31" t="s">
        <v>740</v>
      </c>
      <c r="CC9" s="31" t="s">
        <v>742</v>
      </c>
      <c r="CD9" s="31"/>
    </row>
    <row r="10" spans="1:83" ht="26.25" thickBot="1" x14ac:dyDescent="0.4">
      <c r="O10" s="124" t="s">
        <v>681</v>
      </c>
      <c r="Q10" s="124" t="s">
        <v>682</v>
      </c>
      <c r="R10" s="49"/>
      <c r="S10" s="123" t="s">
        <v>32</v>
      </c>
      <c r="AE10" s="29" t="s">
        <v>680</v>
      </c>
      <c r="AF10" s="29" t="str">
        <f ca="1">IF($P$6&gt;=19,VLOOKUP(RANDBETWEEN(1,6),Table41[],2)," ")</f>
        <v xml:space="preserve"> </v>
      </c>
      <c r="AH10" s="29" t="s">
        <v>15</v>
      </c>
      <c r="AI10" s="29">
        <f ca="1">$P$43</f>
        <v>1</v>
      </c>
      <c r="AJ10" s="29" t="str">
        <f t="shared" ref="AJ10:AU10" ca="1" si="13">IF(COUNTIF(AJ$27:AJ$33,$AH$10),$P$8," ")</f>
        <v xml:space="preserve"> </v>
      </c>
      <c r="AK10" s="29" t="str">
        <f t="shared" ca="1" si="13"/>
        <v xml:space="preserve"> </v>
      </c>
      <c r="AL10" s="29" t="str">
        <f t="shared" ca="1" si="13"/>
        <v xml:space="preserve"> </v>
      </c>
      <c r="AM10" s="29" t="str">
        <f t="shared" ca="1" si="13"/>
        <v xml:space="preserve"> </v>
      </c>
      <c r="AN10" s="29" t="str">
        <f t="shared" ca="1" si="13"/>
        <v xml:space="preserve"> </v>
      </c>
      <c r="AO10" s="29" t="str">
        <f t="shared" ca="1" si="13"/>
        <v xml:space="preserve"> </v>
      </c>
      <c r="AP10" s="29" t="str">
        <f t="shared" ca="1" si="13"/>
        <v xml:space="preserve"> </v>
      </c>
      <c r="AQ10" s="29" t="str">
        <f t="shared" ca="1" si="13"/>
        <v xml:space="preserve"> </v>
      </c>
      <c r="AR10" s="29" t="str">
        <f t="shared" ca="1" si="13"/>
        <v xml:space="preserve"> </v>
      </c>
      <c r="AS10" s="29" t="str">
        <f t="shared" ca="1" si="13"/>
        <v xml:space="preserve"> </v>
      </c>
      <c r="AT10" s="29" t="str">
        <f t="shared" ca="1" si="13"/>
        <v xml:space="preserve"> </v>
      </c>
      <c r="AU10" s="29" t="str">
        <f t="shared" ca="1" si="13"/>
        <v xml:space="preserve"> </v>
      </c>
      <c r="AV10" s="29">
        <f t="shared" ca="1" si="8"/>
        <v>0</v>
      </c>
      <c r="AW10" s="29" t="s">
        <v>15</v>
      </c>
      <c r="AY10" s="29" t="str">
        <f ca="1">IF(S11="Charlatan",P8," ")</f>
        <v xml:space="preserve"> </v>
      </c>
      <c r="AZ10" s="29" t="str">
        <f ca="1">IF(S11="Criminal",P8," ")</f>
        <v xml:space="preserve"> </v>
      </c>
      <c r="BE10" s="29" t="str">
        <f ca="1">IF(S11="Knight",P8," ")</f>
        <v xml:space="preserve"> </v>
      </c>
      <c r="BF10" s="29" t="str">
        <f ca="1">IF(S11="Noble",P8," ")</f>
        <v xml:space="preserve"> </v>
      </c>
      <c r="BM10" s="29">
        <f t="shared" ca="1" si="2"/>
        <v>0</v>
      </c>
      <c r="BN10" s="29">
        <f t="shared" ca="1" si="9"/>
        <v>0</v>
      </c>
      <c r="BO10" s="29" t="str">
        <f t="shared" ca="1" si="3"/>
        <v xml:space="preserve"> </v>
      </c>
      <c r="BP10" s="29" t="str">
        <f t="shared" ca="1" si="4"/>
        <v xml:space="preserve"> </v>
      </c>
      <c r="BQ10" s="29" t="str">
        <f t="shared" ca="1" si="5"/>
        <v xml:space="preserve"> </v>
      </c>
      <c r="BR10" s="29">
        <f t="shared" ca="1" si="6"/>
        <v>0</v>
      </c>
      <c r="BU10" s="29">
        <f t="shared" ca="1" si="10"/>
        <v>0</v>
      </c>
      <c r="BV10" s="29" t="s">
        <v>15</v>
      </c>
      <c r="CB10" s="35">
        <f t="shared" ref="CB10:CB27" ca="1" si="14">_xlfn.RANK.EQ(CC10,$CC$10:$CC$27)</f>
        <v>13</v>
      </c>
      <c r="CC10" s="36">
        <f t="shared" ref="CC10:CC27" ca="1" si="15">IF(BM6&gt;0,0,RAND())</f>
        <v>0.30151796541689257</v>
      </c>
      <c r="CD10" s="29" t="s">
        <v>12</v>
      </c>
    </row>
    <row r="11" spans="1:83" ht="19.5" thickTop="1" x14ac:dyDescent="0.3">
      <c r="O11" s="46" t="str">
        <f ca="1">VLOOKUP(RANDBETWEEN(1,16),Table43[],2)</f>
        <v>Non-Classed</v>
      </c>
      <c r="Q11" s="139" t="str">
        <f ca="1">IF(O11="non-classed",VLOOKUP(RANDBETWEEN(1,124),Table252[],2),IF(AND(O11="barbarian",AF14=2),VLOOKUP(RANDBETWEEN(1,11),Table43[],3),IF(AND(O11="bard",AF14=2),VLOOKUP(RANDBETWEEN(1,11),Table43[],4),IF(AND(O11="cleric",AF14=2),VLOOKUP(RANDBETWEEN(1,11),Table43[],5),IF(AND(O11="druid",AF14=2),VLOOKUP(RANDBETWEEN(1,11),Table43[],6),IF(AND(O11="fighter",AF14=2),VLOOKUP(RANDBETWEEN(1,11),Table43[],7),IF(AND(O11="Monk",AF14=2),VLOOKUP(RANDBETWEEN(1,11),Table43[],8),IF(AND(O11="Paladin",AF14=2),VLOOKUP(RANDBETWEEN(1,11),Table43[],9),IF(AND(O11="Ranger",AF14=2),VLOOKUP(RANDBETWEEN(1,11),Table43[],10),IF(AND(O11="Rogue",AF14=2),VLOOKUP(RANDBETWEEN(1,11),Table43[],11),IF(AND(O11="sorcerer",AF14=2),VLOOKUP(RANDBETWEEN(1,11),Table43[],12),IF(AND(O11="warlock",AF14=2),VLOOKUP(RANDBETWEEN(1,11),Table43[],13),IF(AND(O11="wizard",AF14=2),VLOOKUP(RANDBETWEEN(1,11),Table43[],14)," ")))))))))))))</f>
        <v>Baker</v>
      </c>
      <c r="R11" s="49"/>
      <c r="S11" s="33" t="str">
        <f ca="1">IF(O11&lt;&gt;"non-classed",VLOOKUP(RANDBETWEEN(1,15),Table254[],2)," ")</f>
        <v xml:space="preserve"> </v>
      </c>
      <c r="AE11" s="29" t="s">
        <v>680</v>
      </c>
      <c r="AF11" s="29" t="str">
        <f ca="1">IF($P$6&gt;=19,VLOOKUP(RANDBETWEEN(1,6),Table41[],2)," ")</f>
        <v xml:space="preserve"> </v>
      </c>
      <c r="AH11" s="29" t="s">
        <v>16</v>
      </c>
      <c r="AI11" s="29">
        <f ca="1">$P$41</f>
        <v>1</v>
      </c>
      <c r="AJ11" s="29" t="str">
        <f t="shared" ref="AJ11:AU11" ca="1" si="16">IF(COUNTIF(AJ$27:AJ$33,$AH$11),$P$8," ")</f>
        <v xml:space="preserve"> </v>
      </c>
      <c r="AK11" s="29" t="str">
        <f t="shared" ca="1" si="16"/>
        <v xml:space="preserve"> </v>
      </c>
      <c r="AL11" s="29" t="str">
        <f t="shared" ca="1" si="16"/>
        <v xml:space="preserve"> </v>
      </c>
      <c r="AM11" s="29" t="str">
        <f t="shared" ca="1" si="16"/>
        <v xml:space="preserve"> </v>
      </c>
      <c r="AN11" s="29" t="str">
        <f t="shared" ca="1" si="16"/>
        <v xml:space="preserve"> </v>
      </c>
      <c r="AO11" s="29" t="str">
        <f t="shared" ca="1" si="16"/>
        <v xml:space="preserve"> </v>
      </c>
      <c r="AP11" s="29" t="str">
        <f t="shared" ca="1" si="16"/>
        <v xml:space="preserve"> </v>
      </c>
      <c r="AQ11" s="29" t="str">
        <f t="shared" ca="1" si="16"/>
        <v xml:space="preserve"> </v>
      </c>
      <c r="AR11" s="29" t="str">
        <f t="shared" ca="1" si="16"/>
        <v xml:space="preserve"> </v>
      </c>
      <c r="AS11" s="29" t="str">
        <f t="shared" ca="1" si="16"/>
        <v xml:space="preserve"> </v>
      </c>
      <c r="AT11" s="29" t="str">
        <f t="shared" ca="1" si="16"/>
        <v xml:space="preserve"> </v>
      </c>
      <c r="AU11" s="29" t="str">
        <f t="shared" ca="1" si="16"/>
        <v xml:space="preserve"> </v>
      </c>
      <c r="AV11" s="29">
        <f t="shared" ca="1" si="8"/>
        <v>0</v>
      </c>
      <c r="AW11" s="29" t="s">
        <v>16</v>
      </c>
      <c r="BI11" s="29" t="str">
        <f ca="1">IF(S11="Sage",P8," ")</f>
        <v xml:space="preserve"> </v>
      </c>
      <c r="BM11" s="29">
        <f t="shared" ca="1" si="2"/>
        <v>0</v>
      </c>
      <c r="BN11" s="29">
        <f t="shared" ca="1" si="9"/>
        <v>0</v>
      </c>
      <c r="BO11" s="29" t="str">
        <f t="shared" ca="1" si="3"/>
        <v xml:space="preserve"> </v>
      </c>
      <c r="BP11" s="29" t="str">
        <f t="shared" ca="1" si="4"/>
        <v xml:space="preserve"> </v>
      </c>
      <c r="BQ11" s="29" t="str">
        <f t="shared" ca="1" si="5"/>
        <v xml:space="preserve"> </v>
      </c>
      <c r="BR11" s="29">
        <f t="shared" ca="1" si="6"/>
        <v>0</v>
      </c>
      <c r="BS11" s="29">
        <f ca="1">IF(AND($BY$27=1,OR($P$15="knowledge",$R$15="knowledge")),$P$8*2,IF(AND($BY$27=2,OR($P$15="knowledge",$R$15="knowledge")),$P$8*2,0))</f>
        <v>0</v>
      </c>
      <c r="BU11" s="29">
        <f t="shared" ca="1" si="10"/>
        <v>0</v>
      </c>
      <c r="BV11" s="29" t="s">
        <v>16</v>
      </c>
      <c r="CB11" s="35">
        <f t="shared" ca="1" si="14"/>
        <v>18</v>
      </c>
      <c r="CC11" s="36">
        <f t="shared" ca="1" si="15"/>
        <v>5.1939122982265218E-2</v>
      </c>
      <c r="CD11" s="29" t="s">
        <v>29</v>
      </c>
    </row>
    <row r="12" spans="1:83" ht="19.5" thickBot="1" x14ac:dyDescent="0.35">
      <c r="O12" s="24">
        <f ca="1">IF($AF$14=1,RANDBETWEEN(1,20),IF(Q12=1,RANDBETWEEN(1,19),IF(Q12=2,RANDBETWEEN(2,18),IF(Q12=3,RANDBETWEEN(3,17),IF(Q12=4,RANDBETWEEN(4,16),IF(Q12=5,RANDBETWEEN(5,15),IF(Q12=6,RANDBETWEEN(6,14),IF(Q12=7,RANDBETWEEN(7,13),IF(Q12=8,RANDBETWEEN(8,12),IF(Q12=9,RANDBETWEEN(9,11),IF(Q12=10,10," ")))))))))))</f>
        <v>3</v>
      </c>
      <c r="Q12" s="54" t="str">
        <f ca="1">IF(O11="non-classed"," ",IF(AF14=1," ",IF(AF14=2,RANDBETWEEN(1,10))))</f>
        <v xml:space="preserve"> </v>
      </c>
      <c r="AH12" s="29" t="s">
        <v>17</v>
      </c>
      <c r="AI12" s="29">
        <f ca="1">$P$42</f>
        <v>2</v>
      </c>
      <c r="AJ12" s="29" t="str">
        <f t="shared" ref="AJ12:AU12" ca="1" si="17">IF(COUNTIF(AJ$27:AJ$33,$AH$12),$P$8," ")</f>
        <v xml:space="preserve"> </v>
      </c>
      <c r="AK12" s="29" t="str">
        <f t="shared" ca="1" si="17"/>
        <v xml:space="preserve"> </v>
      </c>
      <c r="AL12" s="29" t="str">
        <f t="shared" ca="1" si="17"/>
        <v xml:space="preserve"> </v>
      </c>
      <c r="AM12" s="29" t="str">
        <f t="shared" ca="1" si="17"/>
        <v xml:space="preserve"> </v>
      </c>
      <c r="AN12" s="29" t="str">
        <f t="shared" ca="1" si="17"/>
        <v xml:space="preserve"> </v>
      </c>
      <c r="AO12" s="29" t="str">
        <f t="shared" ca="1" si="17"/>
        <v xml:space="preserve"> </v>
      </c>
      <c r="AP12" s="29" t="str">
        <f t="shared" ca="1" si="17"/>
        <v xml:space="preserve"> </v>
      </c>
      <c r="AQ12" s="29" t="str">
        <f t="shared" ca="1" si="17"/>
        <v xml:space="preserve"> </v>
      </c>
      <c r="AR12" s="29" t="str">
        <f t="shared" ca="1" si="17"/>
        <v xml:space="preserve"> </v>
      </c>
      <c r="AS12" s="29" t="str">
        <f t="shared" ca="1" si="17"/>
        <v xml:space="preserve"> </v>
      </c>
      <c r="AT12" s="29" t="str">
        <f t="shared" ca="1" si="17"/>
        <v xml:space="preserve"> </v>
      </c>
      <c r="AU12" s="29" t="str">
        <f t="shared" ca="1" si="17"/>
        <v xml:space="preserve"> </v>
      </c>
      <c r="AV12" s="29">
        <f t="shared" ca="1" si="8"/>
        <v>0</v>
      </c>
      <c r="AW12" s="29" t="s">
        <v>17</v>
      </c>
      <c r="AX12" s="29" t="str">
        <f ca="1">IF(S11="acolyte",P8," ")</f>
        <v xml:space="preserve"> </v>
      </c>
      <c r="BC12" s="29" t="str">
        <f ca="1">IF(S11="Guild Artisan",P8," ")</f>
        <v xml:space="preserve"> </v>
      </c>
      <c r="BM12" s="29">
        <f t="shared" ca="1" si="2"/>
        <v>0</v>
      </c>
      <c r="BN12" s="29">
        <f t="shared" ca="1" si="9"/>
        <v>0</v>
      </c>
      <c r="BO12" s="29" t="str">
        <f t="shared" ca="1" si="3"/>
        <v xml:space="preserve"> </v>
      </c>
      <c r="BP12" s="29" t="str">
        <f t="shared" ca="1" si="4"/>
        <v xml:space="preserve"> </v>
      </c>
      <c r="BQ12" s="29" t="str">
        <f t="shared" ca="1" si="5"/>
        <v xml:space="preserve"> </v>
      </c>
      <c r="BR12" s="29">
        <f t="shared" ca="1" si="6"/>
        <v>0</v>
      </c>
      <c r="BU12" s="29">
        <f t="shared" ca="1" si="10"/>
        <v>0</v>
      </c>
      <c r="BV12" s="29" t="s">
        <v>17</v>
      </c>
      <c r="CB12" s="35">
        <f t="shared" ca="1" si="14"/>
        <v>7</v>
      </c>
      <c r="CC12" s="36">
        <f t="shared" ca="1" si="15"/>
        <v>0.50537061396522764</v>
      </c>
      <c r="CD12" s="29" t="s">
        <v>13</v>
      </c>
    </row>
    <row r="13" spans="1:83" x14ac:dyDescent="0.3">
      <c r="AF13" s="29" t="s">
        <v>683</v>
      </c>
      <c r="AH13" s="29" t="s">
        <v>18</v>
      </c>
      <c r="AI13" s="29">
        <f ca="1">$P$43</f>
        <v>1</v>
      </c>
      <c r="AJ13" s="29" t="str">
        <f t="shared" ref="AJ13:AU13" ca="1" si="18">IF(COUNTIF(AJ$27:AJ$33,$AH$13),$P$8," ")</f>
        <v xml:space="preserve"> </v>
      </c>
      <c r="AK13" s="29" t="str">
        <f t="shared" ca="1" si="18"/>
        <v xml:space="preserve"> </v>
      </c>
      <c r="AL13" s="29" t="str">
        <f t="shared" ca="1" si="18"/>
        <v xml:space="preserve"> </v>
      </c>
      <c r="AM13" s="29" t="str">
        <f t="shared" ca="1" si="18"/>
        <v xml:space="preserve"> </v>
      </c>
      <c r="AN13" s="29" t="str">
        <f t="shared" ca="1" si="18"/>
        <v xml:space="preserve"> </v>
      </c>
      <c r="AO13" s="29" t="str">
        <f t="shared" ca="1" si="18"/>
        <v xml:space="preserve"> </v>
      </c>
      <c r="AP13" s="29" t="str">
        <f t="shared" ca="1" si="18"/>
        <v xml:space="preserve"> </v>
      </c>
      <c r="AQ13" s="29" t="str">
        <f t="shared" ca="1" si="18"/>
        <v xml:space="preserve"> </v>
      </c>
      <c r="AR13" s="29" t="str">
        <f t="shared" ca="1" si="18"/>
        <v xml:space="preserve"> </v>
      </c>
      <c r="AS13" s="29" t="str">
        <f t="shared" ca="1" si="18"/>
        <v xml:space="preserve"> </v>
      </c>
      <c r="AT13" s="29" t="str">
        <f t="shared" ca="1" si="18"/>
        <v xml:space="preserve"> </v>
      </c>
      <c r="AU13" s="29" t="str">
        <f t="shared" ca="1" si="18"/>
        <v xml:space="preserve"> </v>
      </c>
      <c r="AV13" s="29">
        <f t="shared" ca="1" si="8"/>
        <v>0</v>
      </c>
      <c r="AW13" s="29" t="s">
        <v>18</v>
      </c>
      <c r="BK13" s="29" t="str">
        <f ca="1">IF(S11="Soldier",P8," ")</f>
        <v xml:space="preserve"> </v>
      </c>
      <c r="BM13" s="29">
        <f t="shared" ca="1" si="2"/>
        <v>0</v>
      </c>
      <c r="BN13" s="29">
        <f t="shared" ca="1" si="9"/>
        <v>0</v>
      </c>
      <c r="BO13" s="29" t="str">
        <f t="shared" ca="1" si="3"/>
        <v xml:space="preserve"> </v>
      </c>
      <c r="BP13" s="29" t="str">
        <f t="shared" ca="1" si="4"/>
        <v xml:space="preserve"> </v>
      </c>
      <c r="BQ13" s="29" t="str">
        <f t="shared" ca="1" si="5"/>
        <v xml:space="preserve"> </v>
      </c>
      <c r="BR13" s="29">
        <f t="shared" ca="1" si="6"/>
        <v>0</v>
      </c>
      <c r="BU13" s="29">
        <f t="shared" ca="1" si="10"/>
        <v>0</v>
      </c>
      <c r="BV13" s="29" t="s">
        <v>18</v>
      </c>
      <c r="CB13" s="35">
        <f t="shared" ca="1" si="14"/>
        <v>8</v>
      </c>
      <c r="CC13" s="36">
        <f t="shared" ca="1" si="15"/>
        <v>0.45203033490076239</v>
      </c>
      <c r="CD13" s="29" t="s">
        <v>14</v>
      </c>
    </row>
    <row r="14" spans="1:83" ht="26.25" thickBot="1" x14ac:dyDescent="0.4">
      <c r="B14" s="123" t="s">
        <v>45</v>
      </c>
      <c r="O14" s="123" t="s">
        <v>709</v>
      </c>
      <c r="P14" s="123" t="s">
        <v>743</v>
      </c>
      <c r="Q14" s="123" t="s">
        <v>698</v>
      </c>
      <c r="R14" s="123" t="s">
        <v>743</v>
      </c>
      <c r="S14" s="123" t="s">
        <v>1826</v>
      </c>
      <c r="AF14" s="29">
        <f ca="1">IF(O11="non-classed",1,VLOOKUP(RANDBETWEEN(1,10),Table42[],2))</f>
        <v>1</v>
      </c>
      <c r="AH14" s="29" t="s">
        <v>19</v>
      </c>
      <c r="AI14" s="29">
        <f ca="1">$P$41</f>
        <v>1</v>
      </c>
      <c r="AJ14" s="29" t="str">
        <f t="shared" ref="AJ14:AU14" ca="1" si="19">IF(COUNTIF(AJ$27:AJ$33,$AH$14),$P$8," ")</f>
        <v xml:space="preserve"> </v>
      </c>
      <c r="AK14" s="29" t="str">
        <f t="shared" ca="1" si="19"/>
        <v xml:space="preserve"> </v>
      </c>
      <c r="AL14" s="29" t="str">
        <f t="shared" ca="1" si="19"/>
        <v xml:space="preserve"> </v>
      </c>
      <c r="AM14" s="29" t="str">
        <f t="shared" ca="1" si="19"/>
        <v xml:space="preserve"> </v>
      </c>
      <c r="AN14" s="29" t="str">
        <f t="shared" ca="1" si="19"/>
        <v xml:space="preserve"> </v>
      </c>
      <c r="AO14" s="29" t="str">
        <f t="shared" ca="1" si="19"/>
        <v xml:space="preserve"> </v>
      </c>
      <c r="AP14" s="29" t="str">
        <f t="shared" ca="1" si="19"/>
        <v xml:space="preserve"> </v>
      </c>
      <c r="AQ14" s="29" t="str">
        <f t="shared" ca="1" si="19"/>
        <v xml:space="preserve"> </v>
      </c>
      <c r="AR14" s="29" t="str">
        <f t="shared" ca="1" si="19"/>
        <v xml:space="preserve"> </v>
      </c>
      <c r="AS14" s="29" t="str">
        <f t="shared" ca="1" si="19"/>
        <v xml:space="preserve"> </v>
      </c>
      <c r="AT14" s="29" t="str">
        <f t="shared" ca="1" si="19"/>
        <v xml:space="preserve"> </v>
      </c>
      <c r="AU14" s="29" t="str">
        <f t="shared" ca="1" si="19"/>
        <v xml:space="preserve"> </v>
      </c>
      <c r="AV14" s="29">
        <f t="shared" ca="1" si="8"/>
        <v>0</v>
      </c>
      <c r="AW14" s="29" t="s">
        <v>19</v>
      </c>
      <c r="BM14" s="29">
        <f t="shared" si="2"/>
        <v>0</v>
      </c>
      <c r="BN14" s="29">
        <f t="shared" ca="1" si="9"/>
        <v>0</v>
      </c>
      <c r="BO14" s="29" t="str">
        <f t="shared" ca="1" si="3"/>
        <v xml:space="preserve"> </v>
      </c>
      <c r="BP14" s="29" t="str">
        <f t="shared" ca="1" si="4"/>
        <v xml:space="preserve"> </v>
      </c>
      <c r="BQ14" s="29" t="str">
        <f t="shared" ca="1" si="5"/>
        <v xml:space="preserve"> </v>
      </c>
      <c r="BR14" s="29">
        <f t="shared" ca="1" si="6"/>
        <v>0</v>
      </c>
      <c r="BU14" s="29">
        <f t="shared" ca="1" si="10"/>
        <v>0</v>
      </c>
      <c r="BV14" s="29" t="s">
        <v>19</v>
      </c>
      <c r="CB14" s="35">
        <f t="shared" ca="1" si="14"/>
        <v>4</v>
      </c>
      <c r="CC14" s="36">
        <f t="shared" ca="1" si="15"/>
        <v>0.77461025402051575</v>
      </c>
      <c r="CD14" s="29" t="s">
        <v>15</v>
      </c>
      <c r="CE14" s="31"/>
    </row>
    <row r="15" spans="1:83" ht="19.5" thickTop="1" x14ac:dyDescent="0.3">
      <c r="B15" s="33" t="str">
        <f ca="1">IF(P2="dark","Darkvision 120 ft.",IF(OR(Q2="dwarf",Q2="elf",Q2="gnome",Q2="half-elf",Q2="half-orc",Q2="tiefling"),"Darkvision 60 ft.",IF(Q2="halfling","Lucky",IF(Q2="dragonborn","Breath Weapon"," "))))</f>
        <v>Darkvision 60 ft.</v>
      </c>
      <c r="O15" s="33" t="str">
        <f ca="1">IF(O11="wizard","Ritual Casting",IF(O11="warlock","Otherworldly Patron - "&amp;VLOOKUP(RANDBETWEEN(1,2),Table226[],2),IF(O11="sorcerer","Spellcasting Focus",IF(O11="rogue","Sneak Attack - "&amp;INDEX('Class Tables'!E56:E75,MATCH(O12,('Class Tables'!D56:D75),0)),IF(AND(O11="ranger",AF24=2),"Favored Enemy - "&amp;INDEX('Class Tables'!S177:S220,MATCH(1,('Class Tables'!Q177:Q220),0)),IF(AND(O11="ranger",AF24=1),"Favored Enemy - "&amp;INDEX('Class Tables'!R162:R174,MATCH(1,('Class Tables'!Q162:Q174),0)),IF(O11="paladin","Divine Sense - "&amp;SUM(1,P43)&amp;" Uses",IF(O11="monk","Unarmored Defense",IF(O11="fighter",INDEX('Class Tables'!F48:F53,MATCH(1,('Class Tables'!D48:D53),0)),IF(O11="barbarian","Rage "&amp;INDEX('Class Tables'!J141:J160,MATCH(O12,('Class Tables'!I141:I160),0))&amp; " times, "&amp;INDEX('Class Tables'!K141:K160,MATCH(O12,('Class Tables'!I141:I160),0)),IF(O11="bard","Bardic Inspiration "&amp;P43&amp;" uses at "&amp;INDEX('Class Tables'!M58:M77,MATCH(O12,('Class Tables'!L58:L77),0)),IF(OR(O11="cleric",O11="druid"),"Ritual Casting"," "))))))))))))</f>
        <v xml:space="preserve"> </v>
      </c>
      <c r="P15" s="33" t="str">
        <f ca="1">IF(AND(O11="wizard",O12&gt;=2),VLOOKUP(RANDBETWEEN(1,8),Table251[],2),IF(O11="warlock",O15,IF(O11="sorcerer",VLOOKUP(RANDBETWEEN(1,2),Table224[],2),IF(AND(O11="ranger",O12&gt;=3),VLOOKUP(RANDBETWEEN(1,2),Table97[],2),IF(AND(O11="paladin",O12&gt;=3),VLOOKUP(RANDBETWEEN(1,3),Table90[],2),IF(AND(O11="monk",O12&gt;=3),VLOOKUP(RANDBETWEEN(1,3),Table82[],2),IF(AND(O11="druid",O12&gt;=2),VLOOKUP(RANDBETWEEN(1,2),Table73[],2),IF(O11="cleric",VLOOKUP(RANDBETWEEN(1,7),Table65[],2),IF(AND($O$11="barbarian",$O$12&gt;=3),VLOOKUP(RANDBETWEEN(1,2),Table40[],2),IF(AND(O11="bard",O12&gt;=3),VLOOKUP(RANDBETWEEN(1,2),Table47[],2),IF(AND(O11="fighter",O12&gt;=3),VLOOKUP(RANDBETWEEN(1,3),Table178[],2),IF(AND(O11="rogue",O12&gt;=3),VLOOKUP(RANDBETWEEN(1,3),Table189[],2)," "))))))))))))</f>
        <v xml:space="preserve"> </v>
      </c>
      <c r="Q15" s="33" t="str">
        <f ca="1">IF(Q11="wizard","Ritual Casting",IF(Q11="warlock","Otherworldly Patron - "&amp;VLOOKUP(RANDBETWEEN(1,2),Table226[],2),IF(Q11="sorcerer","Spellcasting Focus",IF(Q11="rogue","Sneak Attack - "&amp;INDEX('Class Tables'!E56:E75,MATCH(Q12,('Class Tables'!D56:D75),0)),IF(AND(Q11="ranger",AF24=2),"Favored Enemy - "&amp;INDEX('Class Tables'!S177:S220,MATCH(1,('Class Tables'!Q177:Q220),0)),IF(AND(Q11="ranger",AF24=1),"Favored Enemy - "&amp;INDEX('Class Tables'!R162:R174,MATCH(1,('Class Tables'!Q162:Q174),0)),IF(Q11="paladin","Divine Sense - "&amp;SUM(1,P43)&amp;" Uses",IF(Q11="monk","Unarmored Defense",IF(Q11="fighter",INDEX('Class Tables'!F48:F53,MATCH(1,('Class Tables'!D48:D53),0)),IF(Q11="barbarian","Rage "&amp;INDEX('Class Tables'!J141:J160,MATCH(Q12,('Class Tables'!I141:I160),0))&amp; " times, "&amp;INDEX('Class Tables'!K141:K160,MATCH(Q12,('Class Tables'!I141:I160),0)),IF(Q11="bard","Bardic Inspiration - "&amp;P43&amp;" uses at "&amp;INDEX('Class Tables'!M58:M77,MATCH(Q12,('Class Tables'!L58:L77),0)),IF(OR(Q11="cleric",Q11="druid"),"Ritual Casting"," "))))))))))))</f>
        <v xml:space="preserve"> </v>
      </c>
      <c r="R15" s="33" t="str">
        <f ca="1">IF(Q11="warlock",O15,IF(Q11="sorcerer",VLOOKUP(RANDBETWEEN(1,2),Table224[],2),IF(AND(Q11="ranger",Q12&gt;=3),VLOOKUP(RANDBETWEEN(1,2),Table97[],2),IF(AND(Q11="paladin",Q12&gt;=3),VLOOKUP(RANDBETWEEN(1,3),Table90[],2),IF(AND(Q11="monk",Q12&gt;=3),VLOOKUP(RANDBETWEEN(1,3),Table82[],2),IF(AND(Q11="druid",Q12&gt;=2),VLOOKUP(RANDBETWEEN(1,2),Table73[],2),IF(Q11="cleric",VLOOKUP(RANDBETWEEN(1,7),Table65[],2),IF(AND($Q$11="barbarian",$Q$12&gt;=3),VLOOKUP(RANDBETWEEN(1,2),Table40[],2),IF(AND(Q11="bard",Q12&gt;=3),VLOOKUP(RANDBETWEEN(1,2),Table47[],2),IF(AND($Q$11="fighter",$Q$12&gt;=3),VLOOKUP(RANDBETWEEN(1,3),Table178[],2),IF(AND(Q11="rogue",Q12&gt;=3),VLOOKUP(RANDBETWEEN(1,3),Table189[],2)," ")))))))))))</f>
        <v xml:space="preserve"> </v>
      </c>
      <c r="S15" s="33" t="str">
        <f ca="1">IF(S11="urchin","City Secrets",IF(S11="soldier",VLOOKUP(RANDBETWEEN(1,8),Table263[],2),IF(S11="pirate","Bad Reputation",IF(S11="Sailor","Ship's Passage",IF(S11="sage",VLOOKUP(RANDBETWEEN(1,8),Table262[],2),IF(S11="outlander",VLOOKUP(RANDBETWEEN(1,10),Table261[],2),IF(S11="knight","Retainers",IF(S11="noble","Position of Privlege",IF(S11="hermit","Discovery",IF(S11="guild artisan",VLOOKUP(RANDBETWEEN(1,20),Table260[],2),IF(S11="folk hero","Rustic Hospitality",IF(S11="entertainer",VLOOKUP(RANDBETWEEN(1,10),Table259[],2),IF(S11="Criminal","Criminal Contact",IF(S11="Charlatan","False Identity",IF(S11="acolyte","Shelter of the Faithful"," ")))))))))))))))</f>
        <v xml:space="preserve"> </v>
      </c>
      <c r="AF15" s="29" t="s">
        <v>1336</v>
      </c>
      <c r="AH15" s="29" t="s">
        <v>20</v>
      </c>
      <c r="AI15" s="29">
        <f ca="1">$P$42</f>
        <v>2</v>
      </c>
      <c r="AJ15" s="29" t="str">
        <f t="shared" ref="AJ15:AU15" ca="1" si="20">IF(COUNTIF(AJ$27:AJ$33,$AH$15),$P$8," ")</f>
        <v xml:space="preserve"> </v>
      </c>
      <c r="AK15" s="29" t="str">
        <f t="shared" ca="1" si="20"/>
        <v xml:space="preserve"> </v>
      </c>
      <c r="AL15" s="29" t="str">
        <f t="shared" ca="1" si="20"/>
        <v xml:space="preserve"> </v>
      </c>
      <c r="AM15" s="29" t="str">
        <f t="shared" ca="1" si="20"/>
        <v xml:space="preserve"> </v>
      </c>
      <c r="AN15" s="29" t="str">
        <f t="shared" ca="1" si="20"/>
        <v xml:space="preserve"> </v>
      </c>
      <c r="AO15" s="29" t="str">
        <f t="shared" ca="1" si="20"/>
        <v xml:space="preserve"> </v>
      </c>
      <c r="AP15" s="29" t="str">
        <f t="shared" ca="1" si="20"/>
        <v xml:space="preserve"> </v>
      </c>
      <c r="AQ15" s="29" t="str">
        <f t="shared" ca="1" si="20"/>
        <v xml:space="preserve"> </v>
      </c>
      <c r="AR15" s="29" t="str">
        <f t="shared" ca="1" si="20"/>
        <v xml:space="preserve"> </v>
      </c>
      <c r="AS15" s="29" t="str">
        <f t="shared" ca="1" si="20"/>
        <v xml:space="preserve"> </v>
      </c>
      <c r="AT15" s="29" t="str">
        <f t="shared" ca="1" si="20"/>
        <v xml:space="preserve"> </v>
      </c>
      <c r="AU15" s="29" t="str">
        <f t="shared" ca="1" si="20"/>
        <v xml:space="preserve"> </v>
      </c>
      <c r="AV15" s="29">
        <f t="shared" ca="1" si="8"/>
        <v>0</v>
      </c>
      <c r="AW15" s="29" t="s">
        <v>20</v>
      </c>
      <c r="BD15" s="29" t="str">
        <f ca="1">IF(S11="Hermit",P8," ")</f>
        <v xml:space="preserve"> </v>
      </c>
      <c r="BM15" s="29">
        <f t="shared" ca="1" si="2"/>
        <v>0</v>
      </c>
      <c r="BN15" s="29">
        <f t="shared" ca="1" si="9"/>
        <v>0</v>
      </c>
      <c r="BO15" s="29" t="str">
        <f t="shared" ca="1" si="3"/>
        <v xml:space="preserve"> </v>
      </c>
      <c r="BP15" s="29" t="str">
        <f t="shared" ca="1" si="4"/>
        <v xml:space="preserve"> </v>
      </c>
      <c r="BQ15" s="29" t="str">
        <f t="shared" ca="1" si="5"/>
        <v xml:space="preserve"> </v>
      </c>
      <c r="BR15" s="29">
        <f t="shared" ca="1" si="6"/>
        <v>0</v>
      </c>
      <c r="BU15" s="29">
        <f t="shared" ca="1" si="10"/>
        <v>0</v>
      </c>
      <c r="BV15" s="29" t="s">
        <v>20</v>
      </c>
      <c r="CB15" s="35">
        <f t="shared" ca="1" si="14"/>
        <v>15</v>
      </c>
      <c r="CC15" s="36">
        <f t="shared" ca="1" si="15"/>
        <v>0.12036490843270742</v>
      </c>
      <c r="CD15" s="29" t="s">
        <v>16</v>
      </c>
    </row>
    <row r="16" spans="1:83" x14ac:dyDescent="0.3">
      <c r="B16" s="33" t="str">
        <f ca="1">IF(Q2="dwarf","Dwarven Resilience",IF(OR(Q2="half-elf",Q2="elf"),"Fey Ancestry",IF(Q2="halfling","Brave",IF(Q2="dragonborn","Damage Resistance",IF(Q2="gnome","Gnome Cunning",IF(Q2="half-orc","Menacing",IF(Q2="tiefling","Hellish Resistance"," ")))))))</f>
        <v>Dwarven Resilience</v>
      </c>
      <c r="O16" s="33" t="str">
        <f ca="1">IF(O11="wizard","Spellcasting Focus",IF(AND(O11="warlock",O12&gt;=3),VLOOKUP(RANDBETWEEN(1,3),Table227[],2),IF(AND(O11="sorcerer",O12&gt;=2),"Sorcery Points - "&amp;O12,IF(AND(O11="rogue",O12&gt;=2),"Cunning Action",IF(AND(O11="ranger",AF24=2),"Favored Enemy - "&amp;INDEX('Class Tables'!S177:S220,MATCH(2,('Class Tables'!Q177:Q220),0)),IF(O11="paladin","Lay On Hands "&amp;O12*5&amp;" HP",IF(O11="monk","Martial Arts - "&amp;INDEX('Class Tables'!J98:J117,MATCH(O12,('Class Tables'!I98:I117),0)),IF(O11="fighter","Second Wind - 1d10+"&amp;O12&amp;" hp",IF(O11="barbarian","Unarmored Defense",IF(AND(O11="bard",O12&gt;=2),"Jack of All Trades",IF(OR(O11="cleric",O11="druid"),"Spellcasting Focus"," ")))))))))))</f>
        <v xml:space="preserve"> </v>
      </c>
      <c r="P16" s="33" t="str">
        <f ca="1">IF(AND(P15="school of transmutation",O12&gt;=2),"Transmutation Savant",IF(AND(P15="school of necromancy",O12&gt;=2),"Necromancy Savant",IF(AND(P15="school of illusion",O12&gt;=2),"Illusion Savant",IF(AND(P15="school of evocation",O12&gt;=2),"Evocation Savant",IF(AND(P15="school of enchantment",O12&gt;=2),"Enchantment Savant",IF(AND(P15="school of divination",O12&gt;=2),"Divination Savant",IF(AND(P15="school of conjuration",O12&gt;=2),"Conjuration Savant",IF(P15="school of abjuration","Abjuration Savant",IF(AND(P15="otherworldly patron - great old one",O12&gt;=1),"Awakened Mind",IF(AND(P15="otherworldly patron - fiend",O12&gt;=3),"Dark One's Blessing - "&amp;SUM(O12,P43)&amp;" hp",IF(P15="otherworldly patron - Archfey","Fey Presence",IF(P15="wild magic","Wild Magic Surge",IF(P15="draconic bloodline",VLOOKUP(RANDBETWEEN(1,10),Table25[],2)&amp;" Dragon Ancestry",IF(P15="arcane trickster","Mage Hand Legerdemain",IF(P15="assassin","Assassinate",IF(P15="thief","Fast Hands",IF(P15="beastmaster","Companion - "&amp;VLOOKUP(RANDBETWEEN(1,39),Table218[],2),IF(P15="hunter",VLOOKUP(RANDBETWEEN(1,3),Table108[],2),IF(P15="oath of vengeance","Channel Divinity: Abjure Enemy",IF(P15="oath of the ancients","Channel Divinity: Nature's Wrath",IF(P15="Oath of Devotion","Channel Divinity: Sacred Weapon",IF(AND(P15="way of the four elements",O12&gt;=5),"Max. Ki Point for Spell - "&amp;INDEX('Class Tables'!N120:N137,MATCH(O12,('Class Tables'!M120:M137),0)),IF(AND(P15="way of the shadow",O12&gt;=6),"Shadow Step",IF(P15="way of the open hand","Open Hand Technique",IF(P15="eldritch Knight","Weapon Bond",IF(AND(P15="battle master",O12&gt;=7),"Know Your Enemy",IF(P15="champion","Improved Critical",IF(P15="moon","Combat Wild Shape",IF(P15="land","Natural Recovery - "&amp;ROUNDUP(O12*0.5,0)&amp;" slots",IF(AND(P15="war",O12&gt;=1),"War Priest",IF(AND(P15="trickery",O12&gt;=1),"Blessing of the Trickster",IF(AND(P15="tempest",O12&gt;=1),"Wrath of the Storm",IF(AND(P15="nature",O12&gt;=2),"Channel Divinity: Charm Animals and Plants",IF(AND(P15="light",O12&gt;=1),"Warding Flare",IF(P15="life","Disciple of Life",IF(AND(P15="knowledge",O12&gt;=2),"Channel Divinity: Knowledge of the Ages",IF(P15="path of the berserker","Frenzy",IF(P15="path of the totem warrior","Spirit Seeker",IF(P15="college of lore","Cutting Words",IF(P15="college of valor","Combat Inspiration"," "))))))))))))))))))))))))))))))))))))))))</f>
        <v xml:space="preserve"> </v>
      </c>
      <c r="Q16" s="33" t="str">
        <f ca="1">IF(Q11="wizard","Spellcasting Focus",IF(AND(Q11="warlock",Q12&gt;=3),VLOOKUP(RANDBETWEEN(1,3),Table227[],2),IF(AND(Q11="sorcerer",Q12&gt;=2),"Sorcery Points - "&amp;Q12,IF(AND(Q11="rogue",Q12&gt;=2),"Cunning Action",IF(AND(Q11="ranger",AF24=2),"Favored Enemy - "&amp;INDEX('Class Tables'!S177:S220,MATCH(2,('Class Tables'!Q177:Q220),0)),IF(Q11="paladin","Lay On Hands "&amp;Q12*5&amp;" HP",IF(Q11="monk","Martial Arts - "&amp;INDEX('Class Tables'!J98:J117,MATCH(Q12,('Class Tables'!I98:I117),0)),IF(Q11="fighter","Second Wind - 1d10+"&amp;Q12&amp;" hp",IF(Q11="barbarian","Unarmored Defense AC "&amp;SUM(10,P39,P40),IF(AND(Q11="bard",Q12&gt;=2),"Jack of All Trades",IF(OR(Q11="cleric",Q11="druid"),"Spellcasting Focus"," ")))))))))))</f>
        <v xml:space="preserve"> </v>
      </c>
      <c r="R16" s="33" t="str">
        <f ca="1">IF(AND(R15="otherworldly patron - great old one",Q12&gt;=1),"Awakened Mind",IF(AND(R15="otherworldly patron - fiend",Q12&gt;=3),"Dark One's Blessing - "&amp;SUM(O12,P43)&amp;" hp",IF(R15="otherworldly patron - Archfey","Fey Presence",IF(R15="wild magic","Wild Magic Surge",IF(R15="draconic bloodline",VLOOKUP(RANDBETWEEN(1,10),Table25[],2)&amp;" Dragon Ancestry",IF(R15="arcane trickster","Mage Hand Legerdemain",IF(R15="assassin","Assassinate",IF(R15="thief","Fast Hands",IF(R15="beastmaster","Companion - "&amp;VLOOKUP(RANDBETWEEN(1,39),Table218[],2),IF(R15="hunter",VLOOKUP(RANDBETWEEN(1,3),Table108[],2),IF(R15="oath of vengeance","Channel Divinity: Abjure Enemy",IF(R15="oath of the ancients","Channel Divinity: Nature's Wrath",IF(R15="Oath of Devotion","Channel Divinity: Sacred Weapon",IF(AND(R15="way of the four elements",Q12&gt;=5),"Max. Ki Point for Spell - "&amp;INDEX('Class Tables'!N120:N137,MATCH(Q12,('Class Tables'!M120:M137),0)),IF(AND(R15="way of the shadow",Q12&gt;=6),"Shadow Step",IF(R15="way of the open hand","Open Hand Technique",IF(R15="eldritch knight","Weapon Bond",IF(AND(R15="battle master",Q12&gt;=7),"Know Your Enemy",IF(R15="champion","Improved Critical",IF(R15="moon","Combat Wild Shape",IF(R15="land","Natural Recovery",IF(AND(R15="war",Q12&gt;=1),"War Priest",IF(AND(R15="trickery",Q12&gt;=1),"Blessing of the Trickster",IF(AND(R15="nature",Q12&gt;=1),"Wrath of the Storm",IF(AND(R15="Nature",Q12&gt;=2),"Channel Divinity: Charm Animals and Plants",IF(AND(R15="light",Q12&gt;=1),"Warding Flare",IF(R15="life","Disciple of Life",IF(AND(R15="knowledge",Q12&gt;=2),"Channel Divinity: Knowledge of the Ages",IF(R15="path of the berserker","Frenzy",IF(R15="path of the totem warrior","Spirit Seeker",IF(R15="college of lore","Cutting Words",IF(R15="college of valor","Combat Inspiration"," "))))))))))))))))))))))))))))))))</f>
        <v xml:space="preserve"> </v>
      </c>
      <c r="S16" s="33" t="str">
        <f ca="1">IF(S11="soldier","Military Rank",IF(S11="sage","Researcher",IF(S11="outlander","Wanderer",IF(S11="guild artisan","Guild Membership",IF(S11="entertainer","By Popular Demand",IF(S11="criminal",VLOOKUP(RANDBETWEEN(1,8),Table256[],2)," "))))))</f>
        <v xml:space="preserve"> </v>
      </c>
      <c r="AE16" s="29" t="s">
        <v>1339</v>
      </c>
      <c r="AF16" s="29">
        <f ca="1">IF(AND(AF14=2,OR(Q11="monk",Q11="barbarian",Q11="warlock"),OR(O11="paladin",O11="ranger",P15="arcane trickster",P15="eldritch knight")),Q12,IF(AND($AF$14=2,OR(O11="bard",O11="druid",O11="cleric",O11="sorcerer",O11="wizard")),O12,IF(AND($AF$14=2,OR(O11="paladin",O11="ranger")),O12*0.5,IF(AND($AF$14=2,OR($P$15="arcane trickster",$P$15="eldritch knight")),O12*0.33,0))))</f>
        <v>0</v>
      </c>
      <c r="AH16" s="29" t="s">
        <v>21</v>
      </c>
      <c r="AI16" s="29">
        <f ca="1">$P$41</f>
        <v>1</v>
      </c>
      <c r="AJ16" s="29" t="str">
        <f t="shared" ref="AJ16:AU16" ca="1" si="21">IF(COUNTIF(AJ$27:AJ$33,$AH$16),$P$8," ")</f>
        <v xml:space="preserve"> </v>
      </c>
      <c r="AK16" s="29" t="str">
        <f t="shared" ca="1" si="21"/>
        <v xml:space="preserve"> </v>
      </c>
      <c r="AL16" s="29" t="str">
        <f t="shared" ca="1" si="21"/>
        <v xml:space="preserve"> </v>
      </c>
      <c r="AM16" s="29" t="str">
        <f t="shared" ca="1" si="21"/>
        <v xml:space="preserve"> </v>
      </c>
      <c r="AN16" s="29" t="str">
        <f t="shared" ca="1" si="21"/>
        <v xml:space="preserve"> </v>
      </c>
      <c r="AO16" s="29" t="str">
        <f t="shared" ca="1" si="21"/>
        <v xml:space="preserve"> </v>
      </c>
      <c r="AP16" s="29" t="str">
        <f t="shared" ca="1" si="21"/>
        <v xml:space="preserve"> </v>
      </c>
      <c r="AQ16" s="29" t="str">
        <f t="shared" ca="1" si="21"/>
        <v xml:space="preserve"> </v>
      </c>
      <c r="AR16" s="29" t="str">
        <f t="shared" ca="1" si="21"/>
        <v xml:space="preserve"> </v>
      </c>
      <c r="AS16" s="29" t="str">
        <f t="shared" ca="1" si="21"/>
        <v xml:space="preserve"> </v>
      </c>
      <c r="AT16" s="29" t="str">
        <f t="shared" ca="1" si="21"/>
        <v xml:space="preserve"> </v>
      </c>
      <c r="AU16" s="29" t="str">
        <f t="shared" ca="1" si="21"/>
        <v xml:space="preserve"> </v>
      </c>
      <c r="AV16" s="29">
        <f t="shared" ca="1" si="8"/>
        <v>0</v>
      </c>
      <c r="AW16" s="29" t="s">
        <v>21</v>
      </c>
      <c r="BM16" s="29">
        <f t="shared" si="2"/>
        <v>0</v>
      </c>
      <c r="BN16" s="29">
        <f t="shared" ca="1" si="9"/>
        <v>0</v>
      </c>
      <c r="BO16" s="29" t="str">
        <f t="shared" ca="1" si="3"/>
        <v xml:space="preserve"> </v>
      </c>
      <c r="BP16" s="29" t="str">
        <f t="shared" ca="1" si="4"/>
        <v xml:space="preserve"> </v>
      </c>
      <c r="BQ16" s="29" t="str">
        <f t="shared" ca="1" si="5"/>
        <v xml:space="preserve"> </v>
      </c>
      <c r="BR16" s="29">
        <f t="shared" ca="1" si="6"/>
        <v>0</v>
      </c>
      <c r="BS16" s="29">
        <f ca="1">IF(AND($BY$28=1,OR($P$15="knowledge",$R$15="knowledge")),$P$8*2,IF(AND($BY$28=2,OR($P$15="knowledge",$R$15="knowledge")),$P$8*2,0))</f>
        <v>0</v>
      </c>
      <c r="BT16" s="29">
        <f ca="1">IF(AND(BY31=1,OR($P$15="nature",$R$15="nature")),$P$8,0)</f>
        <v>0</v>
      </c>
      <c r="BU16" s="29">
        <f t="shared" ca="1" si="10"/>
        <v>0</v>
      </c>
      <c r="BV16" s="29" t="s">
        <v>21</v>
      </c>
      <c r="CB16" s="35">
        <f t="shared" ca="1" si="14"/>
        <v>3</v>
      </c>
      <c r="CC16" s="36">
        <f t="shared" ca="1" si="15"/>
        <v>0.80093022164950634</v>
      </c>
      <c r="CD16" s="29" t="s">
        <v>17</v>
      </c>
    </row>
    <row r="17" spans="2:83" ht="26.25" thickBot="1" x14ac:dyDescent="0.4">
      <c r="B17" s="33" t="str">
        <f ca="1">IF(Q2="dwarf","Stonecunning",IF(Q2="elf","Trance",IF(Q2="halfling","Halfling Nimbleness",IF(P2="forest","Speak with Small Beasts",IF(P2="rock","Artificer's Lore",IF(Q2="half-orc","Relentless Endurance",IF(Q2="tiefling","Infernal Legacy"," ")))))))</f>
        <v>Stonecunning</v>
      </c>
      <c r="O17" s="33" t="str">
        <f ca="1">IF(O11="wizard","Arcane Recovery - "&amp;ROUNDDOWN(O12*0.5,0)&amp;" slots",IF(AND(O11="warlock",O12&gt;=20),"Eldritch Master",IF(AND(O11="sorcerer",O12&gt;=2),"Flexible Casting",IF(AND(O11="rogue",O12&gt;=5),"Uncanny Dodge",IF(O11="ranger","Natural Explorer: "&amp;INDEX('Class Tables'!F212:F219,MATCH(1,('Class Tables'!D212:D219),0)),IF(AND(O11="paladin",O12&gt;=2),VLOOKUP(RANDBETWEEN(1,4),Table89[],2),IF(AND(O11="monk",O12&gt;=2),"Ki Points - "&amp;INDEX('Class Tables'!K98:K117,MATCH(O12,('Class Tables'!I98:I117),0)),IF(AND(O11="fighter",O12&gt;=2),"Action Surge",IF(AND($O$11="barbarian",$O$12&gt;=2),"Reckless Attack",IF(AND(O11="bard",O12&gt;=2),"Song of Rest - "&amp;INDEX('Class Tables'!N58:N77,MATCH(O12,('Class Tables'!L58:L77),0))&amp;" hp",IF(AND(O11="druid",O12&gt;=2),"Wild Shape - "&amp;INDEX('Class Tables'!R140:R159,MATCH(O12,('Class Tables'!Q140:Q159),0)),IF(AND(O11="cleric",O12&gt;=2),"Channel Divinity - "&amp;INDEX('Class Tables'!N140:N159,MATCH(O12,('Class Tables'!M140:M159),0))&amp;" uses"," "))))))))))))</f>
        <v xml:space="preserve"> </v>
      </c>
      <c r="P17" s="33" t="str">
        <f ca="1">IF(AND(P15="school of transmutation",O12&gt;=2),"Minor Alchemy",IF(AND(P15="school of necromancy",O12&gt;=2),"Grim Harvest",IF(AND(P15="school of illusion",O12&gt;=2),"Improved Minor Illusion",IF(AND(P15="school of evocation",O12&gt;=2),"Sculpt Spells",IF(AND(P15="school of enchantment",O12&gt;=2),"Hypnotic Gaze",IF(AND(P15="school of divination",O12&gt;=2),"Portent",IF(AND(P15="school of conjuration",O12&gt;=2),"Minor Conjuration",IF(P15="school of abjuration","Arcane Ward - "&amp;SUM(O12,P41)&amp;" hp",IF(AND(P15="otherworldly patron - great old one",O12&gt;=6),"Entropic Ward",IF(AND(P15="otherworldly patron - fiend",O12&gt;=10),"Fiendish Resilience",IF(AND(P15="otherworldly patron - Archfey",O12&gt;=6),"Misty Escape",IF(P15="wild magic","Tides of Chaos",IF(P15="draconic bloodline","Draconic Resilience - AC "&amp;SUM(13+P39),IF(AND(P15="arcane trickster",O12&gt;=9),"Magical Ambush",IF(AND(P15="assassin",O12&gt;=9),"Infiltration Expertise",IF(P15="thief","Second-Story Work",IF(AND(P15="beastmaster",O12&gt;=7),"Exceptional Training",IF(AND(P15="hunter",O12&gt;=7),VLOOKUP(RANDBETWEEN(1,3),Table126[],2),IF(P15="oath of vengeance","Channel Divinity: Vow of Enmity",IF(P15="oath of the ancients","Channel Divinity: Turn the Faithless",IF(P15="oath of devotion","Channel Divinity: Turn the Unholy",IF(P15="way of the four elements","Elemental Attunement",IF(AND(P15="way of the shadow",O12&gt;=11),"Cloak of Shadows",IF(AND(P15="way of the open hand",O12&gt;=6),"Wholeness of Body "&amp;O12*3&amp;" hp",IF(AND(P15="eldritch knight",O12&gt;=7),"War Magic",IF(AND(P15="battle master",O12&gt;=15),"Relentless",IF(AND(P15="champion",O12&gt;=7),"Remarkable Athlete",IF(P15="moon","Circle Forms - CR: "&amp;ROUNDDOWN(O12*0.33,0),IF(AND(P15="land",O12&gt;=6),"Land's Stride",IF(AND(P15="war",O12&gt;=2),"Channel Divinity: Guided Strike",IF(AND(P15="trickery",O12&gt;=2),"Channel Divinity: Invoke Duplicity",IF(AND(P15="tempest",O12&gt;=2),"Channel Divinity: Destructive Wrath",IF(AND(P15="nature",O12&gt;=6),"Dampen Elements",IF(AND(P15="light",O12&gt;=2),"Channel Divinity: Radiance of the Dawn",IF(AND(P15="life",O12&gt;=2),"Channel Divinity: Preserve Life - "&amp;O12*5&amp;" hp",IF(AND(P15="knowledge",O12&gt;=6),"Channel Divinity: Read Thoughts",IF($P$15="path of the totem warrior",VLOOKUP(RANDBETWEEN(1,3),Table44[],2),IF(AND(P15="college of lore",O12&gt;=14),"Peerless Skill",IF(AND(P15="college of valor",O12&gt;=6),"Extra Attack"," ")))))))))))))))))))))))))))))))))))))))</f>
        <v xml:space="preserve"> </v>
      </c>
      <c r="Q17" s="33" t="str">
        <f ca="1">IF(Q11="wizard","Arcane Recovery - "&amp;ROUNDDOWN(Q12*0.5,0)&amp;" slots",IF(AND(Q11="sorcerer",Q12&gt;=2),"Flexible Casting",IF(AND(Q11="rogue",Q12&gt;=5),"Uncanny Dodge",IF(Q11="ranger","Natural Explorer: "&amp;INDEX('Class Tables'!F212:F219,MATCH(1,('Class Tables'!D212:D219),0)),IF(AND(Q11="paladin",Q12&gt;=2),VLOOKUP(RANDBETWEEN(1,4),Table89[],2),IF(AND(Q11="monk",Q12&gt;=2),"Ki Points - "&amp;INDEX('Class Tables'!K98:K117,MATCH(Q12,('Class Tables'!I98:I117),0)),IF(AND(Q11="fighter",Q12&gt;=2),"Action Surge",IF(AND($Q$11="barbarian",$Q$12&gt;=2),"Reckless Attack",IF(AND(Q11="bard",Q12&gt;=2),"Song of Rest - "&amp;INDEX('Class Tables'!N58:N77,MATCH(Q12,('Class Tables'!L58:L77),0))&amp;" hp",IF(AND(Q11="cleric",Q12&gt;=2),"Channel Divinity - "&amp;INDEX('Class Tables'!N140:N159,MATCH(Q12,('Class Tables'!M140:M159),0))&amp;" uses",IF(AND(Q11="druid",Q12&gt;=2),"Wild Shape - "&amp;INDEX('Class Tables'!R140:R159,MATCH(Q12,('Class Tables'!Q140:Q159),0))," ")))))))))))</f>
        <v xml:space="preserve"> </v>
      </c>
      <c r="R17" s="33" t="str">
        <f ca="1">IF(AND(R15="otherworldly patron - great old one",Q12&gt;=6),"Entropic Ward",IF(AND(R15="otherworldly patron - fiend",Q12&gt;=10),"Fiendish Resilience",IF(AND(R15="otherworldly patron - Archfey",Q12&gt;=6),"Misty Escape",IF(R15="wild magic","Tides of Chaos",IF(R15="draconic bloodline","Draconic Resilience - AC "&amp;SUM(13+P39),IF(AND(R15="arcane trickster",Q12&gt;=9),"Magical Ambush",IF(AND(R15="assassin",Q12&gt;=9),"Infiltration Expertise",IF(R15="thief","Second-Story Work",IF(AND(R15="beastmaster",Q12&gt;=7),"Exceptional Training",IF(AND(R15="hunter",Q12&gt;=7),VLOOKUP(RANDBETWEEN(1,3),Table126[],2),IF(R15="oath of vengeance","Channel Divinity: Vow of Enmity",IF(R15="oath of the ancients","Channel Divinity: Turn the Faithless",IF(R15="oath of devotion","Channel Divinity: Turn the Unholy",IF(R15="way of the four elements","Elemental Attunement",IF(AND(R15="way of the open hand",Q12&gt;=6),"Wholeness of Body "&amp;Q12*3&amp;" hp",IF(AND(R15="eldritch knight",Q12&gt;=7),"War Magic",IF(AND(R15="champion",Q12&gt;=7),"Remarkable Athlete",IF(R15="moon","Circle Forms",IF(AND(R15="land",Q12&gt;=6),"Land's Stride",IF(AND(R15="war",Q12&gt;=2),"Channel Divinity: Guided Strike",IF(AND(R15="trickery",Q12&gt;=2),"Channel Divinity: Invoke Duplicity",IF(AND(R15="nature",Q12&gt;=2),"Channel Divinity: Destructive Wrath",IF(AND(R15="nature",Q12&gt;=6),"Dampen Elements",IF(AND(R15="light",Q12&gt;=2),"Channel Divinity: Radiance of the Dawn",IF(AND(R15="life",Q12&gt;=2),"Channel Divinity: Preserve Life - "&amp;Q12*5&amp;" hp",IF(AND(R15="knowledge",Q12&gt;=6),"Channel Divinity: Read Thoughts",IF($R$15="path of the totem warrior",VLOOKUP(RANDBETWEEN(1,3),Table44[],2),IF(AND(Q12&gt;=14,R15="college of lore"),"Peerless Skill",IF(AND(Q12&gt;=6,R15="College of Valor"),"Extra Attack"," ")))))))))))))))))))))))))))))</f>
        <v xml:space="preserve"> </v>
      </c>
      <c r="S17" s="123" t="s">
        <v>40</v>
      </c>
      <c r="AE17" s="29" t="s">
        <v>1337</v>
      </c>
      <c r="AF17" s="29">
        <f ca="1">IF(AND(AF14=2,OR(O11="monk",O11="barbarian",O11="warlock"),OR(Q11="paladin",Q11="ranger",R15="arcane trickster",R15="eldritch knight")),Q12,IF(AND($AF$14=2,OR(Q11="bard",Q11="druid",Q11="cleric",Q11="sorcerer",Q11="wizard")),Q12,IF(AND($AF$14=2,OR(Q11="paladin",Q11="ranger")),Q12*0.5,IF(AND($AF$14=2,OR($R$15="arcane trickster",$R$15="eldritch knight")),Q12*0.33,0))))</f>
        <v>0</v>
      </c>
      <c r="AH17" s="29" t="s">
        <v>22</v>
      </c>
      <c r="AI17" s="29">
        <f ca="1">$P$42</f>
        <v>2</v>
      </c>
      <c r="AJ17" s="29" t="str">
        <f t="shared" ref="AJ17:AU17" ca="1" si="22">IF(COUNTIF(AJ$27:AJ$33,$AH$17),$P$8," ")</f>
        <v xml:space="preserve"> </v>
      </c>
      <c r="AK17" s="29" t="str">
        <f t="shared" ca="1" si="22"/>
        <v xml:space="preserve"> </v>
      </c>
      <c r="AL17" s="29" t="str">
        <f t="shared" ca="1" si="22"/>
        <v xml:space="preserve"> </v>
      </c>
      <c r="AM17" s="29" t="str">
        <f t="shared" ca="1" si="22"/>
        <v xml:space="preserve"> </v>
      </c>
      <c r="AN17" s="29" t="str">
        <f t="shared" ca="1" si="22"/>
        <v xml:space="preserve"> </v>
      </c>
      <c r="AO17" s="29" t="str">
        <f t="shared" ca="1" si="22"/>
        <v xml:space="preserve"> </v>
      </c>
      <c r="AP17" s="29" t="str">
        <f t="shared" ca="1" si="22"/>
        <v xml:space="preserve"> </v>
      </c>
      <c r="AQ17" s="29" t="str">
        <f t="shared" ca="1" si="22"/>
        <v xml:space="preserve"> </v>
      </c>
      <c r="AR17" s="29" t="str">
        <f t="shared" ca="1" si="22"/>
        <v xml:space="preserve"> </v>
      </c>
      <c r="AS17" s="29" t="str">
        <f t="shared" ca="1" si="22"/>
        <v xml:space="preserve"> </v>
      </c>
      <c r="AT17" s="29" t="str">
        <f t="shared" ca="1" si="22"/>
        <v xml:space="preserve"> </v>
      </c>
      <c r="AU17" s="29" t="str">
        <f t="shared" ca="1" si="22"/>
        <v xml:space="preserve"> </v>
      </c>
      <c r="AV17" s="29">
        <f t="shared" ca="1" si="8"/>
        <v>0</v>
      </c>
      <c r="AW17" s="29" t="s">
        <v>22</v>
      </c>
      <c r="BH17" s="29" t="str">
        <f ca="1">IF(S11="Pirate",P8," ")</f>
        <v xml:space="preserve"> </v>
      </c>
      <c r="BJ17" s="29" t="str">
        <f ca="1">IF(S11="Sailor",P8," ")</f>
        <v xml:space="preserve"> </v>
      </c>
      <c r="BM17" s="29">
        <f t="shared" ca="1" si="2"/>
        <v>0</v>
      </c>
      <c r="BN17" s="29">
        <f t="shared" ca="1" si="9"/>
        <v>0</v>
      </c>
      <c r="BO17" s="29" t="str">
        <f t="shared" ca="1" si="3"/>
        <v xml:space="preserve"> </v>
      </c>
      <c r="BP17" s="29" t="str">
        <f t="shared" ca="1" si="4"/>
        <v xml:space="preserve"> </v>
      </c>
      <c r="BQ17" s="29" t="str">
        <f t="shared" ca="1" si="5"/>
        <v xml:space="preserve"> </v>
      </c>
      <c r="BR17" s="29">
        <f t="shared" ca="1" si="6"/>
        <v>0</v>
      </c>
      <c r="BU17" s="29">
        <f t="shared" ca="1" si="10"/>
        <v>0</v>
      </c>
      <c r="BV17" s="29" t="s">
        <v>22</v>
      </c>
      <c r="CB17" s="35">
        <f t="shared" ca="1" si="14"/>
        <v>2</v>
      </c>
      <c r="CC17" s="36">
        <f t="shared" ca="1" si="15"/>
        <v>0.91711866963850674</v>
      </c>
      <c r="CD17" s="29" t="s">
        <v>18</v>
      </c>
    </row>
    <row r="18" spans="2:83" ht="19.5" thickTop="1" x14ac:dyDescent="0.3">
      <c r="B18" s="33" t="str">
        <f ca="1">IF(P2="wood","Mask of the Wild",IF(P2="dark","Sunlight Sensitivity",IF(P2="lightfoot","Naturally Stealthy",IF(P2="stout","Stout Resilience",IF(P2="rock","Tinker",IF(Q2="half-orc","Savage Attacks"," "))))))</f>
        <v xml:space="preserve"> </v>
      </c>
      <c r="O18" s="33" t="str">
        <f ca="1">IF(AND(O11="wizard",O12&gt;=18),"Spell Mastery - "&amp;INDEX(Q193:Q202,MATCH(1,(O193:O202),0)),IF(AND(AF26=2,O11="warlock",O12&gt;=2,COUNTIF(P193:P202,"*"&amp;"eldritch blast"&amp;"*")),"Invocation - Agonizing Blast",IF(AND(O11="warlock",O12&gt;=15),"Invocation - "&amp;INDEX('Class Tables'!F164:F187,MATCH(1,('Class Tables'!D164:D187),0)),IF(AND(O11="warlock",O12&gt;=9),"Invocation - "&amp;INDEX('Class Tables'!F141:F161,MATCH(1,('Class Tables'!D141:D161),0)),IF(AND(O11="warlock",O12&gt;=7),"Invocation - "&amp;INDEX('Class Tables'!F122:F138,MATCH(1,('Class Tables'!D122:D138),0)),IF(AND(O11="warlock",O12&gt;=5),"Invocation - "&amp;INDEX('Class Tables'!F106:F119,MATCH(1,('Class Tables'!D106:D119),0)),IF(AND(O11="warlock",O12&gt;=2),"Invocation - "&amp;INDEX('Class Tables'!F93:F103,MATCH(1,('Class Tables'!D93:D103),0)),IF(AND(O11="sorcerer",O12&gt;=3),"MM - "&amp;INDEX('Class Tables'!F78:F85,MATCH(1,('Class Tables'!D78:D85),0)),IF(AND(O11="rogue",O12&gt;=7),"Evasion",IF(AND(O11="ranger",O12&gt;=2),VLOOKUP(RANDBETWEEN(1,4),Table96[],2),IF(AND(O11="paladin",O12&gt;=2),"Spellcasting Focus",IF(AND(O11="monk",O12&gt;=2),"Ki DC - "&amp;SUM(8,P8,P42),IF(AND(O11="fighter",O12&gt;=5),"Extra Attack -"&amp;INDEX('Class Tables'!U140:U159,MATCH(O12,('Class Tables'!T140:T159),0)),IF(AND($O$11="barbarian",$O$12&gt;=2),"Danger Sense",IF(AND(O11="bard",O12&gt;=5),"Font of Inspiration",IF(AND(O11="druid",O12&gt;=18),"Timeless Body",IF(AND(O11="cleric",O12&gt;=2),"Channel Divinity: Turn Undead"," ")))))))))))))))))</f>
        <v xml:space="preserve"> </v>
      </c>
      <c r="P18" s="33" t="str">
        <f ca="1">IF(AND(P15="school of transmutation",O12&gt;=6),"Transmuter's Stone",IF(AND(P15="school of necromancy",O12&gt;=6),"Undead Thralls",IF(AND(P15="school of illusion",O12&gt;=6),"Malleable Illusions",IF(AND(P15="school of evocation",O12&gt;=6),"Potent Cantrip",IF(AND(P15="school of enchantment",O12&gt;=6),"Instinctive Charm",IF(AND(P15="school of divination",O12&gt;=6),"Expert Divination",IF(AND(P15="school of conjuration",O12&gt;=6),"Benign Transposition",IF(AND(P15="school of abjuration",O12&gt;=6),"Projected Ward",IF(AND(P15="otherworldly patron - great old one",O12&gt;=10),"Thought Shield",IF(AND(P15="otherworldly patron - fiend",O12&gt;=14),"Hurl Through Hell",IF(AND(P15="otherworldly patron - Archfey",O12&gt;=10),"Beguiling Defenses",IF(AND(P15="wild magic",O12&gt;=6),"Bend Luck",IF(AND(P15="draconic bloodline",O12&gt;=6),"Elemental Affinity",IF(AND(P15="arcane trickster",O12&gt;=13),"Versatile Trickster",IF(AND(P15="assassin",O12&gt;=13),"Imposter",IF(AND(P15="thief",O12&gt;=9),"Supreme Sneak",IF(AND(P15="beastmaster",O12&gt;=11),"Beastial Fury",IF(AND(P15="hunter",O12&gt;=11),VLOOKUP(RANDBETWEEN(1,2),Table179[],2),IF(AND(P15="oath of vengeance",O12&gt;=7),"Relentless Avenger",IF(AND(P15="oath of the ancients",O12&gt;=7),"Aura of Warding",IF(AND(P15="oath of devotion",O12&gt;=7),"Aura of Devotion",IF(P15="way of the four elements",INDEX('Class Tables'!K120:K126,MATCH(1,('Class Tables'!I120:I126),0)),IF(AND(P15="way of the shadow",O12&gt;=17),"Opportunist",IF(AND(P15="way of the open hand",O12&gt;=11),"Tranquility DC "&amp;SUM(8,P42,P8),IF(AND(P15="eldritch knight",O12&gt;=10),"Eldritch Strike",IF(P15="battle Master",INDEX('Class Tables'!J58:J77,MATCH(O12,('Class Tables'!I58:I77),0)),IF(AND(P15="champion",O12&gt;=10),INDEX('Class Tables'!F48:F53,MATCH(2,('Class Tables'!D48:D53),0)),IF(AND(P15="moon",O12&gt;=6),"Primal Strike",IF(AND(P15="land",O12&gt;=10),"Nature's Ward",IF(AND(P15="war",O12&gt;=6),"Channel Divinity: War God's Blessing",IF(AND(P15="trickery",O12&gt;=6),"Channel Divinity: Cloak of Shadows",IF(AND(P15="nature",O12&gt;=6),"Thunderbolt Strike",IF(AND(P15="nature",O12&gt;=8),"Divine Strike",IF(AND(P15="light",O12&gt;=6),"Improved Flare",IF(AND(P15="life",O12&gt;=6),"Blessed Healer",IF(AND(P15="knowledge",O12&gt;=8),"Potent Spellcasting",IF(AND(P15="path of the berserker",O12&gt;=6,O11="barbarian"),"Mindless Rage",IF(AND(P15="path of the totem warrior",O12&gt;=6,O11="barbarian"),VLOOKUP(RANDBETWEEN(1,3),Table44[],3),IF(AND(P15="college of valor",O12&gt;=14),"Battle Magic"," ")))))))))))))))))))))))))))))))))))))))</f>
        <v xml:space="preserve"> </v>
      </c>
      <c r="Q18" s="33" t="str">
        <f ca="1">IF(AND(Q11="warlock",Q12&gt;=9),"Invocation - "&amp;INDEX('Class Tables'!F141:F161,MATCH(1,('Class Tables'!D141:D161),0)),IF(AND(Q11="warlock",Q12&gt;=7),"Invocation - "&amp;INDEX('Class Tables'!F122:F138,MATCH(1,('Class Tables'!D122:D138),0)),IF(AND(Q11="warlock",Q12&gt;=5),"Invocation - "&amp;INDEX('Class Tables'!F106:F119,MATCH(1,('Class Tables'!D106:D119),0)),IF(AND(Q11="warlock",Q12&gt;=2),"Invocation - "&amp;INDEX('Class Tables'!F93:F103,MATCH(1,('Class Tables'!D93:D103),0)),IF(AND(Q11="sorcerer",Q12&gt;=3),"MM - "&amp;INDEX('Class Tables'!F78:F85,MATCH(1,('Class Tables'!D78:D85),0)),IF(AND(Q11="rogue",Q12&gt;=7),"Evasion",IF(AND(Q11="ranger",Q12&gt;=2),VLOOKUP(RANDBETWEEN(1,4),Table96[],2),IF(AND(Q11="paladin",Q12&gt;=2),"Spellcasting Focus",IF(AND(Q11="monk",Q12&gt;=2),"Ki DC - "&amp;SUM(8,P8,P42),IF(AND(Q11="fighter",Q12&gt;=5),"Extra Attack - "&amp;INDEX('Class Tables'!U140:U159,MATCH(Q12,('Class Tables'!T140:T159),0)),IF(AND($Q$11="barbarian",$Q$12&gt;=2),"Danger Sense",IF(AND(Q11="bard",Q12&gt;=5),"Font of Inspiration",IF(AND(Q11="cleric",Q12&gt;=2),"Channel Divinity: Turn Undead",IF(AND(Q11="druid",Q12&gt;=18),"Timeless Body"," "))))))))))))))</f>
        <v xml:space="preserve"> </v>
      </c>
      <c r="R18" s="33" t="str">
        <f ca="1">IF(AND(R15="otherworldly patron - great old one",Q12&gt;=10),"Thought Shield",IF(AND(R15="otherworldly patron - Archfey",Q12&gt;=10),"Beguiling Defenses",IF(AND(R15="wild magic",Q12&gt;=6),"Bend Luck",IF(AND(R15="draconic bloodline",Q12&gt;=6),"Elemental Affinity",IF(AND(R15="thief",Q12&gt;=9),"Supreme Sneak",IF(AND(R15="oath of vengeance",Q12&gt;=7),"Relentless Avenger",IF(AND(R15="oath of the ancients",Q12&gt;=7),"Aura of Warding",IF(AND(R15="oath of devotion",Q12&gt;=7),"Aura of Devotion",IF(R15="way of the four elements",INDEX('Class Tables'!K120:K126,MATCH(1,('Class Tables'!I120:I126),0)),IF(AND(R15="eldritch knight",Q12&gt;=10),"Eldritch Strike",IF(R15="battle Master",INDEX('Class Tables'!J58:J77,MATCH(Q12,('Class Tables'!I58:I77),0)),IF(AND(R15="champion",Q12&gt;=10),INDEX('Class Tables'!F48:F53,MATCH(2,('Class Tables'!D48:D53),0)),IF(AND(R15="moon",Q12&gt;=6),"Primal Strike",IF(AND(R15="land",Q12&gt;=10),"Nature's Ward",IF(AND(R15="war",Q12&gt;=6),"War God's Blessing",IF(AND(R15="trickery",Q12&gt;=6),"Channel Divinity: Cloak of Shadows",IF(AND(R15="nature",Q12&gt;=6),"Thunderbolt Strike",IF(AND(R15="nature",Q12&gt;=8),"Divine Strike",IF(AND(R15="light",Q12&gt;=6),"Improved Flare",IF(AND(R15="life",Q12&gt;=6),"Blessed Healer",IF(AND(R15="knowledge",Q12&gt;=8),"Potent Spellcasting",IF(AND(R15="path of the berserker",Q12&gt;=6),"Mindless Rage",IF(AND(R15="path of the totem warrior",Q12&gt;=6),VLOOKUP(RANDBETWEEN(1,3),Table44[],3)," ")))))))))))))))))))))))</f>
        <v xml:space="preserve"> </v>
      </c>
      <c r="S18" s="33" t="s">
        <v>51</v>
      </c>
      <c r="AE18" s="29" t="s">
        <v>1338</v>
      </c>
      <c r="AF18" s="29">
        <f ca="1">ROUNDDOWN(SUM(AF16:AF17),0)</f>
        <v>0</v>
      </c>
      <c r="AH18" s="29" t="s">
        <v>23</v>
      </c>
      <c r="AI18" s="29">
        <f ca="1">$P$43</f>
        <v>1</v>
      </c>
      <c r="AJ18" s="29" t="str">
        <f t="shared" ref="AJ18:AU18" ca="1" si="23">IF(COUNTIF(AJ$27:AJ$33,$AH$18),$P$8," ")</f>
        <v xml:space="preserve"> </v>
      </c>
      <c r="AK18" s="29" t="str">
        <f t="shared" ca="1" si="23"/>
        <v xml:space="preserve"> </v>
      </c>
      <c r="AL18" s="29" t="str">
        <f t="shared" ca="1" si="23"/>
        <v xml:space="preserve"> </v>
      </c>
      <c r="AM18" s="29" t="str">
        <f t="shared" ca="1" si="23"/>
        <v xml:space="preserve"> </v>
      </c>
      <c r="AN18" s="29" t="str">
        <f t="shared" ca="1" si="23"/>
        <v xml:space="preserve"> </v>
      </c>
      <c r="AO18" s="29" t="str">
        <f t="shared" ca="1" si="23"/>
        <v xml:space="preserve"> </v>
      </c>
      <c r="AP18" s="29" t="str">
        <f t="shared" ca="1" si="23"/>
        <v xml:space="preserve"> </v>
      </c>
      <c r="AQ18" s="29" t="str">
        <f t="shared" ca="1" si="23"/>
        <v xml:space="preserve"> </v>
      </c>
      <c r="AR18" s="29" t="str">
        <f t="shared" ca="1" si="23"/>
        <v xml:space="preserve"> </v>
      </c>
      <c r="AS18" s="29" t="str">
        <f t="shared" ca="1" si="23"/>
        <v xml:space="preserve"> </v>
      </c>
      <c r="AT18" s="29" t="str">
        <f t="shared" ca="1" si="23"/>
        <v xml:space="preserve"> </v>
      </c>
      <c r="AU18" s="29" t="str">
        <f t="shared" ca="1" si="23"/>
        <v xml:space="preserve"> </v>
      </c>
      <c r="AV18" s="29">
        <f t="shared" ca="1" si="8"/>
        <v>0</v>
      </c>
      <c r="AW18" s="29" t="s">
        <v>23</v>
      </c>
      <c r="BA18" s="29" t="str">
        <f ca="1">IF(S11="Entertainer",P8," ")</f>
        <v xml:space="preserve"> </v>
      </c>
      <c r="BM18" s="29">
        <f t="shared" ca="1" si="2"/>
        <v>0</v>
      </c>
      <c r="BN18" s="29">
        <f t="shared" ca="1" si="9"/>
        <v>0</v>
      </c>
      <c r="BO18" s="29" t="str">
        <f t="shared" ca="1" si="3"/>
        <v xml:space="preserve"> </v>
      </c>
      <c r="BP18" s="29" t="str">
        <f t="shared" ca="1" si="4"/>
        <v xml:space="preserve"> </v>
      </c>
      <c r="BQ18" s="29" t="str">
        <f t="shared" ca="1" si="5"/>
        <v xml:space="preserve"> </v>
      </c>
      <c r="BR18" s="29">
        <f t="shared" ca="1" si="6"/>
        <v>0</v>
      </c>
      <c r="BU18" s="29">
        <f t="shared" ca="1" si="10"/>
        <v>0</v>
      </c>
      <c r="BV18" s="29" t="s">
        <v>23</v>
      </c>
      <c r="CB18" s="35">
        <f t="shared" ca="1" si="14"/>
        <v>11</v>
      </c>
      <c r="CC18" s="36">
        <f t="shared" ca="1" si="15"/>
        <v>0.32642685118682069</v>
      </c>
      <c r="CD18" s="29" t="s">
        <v>19</v>
      </c>
    </row>
    <row r="19" spans="2:83" x14ac:dyDescent="0.3">
      <c r="B19" s="33" t="str">
        <f ca="1">IF(P2="dark","Drow Magic"," ")</f>
        <v xml:space="preserve"> </v>
      </c>
      <c r="O19" s="33" t="str">
        <f ca="1">IF(AND(O11="wizard",O12&gt;=18),"Spell Mastery - "&amp;INDEX(R193:R202,MATCH(1,(O193:O202),0)),IF(AND(O12&gt;=2,O16="pact of the chain",AF26=1),"Invocation - Voice of the Chain Master",IF(AND(O12&gt;=5,O16="pact of the blade",AF26=1),"Invocation - Thirsting Blade",IF(AND(O11="warlock",O12&gt;=2,O16="pact of the tome",AF26=1),"Invocation - Book of Ancient Secrets",IF(AND(O11="warlock",O12&gt;=2,COUNTIF(P193:P202,"*"&amp;"Eldritch blast"&amp;"*")),"Invocation - Repelling Blast",IF(AND(O11="warlock",O12&gt;=15),"Invocation - "&amp;INDEX('Class Tables'!F164:F187,MATCH(2,('Class Tables'!D164:D187),0)),IF(AND(O11="warlock",O12&gt;=9),"Invocation - "&amp;INDEX('Class Tables'!F141:F161,MATCH(2,('Class Tables'!D141:D161),0)),IF(AND(O11="warlock",O12&gt;=7),"Invocation - "&amp;INDEX('Class Tables'!F122:F138,MATCH(2,('Class Tables'!D122:D138),0)),IF(AND(O11="warlock",O12&gt;=5),"Invocation - "&amp;INDEX('Class Tables'!F106:F119,MATCH(2,('Class Tables'!D106:D119),0)),IF(AND(O11="warlock",O12&gt;=2),"Invocation - "&amp;INDEX('Class Tables'!F93:F103,MATCH(2,('Class Tables'!D93:D103),0)),IF(AND(O11="sorcerer",O12&gt;=10),"MM - "&amp;INDEX('Class Tables'!F78:F85,MATCH(2,('Class Tables'!D78:D85),0)),IF(AND(O11="rogue",O12&gt;=11),"Reliable Talent",IF(AND(O11="ranger",O12&gt;=3),"Primeval Awareness",IF(AND(O11="paladin",O12&gt;=2),"Divine Smite",IF(AND(O11="monk",O12&gt;=2),"Flurry of Blows",IF(AND(O11="fighter",O12&gt;=9),"Indomitable",IF(AND($O$11="barbarian",$O$12&gt;=5),"Extra Attack",IF(AND(O11="bard",O12&gt;=6),"Countercharm",IF(AND(O11="cleric",O12&gt;=5),"Destroy Undead - "&amp;INDEX('Class Tables'!O140:O159,MATCH(O12,('Class Tables'!M140:M159),0)),IF(AND(O11="druid",O12&gt;=18),"Beast Spells"," "))))))))))))))))))))</f>
        <v xml:space="preserve"> </v>
      </c>
      <c r="P19" s="33" t="str">
        <f ca="1">IF(AND(P15="school of transmutation",O12&gt;=10),"Shapechanger",IF(AND(P15="school of necromancy",O12&gt;=10),"Inured to Undeath",IF(AND(P15="school of illusion",O12&gt;=10),"Illusory Self",IF(AND(P15="school of evocation",O12&gt;=10),"Empowered Evocation",IF(AND(P15="school of enchantment",O12&gt;=10),"Split Enchantment",IF(AND(P15="school of divination",O12&gt;=10),"The Third Eye",IF(AND(P15="school of conjuration",O12&gt;=10),"Focused Conjuration",IF(AND(P15="school of abjuration",O12&gt;=10),"Improved Abjuration",IF(AND(P15="otherworldly patron - great old one",O12&gt;=14),"Create Thrall",IF(AND(P15="otherworldly patron - Archfey",O12&gt;=14),"Dark Delirium",IF(AND(P15="wild magic",O12&gt;=14),"Controlled Chaos",IF(AND(P15="draconic bloodline",O12&gt;=14),"Dragon Wings",IF(AND(P15="arcane trickster",O12&gt;=17),"Spell Thief",IF(AND(P15="assassin",O12&gt;=17),"Death Strike DC"&amp;SUM(8,P8,P39),IF(AND(P15="thief",O12&gt;=13),"Use Magic Device",IF(AND(P15="beastmaster",O12&gt;=15),"Share Spells",IF(AND(P15="hunter",O12&gt;=15),VLOOKUP(RANDBETWEEN(1,3),Table199[],2),IF(AND(P15="oath of vengeance",O12&gt;=15),"Soul of Vengeance",IF(AND(P15="oath of the ancients",O12&gt;=15),"Undying Sentinel",(IF(AND(P15="oath of devotion",O12&gt;=15),"Purity of Spirit",IF(P15="way of the four elements",INDEX('Class Tables'!K120:K126,MATCH(2,('Class Tables'!I120:I126),0)),IF(AND(P15="way of the open hand",O12&gt;=17),"Quivering Palm",IF(AND(P15="eldritch Knight",O12&gt;=15),"Arcane Charge",IF(P15="battle master","Maneuver DC "&amp;SUM(P8,8,AF22),IF(AND(P15="champion",O12&gt;=15),"Superior Critcial",IF(AND(P15="moon",O12&gt;=10),"Elemental Wild Strike",IF(AND(P15="land",O12&gt;=14),"Nature's Sanctuary",IF(AND(P15="war",O12&gt;=8),"Divine Strike",IF(AND(P15="trickery",O12&gt;=8),"Divine Strike",IF(AND(P15="nature",O12&gt;=8),"Divine Strike",IF(AND(P15="nature",O12&gt;=17),"Master of Nature",IF(AND(P15="light",O12&gt;=8),"Potent Spellcasting",IF(AND(P15="life",O12&gt;=8),"Divine Strike",IF(AND(P15="knowledge",O12&gt;=17),"Visions of the Past",IF(AND(O12&gt;=10,P15="path of the berserker"),"Intimidating Presence DC "&amp;SUM(8,P8,P43),IF(AND(O12&gt;=10,P15="path of the totem warrior"),"Spirit Walker"," ")))))))))))))))))))))))))))))))))))))</f>
        <v xml:space="preserve"> </v>
      </c>
      <c r="Q19" s="33" t="str">
        <f ca="1">IF(AND(Q11="warlock",Q12&gt;=9),"Invocation - "&amp;INDEX('Class Tables'!F141:F161,MATCH(2,('Class Tables'!D141:D161),0)),IF(AND(Q11="warlock",Q12&gt;=7),"Invocation - "&amp;INDEX('Class Tables'!F122:F138,MATCH(2,('Class Tables'!D122:D138),0)),IF(AND(Q11="warlock",Q12&gt;=5),"Invocation - "&amp;INDEX('Class Tables'!F106:F119,MATCH(2,('Class Tables'!D106:D119),0)),IF(AND(Q11="warlock",Q12&gt;=2),"Invocation - "&amp;INDEX('Class Tables'!F93:F103,MATCH(2,('Class Tables'!D93:D103),0)),IF(AND(Q11="sorcerer",Q12&gt;=10),"MM - "&amp;INDEX('Class Tables'!F78:F85,MATCH(2,('Class Tables'!D78:D85),0)),IF(AND(Q11="ranger",Q12&gt;=3),"Primeval Awareness",IF(AND(Q11="paladin",Q12&gt;=2),"Divine Smite",IF(AND(Q11="monk",Q12&gt;=2),"Flurry of Blows",IF(AND(Q11="fighter",Q12&gt;=9),"Indomitable",IF(AND($Q$11="barbarian",$Q$12&gt;=5),"Extra Attack",IF(AND(Q11="bard",Q12&gt;=6),"Countercharm",IF(AND(Q11="cleric",Q12&gt;=5),"Destroy Undead - "&amp;INDEX('Class Tables'!O140:O159,MATCH(Q12,('Class Tables'!M140:M159),0)),IF(AND(Q11="druid",Q12&gt;=18),"Beast Spells"," ")))))))))))))</f>
        <v xml:space="preserve"> </v>
      </c>
      <c r="R19" s="33" t="str">
        <f ca="1">IF(R15="way of the four elements",INDEX('Class Tables'!K120:K126,MATCH(2,('Class Tables'!I120:I126),0)),IF(R15="battle master","Maneuver DC "&amp;SUM(P8,8,AF22),IF(AND(R15="moon",Q12&gt;=10),"Elemental Wild Shape",IF(AND(R15="war",Q12&gt;=8),"Divine Strike",IF(AND(R15="trickery",Q12&gt;=8),"Divine Strike",IF(AND(R15="nature",Q12&gt;=8),"Divine Strike",IF(AND(R15="light",Q12&gt;=8),"Potent Spellcasting",IF(AND(R15="life",Q12&gt;=8),"Divine Strike",IF(AND(R15="knowledge",Q12&gt;=17),"Visions of the Past",IF(AND(Q12&gt;=10,R15="path of the berserker"),"Intimidating Presence DC "&amp;SUM(8,P8,P43),IF(AND(Q12&gt;=10,R15="path of the totem warrior"),"Spirit Walker"," ")))))))))))</f>
        <v xml:space="preserve"> </v>
      </c>
      <c r="S19" s="33" t="str">
        <f ca="1">IF(Q2="dwarf","Dwarvish",IF(OR(Q2="half-elf",Q2="elf"),"Elvish",IF(Q2="halfling","Halfling",IF(Q2="human",VLOOKUP(RANDBETWEEN(1,8),Table20[],2),IF(Q2="gnome","Gnomish",IF(Q2="half-orc","Orc",IF(Q2="tiefling","Infernal"," ")))))))</f>
        <v>Dwarvish</v>
      </c>
      <c r="AH19" s="29" t="s">
        <v>24</v>
      </c>
      <c r="AI19" s="29">
        <f ca="1">$P$43</f>
        <v>1</v>
      </c>
      <c r="AJ19" s="29" t="str">
        <f t="shared" ref="AJ19:AU19" ca="1" si="24">IF(COUNTIF(AJ$27:AJ$33,$AH$19),$P$8," ")</f>
        <v xml:space="preserve"> </v>
      </c>
      <c r="AK19" s="29" t="str">
        <f t="shared" ca="1" si="24"/>
        <v xml:space="preserve"> </v>
      </c>
      <c r="AL19" s="29" t="str">
        <f t="shared" ca="1" si="24"/>
        <v xml:space="preserve"> </v>
      </c>
      <c r="AM19" s="29" t="str">
        <f t="shared" ca="1" si="24"/>
        <v xml:space="preserve"> </v>
      </c>
      <c r="AN19" s="29" t="str">
        <f t="shared" ca="1" si="24"/>
        <v xml:space="preserve"> </v>
      </c>
      <c r="AO19" s="29" t="str">
        <f t="shared" ca="1" si="24"/>
        <v xml:space="preserve"> </v>
      </c>
      <c r="AP19" s="29" t="str">
        <f t="shared" ca="1" si="24"/>
        <v xml:space="preserve"> </v>
      </c>
      <c r="AQ19" s="29" t="str">
        <f t="shared" ca="1" si="24"/>
        <v xml:space="preserve"> </v>
      </c>
      <c r="AR19" s="29" t="str">
        <f t="shared" ca="1" si="24"/>
        <v xml:space="preserve"> </v>
      </c>
      <c r="AS19" s="29" t="str">
        <f t="shared" ca="1" si="24"/>
        <v xml:space="preserve"> </v>
      </c>
      <c r="AT19" s="29" t="str">
        <f t="shared" ca="1" si="24"/>
        <v xml:space="preserve"> </v>
      </c>
      <c r="AU19" s="29" t="str">
        <f t="shared" ca="1" si="24"/>
        <v xml:space="preserve"> </v>
      </c>
      <c r="AV19" s="29">
        <f t="shared" ca="1" si="8"/>
        <v>0</v>
      </c>
      <c r="AW19" s="29" t="s">
        <v>24</v>
      </c>
      <c r="BE19" s="29" t="str">
        <f ca="1">IF(S11="Knight",P8," ")</f>
        <v xml:space="preserve"> </v>
      </c>
      <c r="BF19" s="29" t="str">
        <f ca="1">IF(S11="Noble",P8," ")</f>
        <v xml:space="preserve"> </v>
      </c>
      <c r="BM19" s="29">
        <f t="shared" ca="1" si="2"/>
        <v>0</v>
      </c>
      <c r="BN19" s="29">
        <f t="shared" ca="1" si="9"/>
        <v>0</v>
      </c>
      <c r="BO19" s="29" t="str">
        <f t="shared" ca="1" si="3"/>
        <v xml:space="preserve"> </v>
      </c>
      <c r="BP19" s="29" t="str">
        <f t="shared" ca="1" si="4"/>
        <v xml:space="preserve"> </v>
      </c>
      <c r="BQ19" s="29" t="str">
        <f t="shared" ca="1" si="5"/>
        <v xml:space="preserve"> </v>
      </c>
      <c r="BR19" s="29">
        <f t="shared" ca="1" si="6"/>
        <v>0</v>
      </c>
      <c r="BU19" s="29">
        <f t="shared" ca="1" si="10"/>
        <v>0</v>
      </c>
      <c r="BV19" s="29" t="s">
        <v>24</v>
      </c>
      <c r="CB19" s="35">
        <f t="shared" ca="1" si="14"/>
        <v>1</v>
      </c>
      <c r="CC19" s="36">
        <f t="shared" ca="1" si="15"/>
        <v>0.95090345893641859</v>
      </c>
      <c r="CD19" s="29" t="s">
        <v>20</v>
      </c>
      <c r="CE19" s="31"/>
    </row>
    <row r="20" spans="2:83" x14ac:dyDescent="0.3">
      <c r="O20" s="33" t="str">
        <f ca="1">IF(AND(O11="warlock",O12&gt;=2,AF26=2,COUNTIF(P193:P202,"*"&amp;"Eldritch blast"&amp;"*")),"Invocation - Eldritch Spear",IF(AND(O11="warlock",O12&gt;=15),"Invocation - "&amp;INDEX('Class Tables'!F164:F187,MATCH(3,('Class Tables'!D164:D187),0)),IF(AND(O11="warlock",O12&gt;=9),"Invocation - "&amp;INDEX('Class Tables'!F141:F161,MATCH(3,('Class Tables'!D141:D161),0)),IF(AND(O11="warlock",O12&gt;=7),"Invocation - "&amp;INDEX('Class Tables'!F122:F138,MATCH(3,('Class Tables'!D122:D138),0)),IF(AND(O11="warlock",O12&gt;=5),"Invocation - "&amp;INDEX('Class Tables'!F106:F119,MATCH(3,('Class Tables'!D106:D119),0)),IF(AND(O11="sorcerer",O12&gt;=20),"Sorcerous Restoration",IF(AND(O11="sorcerer",O12&gt;=17),"MM - "&amp;INDEX('Class Tables'!F78:F85,MATCH(3,('Class Tables'!D78:D85),0)),IF(AND(O11="rogue",O12&gt;=14),"Blindsense",IF(AND(O11="ranger",O12&gt;=5),"Extra Attack",IF(AND(O11="paladin",O12&gt;=3),"Divine Health",IF(AND(O11="monk",O12&gt;=2),"Patient Defense",IF(AND(O11="barbarian",O12&gt;=5),"Fast Movement",IF(AND(O11="bard",O12&gt;=20),"Superior Inspiration",IF(AND(O11="druid",O12&gt;=20),"Archdruid",IF(AND(O11="cleric",O12&gt;=10),"Divine Intervention"," ")))))))))))))))</f>
        <v xml:space="preserve"> </v>
      </c>
      <c r="P20" s="33" t="str">
        <f ca="1">IF(AND(P15="school of transmutation",O12&gt;=14),"Master Transmuter",IF(AND(P15="school of necromancy",O12&gt;=14),"Command Undead",IF(AND(P15="school of illusion",O12&gt;=14),"Illusory Reality",IF(AND(P15="school of evocation",O12&gt;=14),"Overchannel",IF(AND(P15="school of enchantment",O12&gt;=14),"Alter Memories",IF(AND(P15="school of divination",O12&gt;=14),"Greater Portent",IF(AND(P15="school of conjuration",O12&gt;=14),"Durable Summons",IF(AND(P15="school of abjuration",O12&gt;=14),"Spell Resistance",IF(AND(P15="wild magic",O12&gt;=18),"Spell Bombardment",IF(AND(P15="Draconic Bloodline",O12&gt;=18),"Draconic Presence",IF(AND(P15="thief",O12&gt;=17),"Thief's Reflexes",IF(AND(P15="oath of vengeance",O12&gt;=20),"Avenging Angel",IF(AND(P15="oath of the ancients",O12&gt;=20),"Elder Champion",IF(AND(P15="Oath of Devotion",O12&gt;=20),"Holy Nimbus",IF(AND(P15="way of the four elements",O12&gt;=6),INDEX('Class Tables'!K128:K129,MATCH(1,('Class Tables'!I128:I129),0)),IF(AND(P15="eldritch knight",O12&gt;=18),"Improved War Magic",IF(P15="battle master",INDEX('Class Tables'!K40:K55,MATCH(1,('Class Tables'!I40:I55),0)),IF(AND(P15="champion",O12&gt;=18),"Survivor - "&amp;SUM(5+P48)&amp;" hp",IF(AND(P15="moon",O12&gt;=14),"Thousand Forms",IF(P15="land",VLOOKUP(RANDBETWEEN(1,8),Table74[],2),IF(AND(P15="war",O12&gt;=17),"Avatar of Battle",IF(AND(P15="trickery",O12&gt;=17),"Improved Duplicity",IF(AND(P15="nature",O12&gt;=17),"Stormborn",IF(AND(P15="light",O12&gt;=17),"Corona of Light",IF(AND(P15="life",O12&gt;=17),"Supreme Healing",IF(AND(P15="path of the totem warrior",O12&gt;=14),VLOOKUP(RANDBETWEEN(1,3),Table44[],4)," "))))))))))))))))))))))))))</f>
        <v xml:space="preserve"> </v>
      </c>
      <c r="Q20" s="33" t="str">
        <f ca="1">IF(AND(Q11="warlock",Q12&gt;=9),"Invocation - "&amp;INDEX('Class Tables'!F141:F161,MATCH(3,('Class Tables'!D141:D161),0)),IF(AND(Q11="warlock",Q12&gt;=7),"Invocation - "&amp;INDEX('Class Tables'!F122:F138,MATCH(3,('Class Tables'!D122:D138),0)),IF(AND(Q11="warlock",Q12&gt;=5),"Invocation - "&amp;INDEX('Class Tables'!F106:F119,MATCH(3,('Class Tables'!D106:D119),0)),IF(AND(Q11="ranger",Q12&gt;=5),"Extra Attack",IF(AND(Q11="paladin",Q12&gt;=3),"Divine Health",IF(AND(Q11="monk",Q12&gt;=2),"Patient Defense",IF(AND(Q11="barbarian",Q12&gt;=5),"Fast Movement",IF(AND(Q11="cleric",Q12&gt;=10),"Divine Intervention"," "))))))))</f>
        <v xml:space="preserve"> </v>
      </c>
      <c r="R20" s="33" t="str">
        <f ca="1">IF(AND(R15="way of the four elements",Q12&gt;=6),INDEX('Class Tables'!K128:K129,MATCH(1,('Class Tables'!I128:I129),0)),IF(R15="battle master",INDEX('Class Tables'!K40:K55,MATCH(1,('Class Tables'!I40:I55),0)),IF(R15="land",VLOOKUP(RANDBETWEEN(1,8),Table74[],2)," ")))</f>
        <v xml:space="preserve"> </v>
      </c>
      <c r="S20" s="33" t="str">
        <f ca="1">IF(P2="high",INDEX('Class Tables'!S177:S220,MATCH(1,('Class Tables'!Q177:Q220),0))," ")</f>
        <v xml:space="preserve"> </v>
      </c>
      <c r="AE20" s="29" t="s">
        <v>1990</v>
      </c>
      <c r="AF20" s="29">
        <f ca="1">RANDBETWEEN(1,3)</f>
        <v>2</v>
      </c>
      <c r="AH20" s="29" t="s">
        <v>25</v>
      </c>
      <c r="AI20" s="29">
        <f ca="1">$P$41</f>
        <v>1</v>
      </c>
      <c r="AJ20" s="29" t="str">
        <f t="shared" ref="AJ20:AU20" ca="1" si="25">IF(COUNTIF(AJ$27:AJ$33,$AH$20),$P$8," ")</f>
        <v xml:space="preserve"> </v>
      </c>
      <c r="AK20" s="29" t="str">
        <f t="shared" ca="1" si="25"/>
        <v xml:space="preserve"> </v>
      </c>
      <c r="AL20" s="29" t="str">
        <f t="shared" ca="1" si="25"/>
        <v xml:space="preserve"> </v>
      </c>
      <c r="AM20" s="29" t="str">
        <f t="shared" ca="1" si="25"/>
        <v xml:space="preserve"> </v>
      </c>
      <c r="AN20" s="29" t="str">
        <f t="shared" ca="1" si="25"/>
        <v xml:space="preserve"> </v>
      </c>
      <c r="AO20" s="29" t="str">
        <f t="shared" ca="1" si="25"/>
        <v xml:space="preserve"> </v>
      </c>
      <c r="AP20" s="29" t="str">
        <f t="shared" ca="1" si="25"/>
        <v xml:space="preserve"> </v>
      </c>
      <c r="AQ20" s="29" t="str">
        <f t="shared" ca="1" si="25"/>
        <v xml:space="preserve"> </v>
      </c>
      <c r="AR20" s="29" t="str">
        <f t="shared" ca="1" si="25"/>
        <v xml:space="preserve"> </v>
      </c>
      <c r="AS20" s="29" t="str">
        <f t="shared" ca="1" si="25"/>
        <v xml:space="preserve"> </v>
      </c>
      <c r="AT20" s="29" t="str">
        <f t="shared" ca="1" si="25"/>
        <v xml:space="preserve"> </v>
      </c>
      <c r="AU20" s="29" t="str">
        <f t="shared" ca="1" si="25"/>
        <v xml:space="preserve"> </v>
      </c>
      <c r="AV20" s="29">
        <f t="shared" ca="1" si="8"/>
        <v>0</v>
      </c>
      <c r="AW20" s="29" t="s">
        <v>25</v>
      </c>
      <c r="AX20" s="29" t="str">
        <f ca="1">IF(S11="acolyte",P8," ")</f>
        <v xml:space="preserve"> </v>
      </c>
      <c r="BC20" s="29" t="str">
        <f ca="1">IF(S11="Guild Artisan",P8," ")</f>
        <v xml:space="preserve"> </v>
      </c>
      <c r="BD20" s="29" t="str">
        <f ca="1">IF(S11="Hermit",P8," ")</f>
        <v xml:space="preserve"> </v>
      </c>
      <c r="BM20" s="29">
        <f t="shared" ca="1" si="2"/>
        <v>0</v>
      </c>
      <c r="BN20" s="29">
        <f t="shared" ca="1" si="9"/>
        <v>0</v>
      </c>
      <c r="BO20" s="29" t="str">
        <f t="shared" ca="1" si="3"/>
        <v xml:space="preserve"> </v>
      </c>
      <c r="BP20" s="29" t="str">
        <f t="shared" ca="1" si="4"/>
        <v xml:space="preserve"> </v>
      </c>
      <c r="BQ20" s="29" t="str">
        <f t="shared" ca="1" si="5"/>
        <v xml:space="preserve"> </v>
      </c>
      <c r="BR20" s="29">
        <f t="shared" ca="1" si="6"/>
        <v>0</v>
      </c>
      <c r="BS20" s="29">
        <f ca="1">IF(AND($BY$29=1,OR($P$15="knowledge",$R$15="knowledge")),$P$8*2,IF(AND($BY$29=2,OR($P$15="knowledge",$R$15="knowledge")),$P$8*2,0))</f>
        <v>0</v>
      </c>
      <c r="BU20" s="29">
        <f t="shared" ca="1" si="10"/>
        <v>0</v>
      </c>
      <c r="BV20" s="29" t="s">
        <v>25</v>
      </c>
      <c r="CB20" s="35">
        <f t="shared" ca="1" si="14"/>
        <v>12</v>
      </c>
      <c r="CC20" s="36">
        <f t="shared" ca="1" si="15"/>
        <v>0.31659240800721133</v>
      </c>
      <c r="CD20" s="29" t="s">
        <v>21</v>
      </c>
    </row>
    <row r="21" spans="2:83" x14ac:dyDescent="0.3">
      <c r="O21" s="33" t="str">
        <f ca="1">IF(AND(O11="warlock",O12&gt;=15),"Invocation - "&amp;INDEX('Class Tables'!F164:F187,MATCH(4,('Class Tables'!D164:D187),0)),IF(AND(O11="warlock",O12&gt;=9),"Invocation - "&amp;INDEX('Class Tables'!F141:F161,MATCH(4,('Class Tables'!D141:D161),0)),IF(AND(O11="warlock",O12&gt;=7),"Invocation - "&amp;INDEX('Class Tables'!F122:F138,MATCH(4,('Class Tables'!D122:D138),0)),IF(AND(O11="rogue",O12&gt;=15),"Slippery Mind",IF(AND(O11="ranger",O12&gt;=8),"Land's Stride",IF(AND(O11="paladin",O12&gt;=5),"Extra Attack",IF(AND(O11="monk",O12&gt;=2),"Step of the Wind",IF(AND($O$11="barbarian",$O$12&gt;=7),"Feral Instinct"," "))))))))</f>
        <v xml:space="preserve"> </v>
      </c>
      <c r="P21" s="33" t="str">
        <f ca="1">IF(AND(P15="way of the four elements",O12&gt;=11),INDEX('Class Tables'!K131:K134,MATCH(1,('Class Tables'!I131:I134),0)),IF(P15="battle master",INDEX('Class Tables'!K40:K55,MATCH(2,('Class Tables'!I40:I55),0))," "))</f>
        <v xml:space="preserve"> </v>
      </c>
      <c r="Q21" s="33" t="str">
        <f ca="1">IF(AND(Q11="warlock",Q12&gt;=9),"Invocation - "&amp;INDEX('Class Tables'!F141:F161,MATCH(4,('Class Tables'!D141:D161),0)),IF(AND(Q11="warlock",Q12&gt;=7),"Invocation - "&amp;INDEX('Class Tables'!F122:F138,MATCH(4,('Class Tables'!D122:D138),0)),IF(AND(Q11="ranger",Q12&gt;=8),"Land's Stride",IF(AND(Q11="paladin",Q12&gt;=5),"Extra Attack",IF(AND(Q11="monk",Q12&gt;=2),"Step of the Wind",IF(AND($Q$11="barbarian",$Q$12&gt;=7),"Feral Instinct"," "))))))</f>
        <v xml:space="preserve"> </v>
      </c>
      <c r="R21" s="33" t="str">
        <f ca="1">IF(R15="battle master",INDEX('Class Tables'!K40:K55,MATCH(2,('Class Tables'!I40:I55),0))," ")</f>
        <v xml:space="preserve"> </v>
      </c>
      <c r="S21" s="33" t="str">
        <f ca="1">IF(OR(P15="knowledge",R15="knowledge"),INDEX('Class Tables'!S177:S220,MATCH(2,('Class Tables'!Q177:Q220),0))," ")</f>
        <v xml:space="preserve"> </v>
      </c>
      <c r="AE21" s="29" t="s">
        <v>1989</v>
      </c>
      <c r="AF21" s="29">
        <f ca="1">RANDBETWEEN(1,2)</f>
        <v>1</v>
      </c>
      <c r="AH21" s="29" t="s">
        <v>26</v>
      </c>
      <c r="AI21" s="29">
        <f ca="1">$P$39</f>
        <v>2</v>
      </c>
      <c r="AJ21" s="29" t="str">
        <f t="shared" ref="AJ21:AU21" ca="1" si="26">IF(COUNTIF(AJ$27:AJ$33,$AH$21),$P$8," ")</f>
        <v xml:space="preserve"> </v>
      </c>
      <c r="AK21" s="29" t="str">
        <f t="shared" ca="1" si="26"/>
        <v xml:space="preserve"> </v>
      </c>
      <c r="AL21" s="29" t="str">
        <f t="shared" ca="1" si="26"/>
        <v xml:space="preserve"> </v>
      </c>
      <c r="AM21" s="29" t="str">
        <f t="shared" ca="1" si="26"/>
        <v xml:space="preserve"> </v>
      </c>
      <c r="AN21" s="29" t="str">
        <f t="shared" ca="1" si="26"/>
        <v xml:space="preserve"> </v>
      </c>
      <c r="AO21" s="29" t="str">
        <f t="shared" ca="1" si="26"/>
        <v xml:space="preserve"> </v>
      </c>
      <c r="AP21" s="29" t="str">
        <f t="shared" ca="1" si="26"/>
        <v xml:space="preserve"> </v>
      </c>
      <c r="AQ21" s="29" t="str">
        <f t="shared" ca="1" si="26"/>
        <v xml:space="preserve"> </v>
      </c>
      <c r="AR21" s="29" t="str">
        <f t="shared" ca="1" si="26"/>
        <v xml:space="preserve"> </v>
      </c>
      <c r="AS21" s="29" t="str">
        <f t="shared" ca="1" si="26"/>
        <v xml:space="preserve"> </v>
      </c>
      <c r="AT21" s="29" t="str">
        <f t="shared" ca="1" si="26"/>
        <v xml:space="preserve"> </v>
      </c>
      <c r="AU21" s="29" t="str">
        <f t="shared" ca="1" si="26"/>
        <v xml:space="preserve"> </v>
      </c>
      <c r="AV21" s="29">
        <f t="shared" ca="1" si="8"/>
        <v>0</v>
      </c>
      <c r="AW21" s="29" t="s">
        <v>26</v>
      </c>
      <c r="AY21" s="29" t="str">
        <f ca="1">IF(S11="Charlatan",P8," ")</f>
        <v xml:space="preserve"> </v>
      </c>
      <c r="BL21" s="29" t="str">
        <f ca="1">IF(S11="urchin",P8," ")</f>
        <v xml:space="preserve"> </v>
      </c>
      <c r="BM21" s="29">
        <f t="shared" ca="1" si="2"/>
        <v>0</v>
      </c>
      <c r="BN21" s="29">
        <f t="shared" ca="1" si="9"/>
        <v>0</v>
      </c>
      <c r="BO21" s="29" t="str">
        <f t="shared" ca="1" si="3"/>
        <v xml:space="preserve"> </v>
      </c>
      <c r="BP21" s="29" t="str">
        <f t="shared" ca="1" si="4"/>
        <v xml:space="preserve"> </v>
      </c>
      <c r="BQ21" s="29" t="str">
        <f t="shared" ca="1" si="5"/>
        <v xml:space="preserve"> </v>
      </c>
      <c r="BR21" s="29">
        <f t="shared" ca="1" si="6"/>
        <v>0</v>
      </c>
      <c r="BU21" s="29">
        <f t="shared" ca="1" si="10"/>
        <v>0</v>
      </c>
      <c r="BV21" s="29" t="s">
        <v>26</v>
      </c>
      <c r="CB21" s="35">
        <f t="shared" ca="1" si="14"/>
        <v>14</v>
      </c>
      <c r="CC21" s="36">
        <f t="shared" ca="1" si="15"/>
        <v>0.25661849421117999</v>
      </c>
      <c r="CD21" s="29" t="s">
        <v>22</v>
      </c>
    </row>
    <row r="22" spans="2:83" x14ac:dyDescent="0.3">
      <c r="O22" s="33" t="str">
        <f ca="1">(IF(AND(O16="pact of the blade",O12&gt;=12,AF26=1),"Invocation - Lifedrinker",IF(AND(O11="warlock",O12&gt;=15),"Invocation - "&amp;INDEX('Class Tables'!F164:F187,MATCH(5,('Class Tables'!D164:D187),0)),IF(AND(O11="warlock",O12&gt;=9),"Invocation - "&amp;INDEX('Class Tables'!F141:F161,MATCH(5,('Class Tables'!D141:D161),0)),IF(AND(O11="rogue",O12&gt;=18),"Elusive Foe",IF(AND(O11="ranger",O12&gt;=10),"Hide in Plain Sight",IF(AND(O11="paladin",O12&gt;=6),"Aura of Protection +"&amp;MAX(P43,1),IF(AND(O11="monk",O12&gt;=2),"Unarmored Movement - "&amp;INDEX('Class Tables'!L98:L117,MATCH(O12,('Class Tables'!I98:I117),0))&amp;" ft.",IF(AND($O$11="barbarian",$O$12&gt;=9),"Brutal Critical"," ")))))))))</f>
        <v xml:space="preserve"> </v>
      </c>
      <c r="P22" s="33" t="str">
        <f ca="1">IF(AND(P15="way of the four elements",O12&gt;=17),INDEX('Class Tables'!K136:K138,MATCH(1,('Class Tables'!I136:I138),0)),IF(P15="battle master",INDEX('Class Tables'!K40:K55,MATCH(3,('Class Tables'!I40:I55),0))," "))</f>
        <v xml:space="preserve"> </v>
      </c>
      <c r="Q22" s="33" t="str">
        <f ca="1">IF(AND(Q11="warlock",Q12&gt;=9),"Invocation - "&amp;INDEX('Class Tables'!F141:F161,MATCH(5,('Class Tables'!D141:D161),0)),IF(AND(Q11="ranger",Q12&gt;=10),"Hide in Plain Sight",IF(AND(Q11="paladin",Q12&gt;=6),"Aura of Protection +"&amp;MAX(P43,1),IF(AND(Q11="monk",Q12&gt;=2),"Unarmored Movement - "&amp;INDEX('Class Tables'!L98:L117,MATCH(Q12,('Class Tables'!I98:I117),0))&amp;" ft.",IF(AND($Q$11="barbarian",$Q$12&gt;=9),"Brutal Critical"," ")))))</f>
        <v xml:space="preserve"> </v>
      </c>
      <c r="R22" s="33" t="str">
        <f ca="1">IF(R15="battle master",INDEX('Class Tables'!K40:K55,MATCH(3,('Class Tables'!I40:I55),0))," ")</f>
        <v xml:space="preserve"> </v>
      </c>
      <c r="S22" s="33" t="str">
        <f ca="1">IF(OR(P15="knowledge",R15="knowledge"),INDEX('Class Tables'!S177:S220,MATCH(3,('Class Tables'!Q177:Q220),0))," ")</f>
        <v xml:space="preserve"> </v>
      </c>
      <c r="AE22" s="29" t="s">
        <v>1387</v>
      </c>
      <c r="AF22" s="29">
        <f ca="1">SUM(P38:P39)-SMALL(P38:P39,1)</f>
        <v>3</v>
      </c>
      <c r="AH22" s="29" t="s">
        <v>27</v>
      </c>
      <c r="AI22" s="29">
        <f ca="1">$P$39</f>
        <v>2</v>
      </c>
      <c r="AJ22" s="29" t="str">
        <f t="shared" ref="AJ22:AU22" ca="1" si="27">IF(COUNTIF(AJ$27:AJ$33,$AH$22),$P$8," ")</f>
        <v xml:space="preserve"> </v>
      </c>
      <c r="AK22" s="29" t="str">
        <f t="shared" ca="1" si="27"/>
        <v xml:space="preserve"> </v>
      </c>
      <c r="AL22" s="29" t="str">
        <f t="shared" ca="1" si="27"/>
        <v xml:space="preserve"> </v>
      </c>
      <c r="AM22" s="29" t="str">
        <f t="shared" ca="1" si="27"/>
        <v xml:space="preserve"> </v>
      </c>
      <c r="AN22" s="29" t="str">
        <f t="shared" ca="1" si="27"/>
        <v xml:space="preserve"> </v>
      </c>
      <c r="AO22" s="29" t="str">
        <f t="shared" ca="1" si="27"/>
        <v xml:space="preserve"> </v>
      </c>
      <c r="AP22" s="29" t="str">
        <f t="shared" ca="1" si="27"/>
        <v xml:space="preserve"> </v>
      </c>
      <c r="AQ22" s="29" t="str">
        <f t="shared" ca="1" si="27"/>
        <v xml:space="preserve"> </v>
      </c>
      <c r="AR22" s="29" t="str">
        <f t="shared" ca="1" si="27"/>
        <v xml:space="preserve"> </v>
      </c>
      <c r="AS22" s="29" t="str">
        <f t="shared" ca="1" si="27"/>
        <v xml:space="preserve"> </v>
      </c>
      <c r="AT22" s="29" t="str">
        <f t="shared" ca="1" si="27"/>
        <v xml:space="preserve"> </v>
      </c>
      <c r="AU22" s="29" t="str">
        <f t="shared" ca="1" si="27"/>
        <v xml:space="preserve"> </v>
      </c>
      <c r="AV22" s="29">
        <f t="shared" ca="1" si="8"/>
        <v>0</v>
      </c>
      <c r="AW22" s="29" t="s">
        <v>27</v>
      </c>
      <c r="AZ22" s="29" t="str">
        <f ca="1">IF(S11="Criminal",P8," ")</f>
        <v xml:space="preserve"> </v>
      </c>
      <c r="BL22" s="29" t="str">
        <f ca="1">IF(S11="urchin",P8," ")</f>
        <v xml:space="preserve"> </v>
      </c>
      <c r="BM22" s="29">
        <f t="shared" ca="1" si="2"/>
        <v>0</v>
      </c>
      <c r="BN22" s="29">
        <f t="shared" ca="1" si="9"/>
        <v>0</v>
      </c>
      <c r="BO22" s="29" t="str">
        <f t="shared" ca="1" si="3"/>
        <v xml:space="preserve"> </v>
      </c>
      <c r="BP22" s="29" t="str">
        <f t="shared" ca="1" si="4"/>
        <v xml:space="preserve"> </v>
      </c>
      <c r="BQ22" s="29" t="str">
        <f t="shared" ca="1" si="5"/>
        <v xml:space="preserve"> </v>
      </c>
      <c r="BR22" s="29">
        <f t="shared" ca="1" si="6"/>
        <v>0</v>
      </c>
      <c r="BU22" s="29">
        <f t="shared" ca="1" si="10"/>
        <v>0</v>
      </c>
      <c r="BV22" s="29" t="s">
        <v>27</v>
      </c>
      <c r="CB22" s="35">
        <f t="shared" ca="1" si="14"/>
        <v>16</v>
      </c>
      <c r="CC22" s="36">
        <f t="shared" ca="1" si="15"/>
        <v>8.2201748461362745E-2</v>
      </c>
      <c r="CD22" s="29" t="s">
        <v>23</v>
      </c>
    </row>
    <row r="23" spans="2:83" x14ac:dyDescent="0.3">
      <c r="O23" s="33" t="str">
        <f ca="1">IF(AND(O11="warlock",O12&gt;=15),"Invocation - "&amp;INDEX('Class Tables'!F164:F187,MATCH(6,('Class Tables'!D164:D187),0)),IF(AND(O11="warlock",O12&gt;=12),"Invocation - "&amp;INDEX('Class Tables'!F141:F161,MATCH(6,('Class Tables'!D141:D161),0)),IF(AND(O11="rogue",O12&gt;=20),"Stroke of Luck",IF(AND(O11="ranger",O12&gt;=14),"Vanish",IF(AND(O11="paladin",O12&gt;=10),"Aura of Courage",IF(AND(O11="monk",O12&gt;=3),"Deflect Missiles - 1d10+"&amp;SUM(P39,O12)&amp;" dmg.",IF(AND($O$11="barbarian",$O$12&gt;=11),"Relentless Rage"," ")))))))</f>
        <v xml:space="preserve"> </v>
      </c>
      <c r="P23" s="33" t="str">
        <f ca="1">IF(AND(P15="battle master",O12&gt;=7),INDEX('Class Tables'!K40:K55,MATCH(4,('Class Tables'!I40:I55),0))," ")</f>
        <v xml:space="preserve"> </v>
      </c>
      <c r="Q23" s="33" t="str">
        <f ca="1">IF(AND(Q11="paladin",Q12&gt;=10),"Aura of Courage",IF(AND(Q11="monk",Q12&gt;=3),"Deflect Missiles 1d10+"&amp;SUM(Q12,P39)&amp;" dmg."," "))</f>
        <v xml:space="preserve"> </v>
      </c>
      <c r="R23" s="33" t="str">
        <f ca="1">IF(AND(R15="battle master",Q12&gt;=7),INDEX('Class Tables'!K40:K55,MATCH(4,('Class Tables'!I40:I55),0))," ")</f>
        <v xml:space="preserve"> </v>
      </c>
      <c r="S23" s="33" t="str">
        <f ca="1">IF(O11="druid","Druidic",IF(O11="rogue","Thieves' Cant"," "))</f>
        <v xml:space="preserve"> </v>
      </c>
      <c r="AE23" s="29" t="s">
        <v>1402</v>
      </c>
      <c r="AF23" s="29">
        <f ca="1">RANDBETWEEN(1,2)</f>
        <v>2</v>
      </c>
      <c r="AH23" s="29" t="s">
        <v>28</v>
      </c>
      <c r="AI23" s="29">
        <f ca="1">$P$42</f>
        <v>2</v>
      </c>
      <c r="AJ23" s="29" t="str">
        <f t="shared" ref="AJ23:AU23" ca="1" si="28">IF(COUNTIF(AJ$27:AJ$33,$AH$23),$P$8," ")</f>
        <v xml:space="preserve"> </v>
      </c>
      <c r="AK23" s="29" t="str">
        <f t="shared" ca="1" si="28"/>
        <v xml:space="preserve"> </v>
      </c>
      <c r="AL23" s="29" t="str">
        <f t="shared" ca="1" si="28"/>
        <v xml:space="preserve"> </v>
      </c>
      <c r="AM23" s="29" t="str">
        <f t="shared" ca="1" si="28"/>
        <v xml:space="preserve"> </v>
      </c>
      <c r="AN23" s="29" t="str">
        <f t="shared" ca="1" si="28"/>
        <v xml:space="preserve"> </v>
      </c>
      <c r="AO23" s="29" t="str">
        <f t="shared" ca="1" si="28"/>
        <v xml:space="preserve"> </v>
      </c>
      <c r="AP23" s="29" t="str">
        <f t="shared" ca="1" si="28"/>
        <v xml:space="preserve"> </v>
      </c>
      <c r="AQ23" s="29" t="str">
        <f t="shared" ca="1" si="28"/>
        <v xml:space="preserve"> </v>
      </c>
      <c r="AR23" s="29" t="str">
        <f t="shared" ca="1" si="28"/>
        <v xml:space="preserve"> </v>
      </c>
      <c r="AS23" s="29" t="str">
        <f t="shared" ca="1" si="28"/>
        <v xml:space="preserve"> </v>
      </c>
      <c r="AT23" s="29" t="str">
        <f t="shared" ca="1" si="28"/>
        <v xml:space="preserve"> </v>
      </c>
      <c r="AU23" s="29" t="str">
        <f t="shared" ca="1" si="28"/>
        <v xml:space="preserve"> </v>
      </c>
      <c r="AV23" s="29">
        <f t="shared" ca="1" si="8"/>
        <v>0</v>
      </c>
      <c r="AW23" s="29" t="s">
        <v>28</v>
      </c>
      <c r="BB23" s="29" t="str">
        <f ca="1">IF(S11="Folk Hero",P8," ")</f>
        <v xml:space="preserve"> </v>
      </c>
      <c r="BG23" s="29" t="str">
        <f ca="1">IF(S11="Outlander",P8," ")</f>
        <v xml:space="preserve"> </v>
      </c>
      <c r="BM23" s="29">
        <f t="shared" ca="1" si="2"/>
        <v>0</v>
      </c>
      <c r="BN23" s="29">
        <f t="shared" ca="1" si="9"/>
        <v>0</v>
      </c>
      <c r="BO23" s="29" t="str">
        <f t="shared" ca="1" si="3"/>
        <v xml:space="preserve"> </v>
      </c>
      <c r="BP23" s="29" t="str">
        <f t="shared" ca="1" si="4"/>
        <v xml:space="preserve"> </v>
      </c>
      <c r="BQ23" s="29" t="str">
        <f t="shared" ca="1" si="5"/>
        <v xml:space="preserve"> </v>
      </c>
      <c r="BR23" s="29">
        <f t="shared" ca="1" si="6"/>
        <v>0</v>
      </c>
      <c r="BT23" s="29">
        <f ca="1">IF(AND(BY32=1,OR($P$15="nature",$R$15="nature")),$P$8,0)</f>
        <v>0</v>
      </c>
      <c r="BU23" s="29">
        <f t="shared" ca="1" si="10"/>
        <v>0</v>
      </c>
      <c r="BV23" s="29" t="s">
        <v>28</v>
      </c>
      <c r="CB23" s="35">
        <f t="shared" ca="1" si="14"/>
        <v>5</v>
      </c>
      <c r="CC23" s="36">
        <f t="shared" ca="1" si="15"/>
        <v>0.69511990415041347</v>
      </c>
      <c r="CD23" s="29" t="s">
        <v>24</v>
      </c>
    </row>
    <row r="24" spans="2:83" x14ac:dyDescent="0.3">
      <c r="O24" s="33" t="str">
        <f ca="1">IF(AND(O11="warlock",O12&gt;=15,AF26=2,O16="pact of the chain"),"Chains of Carceri",IF(AND(O11="warlock",O12&gt;=15),"Invocation - "&amp;INDEX('Class Tables'!F164:F187,MATCH(7,('Class Tables'!D164:D187),0)),IF(AND(O11="ranger",O12&gt;=18),"Feral Senses",IF(AND(O11="paladin",O12&gt;=11),"Improved Divine Smite",IF(AND(O11="monk",O12&gt;=4),"Slow Fall - "&amp;O12*5&amp;" dmg.",IF(AND($O$11="barbarian",$O$12&gt;=15),"Persistent Rage"," "))))))</f>
        <v xml:space="preserve"> </v>
      </c>
      <c r="P24" s="33" t="str">
        <f ca="1">IF(AND(P15="battle master",O12&gt;=7),INDEX('Class Tables'!K40:K55,MATCH(5,('Class Tables'!I40:I55),0))," ")</f>
        <v xml:space="preserve"> </v>
      </c>
      <c r="Q24" s="33" t="str">
        <f ca="1">IF(AND(Q11="paladin",Q12&gt;=11),"Improved Divine Smite",IF(AND(Q11="monk",Q12&gt;=4),"Slow Fall -"&amp;Q12*5&amp;" dmg."," "))</f>
        <v xml:space="preserve"> </v>
      </c>
      <c r="R24" s="33" t="str">
        <f ca="1">IF(AND(R15="battle master",Q12&gt;=7),INDEX('Class Tables'!K40:K55,MATCH(5,('Class Tables'!I40:I55),0))," ")</f>
        <v xml:space="preserve"> </v>
      </c>
      <c r="S24" s="33" t="str">
        <f ca="1">IF(P15="draconic bloodline","Draconic"," ")</f>
        <v xml:space="preserve"> </v>
      </c>
      <c r="AE24" s="29" t="s">
        <v>1509</v>
      </c>
      <c r="AF24" s="29">
        <f ca="1">RANDBETWEEN(1,2)</f>
        <v>1</v>
      </c>
      <c r="CB24" s="35">
        <f t="shared" ca="1" si="14"/>
        <v>17</v>
      </c>
      <c r="CC24" s="36">
        <f t="shared" ca="1" si="15"/>
        <v>7.499577024918147E-2</v>
      </c>
      <c r="CD24" s="29" t="s">
        <v>25</v>
      </c>
    </row>
    <row r="25" spans="2:83" x14ac:dyDescent="0.3">
      <c r="O25" s="33" t="str">
        <f ca="1">IF(AND(O11="warlock",O12&gt;=18),"Invocation - "&amp;INDEX('Class Tables'!F164:F187,MATCH(8,('Class Tables'!D164:D187),0)),IF(AND(O11="ranger",O12&gt;=20),"Foe Slayer",IF(AND(O11="paladin",O12&gt;=14),"Cleansing Touch - "&amp;MAX(1,(P43))&amp;" uses",IF(AND(O11="monk",O12&gt;=5),"Extra Attack",IF(AND($O$11="barbarian",$O$12&gt;=18),"Indomitable Might"," ")))))</f>
        <v xml:space="preserve"> </v>
      </c>
      <c r="P25" s="33" t="str">
        <f ca="1">IF(AND(P15="battle master",O12&gt;=10),INDEX('Class Tables'!K40:K55,MATCH(6,('Class Tables'!I40:I55),0))," ")</f>
        <v xml:space="preserve"> </v>
      </c>
      <c r="Q25" s="33" t="str">
        <f ca="1">IF(AND(Q11="paladin",Q12&gt;=14),"Cleansing Touch - "&amp;MAX(1,(P43))&amp;" uses",IF(AND(Q11="monk",Q12&gt;=5),"Extra Attack"," "))</f>
        <v xml:space="preserve"> </v>
      </c>
      <c r="R25" s="33" t="str">
        <f ca="1">IF(AND(R15="battle master",Q12&gt;=10),INDEX('Class Tables'!K40:K55,MATCH(6,('Class Tables'!I40:I55),0))," ")</f>
        <v xml:space="preserve"> </v>
      </c>
      <c r="S25" s="33" t="str">
        <f ca="1">IF(OR(S11="acolyte",S11="Guild artisan",S11="hermit",S11="noble",S11="knight",S11="outlander",S11="sage"),INDEX('Class Tables'!S177:S220,MATCH(4,('Class Tables'!Q177:Q220),0))," ")</f>
        <v xml:space="preserve"> </v>
      </c>
      <c r="AE25" s="29" t="s">
        <v>1568</v>
      </c>
      <c r="AF25" s="29">
        <f ca="1">RANDBETWEEN(1,2)</f>
        <v>1</v>
      </c>
      <c r="CB25" s="35">
        <f t="shared" ca="1" si="14"/>
        <v>10</v>
      </c>
      <c r="CC25" s="36">
        <f t="shared" ca="1" si="15"/>
        <v>0.38490214534183831</v>
      </c>
      <c r="CD25" s="29" t="s">
        <v>26</v>
      </c>
      <c r="CE25" s="31"/>
    </row>
    <row r="26" spans="2:83" x14ac:dyDescent="0.3">
      <c r="O26" s="33" t="str">
        <f ca="1">IF(AND(O11="ranger",O12&gt;=6),"Natural Explorer: "&amp;INDEX('Class Tables'!F212:F219,MATCH(2,('Class Tables'!D212:D219),0)),IF(AND(O11="monk",O12&gt;=5),"Stunning Strike",IF(AND($O$11="barbarian",$O$12&gt;=20),"Primal Champion"," ")))</f>
        <v xml:space="preserve"> </v>
      </c>
      <c r="P26" s="33" t="str">
        <f ca="1">IF(AND(P15="battle master",O12&gt;=10),INDEX('Class Tables'!K40:K55,MATCH(7,('Class Tables'!I40:I55),0))," ")</f>
        <v xml:space="preserve"> </v>
      </c>
      <c r="Q26" s="33" t="str">
        <f ca="1">IF(AND(Q11="ranger",Q12&gt;=10),"Natural Explorer: "&amp;INDEX('Class Tables'!F212:F219,MATCH(2,('Class Tables'!D212:D219),0)),IF(AND(Q11="monk",Q12&gt;=5),"Stunning Strike"," "))</f>
        <v xml:space="preserve"> </v>
      </c>
      <c r="R26" s="33" t="str">
        <f ca="1">IF(AND(R15="battle master",Q12&gt;=10),INDEX('Class Tables'!K40:K55,MATCH(7,('Class Tables'!I40:I55),0))," ")</f>
        <v xml:space="preserve"> </v>
      </c>
      <c r="S26" s="33" t="str">
        <f ca="1">IF(OR(S11="acolyte",S11="sage"),INDEX('Class Tables'!S177:S220,MATCH(5,('Class Tables'!Q177:Q220),0))," ")</f>
        <v xml:space="preserve"> </v>
      </c>
      <c r="AE26" s="29" t="s">
        <v>693</v>
      </c>
      <c r="AF26" s="29">
        <f ca="1">RANDBETWEEN(1,2)</f>
        <v>1</v>
      </c>
      <c r="AJ26" s="29" t="s">
        <v>685</v>
      </c>
      <c r="AK26" s="29" t="s">
        <v>686</v>
      </c>
      <c r="AL26" s="29" t="s">
        <v>687</v>
      </c>
      <c r="AM26" s="29" t="s">
        <v>688</v>
      </c>
      <c r="AN26" s="29" t="s">
        <v>689</v>
      </c>
      <c r="AO26" s="29" t="s">
        <v>694</v>
      </c>
      <c r="AP26" s="29" t="s">
        <v>695</v>
      </c>
      <c r="AQ26" s="29" t="s">
        <v>690</v>
      </c>
      <c r="AR26" s="29" t="s">
        <v>691</v>
      </c>
      <c r="AS26" s="29" t="s">
        <v>692</v>
      </c>
      <c r="AT26" s="29" t="s">
        <v>693</v>
      </c>
      <c r="AU26" s="29" t="s">
        <v>696</v>
      </c>
      <c r="AX26" s="29" t="s">
        <v>1810</v>
      </c>
      <c r="AY26" s="29" t="s">
        <v>1811</v>
      </c>
      <c r="AZ26" s="29" t="s">
        <v>1812</v>
      </c>
      <c r="BA26" s="29" t="s">
        <v>1813</v>
      </c>
      <c r="BB26" s="29" t="s">
        <v>1814</v>
      </c>
      <c r="BC26" s="29" t="s">
        <v>1815</v>
      </c>
      <c r="BD26" s="29" t="s">
        <v>1816</v>
      </c>
      <c r="BE26" s="29" t="s">
        <v>1823</v>
      </c>
      <c r="BF26" s="29" t="s">
        <v>1821</v>
      </c>
      <c r="BG26" s="29" t="s">
        <v>1817</v>
      </c>
      <c r="BH26" s="29" t="s">
        <v>1822</v>
      </c>
      <c r="BI26" s="29" t="s">
        <v>1818</v>
      </c>
      <c r="BJ26" s="29" t="s">
        <v>1720</v>
      </c>
      <c r="BK26" s="29" t="s">
        <v>1819</v>
      </c>
      <c r="BL26" s="29" t="s">
        <v>1820</v>
      </c>
      <c r="BN26" s="29">
        <f t="shared" ref="BN26:BN43" ca="1" si="29">_xlfn.RANK.EQ(BO26,$BO$26:$BO$43)</f>
        <v>1</v>
      </c>
      <c r="BO26" s="29">
        <f ca="1">IF(BP26="Acrobatics",RAND(),0)</f>
        <v>0</v>
      </c>
      <c r="BP26" s="29" t="str">
        <f ca="1">IF(OR(BM6&gt;=1,AV6&gt;=1),AH6," ")</f>
        <v xml:space="preserve"> </v>
      </c>
      <c r="BR26" s="29">
        <f t="shared" ref="BR26:BR43" ca="1" si="30">_xlfn.RANK.EQ(BS26,$BS$26:$BS$43)</f>
        <v>9</v>
      </c>
      <c r="BS26" s="29">
        <f t="shared" ref="BS26:BS43" ca="1" si="31">IF(BO26=0,RAND(),0)</f>
        <v>0.50600758925423195</v>
      </c>
      <c r="BU26" s="29">
        <f ca="1">_xlfn.RANK.EQ(BV26,$BV$26:$BV$29)</f>
        <v>1</v>
      </c>
      <c r="BV26" s="29">
        <f ca="1">IF(BW26="Arcana",RAND(),0)</f>
        <v>0</v>
      </c>
      <c r="BW26" s="29" t="str">
        <f ca="1">IF(OR($AV$8&gt;=1,$BR$8&gt;=1,BM8&gt;=1),"Arcana"," ")</f>
        <v xml:space="preserve"> </v>
      </c>
      <c r="BY26" s="29">
        <f ca="1">_xlfn.RANK.EQ(BZ26,$BZ$26:$BZ$29)</f>
        <v>1</v>
      </c>
      <c r="BZ26" s="29">
        <f t="shared" ref="BZ26:BZ32" ca="1" si="32">IF(BV26=0,RAND(),0)</f>
        <v>0.93393523054704286</v>
      </c>
      <c r="CB26" s="35">
        <f t="shared" ca="1" si="14"/>
        <v>9</v>
      </c>
      <c r="CC26" s="36">
        <f t="shared" ca="1" si="15"/>
        <v>0.42945236592116365</v>
      </c>
      <c r="CD26" s="29" t="s">
        <v>27</v>
      </c>
    </row>
    <row r="27" spans="2:83" x14ac:dyDescent="0.3">
      <c r="O27" s="33" t="str">
        <f ca="1">IF(AND(O11="ranger",O12&gt;=10),"Natural Explorer: "&amp;INDEX('Class Tables'!F212:F219,MATCH(3,('Class Tables'!D212:D219),0)),IF(AND(O11="monk",O12&gt;=6),"Ki-Empowered Strikes"," "))</f>
        <v xml:space="preserve"> </v>
      </c>
      <c r="P27" s="33" t="str">
        <f ca="1">IF(AND(P15="battle master",O12&gt;=15),INDEX('Class Tables'!K40:K55,MATCH(8,('Class Tables'!I40:I55),0))," ")</f>
        <v xml:space="preserve"> </v>
      </c>
      <c r="Q27" s="33" t="str">
        <f ca="1">IF(AND(Q11="ranger",Q12&gt;=10),"Natural Explorer: "&amp;INDEX('Class Tables'!F212:F219,MATCH(3,('Class Tables'!D212:D219),0)),IF(AND(Q11="monk",Q12&gt;=6),"Ki-Empowered Strikes"," "))</f>
        <v xml:space="preserve"> </v>
      </c>
      <c r="AI27" s="29">
        <v>1</v>
      </c>
      <c r="AJ27" s="29" t="str">
        <f ca="1">IF(O11="barbarian",INDEX(#REF!,MATCH($AI$27,(#REF!),0))," ")</f>
        <v xml:space="preserve"> </v>
      </c>
      <c r="AK27" s="29" t="str">
        <f ca="1">IF(OR(O11="bard",Q11="bard"),INDEX(#REF!,MATCH($AI$27,(#REF!),0))," ")</f>
        <v xml:space="preserve"> </v>
      </c>
      <c r="AL27" s="29" t="str">
        <f ca="1">IF(O11="cleric",INDEX(#REF!,MATCH(AI27,(#REF!),0))," ")</f>
        <v xml:space="preserve"> </v>
      </c>
      <c r="AM27" s="29" t="str">
        <f ca="1">IF(O11="Druid",INDEX(#REF!,MATCH(AI27,(#REF!),0))," ")</f>
        <v xml:space="preserve"> </v>
      </c>
      <c r="AN27" s="29" t="str">
        <f ca="1">IF(O11="fighter",INDEX(#REF!,MATCH(AI27,(#REF!),0))," ")</f>
        <v xml:space="preserve"> </v>
      </c>
      <c r="AO27" s="29" t="str">
        <f ca="1">IF(O11="monk",INDEX(#REF!,MATCH(AI27,(#REF!),0))," ")</f>
        <v xml:space="preserve"> </v>
      </c>
      <c r="AP27" s="29" t="str">
        <f ca="1">IF(O11="Paladin",INDEX(#REF!,MATCH(AI27,(#REF!),0))," ")</f>
        <v xml:space="preserve"> </v>
      </c>
      <c r="AQ27" s="29" t="str">
        <f ca="1">IF(OR(O11="ranger",Q11="ranger"),INDEX(#REF!,MATCH(AI27,(#REF!),0))," ")</f>
        <v xml:space="preserve"> </v>
      </c>
      <c r="AR27" s="29" t="str">
        <f ca="1">IF(OR(O11="rogue",Q11="rogue"),INDEX(#REF!,MATCH(AI27,(#REF!),0))," ")</f>
        <v xml:space="preserve"> </v>
      </c>
      <c r="AS27" s="29" t="str">
        <f ca="1">IF(O11="sorcerer",INDEX(#REF!,MATCH(AI27,(#REF!),0))," ")</f>
        <v xml:space="preserve"> </v>
      </c>
      <c r="AT27" s="29" t="str">
        <f ca="1">IF(O11="Warlock",INDEX(#REF!,MATCH(AI27,(#REF!),0))," ")</f>
        <v xml:space="preserve"> </v>
      </c>
      <c r="AU27" s="29" t="str">
        <f ca="1">IF(O11="wizard",INDEX(#REF!,MATCH(AI27,(#REF!),0))," ")</f>
        <v xml:space="preserve"> </v>
      </c>
      <c r="AX27" s="29" t="s">
        <v>17</v>
      </c>
      <c r="AY27" s="29" t="s">
        <v>15</v>
      </c>
      <c r="AZ27" s="29" t="s">
        <v>15</v>
      </c>
      <c r="BA27" s="29" t="s">
        <v>12</v>
      </c>
      <c r="BB27" s="29" t="s">
        <v>29</v>
      </c>
      <c r="BC27" s="29" t="s">
        <v>17</v>
      </c>
      <c r="BD27" s="29" t="s">
        <v>20</v>
      </c>
      <c r="BE27" s="29" t="s">
        <v>1824</v>
      </c>
      <c r="BF27" s="29" t="s">
        <v>16</v>
      </c>
      <c r="BG27" s="29" t="s">
        <v>14</v>
      </c>
      <c r="BH27" s="29" t="s">
        <v>14</v>
      </c>
      <c r="BI27" s="29" t="s">
        <v>13</v>
      </c>
      <c r="BJ27" s="29" t="s">
        <v>14</v>
      </c>
      <c r="BK27" s="29" t="s">
        <v>14</v>
      </c>
      <c r="BL27" s="29" t="s">
        <v>26</v>
      </c>
      <c r="BN27" s="29">
        <f t="shared" ca="1" si="29"/>
        <v>1</v>
      </c>
      <c r="BO27" s="29">
        <f ca="1">IF(BP27="Animal Handling",RAND(),0)</f>
        <v>0</v>
      </c>
      <c r="BP27" s="29" t="str">
        <f t="shared" ref="BP27:BP43" ca="1" si="33">IF(OR(BM7&gt;=1,AV7&gt;=1),AH7," ")</f>
        <v xml:space="preserve"> </v>
      </c>
      <c r="BR27" s="29">
        <f t="shared" ca="1" si="30"/>
        <v>15</v>
      </c>
      <c r="BS27" s="29">
        <f t="shared" ca="1" si="31"/>
        <v>0.31763389303823131</v>
      </c>
      <c r="BU27" s="29">
        <f ca="1">_xlfn.RANK.EQ(BV27,$BV$26:$BV$29)</f>
        <v>1</v>
      </c>
      <c r="BV27" s="29">
        <f ca="1">IF(BW27="History",RAND(),0)</f>
        <v>0</v>
      </c>
      <c r="BW27" s="29" t="str">
        <f ca="1">IF(OR($AV$11&gt;=1,$BR$11&gt;=1,BM11&gt;=1),"History"," ")</f>
        <v xml:space="preserve"> </v>
      </c>
      <c r="BY27" s="29">
        <f ca="1">_xlfn.RANK.EQ(BZ27,$BZ$26:$BZ$29)</f>
        <v>2</v>
      </c>
      <c r="BZ27" s="29">
        <f t="shared" ca="1" si="32"/>
        <v>0.92143990735091763</v>
      </c>
      <c r="CB27" s="35">
        <f t="shared" ca="1" si="14"/>
        <v>6</v>
      </c>
      <c r="CC27" s="36">
        <f t="shared" ca="1" si="15"/>
        <v>0.63180408183693648</v>
      </c>
      <c r="CD27" s="29" t="s">
        <v>28</v>
      </c>
    </row>
    <row r="28" spans="2:83" x14ac:dyDescent="0.3">
      <c r="O28" s="33" t="str">
        <f ca="1">IF(AND(O11="monk",O12&gt;=7),"Evasion"," ")</f>
        <v xml:space="preserve"> </v>
      </c>
      <c r="P28" s="33" t="str">
        <f ca="1">IF(AND(P15="battle master",O12&gt;=15),INDEX('Class Tables'!K40:K55,MATCH(9,('Class Tables'!I40:I55),0))," ")</f>
        <v xml:space="preserve"> </v>
      </c>
      <c r="Q28" s="33" t="str">
        <f ca="1">IF(AND(Q11="monk",Q12&gt;=7),"Evasion"," ")</f>
        <v xml:space="preserve"> </v>
      </c>
      <c r="AE28" s="29" t="s">
        <v>1804</v>
      </c>
      <c r="AI28" s="29">
        <v>2</v>
      </c>
      <c r="AJ28" s="29" t="str">
        <f ca="1">IF(O11="barbarian",INDEX(#REF!,MATCH($AI$28,(#REF!),0))," ")</f>
        <v xml:space="preserve"> </v>
      </c>
      <c r="AK28" s="29" t="str">
        <f ca="1">IF(O11="bard",INDEX(#REF!,MATCH(AI28,(#REF!),0))," ")</f>
        <v xml:space="preserve"> </v>
      </c>
      <c r="AL28" s="29" t="str">
        <f ca="1">IF(O11="cleric",INDEX(#REF!,MATCH(AI28,(#REF!),0))," ")</f>
        <v xml:space="preserve"> </v>
      </c>
      <c r="AM28" s="29" t="str">
        <f ca="1">IF(O11="druid",INDEX(#REF!,MATCH(AI28,(#REF!),0))," ")</f>
        <v xml:space="preserve"> </v>
      </c>
      <c r="AN28" s="29" t="str">
        <f ca="1">IF(O11="fighter",INDEX(#REF!,MATCH(AI28,(#REF!),0))," ")</f>
        <v xml:space="preserve"> </v>
      </c>
      <c r="AO28" s="29" t="str">
        <f ca="1">IF(O11="monk",INDEX(#REF!,MATCH(AI28,(#REF!),0))," ")</f>
        <v xml:space="preserve"> </v>
      </c>
      <c r="AP28" s="29" t="str">
        <f ca="1">IF(O11="paladin",INDEX(#REF!,MATCH(AI28,(#REF!),0))," ")</f>
        <v xml:space="preserve"> </v>
      </c>
      <c r="AQ28" s="29" t="str">
        <f ca="1">IF(O11="ranger",INDEX(#REF!,MATCH(AI28,(#REF!),0))," ")</f>
        <v xml:space="preserve"> </v>
      </c>
      <c r="AR28" s="29" t="str">
        <f ca="1">IF(O11="rogue",INDEX(#REF!,MATCH(AI28,(#REF!),0))," ")</f>
        <v xml:space="preserve"> </v>
      </c>
      <c r="AS28" s="29" t="str">
        <f ca="1">IF(O11="sorcerer",INDEX(#REF!,MATCH(AI28,(#REF!),0))," ")</f>
        <v xml:space="preserve"> </v>
      </c>
      <c r="AT28" s="29" t="str">
        <f ca="1">IF(O11="warlock",INDEX(#REF!,MATCH(AI28,(#REF!),0))," ")</f>
        <v xml:space="preserve"> </v>
      </c>
      <c r="AU28" s="29" t="str">
        <f ca="1">IF(O11="wizard",INDEX(#REF!,MATCH(AI28,(#REF!),0))," ")</f>
        <v xml:space="preserve"> </v>
      </c>
      <c r="AX28" s="29" t="s">
        <v>25</v>
      </c>
      <c r="AY28" s="29" t="s">
        <v>26</v>
      </c>
      <c r="AZ28" s="29" t="s">
        <v>27</v>
      </c>
      <c r="BA28" s="29" t="s">
        <v>23</v>
      </c>
      <c r="BB28" s="29" t="s">
        <v>28</v>
      </c>
      <c r="BC28" s="29" t="s">
        <v>24</v>
      </c>
      <c r="BD28" s="29" t="s">
        <v>25</v>
      </c>
      <c r="BE28" s="29" t="s">
        <v>24</v>
      </c>
      <c r="BF28" s="29" t="s">
        <v>24</v>
      </c>
      <c r="BG28" s="29" t="s">
        <v>28</v>
      </c>
      <c r="BH28" s="29" t="s">
        <v>22</v>
      </c>
      <c r="BI28" s="29" t="s">
        <v>16</v>
      </c>
      <c r="BJ28" s="29" t="s">
        <v>22</v>
      </c>
      <c r="BK28" s="29" t="s">
        <v>18</v>
      </c>
      <c r="BL28" s="29" t="s">
        <v>27</v>
      </c>
      <c r="BN28" s="29">
        <f t="shared" ca="1" si="29"/>
        <v>1</v>
      </c>
      <c r="BO28" s="29">
        <f ca="1">IF(BP28="Arcana",RAND(),0)</f>
        <v>0</v>
      </c>
      <c r="BP28" s="29" t="str">
        <f t="shared" ca="1" si="33"/>
        <v xml:space="preserve"> </v>
      </c>
      <c r="BR28" s="29">
        <f t="shared" ca="1" si="30"/>
        <v>1</v>
      </c>
      <c r="BS28" s="29">
        <f t="shared" ca="1" si="31"/>
        <v>0.99843784417330395</v>
      </c>
      <c r="BU28" s="29">
        <f ca="1">_xlfn.RANK.EQ(BV28,$BV$26:$BV$29)</f>
        <v>1</v>
      </c>
      <c r="BV28" s="29">
        <f ca="1">IF(BW28="Nature",RAND(),0)</f>
        <v>0</v>
      </c>
      <c r="BW28" s="29" t="str">
        <f ca="1">IF(OR($AV$16&gt;=1,$BR$16&gt;=1,BM16&gt;=1),"Nature"," ")</f>
        <v xml:space="preserve"> </v>
      </c>
      <c r="BY28" s="29">
        <f ca="1">_xlfn.RANK.EQ(BZ28,$BZ$26:$BZ$29)</f>
        <v>3</v>
      </c>
      <c r="BZ28" s="29">
        <f t="shared" ca="1" si="32"/>
        <v>0.83481430700276249</v>
      </c>
    </row>
    <row r="29" spans="2:83" x14ac:dyDescent="0.3">
      <c r="O29" s="33" t="str">
        <f ca="1">IF(AND(O11="monk",O12&gt;=7),"Stillness of Mind"," ")</f>
        <v xml:space="preserve"> </v>
      </c>
      <c r="Q29" s="33" t="str">
        <f ca="1">IF(AND(Q11="monk",Q12&gt;=7),"Stillness of Mind"," ")</f>
        <v xml:space="preserve"> </v>
      </c>
      <c r="AE29" s="29">
        <f ca="1">RANDBETWEEN(2,8)</f>
        <v>2</v>
      </c>
      <c r="BN29" s="29">
        <f t="shared" ca="1" si="29"/>
        <v>1</v>
      </c>
      <c r="BO29" s="29">
        <f ca="1">IF(BP29="Athletics",RAND(),0)</f>
        <v>0</v>
      </c>
      <c r="BP29" s="29" t="str">
        <f t="shared" ca="1" si="33"/>
        <v xml:space="preserve"> </v>
      </c>
      <c r="BR29" s="29">
        <f t="shared" ca="1" si="30"/>
        <v>13</v>
      </c>
      <c r="BS29" s="29">
        <f t="shared" ca="1" si="31"/>
        <v>0.37000177524769196</v>
      </c>
      <c r="BU29" s="29">
        <f ca="1">_xlfn.RANK.EQ(BV29,$BV$26:$BV$29)</f>
        <v>1</v>
      </c>
      <c r="BV29" s="29">
        <f ca="1">IF(BW29="Religion",RAND(),0)</f>
        <v>0</v>
      </c>
      <c r="BW29" s="29" t="str">
        <f ca="1">IF(AND($AV$20&gt;=1,$BR$20&gt;=1,BM20&gt;=1),"Religion"," ")</f>
        <v xml:space="preserve"> </v>
      </c>
      <c r="BY29" s="29">
        <f ca="1">_xlfn.RANK.EQ(BZ29,$BZ$26:$BZ$29)</f>
        <v>4</v>
      </c>
      <c r="BZ29" s="29">
        <f t="shared" ca="1" si="32"/>
        <v>0.59229912095301729</v>
      </c>
      <c r="CB29" s="31" t="s">
        <v>729</v>
      </c>
      <c r="CC29" s="36"/>
    </row>
    <row r="30" spans="2:83" x14ac:dyDescent="0.3">
      <c r="O30" s="33" t="str">
        <f ca="1">IF(AND(O11="monk",O12&gt;=10),"Purity of Body"," ")</f>
        <v xml:space="preserve"> </v>
      </c>
      <c r="Q30" s="33" t="str">
        <f ca="1">IF(AND(Q11="monk",Q12&gt;=10),"Purity of Body"," ")</f>
        <v xml:space="preserve"> </v>
      </c>
      <c r="AE30" s="29">
        <f ca="1">RANDBETWEEN(2,12)</f>
        <v>7</v>
      </c>
      <c r="AI30" s="29">
        <v>3</v>
      </c>
      <c r="AK30" s="29" t="str">
        <f ca="1">IF(O11="bard",INDEX(#REF!,MATCH(AI30,(#REF!),0))," ")</f>
        <v xml:space="preserve"> </v>
      </c>
      <c r="AP30" s="29" t="str">
        <f ca="1">IF($AG$30="druid",VLOOKUP(RANDBETWEEN(1,8),Table51350464806863920336393839[],2)," ")</f>
        <v xml:space="preserve"> </v>
      </c>
      <c r="AQ30" s="29" t="str">
        <f ca="1">IF(O11="ranger",INDEX(#REF!,MATCH(AI30,(#REF!),0))," ")</f>
        <v xml:space="preserve"> </v>
      </c>
      <c r="AR30" s="29" t="str">
        <f ca="1">IF(O11="rogue",INDEX(#REF!,MATCH(AI30,(#REF!),0))," ")</f>
        <v xml:space="preserve"> </v>
      </c>
      <c r="AT30" s="29" t="str">
        <f ca="1">IF(OR(COUNTIF(O18:O25,"*"&amp;"beguiling influence"&amp;"*"),COUNTIF(O13:O13,"*"&amp;"beguiling influence"&amp;"*")),"Deception"," ")</f>
        <v xml:space="preserve"> </v>
      </c>
      <c r="BN30" s="29">
        <f t="shared" ca="1" si="29"/>
        <v>1</v>
      </c>
      <c r="BO30" s="29">
        <f ca="1">IF(BP30="Deception",RAND(),0)</f>
        <v>0</v>
      </c>
      <c r="BP30" s="29" t="str">
        <f t="shared" ca="1" si="33"/>
        <v xml:space="preserve"> </v>
      </c>
      <c r="BR30" s="29">
        <f t="shared" ca="1" si="30"/>
        <v>18</v>
      </c>
      <c r="BS30" s="29">
        <f t="shared" ca="1" si="31"/>
        <v>0.12849064053597536</v>
      </c>
      <c r="BU30" s="29">
        <f ca="1">_xlfn.RANK.EQ(BV30,$BV$30:$BV$32)</f>
        <v>1</v>
      </c>
      <c r="BV30" s="29">
        <f ca="1">IF(BW30="Animal Handling",RAND(),0)</f>
        <v>0</v>
      </c>
      <c r="BW30" s="29" t="str">
        <f ca="1">IF(OR($AV$7&gt;=1,$BR$7&gt;=1,BM7&gt;=1),"Animal Handling"," ")</f>
        <v xml:space="preserve"> </v>
      </c>
      <c r="BY30" s="29">
        <f ca="1">_xlfn.RANK.EQ(BZ30,$BZ$30:$BZ$32)</f>
        <v>3</v>
      </c>
      <c r="BZ30" s="29">
        <f t="shared" ca="1" si="32"/>
        <v>3.416003228731479E-3</v>
      </c>
      <c r="CB30" s="35">
        <f ca="1">_xlfn.RANK.EQ(CC30,$CC$30:$CC$34)</f>
        <v>2</v>
      </c>
      <c r="CC30" s="36">
        <f ca="1">IF(BM11&gt;0,0,RAND())</f>
        <v>0.52767270606113925</v>
      </c>
      <c r="CD30" s="29" t="s">
        <v>16</v>
      </c>
    </row>
    <row r="31" spans="2:83" x14ac:dyDescent="0.3">
      <c r="O31" s="33" t="str">
        <f ca="1">IF(AND(O11="monk",O12&gt;=13),"Tongue of the Sun and Moon"," ")</f>
        <v xml:space="preserve"> </v>
      </c>
      <c r="AE31" s="29">
        <f ca="1">RANDBETWEEN(2,16)</f>
        <v>12</v>
      </c>
      <c r="AI31" s="29">
        <v>4</v>
      </c>
      <c r="AK31" s="29" t="str">
        <f ca="1">IF(P15="college of lore",INDEX(#REF!,MATCH(AI31,(#REF!),0))," ")</f>
        <v xml:space="preserve"> </v>
      </c>
      <c r="AR31" s="29" t="str">
        <f ca="1">IF(O11="rogue",INDEX(#REF!,MATCH(AI31,(#REF!),0))," ")</f>
        <v xml:space="preserve"> </v>
      </c>
      <c r="AT31" s="29" t="str">
        <f ca="1">IF(OR(COUNTIF(O18:O25,"*"&amp;"beguiling influence"&amp;"*"),COUNTIF(O13:O13,"*"&amp;"beguiling influence"&amp;"*")),"Persuasion"," ")</f>
        <v xml:space="preserve"> </v>
      </c>
      <c r="BN31" s="29">
        <f t="shared" ca="1" si="29"/>
        <v>1</v>
      </c>
      <c r="BO31" s="29">
        <f ca="1">IF(BP31="History",RAND(),0)</f>
        <v>0</v>
      </c>
      <c r="BP31" s="29" t="str">
        <f t="shared" ca="1" si="33"/>
        <v xml:space="preserve"> </v>
      </c>
      <c r="BR31" s="29">
        <f t="shared" ca="1" si="30"/>
        <v>16</v>
      </c>
      <c r="BS31" s="29">
        <f t="shared" ca="1" si="31"/>
        <v>0.18457904705584238</v>
      </c>
      <c r="BU31" s="29">
        <f ca="1">_xlfn.RANK.EQ(BV31,$BV$30:$BV$32)</f>
        <v>1</v>
      </c>
      <c r="BV31" s="29">
        <f ca="1">IF(BW31="Nature",RAND(),0)</f>
        <v>0</v>
      </c>
      <c r="BW31" s="29" t="str">
        <f ca="1">IF(OR($AV$16&gt;=1,$BR$16&gt;=1,BM16&gt;=1),"Nature"," ")</f>
        <v xml:space="preserve"> </v>
      </c>
      <c r="BY31" s="29">
        <f ca="1">_xlfn.RANK.EQ(BZ31,$BZ$30:$BZ$32)</f>
        <v>2</v>
      </c>
      <c r="BZ31" s="29">
        <f t="shared" ca="1" si="32"/>
        <v>0.63746304702046863</v>
      </c>
      <c r="CB31" s="35">
        <f ca="1">_xlfn.RANK.EQ(CC31,$CC$30:$CC$34)</f>
        <v>3</v>
      </c>
      <c r="CC31" s="36">
        <f ca="1">IF(BM12&gt;0,0,RAND())</f>
        <v>0.29916559324128633</v>
      </c>
      <c r="CD31" s="29" t="s">
        <v>17</v>
      </c>
      <c r="CE31" s="31"/>
    </row>
    <row r="32" spans="2:83" x14ac:dyDescent="0.3">
      <c r="O32" s="33" t="str">
        <f ca="1">IF(AND(O11="monk",O12&gt;=14),"Diamond Soul"," ")</f>
        <v xml:space="preserve"> </v>
      </c>
      <c r="AE32" s="29">
        <f ca="1">RANDBETWEEN(2,20)</f>
        <v>19</v>
      </c>
      <c r="AI32" s="29">
        <v>5</v>
      </c>
      <c r="AK32" s="29" t="str">
        <f ca="1">IF(P15="college of lore",INDEX(#REF!,MATCH(AI32,(#REF!),0))," ")</f>
        <v xml:space="preserve"> </v>
      </c>
      <c r="BN32" s="29">
        <f t="shared" ca="1" si="29"/>
        <v>1</v>
      </c>
      <c r="BO32" s="29">
        <f ca="1">IF(BP32="Insight",RAND(),0)</f>
        <v>0</v>
      </c>
      <c r="BP32" s="29" t="str">
        <f t="shared" ca="1" si="33"/>
        <v xml:space="preserve"> </v>
      </c>
      <c r="BR32" s="29">
        <f t="shared" ca="1" si="30"/>
        <v>8</v>
      </c>
      <c r="BS32" s="29">
        <f t="shared" ca="1" si="31"/>
        <v>0.54638593803197943</v>
      </c>
      <c r="BU32" s="29">
        <f ca="1">_xlfn.RANK.EQ(BV32,$BV$30:$BV$32)</f>
        <v>1</v>
      </c>
      <c r="BV32" s="29">
        <f ca="1">IF(BW32="Survival",RAND(),0)</f>
        <v>0</v>
      </c>
      <c r="BW32" s="29" t="str">
        <f ca="1">IF(OR($AV$23&gt;=1,$BR$23&gt;=1,BM23&gt;=1),"Survival"," ")</f>
        <v xml:space="preserve"> </v>
      </c>
      <c r="BY32" s="29">
        <f ca="1">_xlfn.RANK.EQ(BZ32,$BZ$30:$BZ$32)</f>
        <v>1</v>
      </c>
      <c r="BZ32" s="29">
        <f t="shared" ca="1" si="32"/>
        <v>0.90110260109438223</v>
      </c>
      <c r="CB32" s="35">
        <f ca="1">_xlfn.RANK.EQ(CC32,$CC$30:$CC$34)</f>
        <v>5</v>
      </c>
      <c r="CC32" s="36">
        <f ca="1">IF(BM15&gt;0,0,RAND())</f>
        <v>0.15608689797418218</v>
      </c>
      <c r="CD32" s="29" t="s">
        <v>20</v>
      </c>
    </row>
    <row r="33" spans="1:83" x14ac:dyDescent="0.3">
      <c r="O33" s="33" t="str">
        <f ca="1">IF(AND(O11="monk",O12&gt;=15),"Timeless Body"," ")</f>
        <v xml:space="preserve"> </v>
      </c>
      <c r="AI33" s="29">
        <v>6</v>
      </c>
      <c r="AK33" s="29" t="str">
        <f ca="1">IF(P15="college of lore",INDEX(#REF!,MATCH(AI33,(#REF!),0))," ")</f>
        <v xml:space="preserve"> </v>
      </c>
      <c r="BN33" s="29">
        <f t="shared" ca="1" si="29"/>
        <v>1</v>
      </c>
      <c r="BO33" s="29">
        <f ca="1">IF(BP33="Intimidation",RAND(),0)</f>
        <v>0</v>
      </c>
      <c r="BP33" s="29" t="str">
        <f t="shared" ca="1" si="33"/>
        <v xml:space="preserve"> </v>
      </c>
      <c r="BR33" s="29">
        <f t="shared" ca="1" si="30"/>
        <v>6</v>
      </c>
      <c r="BS33" s="29">
        <f t="shared" ca="1" si="31"/>
        <v>0.62547959857209978</v>
      </c>
      <c r="CB33" s="35">
        <f ca="1">_xlfn.RANK.EQ(CC33,$CC$30:$CC$34)</f>
        <v>4</v>
      </c>
      <c r="CC33" s="36">
        <f ca="1">IF(BM19&gt;0,0,RAND())</f>
        <v>0.22839868148971165</v>
      </c>
      <c r="CD33" s="29" t="s">
        <v>24</v>
      </c>
    </row>
    <row r="34" spans="1:83" x14ac:dyDescent="0.3">
      <c r="O34" s="33" t="str">
        <f ca="1">IF(AND(O11="Monk",O12&gt;=18),"Empty Body"," ")</f>
        <v xml:space="preserve"> </v>
      </c>
      <c r="BN34" s="29">
        <f t="shared" ca="1" si="29"/>
        <v>1</v>
      </c>
      <c r="BO34" s="29">
        <f ca="1">IF(BP34="Investigation",RAND(),0)</f>
        <v>0</v>
      </c>
      <c r="BP34" s="29" t="str">
        <f t="shared" ca="1" si="33"/>
        <v xml:space="preserve"> </v>
      </c>
      <c r="BR34" s="29">
        <f t="shared" ca="1" si="30"/>
        <v>14</v>
      </c>
      <c r="BS34" s="29">
        <f t="shared" ca="1" si="31"/>
        <v>0.32180383284040126</v>
      </c>
      <c r="CB34" s="35">
        <f ca="1">_xlfn.RANK.EQ(CC34,$CC$30:$CC$34)</f>
        <v>1</v>
      </c>
      <c r="CC34" s="36">
        <f ca="1">IF(BM20&gt;0,0,RAND())</f>
        <v>0.77312290200164746</v>
      </c>
      <c r="CD34" s="29" t="s">
        <v>25</v>
      </c>
    </row>
    <row r="35" spans="1:83" x14ac:dyDescent="0.3">
      <c r="O35" s="33" t="str">
        <f ca="1">IF(AND(O11="monk",O12&gt;=20),"Perfect Body"," ")</f>
        <v xml:space="preserve"> </v>
      </c>
      <c r="AE35" s="29" t="s">
        <v>2255</v>
      </c>
      <c r="AF35" s="29">
        <f ca="1">RANDBETWEEN(1,3)</f>
        <v>3</v>
      </c>
      <c r="BN35" s="29">
        <f t="shared" ca="1" si="29"/>
        <v>1</v>
      </c>
      <c r="BO35" s="29">
        <f ca="1">IF(BP35="Medicine",RAND(),0)</f>
        <v>0</v>
      </c>
      <c r="BP35" s="29" t="str">
        <f t="shared" ca="1" si="33"/>
        <v xml:space="preserve"> </v>
      </c>
      <c r="BR35" s="29">
        <f t="shared" ca="1" si="30"/>
        <v>2</v>
      </c>
      <c r="BS35" s="29">
        <f t="shared" ca="1" si="31"/>
        <v>0.85309613507451043</v>
      </c>
    </row>
    <row r="36" spans="1:83" ht="19.5" thickBot="1" x14ac:dyDescent="0.35">
      <c r="A36" s="33"/>
      <c r="B36" s="38"/>
      <c r="C36" s="38"/>
      <c r="D36" s="38"/>
      <c r="E36" s="38"/>
      <c r="F36" s="38"/>
      <c r="G36" s="38"/>
      <c r="H36" s="38"/>
      <c r="I36" s="38"/>
      <c r="J36" s="38"/>
      <c r="K36" s="38"/>
      <c r="L36" s="38"/>
      <c r="M36" s="38"/>
      <c r="N36" s="38"/>
      <c r="O36" s="38"/>
      <c r="P36" s="38"/>
      <c r="AE36" s="29" t="s">
        <v>2256</v>
      </c>
      <c r="AF36" s="29">
        <f ca="1">RANDBETWEEN(1,2)</f>
        <v>2</v>
      </c>
      <c r="BN36" s="29">
        <f t="shared" ca="1" si="29"/>
        <v>1</v>
      </c>
      <c r="BO36" s="29">
        <f ca="1">IF(BP36="Nature",RAND(),0)</f>
        <v>0</v>
      </c>
      <c r="BP36" s="29" t="str">
        <f t="shared" ca="1" si="33"/>
        <v xml:space="preserve"> </v>
      </c>
      <c r="BR36" s="29">
        <f t="shared" ca="1" si="30"/>
        <v>11</v>
      </c>
      <c r="BS36" s="29">
        <f t="shared" ca="1" si="31"/>
        <v>0.476016889849881</v>
      </c>
      <c r="CB36" s="31" t="s">
        <v>730</v>
      </c>
      <c r="CE36" s="31"/>
    </row>
    <row r="37" spans="1:83" ht="30.75" thickBot="1" x14ac:dyDescent="0.45">
      <c r="A37" s="137"/>
      <c r="B37" s="122" t="s">
        <v>10</v>
      </c>
      <c r="C37" s="53" t="s">
        <v>710</v>
      </c>
      <c r="D37" s="53" t="s">
        <v>676</v>
      </c>
      <c r="E37" s="53" t="s">
        <v>677</v>
      </c>
      <c r="F37" s="53" t="s">
        <v>678</v>
      </c>
      <c r="G37" s="53" t="s">
        <v>679</v>
      </c>
      <c r="H37" s="53" t="s">
        <v>680</v>
      </c>
      <c r="I37" s="53" t="s">
        <v>675</v>
      </c>
      <c r="J37" s="53"/>
      <c r="K37" s="53"/>
      <c r="L37" s="53"/>
      <c r="M37" s="53"/>
      <c r="N37" s="53"/>
      <c r="O37" s="53" t="s">
        <v>8</v>
      </c>
      <c r="P37" s="116" t="s">
        <v>9</v>
      </c>
      <c r="BN37" s="29">
        <f t="shared" ca="1" si="29"/>
        <v>1</v>
      </c>
      <c r="BO37" s="29">
        <f ca="1">IF(BP37="Perception",RAND(),0)</f>
        <v>0</v>
      </c>
      <c r="BP37" s="29" t="str">
        <f t="shared" ca="1" si="33"/>
        <v xml:space="preserve"> </v>
      </c>
      <c r="BR37" s="29">
        <f t="shared" ca="1" si="30"/>
        <v>7</v>
      </c>
      <c r="BS37" s="29">
        <f t="shared" ca="1" si="31"/>
        <v>0.56505700052914043</v>
      </c>
      <c r="CB37" s="35">
        <f t="shared" ref="CB37:CB44" ca="1" si="34">_xlfn.RANK.EQ(CC37,$CC$37:$CC$44)</f>
        <v>1</v>
      </c>
      <c r="CC37" s="36">
        <f ca="1">IF(BM8&gt;0,0,RAND())</f>
        <v>0.9392115323342427</v>
      </c>
      <c r="CD37" s="29" t="s">
        <v>13</v>
      </c>
    </row>
    <row r="38" spans="1:83" ht="19.5" thickTop="1" x14ac:dyDescent="0.3">
      <c r="A38" s="137"/>
      <c r="B38" s="33" t="s">
        <v>1</v>
      </c>
      <c r="C38" s="33" t="str">
        <f ca="1">IF(O26="Primal Champion",4," ")</f>
        <v xml:space="preserve"> </v>
      </c>
      <c r="D38" s="33" t="str">
        <f ca="1">IF(AND($AF$2="strength",$AF$3="strength"),2,IF(OR($AF$2="strength",$AF$3="strength"),1," "))</f>
        <v xml:space="preserve"> </v>
      </c>
      <c r="E38" s="33" t="str">
        <f ca="1">IF(AND($AF$4="strength",$AF$5="strength"),2,IF(OR($AF$4="strength",$AF$5="strength"),1," "))</f>
        <v xml:space="preserve"> </v>
      </c>
      <c r="F38" s="33" t="str">
        <f ca="1">IF(AND($AF$6="strength",$AF$7="strength"),2,IF(OR($AF$6="strength",$AF$7="strength"),1," "))</f>
        <v xml:space="preserve"> </v>
      </c>
      <c r="G38" s="33" t="str">
        <f ca="1">IF(AND($AF$8="strength",$AF$9="strength"),2,IF(OR($AF$8="strength",$AF$9="strength"),1," "))</f>
        <v xml:space="preserve"> </v>
      </c>
      <c r="H38" s="33" t="str">
        <f ca="1">IF(AND($AF$10="strength",$AF$11="strength"),2,IF(OR($AF$10="strength",$AF$11="strength"),1," "))</f>
        <v xml:space="preserve"> </v>
      </c>
      <c r="I38" s="33">
        <f ca="1">IF(OR(Q2="dragonborn",P2="mountain",Q2="Half-orc"),SUM(J38:M38)-SMALL(J38:M38,1)+2,IF(Q2="human",(SUM(J38:M38)-SMALL(J38:M38,1)+1),(SUM(J38:M38)-SMALL(J38:M38,1))))</f>
        <v>16</v>
      </c>
      <c r="J38" s="33">
        <f t="shared" ref="J38:M43" ca="1" si="35">RANDBETWEEN(1,6)</f>
        <v>6</v>
      </c>
      <c r="K38" s="33">
        <f t="shared" ca="1" si="35"/>
        <v>6</v>
      </c>
      <c r="L38" s="33">
        <f t="shared" ca="1" si="35"/>
        <v>2</v>
      </c>
      <c r="M38" s="33">
        <f t="shared" ca="1" si="35"/>
        <v>2</v>
      </c>
      <c r="N38" s="33"/>
      <c r="O38" s="33">
        <f ca="1">IF(OR(O11="barbarian",O11="fighter",O11="paladin"),MAX(13,(SUM(C38:I38))),IF(OR(Q11="barbarian",Q11="fighter",Q11="paladin"),MAX(13,(SUM(C38:I38))),SUM(C38:I38)))</f>
        <v>16</v>
      </c>
      <c r="P38" s="117">
        <f ca="1">VLOOKUP(O38,Table1[],2)</f>
        <v>3</v>
      </c>
      <c r="BN38" s="29">
        <f t="shared" ca="1" si="29"/>
        <v>1</v>
      </c>
      <c r="BO38" s="29">
        <f ca="1">IF(BP38="Performance",RAND(),0)</f>
        <v>0</v>
      </c>
      <c r="BP38" s="29" t="str">
        <f t="shared" ca="1" si="33"/>
        <v xml:space="preserve"> </v>
      </c>
      <c r="BR38" s="29">
        <f t="shared" ca="1" si="30"/>
        <v>17</v>
      </c>
      <c r="BS38" s="29">
        <f t="shared" ca="1" si="31"/>
        <v>0.13654392599926568</v>
      </c>
      <c r="CB38" s="35">
        <f t="shared" ca="1" si="34"/>
        <v>2</v>
      </c>
      <c r="CC38" s="36">
        <f ca="1">IF(BM7&gt;0,0,RAND())</f>
        <v>0.86720477630768222</v>
      </c>
      <c r="CD38" s="29" t="s">
        <v>29</v>
      </c>
    </row>
    <row r="39" spans="1:83" x14ac:dyDescent="0.3">
      <c r="A39" s="137"/>
      <c r="B39" s="33" t="s">
        <v>2</v>
      </c>
      <c r="C39" s="33"/>
      <c r="D39" s="33" t="str">
        <f ca="1">IF(AND($AF$2="dexterity",$AF$3="dexterity"),2,IF(OR($AF$2="dexterity",$AF$3="dexterity"),1," "))</f>
        <v xml:space="preserve"> </v>
      </c>
      <c r="E39" s="33" t="str">
        <f ca="1">IF(AND($AF$4="dexterity",$AF$5="dexterity"),2,IF(OR($AF$4="dexterity",$AF$5="dexterity"),1," "))</f>
        <v xml:space="preserve"> </v>
      </c>
      <c r="F39" s="33" t="str">
        <f ca="1">IF(AND($AF$6="dexterity",$AF$7="dexterity"),2,IF(OR($AF$6="dexterity",$AF$7="dexterity"),1," "))</f>
        <v xml:space="preserve"> </v>
      </c>
      <c r="G39" s="33" t="str">
        <f ca="1">IF(AND($AF$8="dexterity",$AF$9="dexterity"),2,IF(OR($AF$8="dexterity",$AF$9="dexterity"),1," "))</f>
        <v xml:space="preserve"> </v>
      </c>
      <c r="H39" s="33" t="str">
        <f ca="1">IF(AND($AF$10="dexterity",$AF$11="dexterity"),2,IF(OR($AF$10="dexterity",$AF$11="dexterity"),1," "))</f>
        <v xml:space="preserve"> </v>
      </c>
      <c r="I39" s="33">
        <f ca="1">IF(OR(Q2="elf",Q2="halfling"),SUM(J39:M39)-SMALL(J39:M39,1)+2,IF(OR(Q2="human",P2="forest",Q2="half-elf"),SUM(J39:M39)-SMALL(J39:M39,1)+1,SUM(J39:M39)-SMALL(J39:M39,1)))</f>
        <v>15</v>
      </c>
      <c r="J39" s="33">
        <f t="shared" ca="1" si="35"/>
        <v>6</v>
      </c>
      <c r="K39" s="33">
        <f t="shared" ca="1" si="35"/>
        <v>2</v>
      </c>
      <c r="L39" s="33">
        <f t="shared" ca="1" si="35"/>
        <v>4</v>
      </c>
      <c r="M39" s="33">
        <f t="shared" ca="1" si="35"/>
        <v>5</v>
      </c>
      <c r="N39" s="33"/>
      <c r="O39" s="33">
        <f ca="1">IF(OR(O11="fighter",O11="ranger",O11="rogue"),MAX(13,(SUM(C39:I39))),IF(OR(Q11="fighter",Q11="ranger",Q11="rogue"),MAX(13,(SUM(C39:I39))),SUM(C39:I39)))</f>
        <v>15</v>
      </c>
      <c r="P39" s="117">
        <f ca="1">VLOOKUP(O39,Table1[],2)</f>
        <v>2</v>
      </c>
      <c r="BN39" s="29">
        <f t="shared" ca="1" si="29"/>
        <v>1</v>
      </c>
      <c r="BO39" s="29">
        <f ca="1">IF(BP39="Persuasion",RAND(),0)</f>
        <v>0</v>
      </c>
      <c r="BP39" s="29" t="str">
        <f t="shared" ca="1" si="33"/>
        <v xml:space="preserve"> </v>
      </c>
      <c r="BR39" s="29">
        <f t="shared" ca="1" si="30"/>
        <v>4</v>
      </c>
      <c r="BS39" s="29">
        <f t="shared" ca="1" si="31"/>
        <v>0.81402734214971972</v>
      </c>
      <c r="CB39" s="35">
        <f t="shared" ca="1" si="34"/>
        <v>6</v>
      </c>
      <c r="CC39" s="36">
        <f ca="1">IF(BM12&gt;0,0,RAND())</f>
        <v>0.34668523689888531</v>
      </c>
      <c r="CD39" s="29" t="s">
        <v>17</v>
      </c>
    </row>
    <row r="40" spans="1:83" x14ac:dyDescent="0.3">
      <c r="A40" s="137"/>
      <c r="B40" s="33" t="s">
        <v>3</v>
      </c>
      <c r="C40" s="33" t="str">
        <f ca="1">IF(O26="primal Champion",4," ")</f>
        <v xml:space="preserve"> </v>
      </c>
      <c r="D40" s="33" t="str">
        <f ca="1">IF(AND($AF$2="constitution",$AF$3="constitution"),2,IF(OR($AF$2="constitution",$AF$3="constitution"),1," "))</f>
        <v xml:space="preserve"> </v>
      </c>
      <c r="E40" s="33" t="str">
        <f ca="1">IF(AND($AF$4="constitution",$AF$5="constitution"),2,IF(OR($AF$4="constitution",$AF$5="constitution"),1," "))</f>
        <v xml:space="preserve"> </v>
      </c>
      <c r="F40" s="33" t="str">
        <f ca="1">IF(AND($AF$6="constitution",$AF$7="constitution"),2,IF(OR($AF$6="constitution",$AF$7="constitution"),1," "))</f>
        <v xml:space="preserve"> </v>
      </c>
      <c r="G40" s="33" t="str">
        <f ca="1">IF(AND($AF$8="constitution",$AF$9="constitution"),2,IF(OR($AF$8="constitution",$AF$9="constitution"),1," "))</f>
        <v xml:space="preserve"> </v>
      </c>
      <c r="H40" s="33" t="str">
        <f ca="1">IF(AND($AF$10="constitution",$AF$11="constitution"),2,IF(OR($AF$10="constitution",$AF$11="constitution"),1," "))</f>
        <v xml:space="preserve"> </v>
      </c>
      <c r="I40" s="33">
        <f ca="1">IF(Q2="dwarf",SUM(J40:M40)-SMALL(J40:M40,1)+2,IF(OR(P2="stout",Q2="human",P2="rock",Q2="half-elf",Q2="half-orc"),SUM(J40:M40)-SMALL(J40:M40,1)+1,SUM(J40:M40)-SMALL(J40:M40,1)))</f>
        <v>12</v>
      </c>
      <c r="J40" s="33">
        <f t="shared" ca="1" si="35"/>
        <v>1</v>
      </c>
      <c r="K40" s="33">
        <f t="shared" ca="1" si="35"/>
        <v>2</v>
      </c>
      <c r="L40" s="33">
        <f t="shared" ca="1" si="35"/>
        <v>2</v>
      </c>
      <c r="M40" s="33">
        <f t="shared" ca="1" si="35"/>
        <v>6</v>
      </c>
      <c r="N40" s="33"/>
      <c r="O40" s="33">
        <f ca="1">SUM(C40:I40)</f>
        <v>12</v>
      </c>
      <c r="P40" s="117">
        <f ca="1">IF(P2="hill",VLOOKUP(O40,Table1[],2)+1,VLOOKUP(O40,Table1[],2))</f>
        <v>1</v>
      </c>
      <c r="AJ40" s="29" t="s">
        <v>1650</v>
      </c>
      <c r="AK40" s="29" t="s">
        <v>530</v>
      </c>
      <c r="BN40" s="29">
        <f t="shared" ca="1" si="29"/>
        <v>1</v>
      </c>
      <c r="BO40" s="29">
        <f ca="1">IF(BP40="Religion",RAND(),0)</f>
        <v>0</v>
      </c>
      <c r="BP40" s="29" t="str">
        <f t="shared" ca="1" si="33"/>
        <v xml:space="preserve"> </v>
      </c>
      <c r="BR40" s="29">
        <f t="shared" ca="1" si="30"/>
        <v>5</v>
      </c>
      <c r="BS40" s="29">
        <f t="shared" ca="1" si="31"/>
        <v>0.63793324400802287</v>
      </c>
      <c r="CB40" s="35">
        <f t="shared" ca="1" si="34"/>
        <v>5</v>
      </c>
      <c r="CC40" s="36">
        <f ca="1">IF(BM15&gt;0,0,RAND())</f>
        <v>0.63500524344118281</v>
      </c>
      <c r="CD40" s="29" t="s">
        <v>20</v>
      </c>
    </row>
    <row r="41" spans="1:83" x14ac:dyDescent="0.3">
      <c r="A41" s="137"/>
      <c r="B41" s="33" t="s">
        <v>4</v>
      </c>
      <c r="C41" s="33"/>
      <c r="D41" s="33" t="str">
        <f ca="1">IF(AND($AF$2="intelligence",$AF$3="intelligence"),2,IF(OR($AF$2="Intelligence",$AF$3="intelligence"),1," "))</f>
        <v xml:space="preserve"> </v>
      </c>
      <c r="E41" s="33" t="str">
        <f ca="1">IF(AND($AF$4="intelligence",$AF$5="intelligence"),2,IF(OR($AF$4="Intelligence",$AF$5="intelligence"),1," "))</f>
        <v xml:space="preserve"> </v>
      </c>
      <c r="F41" s="33" t="str">
        <f ca="1">IF(AND($AF$6="intelligence",$AF$7="intelligence"),2,IF(OR($AF$6="Intelligence",$AF$7="intelligence"),1," "))</f>
        <v xml:space="preserve"> </v>
      </c>
      <c r="G41" s="33" t="str">
        <f ca="1">IF(AND($AF$8="intelligence",$AF$9="intelligence"),2,IF(OR($AF$8="Intelligence",$AF$9="intelligence"),1," "))</f>
        <v xml:space="preserve"> </v>
      </c>
      <c r="H41" s="33" t="str">
        <f ca="1">IF(AND($AF$10="intelligence",$AF$11="intelligence"),2,IF(OR($AF$10="Intelligence",$AF$11="intelligence"),1," "))</f>
        <v xml:space="preserve"> </v>
      </c>
      <c r="I41" s="33">
        <f ca="1">IF(OR(P2="high",Q2="human",Q2="tiefling"),SUM(J41:M41)-SMALL(J41:M41,1)+1,IF(Q2="gnome",SUM(J41:M41)-SMALL(J41:M41,1)+2,SUM(J41:M41)-SMALL(J41:M41,1)))</f>
        <v>12</v>
      </c>
      <c r="J41" s="33">
        <f t="shared" ca="1" si="35"/>
        <v>4</v>
      </c>
      <c r="K41" s="33">
        <f t="shared" ca="1" si="35"/>
        <v>5</v>
      </c>
      <c r="L41" s="33">
        <f t="shared" ca="1" si="35"/>
        <v>1</v>
      </c>
      <c r="M41" s="33">
        <f t="shared" ca="1" si="35"/>
        <v>3</v>
      </c>
      <c r="N41" s="33"/>
      <c r="O41" s="33">
        <f ca="1">IF(O11="wizard",MAX(13,(SUM(C41:I41))),IF(Q11="wizard",MAX(13,(SUM(C41:I41))),SUM(C41:I41)))</f>
        <v>12</v>
      </c>
      <c r="P41" s="117">
        <f ca="1">VLOOKUP(O41,Table1[],2)</f>
        <v>1</v>
      </c>
      <c r="AJ41" s="29" t="s">
        <v>1649</v>
      </c>
      <c r="AK41" s="29" t="str">
        <f ca="1">IF(Q11="wizard",((Q12-1)*2)+6," ")</f>
        <v xml:space="preserve"> </v>
      </c>
      <c r="BN41" s="29">
        <f t="shared" ca="1" si="29"/>
        <v>1</v>
      </c>
      <c r="BO41" s="29">
        <f ca="1">IF(BP41="Sleight of Hand",RAND(),0)</f>
        <v>0</v>
      </c>
      <c r="BP41" s="29" t="str">
        <f t="shared" ca="1" si="33"/>
        <v xml:space="preserve"> </v>
      </c>
      <c r="BR41" s="29">
        <f t="shared" ca="1" si="30"/>
        <v>10</v>
      </c>
      <c r="BS41" s="29">
        <f t="shared" ca="1" si="31"/>
        <v>0.5028690535596001</v>
      </c>
      <c r="CB41" s="35">
        <f t="shared" ca="1" si="34"/>
        <v>8</v>
      </c>
      <c r="CC41" s="36">
        <f ca="1">IF(BM16&gt;0,0,RAND())</f>
        <v>2.433071064289849E-2</v>
      </c>
      <c r="CD41" s="29" t="s">
        <v>21</v>
      </c>
      <c r="CE41" s="31"/>
    </row>
    <row r="42" spans="1:83" x14ac:dyDescent="0.3">
      <c r="A42" s="137"/>
      <c r="B42" s="33" t="s">
        <v>5</v>
      </c>
      <c r="C42" s="33"/>
      <c r="D42" s="33" t="str">
        <f ca="1">IF(AND($AF$2="wisdom",$AF$3="wisdom"),2,IF(OR($AF$2="wisdom",$AF$3="wisdom"),1," "))</f>
        <v xml:space="preserve"> </v>
      </c>
      <c r="E42" s="33" t="str">
        <f ca="1">IF(AND($AF$4="wisdom",$AF$5="wisdom"),2,IF(OR($AF$4="wisdom",$AF$5="wisdom"),1," "))</f>
        <v xml:space="preserve"> </v>
      </c>
      <c r="F42" s="33" t="str">
        <f ca="1">IF(AND($AF$6="wisdom",$AF$7="wisdom"),2,IF(OR($AF$6="wisdom",$AF$7="wisdom"),1," "))</f>
        <v xml:space="preserve"> </v>
      </c>
      <c r="G42" s="33" t="str">
        <f ca="1">IF(AND($AF$8="wisdom",$AF$9="wisdom"),2,IF(OR($AF$8="wisdom",$AF$9="wisdom"),1," "))</f>
        <v xml:space="preserve"> </v>
      </c>
      <c r="H42" s="33" t="str">
        <f ca="1">IF(AND($AF$10="wisdom",$AF$11="wisdom"),2,IF(OR($AF$10="wisdom",$AF$11="wisdom"),1," "))</f>
        <v xml:space="preserve"> </v>
      </c>
      <c r="I42" s="33">
        <f ca="1">IF(OR(P2="hill",P2="wood",Q2="human"),SUM(J42:M42)-SMALL(J42:M42,1)+1,SUM(J42:M42)-SMALL(J42:M42,1))</f>
        <v>14</v>
      </c>
      <c r="J42" s="33">
        <f t="shared" ca="1" si="35"/>
        <v>3</v>
      </c>
      <c r="K42" s="33">
        <f t="shared" ca="1" si="35"/>
        <v>1</v>
      </c>
      <c r="L42" s="33">
        <f t="shared" ca="1" si="35"/>
        <v>6</v>
      </c>
      <c r="M42" s="33">
        <f t="shared" ca="1" si="35"/>
        <v>5</v>
      </c>
      <c r="N42" s="33"/>
      <c r="O42" s="33">
        <f ca="1">IF(OR(O11="cleric",O11="druid",O11="monk",O11="ranger"),MAX(13,(SUM(C42:I42))),IF(OR(Q11="cleric",Q11="druid",Q11="monk",Q11="ranger"),MAX(13,(SUM(C42:I42))),SUM(C42:I42)))</f>
        <v>14</v>
      </c>
      <c r="P42" s="117">
        <f ca="1">VLOOKUP(O42,Table1[],2)</f>
        <v>2</v>
      </c>
      <c r="BN42" s="29">
        <f t="shared" ca="1" si="29"/>
        <v>1</v>
      </c>
      <c r="BO42" s="29">
        <f ca="1">IF(BP42="Stealth",RAND(),0)</f>
        <v>0</v>
      </c>
      <c r="BP42" s="29" t="str">
        <f t="shared" ca="1" si="33"/>
        <v xml:space="preserve"> </v>
      </c>
      <c r="BR42" s="29">
        <f t="shared" ca="1" si="30"/>
        <v>3</v>
      </c>
      <c r="BS42" s="29">
        <f t="shared" ca="1" si="31"/>
        <v>0.83206351342936113</v>
      </c>
      <c r="CB42" s="35">
        <f t="shared" ca="1" si="34"/>
        <v>3</v>
      </c>
      <c r="CC42" s="36">
        <f ca="1">IF(BM17&gt;0,0,RAND())</f>
        <v>0.82302346487173106</v>
      </c>
      <c r="CD42" s="29" t="s">
        <v>22</v>
      </c>
    </row>
    <row r="43" spans="1:83" ht="19.5" thickBot="1" x14ac:dyDescent="0.35">
      <c r="A43" s="137"/>
      <c r="B43" s="38" t="s">
        <v>6</v>
      </c>
      <c r="C43" s="38"/>
      <c r="D43" s="38" t="str">
        <f ca="1">IF(AND($AF$2="charisma",$AF$3="charisma"),2,IF(OR($AF$2="charisma",$AF$3="charisma"),1," "))</f>
        <v xml:space="preserve"> </v>
      </c>
      <c r="E43" s="38" t="str">
        <f ca="1">IF(AND($AF$4="charisma",$AF$5="charisma"),2,IF(OR($AF$4="charisma",$AF$5="charisma"),1," "))</f>
        <v xml:space="preserve"> </v>
      </c>
      <c r="F43" s="38" t="str">
        <f ca="1">IF(AND($AF$6="charisma",$AF$7="charisma"),2,IF(OR($AF$6="charisma",$AF$7="charisma"),1," "))</f>
        <v xml:space="preserve"> </v>
      </c>
      <c r="G43" s="38" t="str">
        <f ca="1">IF(AND($AF$8="charisma",$AF$9="charisma"),2,IF(OR($AF$8="charisma",$AF$9="charisma"),1," "))</f>
        <v xml:space="preserve"> </v>
      </c>
      <c r="H43" s="38" t="str">
        <f ca="1">IF(AND($AF$10="charisma",$AF$11="charisma"),2,IF(OR($AF$10="charisma",$AF$11="charisma"),1," "))</f>
        <v xml:space="preserve"> </v>
      </c>
      <c r="I43" s="38">
        <f ca="1">IF(OR(P2="dark",P2="lightfoot",Q2="human",Q2="dragonborn"),SUM(J43:M43)-SMALL(J43:M43,1)+1,IF(OR(Q2="half-elf",Q2="tiefling"),SUM(J43:M43)-SMALL(J43:M43,1)+2,SUM(J43:M43)-SMALL(J43:M43,1)))</f>
        <v>13</v>
      </c>
      <c r="J43" s="38">
        <f t="shared" ca="1" si="35"/>
        <v>2</v>
      </c>
      <c r="K43" s="38">
        <f t="shared" ca="1" si="35"/>
        <v>4</v>
      </c>
      <c r="L43" s="38">
        <f t="shared" ca="1" si="35"/>
        <v>5</v>
      </c>
      <c r="M43" s="38">
        <f t="shared" ca="1" si="35"/>
        <v>4</v>
      </c>
      <c r="N43" s="38"/>
      <c r="O43" s="38">
        <f ca="1">IF(OR(O11="bard",O11="paladin",O11="sorcerer",O11="warlock"),MAX(13,(SUM(C43:I43))),IF(OR(Q11="bard",Q11="paladin",Q11="sorcerer",Q11="warlock"),MAX(13,(SUM(C43:I43))),SUM(C43:I43)))</f>
        <v>13</v>
      </c>
      <c r="P43" s="118">
        <f ca="1">VLOOKUP(O43,Table1[],2)</f>
        <v>1</v>
      </c>
      <c r="AJ43" s="31" t="s">
        <v>1166</v>
      </c>
      <c r="AO43" s="57"/>
      <c r="AP43" s="57"/>
      <c r="AQ43" s="57"/>
      <c r="BN43" s="29">
        <f t="shared" ca="1" si="29"/>
        <v>1</v>
      </c>
      <c r="BO43" s="29">
        <f ca="1">IF(BP43="Survival",RAND(),0)</f>
        <v>0</v>
      </c>
      <c r="BP43" s="29" t="str">
        <f t="shared" ca="1" si="33"/>
        <v xml:space="preserve"> </v>
      </c>
      <c r="BR43" s="29">
        <f t="shared" ca="1" si="30"/>
        <v>12</v>
      </c>
      <c r="BS43" s="29">
        <f t="shared" ca="1" si="31"/>
        <v>0.40539062340699261</v>
      </c>
      <c r="CB43" s="35">
        <f t="shared" ca="1" si="34"/>
        <v>7</v>
      </c>
      <c r="CC43" s="36">
        <f ca="1">IF(BM20&gt;0,0,RAND())</f>
        <v>0.10528930549956494</v>
      </c>
      <c r="CD43" s="29" t="s">
        <v>25</v>
      </c>
    </row>
    <row r="44" spans="1:83" ht="19.5" thickBot="1" x14ac:dyDescent="0.35">
      <c r="A44" s="33"/>
      <c r="B44" s="38"/>
      <c r="C44" s="38"/>
      <c r="D44" s="38"/>
      <c r="E44" s="38"/>
      <c r="F44" s="38"/>
      <c r="G44" s="38"/>
      <c r="H44" s="38"/>
      <c r="I44" s="38"/>
      <c r="J44" s="38"/>
      <c r="K44" s="38"/>
      <c r="L44" s="38"/>
      <c r="M44" s="38"/>
      <c r="N44" s="38"/>
      <c r="O44" s="38"/>
      <c r="P44" s="38"/>
      <c r="AJ44" s="58" t="str">
        <f ca="1">IF(Table200335449791848905314378824[[#This Row],[Column2]]=0," ",_xlfn.RANK.EQ(AK44,$AK$44:$AK$53))</f>
        <v xml:space="preserve"> </v>
      </c>
      <c r="AK44" s="29">
        <f ca="1">IF(Table200335449791848905314378824[[#This Row],[Column3]]=" ", 0,RAND())</f>
        <v>0</v>
      </c>
      <c r="AL44" s="29" t="str">
        <f t="shared" ref="AL44:AL53" ca="1" si="36">Q315</f>
        <v xml:space="preserve"> </v>
      </c>
      <c r="AO44" s="29" t="s">
        <v>1962</v>
      </c>
      <c r="CB44" s="35">
        <f t="shared" ca="1" si="34"/>
        <v>4</v>
      </c>
      <c r="CC44" s="36">
        <f ca="1">IF(BM23&gt;0,0,RAND())</f>
        <v>0.74035606602251114</v>
      </c>
      <c r="CD44" s="29" t="s">
        <v>28</v>
      </c>
    </row>
    <row r="45" spans="1:83" ht="30.75" thickBot="1" x14ac:dyDescent="0.45">
      <c r="A45" s="115"/>
      <c r="B45" s="122" t="s">
        <v>37</v>
      </c>
      <c r="C45" s="53"/>
      <c r="D45" s="53"/>
      <c r="E45" s="53"/>
      <c r="F45" s="53"/>
      <c r="G45" s="53"/>
      <c r="H45" s="53"/>
      <c r="I45" s="53"/>
      <c r="J45" s="53"/>
      <c r="K45" s="53"/>
      <c r="L45" s="53"/>
      <c r="M45" s="53"/>
      <c r="N45" s="53"/>
      <c r="O45" s="53" t="s">
        <v>30</v>
      </c>
      <c r="P45" s="116" t="s">
        <v>38</v>
      </c>
      <c r="AJ45" s="58" t="str">
        <f ca="1">IF(Table200335449791848905314378824[[#This Row],[Column2]]=0," ",_xlfn.RANK.EQ(AK45,$AK$44:$AK$53))</f>
        <v xml:space="preserve"> </v>
      </c>
      <c r="AK45" s="29">
        <f ca="1">IF(Table200335449791848905314378824[[#This Row],[Column3]]=" ", 0,RAND())</f>
        <v>0</v>
      </c>
      <c r="AL45" s="29" t="str">
        <f t="shared" ca="1" si="36"/>
        <v xml:space="preserve"> </v>
      </c>
      <c r="AO45" s="29">
        <f ca="1">IF(Table293375489831888945361417863[[#This Row],[Column2]]=0," ",_xlfn.RANK.EQ(Table293375489831888945361417863[[#This Row],[Column2]],$AP$45:$AP$59))</f>
        <v>5</v>
      </c>
      <c r="AP45" s="29">
        <f ca="1">IF(OR(Table293375489831888945361417863[[#This Row],[Column3]]=" ",Table293375489831888945361417863[[#This Row],[Column3]]="simple weapons"), 0,RAND())</f>
        <v>0.54943744918425486</v>
      </c>
      <c r="AQ45" s="29" t="str">
        <f ca="1">P76</f>
        <v>Handaxe</v>
      </c>
    </row>
    <row r="46" spans="1:83" ht="19.5" thickTop="1" x14ac:dyDescent="0.3">
      <c r="A46" s="137"/>
      <c r="B46" s="33" t="s">
        <v>1</v>
      </c>
      <c r="C46" s="33"/>
      <c r="D46" s="33"/>
      <c r="E46" s="33"/>
      <c r="F46" s="33"/>
      <c r="G46" s="33"/>
      <c r="H46" s="33"/>
      <c r="I46" s="33"/>
      <c r="J46" s="33"/>
      <c r="K46" s="33"/>
      <c r="L46" s="33"/>
      <c r="M46" s="33"/>
      <c r="N46" s="33"/>
      <c r="O46" s="33" t="str">
        <f ca="1">IF(OR($O$11="barbarian",O11="fighter",O11="monk",O11="ranger"),"x"," ")</f>
        <v xml:space="preserve"> </v>
      </c>
      <c r="P46" s="72">
        <f t="shared" ref="P46:P51" ca="1" si="37">IF(O46="x",SUM(P38,$P$8),P38)</f>
        <v>3</v>
      </c>
      <c r="T46" s="49"/>
      <c r="U46" s="49"/>
      <c r="AJ46" s="58" t="str">
        <f ca="1">IF(Table200335449791848905314378824[[#This Row],[Column2]]=0," ",_xlfn.RANK.EQ(AK46,$AK$44:$AK$53))</f>
        <v xml:space="preserve"> </v>
      </c>
      <c r="AK46" s="29">
        <f ca="1">IF(Table200335449791848905314378824[[#This Row],[Column3]]=" ", 0,RAND())</f>
        <v>0</v>
      </c>
      <c r="AL46" s="29" t="str">
        <f t="shared" ca="1" si="36"/>
        <v xml:space="preserve"> </v>
      </c>
      <c r="AO46" s="29">
        <f ca="1">IF(Table293375489831888945361417863[[#This Row],[Column2]]=0," ",_xlfn.RANK.EQ(Table293375489831888945361417863[[#This Row],[Column2]],$AP$45:$AP$59))</f>
        <v>2</v>
      </c>
      <c r="AP46" s="29">
        <f ca="1">IF(OR(Table293375489831888945361417863[[#This Row],[Column3]]=" ",Table293375489831888945361417863[[#This Row],[Column3]]="martial weapons"), 0,RAND())</f>
        <v>0.85174181103888036</v>
      </c>
      <c r="AQ46" s="29" t="str">
        <f ca="1">P77</f>
        <v>Battleaxe</v>
      </c>
      <c r="CB46" s="31" t="s">
        <v>731</v>
      </c>
      <c r="CE46" s="31"/>
    </row>
    <row r="47" spans="1:83" x14ac:dyDescent="0.3">
      <c r="A47" s="137"/>
      <c r="B47" s="33" t="s">
        <v>2</v>
      </c>
      <c r="C47" s="33"/>
      <c r="D47" s="33"/>
      <c r="E47" s="33"/>
      <c r="F47" s="33"/>
      <c r="G47" s="33"/>
      <c r="H47" s="33"/>
      <c r="I47" s="33"/>
      <c r="J47" s="33"/>
      <c r="K47" s="33"/>
      <c r="L47" s="33"/>
      <c r="M47" s="33"/>
      <c r="N47" s="33"/>
      <c r="O47" s="33" t="str">
        <f ca="1">IF(OR($O$11="bard",O11="monk",O11="ranger",O11="rogue"),"x"," ")</f>
        <v xml:space="preserve"> </v>
      </c>
      <c r="P47" s="72">
        <f t="shared" ca="1" si="37"/>
        <v>2</v>
      </c>
      <c r="T47" s="49"/>
      <c r="U47" s="49"/>
      <c r="AJ47" s="58" t="str">
        <f ca="1">IF(Table200335449791848905314378824[[#This Row],[Column2]]=0," ",_xlfn.RANK.EQ(AK47,$AK$44:$AK$53))</f>
        <v xml:space="preserve"> </v>
      </c>
      <c r="AK47" s="29">
        <f ca="1">IF(Table200335449791848905314378824[[#This Row],[Column3]]=" ", 0,RAND())</f>
        <v>0</v>
      </c>
      <c r="AL47" s="29" t="str">
        <f t="shared" ca="1" si="36"/>
        <v xml:space="preserve"> </v>
      </c>
      <c r="AO47" s="29">
        <f ca="1">IF(Table293375489831888945361417863[[#This Row],[Column2]]=0," ",_xlfn.RANK.EQ(Table293375489831888945361417863[[#This Row],[Column2]],$AP$45:$AP$59))</f>
        <v>4</v>
      </c>
      <c r="AP47" s="29">
        <f ca="1">IF(Table293375489831888945361417863[[#This Row],[Column3]]=" ", 0,RAND())</f>
        <v>0.60006909631016869</v>
      </c>
      <c r="AQ47" s="29" t="str">
        <f ca="1">P78</f>
        <v>Light Hammer</v>
      </c>
      <c r="CB47" s="35">
        <f t="shared" ref="CB47:CB54" ca="1" si="38">_xlfn.RANK.EQ(CC47,$CC$47:$CC$54)</f>
        <v>4</v>
      </c>
      <c r="CC47" s="36">
        <f ca="1">IF(BM6&gt;0,0,RAND())</f>
        <v>0.58923854718753621</v>
      </c>
      <c r="CD47" s="29" t="s">
        <v>12</v>
      </c>
    </row>
    <row r="48" spans="1:83" x14ac:dyDescent="0.3">
      <c r="A48" s="137"/>
      <c r="B48" s="33" t="s">
        <v>3</v>
      </c>
      <c r="C48" s="33"/>
      <c r="D48" s="33"/>
      <c r="E48" s="33"/>
      <c r="F48" s="33"/>
      <c r="G48" s="33"/>
      <c r="H48" s="33"/>
      <c r="I48" s="33"/>
      <c r="J48" s="33"/>
      <c r="K48" s="33"/>
      <c r="L48" s="33"/>
      <c r="M48" s="33"/>
      <c r="N48" s="33"/>
      <c r="O48" s="33" t="str">
        <f ca="1">IF(OR(O11="barbarian",O11="fighter",O11="sorcerer"),"x"," ")</f>
        <v xml:space="preserve"> </v>
      </c>
      <c r="P48" s="72">
        <f t="shared" ca="1" si="37"/>
        <v>1</v>
      </c>
      <c r="T48" s="49"/>
      <c r="U48" s="49"/>
      <c r="AJ48" s="58" t="str">
        <f ca="1">IF(Table200335449791848905314378824[[#This Row],[Column2]]=0," ",_xlfn.RANK.EQ(AK48,$AK$44:$AK$53))</f>
        <v xml:space="preserve"> </v>
      </c>
      <c r="AK48" s="29">
        <f ca="1">IF(Table200335449791848905314378824[[#This Row],[Column3]]=" ", 0,RAND())</f>
        <v>0</v>
      </c>
      <c r="AL48" s="29" t="str">
        <f t="shared" ca="1" si="36"/>
        <v xml:space="preserve"> </v>
      </c>
      <c r="AO48" s="29">
        <f ca="1">IF(Table293375489831888945361417863[[#This Row],[Column2]]=0," ",_xlfn.RANK.EQ(Table293375489831888945361417863[[#This Row],[Column2]],$AP$45:$AP$59))</f>
        <v>3</v>
      </c>
      <c r="AP48" s="29">
        <f ca="1">IF(Table293375489831888945361417863[[#This Row],[Column3]]=" ", 0,RAND())</f>
        <v>0.85038289165353664</v>
      </c>
      <c r="AQ48" s="29" t="str">
        <f ca="1">P79</f>
        <v>Warhammer</v>
      </c>
      <c r="CB48" s="35">
        <f t="shared" ca="1" si="38"/>
        <v>1</v>
      </c>
      <c r="CC48" s="36">
        <f ca="1">IF(BM7&gt;0,0,RAND())</f>
        <v>0.95885173207760477</v>
      </c>
      <c r="CD48" s="29" t="s">
        <v>29</v>
      </c>
    </row>
    <row r="49" spans="1:83" x14ac:dyDescent="0.3">
      <c r="A49" s="137"/>
      <c r="B49" s="33" t="s">
        <v>4</v>
      </c>
      <c r="C49" s="33"/>
      <c r="D49" s="33"/>
      <c r="E49" s="33"/>
      <c r="F49" s="33"/>
      <c r="G49" s="33"/>
      <c r="H49" s="33"/>
      <c r="I49" s="33"/>
      <c r="J49" s="33"/>
      <c r="K49" s="33"/>
      <c r="L49" s="33"/>
      <c r="M49" s="33"/>
      <c r="N49" s="33"/>
      <c r="O49" s="33" t="str">
        <f ca="1">IF(OR(O11="rogue",O11="druid",O11="wizard"),"x"," ")</f>
        <v xml:space="preserve"> </v>
      </c>
      <c r="P49" s="72">
        <f t="shared" ca="1" si="37"/>
        <v>1</v>
      </c>
      <c r="T49" s="49"/>
      <c r="U49" s="49"/>
      <c r="AJ49" s="58" t="str">
        <f ca="1">IF(Table200335449791848905314378824[[#This Row],[Column2]]=0," ",_xlfn.RANK.EQ(AK49,$AK$44:$AK$53))</f>
        <v xml:space="preserve"> </v>
      </c>
      <c r="AK49" s="29">
        <f ca="1">IF(Table200335449791848905314378824[[#This Row],[Column3]]=" ", 0,RAND())</f>
        <v>0</v>
      </c>
      <c r="AL49" s="29" t="str">
        <f t="shared" ca="1" si="36"/>
        <v xml:space="preserve"> </v>
      </c>
      <c r="AO49" s="29" t="str">
        <f ca="1">IF(Table293375489831888945361417863[[#This Row],[Column2]]=0," ",_xlfn.RANK.EQ(Table293375489831888945361417863[[#This Row],[Column2]],$AP$45:$AP$59))</f>
        <v xml:space="preserve"> </v>
      </c>
      <c r="AP49" s="29">
        <f ca="1">IF(Table293375489831888945361417863[[#This Row],[Column3]]=" ", 0,RAND())</f>
        <v>0</v>
      </c>
      <c r="AQ49" s="29" t="str">
        <f ca="1">P80</f>
        <v xml:space="preserve"> </v>
      </c>
      <c r="CB49" s="35">
        <f t="shared" ca="1" si="38"/>
        <v>3</v>
      </c>
      <c r="CC49" s="36">
        <f ca="1">IF(BM9&gt;0,0,RAND())</f>
        <v>0.7095165777638307</v>
      </c>
      <c r="CD49" s="29" t="s">
        <v>14</v>
      </c>
    </row>
    <row r="50" spans="1:83" x14ac:dyDescent="0.3">
      <c r="A50" s="137"/>
      <c r="B50" s="33" t="s">
        <v>39</v>
      </c>
      <c r="C50" s="33"/>
      <c r="D50" s="33"/>
      <c r="E50" s="33"/>
      <c r="F50" s="33"/>
      <c r="G50" s="33"/>
      <c r="H50" s="33"/>
      <c r="I50" s="33"/>
      <c r="J50" s="33"/>
      <c r="K50" s="33"/>
      <c r="L50" s="33"/>
      <c r="M50" s="33"/>
      <c r="N50" s="33"/>
      <c r="O50" s="33" t="str">
        <f ca="1">IF(OR(O11="cleric",O11="druid",O11="paladin",O11="warlock",O11="wizard"),"x",IF(AND(O11="rogue",O12&gt;=15),"x"," "))</f>
        <v xml:space="preserve"> </v>
      </c>
      <c r="P50" s="72">
        <f t="shared" ca="1" si="37"/>
        <v>2</v>
      </c>
      <c r="T50" s="49"/>
      <c r="U50" s="49"/>
      <c r="AJ50" s="58" t="str">
        <f ca="1">IF(Table200335449791848905314378824[[#This Row],[Column2]]=0," ",_xlfn.RANK.EQ(AK50,$AK$44:$AK$53))</f>
        <v xml:space="preserve"> </v>
      </c>
      <c r="AK50" s="29">
        <f ca="1">IF(Table200335449791848905314378824[[#This Row],[Column3]]=" ", 0,RAND())</f>
        <v>0</v>
      </c>
      <c r="AL50" s="29" t="str">
        <f t="shared" ca="1" si="36"/>
        <v xml:space="preserve"> </v>
      </c>
      <c r="AO50" s="29">
        <f ca="1">IF(Table293375489831888945361417863[[#This Row],[Column2]]=0," ",_xlfn.RANK.EQ(Table293375489831888945361417863[[#This Row],[Column2]],$AP$45:$AP$59))</f>
        <v>6</v>
      </c>
      <c r="AP50" s="29">
        <f ca="1">IF(Table293375489831888945361417863[[#This Row],[Column3]]=" ", 0,RAND())</f>
        <v>0.26698938084627999</v>
      </c>
      <c r="AQ50" s="29" t="str">
        <f ca="1">Q76</f>
        <v>Club</v>
      </c>
      <c r="CB50" s="35">
        <f t="shared" ca="1" si="38"/>
        <v>2</v>
      </c>
      <c r="CC50" s="36">
        <f ca="1">IF(BM11&gt;0,0,RAND())</f>
        <v>0.81462141457447412</v>
      </c>
      <c r="CD50" s="29" t="s">
        <v>16</v>
      </c>
    </row>
    <row r="51" spans="1:83" ht="19.5" thickBot="1" x14ac:dyDescent="0.35">
      <c r="A51" s="137"/>
      <c r="B51" s="38" t="s">
        <v>6</v>
      </c>
      <c r="C51" s="38"/>
      <c r="D51" s="38"/>
      <c r="E51" s="38"/>
      <c r="F51" s="38"/>
      <c r="G51" s="38"/>
      <c r="H51" s="38"/>
      <c r="I51" s="38"/>
      <c r="J51" s="38"/>
      <c r="K51" s="38"/>
      <c r="L51" s="38"/>
      <c r="M51" s="38"/>
      <c r="N51" s="38"/>
      <c r="O51" s="38" t="str">
        <f ca="1">IF(OR($O$11="bard",O11="cleric",O11="paladin",O11="sorcerer",O11="warlock"),"x"," ")</f>
        <v xml:space="preserve"> </v>
      </c>
      <c r="P51" s="73">
        <f t="shared" ca="1" si="37"/>
        <v>1</v>
      </c>
      <c r="AJ51" s="58" t="str">
        <f ca="1">IF(Table200335449791848905314378824[[#This Row],[Column2]]=0," ",_xlfn.RANK.EQ(AK51,$AK$44:$AK$53))</f>
        <v xml:space="preserve"> </v>
      </c>
      <c r="AK51" s="29">
        <f ca="1">IF(Table200335449791848905314378824[[#This Row],[Column3]]=" ", 0,RAND())</f>
        <v>0</v>
      </c>
      <c r="AL51" s="29" t="str">
        <f t="shared" ca="1" si="36"/>
        <v xml:space="preserve"> </v>
      </c>
      <c r="AO51" s="29">
        <f ca="1">IF(Table293375489831888945361417863[[#This Row],[Column2]]=0," ",_xlfn.RANK.EQ(Table293375489831888945361417863[[#This Row],[Column2]],$AP$45:$AP$59))</f>
        <v>7</v>
      </c>
      <c r="AP51" s="29">
        <f ca="1">IF(Table293375489831888945361417863[[#This Row],[Column3]]=" ", 0,RAND())</f>
        <v>2.9602811873812973E-2</v>
      </c>
      <c r="AQ51" s="29" t="str">
        <f ca="1">Q77</f>
        <v>Dagger</v>
      </c>
      <c r="CB51" s="35">
        <f t="shared" ca="1" si="38"/>
        <v>5</v>
      </c>
      <c r="CC51" s="36">
        <f ca="1">IF(BM12&gt;0,0,RAND())</f>
        <v>0.50811558786231426</v>
      </c>
      <c r="CD51" s="29" t="s">
        <v>17</v>
      </c>
      <c r="CE51" s="31"/>
    </row>
    <row r="52" spans="1:83" ht="19.5" thickBot="1" x14ac:dyDescent="0.35">
      <c r="A52" s="138"/>
      <c r="B52" s="99"/>
      <c r="C52" s="99"/>
      <c r="D52" s="99"/>
      <c r="E52" s="99"/>
      <c r="F52" s="99"/>
      <c r="G52" s="99"/>
      <c r="H52" s="99"/>
      <c r="I52" s="99"/>
      <c r="J52" s="99"/>
      <c r="K52" s="99"/>
      <c r="L52" s="99"/>
      <c r="M52" s="99"/>
      <c r="N52" s="99"/>
      <c r="O52" s="99"/>
      <c r="P52" s="99"/>
      <c r="AJ52" s="58" t="str">
        <f ca="1">IF(Table200335449791848905314378824[[#This Row],[Column2]]=0," ",_xlfn.RANK.EQ(AK52,$AK$44:$AK$53))</f>
        <v xml:space="preserve"> </v>
      </c>
      <c r="AK52" s="29">
        <f ca="1">IF(Table200335449791848905314378824[[#This Row],[Column3]]=" ", 0,RAND())</f>
        <v>0</v>
      </c>
      <c r="AL52" s="29" t="str">
        <f t="shared" ca="1" si="36"/>
        <v xml:space="preserve"> </v>
      </c>
      <c r="AO52" s="29" t="str">
        <f ca="1">IF(Table293375489831888945361417863[[#This Row],[Column2]]=0," ",_xlfn.RANK.EQ(Table293375489831888945361417863[[#This Row],[Column2]],$AP$45:$AP$59))</f>
        <v xml:space="preserve"> </v>
      </c>
      <c r="AP52" s="29">
        <f ca="1">IF(Table293375489831888945361417863[[#This Row],[Column3]]=" ", 0,RAND())</f>
        <v>0</v>
      </c>
      <c r="AQ52" s="29" t="str">
        <f ca="1">Q78</f>
        <v xml:space="preserve"> </v>
      </c>
      <c r="CB52" s="35">
        <f t="shared" ca="1" si="38"/>
        <v>8</v>
      </c>
      <c r="CC52" s="36">
        <f ca="1">IF(BM13&gt;0,0,RAND())</f>
        <v>0.17915101206503536</v>
      </c>
      <c r="CD52" s="29" t="s">
        <v>18</v>
      </c>
    </row>
    <row r="53" spans="1:83" ht="30.75" thickBot="1" x14ac:dyDescent="0.45">
      <c r="A53" s="137"/>
      <c r="B53" s="122" t="s">
        <v>11</v>
      </c>
      <c r="C53" s="33"/>
      <c r="D53" s="33"/>
      <c r="E53" s="33"/>
      <c r="F53" s="33"/>
      <c r="G53" s="33"/>
      <c r="H53" s="33"/>
      <c r="I53" s="33"/>
      <c r="J53" s="33"/>
      <c r="K53" s="33"/>
      <c r="L53" s="33"/>
      <c r="M53" s="33"/>
      <c r="N53" s="33"/>
      <c r="O53" s="53" t="s">
        <v>30</v>
      </c>
      <c r="P53" s="119" t="s">
        <v>529</v>
      </c>
      <c r="AJ53" s="58" t="str">
        <f ca="1">IF(Table200335449791848905314378824[[#This Row],[Column2]]=0," ",_xlfn.RANK.EQ(AK53,$AK$44:$AK$53))</f>
        <v xml:space="preserve"> </v>
      </c>
      <c r="AK53" s="29">
        <f ca="1">IF(Table200335449791848905314378824[[#This Row],[Column3]]=" ", 0,RAND())</f>
        <v>0</v>
      </c>
      <c r="AL53" s="29" t="str">
        <f t="shared" ca="1" si="36"/>
        <v xml:space="preserve"> </v>
      </c>
      <c r="AO53" s="29" t="str">
        <f ca="1">IF(Table293375489831888945361417863[[#This Row],[Column2]]=0," ",_xlfn.RANK.EQ(Table293375489831888945361417863[[#This Row],[Column2]],$AP$45:$AP$59))</f>
        <v xml:space="preserve"> </v>
      </c>
      <c r="AP53" s="29">
        <f ca="1">IF(Table293375489831888945361417863[[#This Row],[Column3]]=" ", 0,RAND())</f>
        <v>0</v>
      </c>
      <c r="AQ53" s="29" t="str">
        <f ca="1">Q79</f>
        <v xml:space="preserve"> </v>
      </c>
      <c r="CB53" s="35">
        <f t="shared" ca="1" si="38"/>
        <v>6</v>
      </c>
      <c r="CC53" s="36">
        <f ca="1">IF(BM17&gt;0,0,RAND())</f>
        <v>0.44628073190313899</v>
      </c>
      <c r="CD53" s="29" t="s">
        <v>22</v>
      </c>
    </row>
    <row r="54" spans="1:83" ht="19.5" thickTop="1" x14ac:dyDescent="0.3">
      <c r="A54" s="137"/>
      <c r="B54" s="33" t="s">
        <v>12</v>
      </c>
      <c r="C54" s="59"/>
      <c r="D54" s="33"/>
      <c r="E54" s="33"/>
      <c r="F54" s="33"/>
      <c r="G54" s="33"/>
      <c r="H54" s="33"/>
      <c r="I54" s="33"/>
      <c r="J54" s="33"/>
      <c r="K54" s="33"/>
      <c r="L54" s="33"/>
      <c r="M54" s="33"/>
      <c r="N54" s="33"/>
      <c r="O54" s="33" t="str">
        <f t="shared" ref="O54:O71" ca="1" si="39">IF(BU6&gt;0,"x"," ")</f>
        <v>x</v>
      </c>
      <c r="P54" s="120">
        <f ca="1">SUM(BU6,P39)</f>
        <v>4</v>
      </c>
      <c r="AO54" s="29" t="str">
        <f ca="1">IF(Table293375489831888945361417863[[#This Row],[Column2]]=0," ",_xlfn.RANK.EQ(Table293375489831888945361417863[[#This Row],[Column2]],$AP$45:$AP$59))</f>
        <v xml:space="preserve"> </v>
      </c>
      <c r="AP54" s="29">
        <f ca="1">IF(Table293375489831888945361417863[[#This Row],[Column3]]=" ", 0,RAND())</f>
        <v>0</v>
      </c>
      <c r="AQ54" s="29" t="str">
        <f ca="1">Q80</f>
        <v xml:space="preserve"> </v>
      </c>
      <c r="CB54" s="35">
        <f t="shared" ca="1" si="38"/>
        <v>7</v>
      </c>
      <c r="CC54" s="36">
        <f ca="1">IF(BM23&gt;0,0,RAND())</f>
        <v>0.41248623055575484</v>
      </c>
      <c r="CD54" s="29" t="s">
        <v>28</v>
      </c>
    </row>
    <row r="55" spans="1:83" x14ac:dyDescent="0.3">
      <c r="A55" s="137"/>
      <c r="B55" s="33" t="s">
        <v>29</v>
      </c>
      <c r="C55" s="59"/>
      <c r="D55" s="33"/>
      <c r="E55" s="33"/>
      <c r="F55" s="33"/>
      <c r="G55" s="33"/>
      <c r="H55" s="33"/>
      <c r="I55" s="33"/>
      <c r="J55" s="33"/>
      <c r="K55" s="33"/>
      <c r="L55" s="33"/>
      <c r="M55" s="33"/>
      <c r="N55" s="33"/>
      <c r="O55" s="33" t="str">
        <f t="shared" ca="1" si="39"/>
        <v xml:space="preserve"> </v>
      </c>
      <c r="P55" s="120">
        <f ca="1">SUM(BU7,P42)</f>
        <v>2</v>
      </c>
      <c r="AJ55" s="31" t="s">
        <v>1167</v>
      </c>
      <c r="AO55" s="29">
        <f ca="1">IF(Table293375489831888945361417863[[#This Row],[Column2]]=0," ",_xlfn.RANK.EQ(Table293375489831888945361417863[[#This Row],[Column2]],$AP$45:$AP$59))</f>
        <v>1</v>
      </c>
      <c r="AP55" s="29">
        <f ca="1">IF(Table293375489831888945361417863[[#This Row],[Column3]]=" ", 0,RAND())</f>
        <v>0.97991319653419628</v>
      </c>
      <c r="AQ55" s="29" t="str">
        <f ca="1">R76</f>
        <v>Quarterstaff</v>
      </c>
    </row>
    <row r="56" spans="1:83" x14ac:dyDescent="0.3">
      <c r="A56" s="137"/>
      <c r="B56" s="33" t="s">
        <v>13</v>
      </c>
      <c r="C56" s="33"/>
      <c r="D56" s="33"/>
      <c r="E56" s="33"/>
      <c r="F56" s="33"/>
      <c r="G56" s="33"/>
      <c r="H56" s="33"/>
      <c r="I56" s="33"/>
      <c r="J56" s="33"/>
      <c r="K56" s="33"/>
      <c r="L56" s="33"/>
      <c r="M56" s="33"/>
      <c r="N56" s="33"/>
      <c r="O56" s="33" t="str">
        <f t="shared" ca="1" si="39"/>
        <v xml:space="preserve"> </v>
      </c>
      <c r="P56" s="120">
        <f ca="1">SUM(BU8,P41)</f>
        <v>1</v>
      </c>
      <c r="AJ56" s="58" t="str">
        <f ca="1">IF(Table201336450792849906315379825[[#This Row],[Column2]]=0," ",_xlfn.RANK.EQ(AK56,$AK$56:$AK$65))</f>
        <v xml:space="preserve"> </v>
      </c>
      <c r="AK56" s="29">
        <f ca="1">IF(AL56=" ", 0,RAND())</f>
        <v>0</v>
      </c>
      <c r="AL56" s="29" t="str">
        <f t="shared" ref="AL56:AL65" ca="1" si="40">R315</f>
        <v xml:space="preserve"> </v>
      </c>
      <c r="AO56" s="29" t="str">
        <f ca="1">IF(Table293375489831888945361417863[[#This Row],[Column2]]=0," ",_xlfn.RANK.EQ(Table293375489831888945361417863[[#This Row],[Column2]],$AP$45:$AP$59))</f>
        <v xml:space="preserve"> </v>
      </c>
      <c r="AP56" s="29">
        <f ca="1">IF(Table293375489831888945361417863[[#This Row],[Column3]]=" ", 0,RAND())</f>
        <v>0</v>
      </c>
      <c r="AQ56" s="29" t="str">
        <f ca="1">R77</f>
        <v xml:space="preserve"> </v>
      </c>
      <c r="CB56" s="31" t="s">
        <v>732</v>
      </c>
      <c r="CE56" s="31"/>
    </row>
    <row r="57" spans="1:83" x14ac:dyDescent="0.3">
      <c r="A57" s="137"/>
      <c r="B57" s="33" t="s">
        <v>14</v>
      </c>
      <c r="C57" s="33"/>
      <c r="D57" s="33"/>
      <c r="E57" s="33"/>
      <c r="F57" s="33"/>
      <c r="G57" s="33"/>
      <c r="H57" s="33"/>
      <c r="I57" s="33"/>
      <c r="J57" s="33"/>
      <c r="K57" s="33"/>
      <c r="L57" s="33"/>
      <c r="M57" s="33"/>
      <c r="N57" s="33"/>
      <c r="O57" s="33" t="str">
        <f t="shared" ca="1" si="39"/>
        <v xml:space="preserve"> </v>
      </c>
      <c r="P57" s="120">
        <f ca="1">SUM(BU9,P38)</f>
        <v>3</v>
      </c>
      <c r="AJ57" s="58" t="str">
        <f ca="1">IF(Table201336450792849906315379825[[#This Row],[Column2]]=0," ",_xlfn.RANK.EQ(AK57,$AK$56:$AK$65))</f>
        <v xml:space="preserve"> </v>
      </c>
      <c r="AK57" s="29">
        <f t="shared" ref="AK57:AK65" ca="1" si="41">IF(AL57=" ", 0,RAND())</f>
        <v>0</v>
      </c>
      <c r="AL57" s="29" t="str">
        <f t="shared" ca="1" si="40"/>
        <v xml:space="preserve"> </v>
      </c>
      <c r="AO57" s="29" t="str">
        <f ca="1">IF(Table293375489831888945361417863[[#This Row],[Column2]]=0," ",_xlfn.RANK.EQ(Table293375489831888945361417863[[#This Row],[Column2]],$AP$45:$AP$59))</f>
        <v xml:space="preserve"> </v>
      </c>
      <c r="AP57" s="29">
        <f ca="1">IF(Table293375489831888945361417863[[#This Row],[Column3]]=" ", 0,RAND())</f>
        <v>0</v>
      </c>
      <c r="AQ57" s="29" t="str">
        <f ca="1">R78</f>
        <v xml:space="preserve"> </v>
      </c>
      <c r="CB57" s="35">
        <f t="shared" ref="CB57:CB62" ca="1" si="42">_xlfn.RANK.EQ(CC57,$CC$57:$CC$62)</f>
        <v>3</v>
      </c>
      <c r="CC57" s="36">
        <f ca="1">IF(BM6&gt;0,0,RAND())</f>
        <v>0.75029308484437374</v>
      </c>
      <c r="CD57" s="29" t="s">
        <v>12</v>
      </c>
    </row>
    <row r="58" spans="1:83" x14ac:dyDescent="0.3">
      <c r="A58" s="137"/>
      <c r="B58" s="33" t="s">
        <v>15</v>
      </c>
      <c r="C58" s="33"/>
      <c r="D58" s="33"/>
      <c r="E58" s="33"/>
      <c r="F58" s="33"/>
      <c r="G58" s="33"/>
      <c r="H58" s="33"/>
      <c r="I58" s="33"/>
      <c r="J58" s="33"/>
      <c r="K58" s="33"/>
      <c r="L58" s="33"/>
      <c r="M58" s="33"/>
      <c r="N58" s="33"/>
      <c r="O58" s="33" t="str">
        <f t="shared" ca="1" si="39"/>
        <v xml:space="preserve"> </v>
      </c>
      <c r="P58" s="120">
        <f ca="1">SUM(BU10,P43)</f>
        <v>1</v>
      </c>
      <c r="AJ58" s="58" t="str">
        <f ca="1">IF(Table201336450792849906315379825[[#This Row],[Column2]]=0," ",_xlfn.RANK.EQ(AK58,$AK$56:$AK$65))</f>
        <v xml:space="preserve"> </v>
      </c>
      <c r="AK58" s="29">
        <f t="shared" ca="1" si="41"/>
        <v>0</v>
      </c>
      <c r="AL58" s="29" t="str">
        <f t="shared" ca="1" si="40"/>
        <v xml:space="preserve"> </v>
      </c>
      <c r="AO58" s="29" t="str">
        <f ca="1">IF(Table293375489831888945361417863[[#This Row],[Column2]]=0," ",_xlfn.RANK.EQ(Table293375489831888945361417863[[#This Row],[Column2]],$AP$45:$AP$59))</f>
        <v xml:space="preserve"> </v>
      </c>
      <c r="AP58" s="29">
        <f ca="1">IF(Table293375489831888945361417863[[#This Row],[Column3]]=" ", 0,RAND())</f>
        <v>0</v>
      </c>
      <c r="AQ58" s="29" t="str">
        <f ca="1">R79</f>
        <v xml:space="preserve"> </v>
      </c>
      <c r="CB58" s="35">
        <f t="shared" ca="1" si="42"/>
        <v>1</v>
      </c>
      <c r="CC58" s="36">
        <f ca="1">IF(BM9&gt;0,0,RAND())</f>
        <v>0.99941970782388379</v>
      </c>
      <c r="CD58" s="29" t="s">
        <v>14</v>
      </c>
    </row>
    <row r="59" spans="1:83" x14ac:dyDescent="0.3">
      <c r="A59" s="137"/>
      <c r="B59" s="33" t="s">
        <v>16</v>
      </c>
      <c r="C59" s="33"/>
      <c r="D59" s="33"/>
      <c r="E59" s="33"/>
      <c r="F59" s="33"/>
      <c r="G59" s="33"/>
      <c r="H59" s="33"/>
      <c r="I59" s="33"/>
      <c r="J59" s="33"/>
      <c r="K59" s="33"/>
      <c r="L59" s="33"/>
      <c r="M59" s="33"/>
      <c r="N59" s="33"/>
      <c r="O59" s="33" t="str">
        <f t="shared" ca="1" si="39"/>
        <v xml:space="preserve"> </v>
      </c>
      <c r="P59" s="120">
        <f ca="1">SUM(P41,BU11)</f>
        <v>1</v>
      </c>
      <c r="AJ59" s="58" t="str">
        <f ca="1">IF(Table201336450792849906315379825[[#This Row],[Column2]]=0," ",_xlfn.RANK.EQ(AK59,$AK$56:$AK$65))</f>
        <v xml:space="preserve"> </v>
      </c>
      <c r="AK59" s="29">
        <f t="shared" ca="1" si="41"/>
        <v>0</v>
      </c>
      <c r="AL59" s="29" t="str">
        <f t="shared" ca="1" si="40"/>
        <v xml:space="preserve"> </v>
      </c>
      <c r="AO59" s="29" t="str">
        <f ca="1">IF(Table293375489831888945361417863[[#This Row],[Column2]]=0," ",_xlfn.RANK.EQ(Table293375489831888945361417863[[#This Row],[Column2]],$AP$45:$AP$59))</f>
        <v xml:space="preserve"> </v>
      </c>
      <c r="AP59" s="29">
        <f ca="1">IF(Table293375489831888945361417863[[#This Row],[Column3]]=" ", 0,RAND())</f>
        <v>0</v>
      </c>
      <c r="AQ59" s="29" t="str">
        <f ca="1">R80</f>
        <v xml:space="preserve"> </v>
      </c>
      <c r="CB59" s="35">
        <f t="shared" ca="1" si="42"/>
        <v>5</v>
      </c>
      <c r="CC59" s="36">
        <f ca="1">IF(BM11&gt;0,0,RAND())</f>
        <v>0.57536036183565797</v>
      </c>
      <c r="CD59" s="29" t="s">
        <v>16</v>
      </c>
    </row>
    <row r="60" spans="1:83" x14ac:dyDescent="0.3">
      <c r="A60" s="137"/>
      <c r="B60" s="33" t="s">
        <v>17</v>
      </c>
      <c r="C60" s="33"/>
      <c r="D60" s="33"/>
      <c r="E60" s="33"/>
      <c r="F60" s="33"/>
      <c r="G60" s="33"/>
      <c r="H60" s="33"/>
      <c r="I60" s="33"/>
      <c r="J60" s="33"/>
      <c r="K60" s="33"/>
      <c r="L60" s="33"/>
      <c r="M60" s="33"/>
      <c r="N60" s="33"/>
      <c r="O60" s="33" t="str">
        <f t="shared" ca="1" si="39"/>
        <v xml:space="preserve"> </v>
      </c>
      <c r="P60" s="120">
        <f ca="1">SUM(BU12,P42)</f>
        <v>2</v>
      </c>
      <c r="AJ60" s="58" t="str">
        <f ca="1">IF(Table201336450792849906315379825[[#This Row],[Column2]]=0," ",_xlfn.RANK.EQ(AK60,$AK$56:$AK$65))</f>
        <v xml:space="preserve"> </v>
      </c>
      <c r="AK60" s="29">
        <f t="shared" ca="1" si="41"/>
        <v>0</v>
      </c>
      <c r="AL60" s="29" t="str">
        <f t="shared" ca="1" si="40"/>
        <v xml:space="preserve"> </v>
      </c>
      <c r="CB60" s="35">
        <f t="shared" ca="1" si="42"/>
        <v>2</v>
      </c>
      <c r="CC60" s="36">
        <f ca="1">IF(BM12&gt;0,0,RAND())</f>
        <v>0.9917828920927817</v>
      </c>
      <c r="CD60" s="29" t="s">
        <v>17</v>
      </c>
    </row>
    <row r="61" spans="1:83" x14ac:dyDescent="0.3">
      <c r="A61" s="137"/>
      <c r="B61" s="33" t="s">
        <v>18</v>
      </c>
      <c r="C61" s="33"/>
      <c r="D61" s="33"/>
      <c r="E61" s="33"/>
      <c r="F61" s="33"/>
      <c r="G61" s="33"/>
      <c r="H61" s="33"/>
      <c r="I61" s="33"/>
      <c r="J61" s="33"/>
      <c r="K61" s="33"/>
      <c r="L61" s="33"/>
      <c r="M61" s="33"/>
      <c r="N61" s="33"/>
      <c r="O61" s="33" t="str">
        <f t="shared" ca="1" si="39"/>
        <v xml:space="preserve"> </v>
      </c>
      <c r="P61" s="120">
        <f ca="1">SUM(BU13,P43)</f>
        <v>1</v>
      </c>
      <c r="AJ61" s="58" t="str">
        <f ca="1">IF(Table201336450792849906315379825[[#This Row],[Column2]]=0," ",_xlfn.RANK.EQ(AK61,$AK$56:$AK$65))</f>
        <v xml:space="preserve"> </v>
      </c>
      <c r="AK61" s="29">
        <f t="shared" ca="1" si="41"/>
        <v>0</v>
      </c>
      <c r="AL61" s="29" t="str">
        <f t="shared" ca="1" si="40"/>
        <v xml:space="preserve"> </v>
      </c>
      <c r="CB61" s="35">
        <f t="shared" ca="1" si="42"/>
        <v>6</v>
      </c>
      <c r="CC61" s="36">
        <f ca="1">IF(BM20&gt;0,0,RAND())</f>
        <v>0.14134568026657768</v>
      </c>
      <c r="CD61" s="29" t="s">
        <v>25</v>
      </c>
    </row>
    <row r="62" spans="1:83" x14ac:dyDescent="0.3">
      <c r="A62" s="137"/>
      <c r="B62" s="33" t="s">
        <v>19</v>
      </c>
      <c r="C62" s="33"/>
      <c r="D62" s="33"/>
      <c r="E62" s="33"/>
      <c r="F62" s="33"/>
      <c r="G62" s="33"/>
      <c r="H62" s="33"/>
      <c r="I62" s="33"/>
      <c r="J62" s="33"/>
      <c r="K62" s="33"/>
      <c r="L62" s="33"/>
      <c r="M62" s="33"/>
      <c r="N62" s="33"/>
      <c r="O62" s="33" t="str">
        <f t="shared" ca="1" si="39"/>
        <v xml:space="preserve"> </v>
      </c>
      <c r="P62" s="120">
        <f ca="1">SUM(BU14,P41)</f>
        <v>1</v>
      </c>
      <c r="AJ62" s="58" t="str">
        <f ca="1">IF(Table201336450792849906315379825[[#This Row],[Column2]]=0," ",_xlfn.RANK.EQ(AK62,$AK$56:$AK$65))</f>
        <v xml:space="preserve"> </v>
      </c>
      <c r="AK62" s="29">
        <f t="shared" ca="1" si="41"/>
        <v>0</v>
      </c>
      <c r="AL62" s="29" t="str">
        <f t="shared" ca="1" si="40"/>
        <v xml:space="preserve"> </v>
      </c>
      <c r="CB62" s="35">
        <f t="shared" ca="1" si="42"/>
        <v>4</v>
      </c>
      <c r="CC62" s="36">
        <f ca="1">IF(BM22&gt;0,0,RAND())</f>
        <v>0.59257496684308419</v>
      </c>
      <c r="CD62" s="29" t="s">
        <v>27</v>
      </c>
      <c r="CE62" s="31"/>
    </row>
    <row r="63" spans="1:83" x14ac:dyDescent="0.3">
      <c r="A63" s="137"/>
      <c r="B63" s="33" t="s">
        <v>20</v>
      </c>
      <c r="C63" s="33"/>
      <c r="D63" s="33"/>
      <c r="E63" s="33"/>
      <c r="F63" s="33"/>
      <c r="G63" s="33"/>
      <c r="H63" s="33"/>
      <c r="I63" s="33"/>
      <c r="J63" s="33"/>
      <c r="K63" s="33"/>
      <c r="L63" s="33"/>
      <c r="M63" s="33"/>
      <c r="N63" s="33"/>
      <c r="O63" s="33" t="str">
        <f t="shared" ca="1" si="39"/>
        <v xml:space="preserve"> </v>
      </c>
      <c r="P63" s="120">
        <f ca="1">SUM(BU15,P42)</f>
        <v>2</v>
      </c>
      <c r="AJ63" s="58" t="str">
        <f ca="1">IF(Table201336450792849906315379825[[#This Row],[Column2]]=0," ",_xlfn.RANK.EQ(AK63,$AK$56:$AK$65))</f>
        <v xml:space="preserve"> </v>
      </c>
      <c r="AK63" s="29">
        <f t="shared" ca="1" si="41"/>
        <v>0</v>
      </c>
      <c r="AL63" s="29" t="str">
        <f t="shared" ca="1" si="40"/>
        <v xml:space="preserve"> </v>
      </c>
    </row>
    <row r="64" spans="1:83" x14ac:dyDescent="0.3">
      <c r="A64" s="137"/>
      <c r="B64" s="33" t="s">
        <v>21</v>
      </c>
      <c r="C64" s="33"/>
      <c r="D64" s="33"/>
      <c r="E64" s="33"/>
      <c r="F64" s="33"/>
      <c r="G64" s="33"/>
      <c r="H64" s="33"/>
      <c r="I64" s="33"/>
      <c r="J64" s="33"/>
      <c r="K64" s="33"/>
      <c r="L64" s="33"/>
      <c r="M64" s="33"/>
      <c r="N64" s="33"/>
      <c r="O64" s="33" t="str">
        <f t="shared" ca="1" si="39"/>
        <v xml:space="preserve"> </v>
      </c>
      <c r="P64" s="120">
        <f ca="1">SUM(BU16,P41)</f>
        <v>1</v>
      </c>
      <c r="AJ64" s="58" t="str">
        <f ca="1">IF(Table201336450792849906315379825[[#This Row],[Column2]]=0," ",_xlfn.RANK.EQ(AK64,$AK$56:$AK$65))</f>
        <v xml:space="preserve"> </v>
      </c>
      <c r="AK64" s="29">
        <f t="shared" ca="1" si="41"/>
        <v>0</v>
      </c>
      <c r="AL64" s="29" t="str">
        <f t="shared" ca="1" si="40"/>
        <v xml:space="preserve"> </v>
      </c>
      <c r="CB64" s="31" t="s">
        <v>733</v>
      </c>
    </row>
    <row r="65" spans="1:82" x14ac:dyDescent="0.3">
      <c r="A65" s="137"/>
      <c r="B65" s="33" t="s">
        <v>22</v>
      </c>
      <c r="C65" s="33"/>
      <c r="D65" s="33"/>
      <c r="E65" s="33"/>
      <c r="F65" s="33"/>
      <c r="G65" s="33"/>
      <c r="H65" s="33"/>
      <c r="I65" s="33"/>
      <c r="J65" s="33"/>
      <c r="K65" s="33"/>
      <c r="L65" s="33"/>
      <c r="M65" s="33"/>
      <c r="N65" s="33"/>
      <c r="O65" s="33" t="str">
        <f t="shared" ca="1" si="39"/>
        <v xml:space="preserve"> </v>
      </c>
      <c r="P65" s="120">
        <f ca="1">SUM(BU17,P42)</f>
        <v>2</v>
      </c>
      <c r="AJ65" s="58" t="str">
        <f ca="1">IF(Table201336450792849906315379825[[#This Row],[Column2]]=0," ",_xlfn.RANK.EQ(AK65,$AK$56:$AK$65))</f>
        <v xml:space="preserve"> </v>
      </c>
      <c r="AK65" s="29">
        <f t="shared" ca="1" si="41"/>
        <v>0</v>
      </c>
      <c r="AL65" s="29" t="str">
        <f t="shared" ca="1" si="40"/>
        <v xml:space="preserve"> </v>
      </c>
      <c r="CB65" s="35">
        <f t="shared" ref="CB65:CB70" ca="1" si="43">_xlfn.RANK.EQ(CC65,$CC$65:$CC$70)</f>
        <v>5</v>
      </c>
      <c r="CC65" s="36">
        <f ca="1">IF(BM9&gt;0,0,RAND())</f>
        <v>0.3040874883173964</v>
      </c>
      <c r="CD65" s="29" t="s">
        <v>14</v>
      </c>
    </row>
    <row r="66" spans="1:82" x14ac:dyDescent="0.3">
      <c r="A66" s="137"/>
      <c r="B66" s="33" t="s">
        <v>23</v>
      </c>
      <c r="C66" s="33"/>
      <c r="D66" s="33"/>
      <c r="E66" s="33"/>
      <c r="F66" s="33"/>
      <c r="G66" s="33"/>
      <c r="H66" s="33"/>
      <c r="I66" s="33"/>
      <c r="J66" s="33"/>
      <c r="K66" s="33"/>
      <c r="L66" s="33"/>
      <c r="M66" s="33"/>
      <c r="N66" s="33"/>
      <c r="O66" s="33" t="str">
        <f t="shared" ca="1" si="39"/>
        <v xml:space="preserve"> </v>
      </c>
      <c r="P66" s="120">
        <f ca="1">SUM(BU18,P43)</f>
        <v>1</v>
      </c>
      <c r="CB66" s="35">
        <f t="shared" ca="1" si="43"/>
        <v>6</v>
      </c>
      <c r="CC66" s="36">
        <f ca="1">IF(BM12&gt;0,0,RAND())</f>
        <v>0.11422263244175124</v>
      </c>
      <c r="CD66" s="29" t="s">
        <v>17</v>
      </c>
    </row>
    <row r="67" spans="1:82" x14ac:dyDescent="0.3">
      <c r="A67" s="137"/>
      <c r="B67" s="33" t="s">
        <v>24</v>
      </c>
      <c r="C67" s="33"/>
      <c r="D67" s="33"/>
      <c r="E67" s="33"/>
      <c r="F67" s="33"/>
      <c r="G67" s="33"/>
      <c r="H67" s="33"/>
      <c r="I67" s="33"/>
      <c r="J67" s="33"/>
      <c r="K67" s="33"/>
      <c r="L67" s="33"/>
      <c r="M67" s="33"/>
      <c r="N67" s="33"/>
      <c r="O67" s="33" t="str">
        <f t="shared" ca="1" si="39"/>
        <v xml:space="preserve"> </v>
      </c>
      <c r="P67" s="120">
        <f ca="1">SUM(BU19,P43)</f>
        <v>1</v>
      </c>
      <c r="AJ67" s="31" t="s">
        <v>1168</v>
      </c>
      <c r="CB67" s="35">
        <f t="shared" ca="1" si="43"/>
        <v>1</v>
      </c>
      <c r="CC67" s="36">
        <f ca="1">IF(BM13&gt;0,0,RAND())</f>
        <v>0.95310001934957711</v>
      </c>
      <c r="CD67" s="29" t="s">
        <v>18</v>
      </c>
    </row>
    <row r="68" spans="1:82" x14ac:dyDescent="0.3">
      <c r="A68" s="137"/>
      <c r="B68" s="33" t="s">
        <v>25</v>
      </c>
      <c r="C68" s="33"/>
      <c r="D68" s="33"/>
      <c r="E68" s="33"/>
      <c r="F68" s="33"/>
      <c r="G68" s="33"/>
      <c r="H68" s="33"/>
      <c r="I68" s="33"/>
      <c r="J68" s="33"/>
      <c r="K68" s="33"/>
      <c r="L68" s="33"/>
      <c r="M68" s="33"/>
      <c r="N68" s="33"/>
      <c r="O68" s="33" t="str">
        <f t="shared" ca="1" si="39"/>
        <v xml:space="preserve"> </v>
      </c>
      <c r="P68" s="120">
        <f ca="1">SUM(BU20,P41)</f>
        <v>1</v>
      </c>
      <c r="AJ68" s="58" t="str">
        <f ca="1">IF(Table202337451793850907320380826[[#This Row],[Column2]]=0," ",_xlfn.RANK.EQ(AK68,$AK$68:$AK$77))</f>
        <v xml:space="preserve"> </v>
      </c>
      <c r="AK68" s="60">
        <f t="shared" ref="AK68:AK77" ca="1" si="44">IF(AL68=" ", 0,RAND())</f>
        <v>0</v>
      </c>
      <c r="AL68" s="29" t="str">
        <f t="shared" ref="AL68:AL77" ca="1" si="45">S315</f>
        <v xml:space="preserve"> </v>
      </c>
      <c r="CB68" s="35">
        <f t="shared" ca="1" si="43"/>
        <v>3</v>
      </c>
      <c r="CC68" s="36">
        <f ca="1">IF(BM15&gt;0,0,RAND())</f>
        <v>0.6408206004241962</v>
      </c>
      <c r="CD68" s="29" t="s">
        <v>20</v>
      </c>
    </row>
    <row r="69" spans="1:82" x14ac:dyDescent="0.3">
      <c r="A69" s="137"/>
      <c r="B69" s="33" t="s">
        <v>26</v>
      </c>
      <c r="C69" s="33"/>
      <c r="D69" s="33"/>
      <c r="E69" s="33"/>
      <c r="F69" s="33"/>
      <c r="G69" s="33"/>
      <c r="H69" s="33"/>
      <c r="I69" s="33"/>
      <c r="J69" s="33"/>
      <c r="K69" s="33"/>
      <c r="L69" s="33"/>
      <c r="M69" s="33"/>
      <c r="N69" s="33"/>
      <c r="O69" s="33" t="str">
        <f t="shared" ca="1" si="39"/>
        <v xml:space="preserve"> </v>
      </c>
      <c r="P69" s="120">
        <f ca="1">SUM(BU21,P39)</f>
        <v>2</v>
      </c>
      <c r="AJ69" s="58" t="str">
        <f ca="1">IF(Table202337451793850907320380826[[#This Row],[Column2]]=0," ",_xlfn.RANK.EQ(AK69,$AK$68:$AK$77))</f>
        <v xml:space="preserve"> </v>
      </c>
      <c r="AK69" s="60">
        <f t="shared" ca="1" si="44"/>
        <v>0</v>
      </c>
      <c r="AL69" s="29" t="str">
        <f t="shared" ca="1" si="45"/>
        <v xml:space="preserve"> </v>
      </c>
      <c r="CB69" s="35">
        <f t="shared" ca="1" si="43"/>
        <v>2</v>
      </c>
      <c r="CC69" s="36">
        <f ca="1">IF(BM19&gt;0,0,RAND())</f>
        <v>0.71798472394410462</v>
      </c>
      <c r="CD69" s="29" t="s">
        <v>24</v>
      </c>
    </row>
    <row r="70" spans="1:82" x14ac:dyDescent="0.3">
      <c r="A70" s="137"/>
      <c r="B70" s="33" t="s">
        <v>27</v>
      </c>
      <c r="C70" s="33"/>
      <c r="D70" s="33"/>
      <c r="E70" s="33"/>
      <c r="F70" s="33"/>
      <c r="G70" s="33"/>
      <c r="H70" s="33"/>
      <c r="I70" s="33"/>
      <c r="J70" s="33"/>
      <c r="K70" s="33"/>
      <c r="L70" s="33"/>
      <c r="M70" s="33"/>
      <c r="N70" s="33"/>
      <c r="O70" s="33" t="str">
        <f t="shared" ca="1" si="39"/>
        <v xml:space="preserve"> </v>
      </c>
      <c r="P70" s="120">
        <f ca="1">SUM(BU22,P39)</f>
        <v>2</v>
      </c>
      <c r="AJ70" s="58" t="str">
        <f ca="1">IF(Table202337451793850907320380826[[#This Row],[Column2]]=0," ",_xlfn.RANK.EQ(AK70,$AK$68:$AK$77))</f>
        <v xml:space="preserve"> </v>
      </c>
      <c r="AK70" s="60">
        <f t="shared" ca="1" si="44"/>
        <v>0</v>
      </c>
      <c r="AL70" s="29" t="str">
        <f t="shared" ca="1" si="45"/>
        <v xml:space="preserve"> </v>
      </c>
      <c r="CB70" s="35">
        <f t="shared" ca="1" si="43"/>
        <v>4</v>
      </c>
      <c r="CC70" s="36">
        <f ca="1">IF(BM20&gt;0,0,RAND())</f>
        <v>0.39254131040109774</v>
      </c>
      <c r="CD70" s="29" t="s">
        <v>25</v>
      </c>
    </row>
    <row r="71" spans="1:82" x14ac:dyDescent="0.3">
      <c r="A71" s="137"/>
      <c r="B71" s="33" t="s">
        <v>28</v>
      </c>
      <c r="C71" s="33"/>
      <c r="D71" s="33"/>
      <c r="E71" s="33"/>
      <c r="F71" s="33"/>
      <c r="G71" s="33"/>
      <c r="H71" s="33"/>
      <c r="I71" s="33"/>
      <c r="J71" s="33"/>
      <c r="K71" s="33"/>
      <c r="L71" s="33"/>
      <c r="M71" s="33"/>
      <c r="N71" s="33"/>
      <c r="O71" s="33" t="str">
        <f t="shared" ca="1" si="39"/>
        <v xml:space="preserve"> </v>
      </c>
      <c r="P71" s="120">
        <f ca="1">SUM(BU23,P42)</f>
        <v>2</v>
      </c>
      <c r="AJ71" s="58" t="str">
        <f ca="1">IF(Table202337451793850907320380826[[#This Row],[Column2]]=0," ",_xlfn.RANK.EQ(AK71,$AK$68:$AK$77))</f>
        <v xml:space="preserve"> </v>
      </c>
      <c r="AK71" s="60">
        <f t="shared" ca="1" si="44"/>
        <v>0</v>
      </c>
      <c r="AL71" s="29" t="str">
        <f t="shared" ca="1" si="45"/>
        <v xml:space="preserve"> </v>
      </c>
    </row>
    <row r="72" spans="1:82" ht="19.5" thickBot="1" x14ac:dyDescent="0.35">
      <c r="A72" s="137"/>
      <c r="B72" s="38" t="str">
        <f ca="1">IF(O11="non-classed","Profession"," ")</f>
        <v>Profession</v>
      </c>
      <c r="C72" s="38"/>
      <c r="D72" s="38"/>
      <c r="E72" s="38"/>
      <c r="F72" s="38"/>
      <c r="G72" s="38"/>
      <c r="H72" s="38"/>
      <c r="I72" s="38"/>
      <c r="J72" s="38"/>
      <c r="K72" s="38"/>
      <c r="L72" s="38"/>
      <c r="M72" s="38"/>
      <c r="N72" s="38"/>
      <c r="O72" s="38" t="str">
        <f ca="1">IF(O11="non-classed","x"," ")</f>
        <v>x</v>
      </c>
      <c r="P72" s="121">
        <f ca="1">IF(O11="non-classed",P8*2," ")</f>
        <v>4</v>
      </c>
      <c r="AJ72" s="58" t="str">
        <f ca="1">IF(Table202337451793850907320380826[[#This Row],[Column2]]=0," ",_xlfn.RANK.EQ(AK72,$AK$68:$AK$77))</f>
        <v xml:space="preserve"> </v>
      </c>
      <c r="AK72" s="60">
        <f t="shared" ca="1" si="44"/>
        <v>0</v>
      </c>
      <c r="AL72" s="29" t="str">
        <f t="shared" ca="1" si="45"/>
        <v xml:space="preserve"> </v>
      </c>
      <c r="CB72" s="31" t="s">
        <v>734</v>
      </c>
    </row>
    <row r="73" spans="1:82" ht="19.5" thickBot="1" x14ac:dyDescent="0.35">
      <c r="AJ73" s="58" t="str">
        <f ca="1">IF(Table202337451793850907320380826[[#This Row],[Column2]]=0," ",_xlfn.RANK.EQ(AK73,$AK$68:$AK$77))</f>
        <v xml:space="preserve"> </v>
      </c>
      <c r="AK73" s="60">
        <f t="shared" ca="1" si="44"/>
        <v>0</v>
      </c>
      <c r="AL73" s="29" t="str">
        <f t="shared" ca="1" si="45"/>
        <v xml:space="preserve"> </v>
      </c>
      <c r="CB73" s="35">
        <f t="shared" ref="CB73:CB81" ca="1" si="46">_xlfn.RANK.EQ(CC73,$CC$73:$CC$81)</f>
        <v>4</v>
      </c>
      <c r="CC73" s="36">
        <f ca="1">IF(BM7&gt;0,0,RAND())</f>
        <v>0.51295594493660801</v>
      </c>
      <c r="CD73" s="29" t="s">
        <v>29</v>
      </c>
    </row>
    <row r="74" spans="1:82" ht="30.75" thickBot="1" x14ac:dyDescent="0.45">
      <c r="B74" s="106" t="s">
        <v>2716</v>
      </c>
      <c r="AJ74" s="58" t="str">
        <f ca="1">IF(Table202337451793850907320380826[[#This Row],[Column2]]=0," ",_xlfn.RANK.EQ(AK74,$AK$68:$AK$77))</f>
        <v xml:space="preserve"> </v>
      </c>
      <c r="AK74" s="60">
        <f t="shared" ca="1" si="44"/>
        <v>0</v>
      </c>
      <c r="AL74" s="29" t="str">
        <f t="shared" ca="1" si="45"/>
        <v xml:space="preserve"> </v>
      </c>
      <c r="CB74" s="35">
        <f t="shared" ca="1" si="46"/>
        <v>9</v>
      </c>
      <c r="CC74" s="36">
        <f ca="1">IF(BM9&gt;0,0,RAND())</f>
        <v>4.7397801942474116E-2</v>
      </c>
      <c r="CD74" s="29" t="s">
        <v>14</v>
      </c>
    </row>
    <row r="75" spans="1:82" ht="19.5" thickBot="1" x14ac:dyDescent="0.35">
      <c r="B75" s="55" t="s">
        <v>52</v>
      </c>
      <c r="O75" s="53" t="s">
        <v>121</v>
      </c>
      <c r="P75" s="26" t="s">
        <v>46</v>
      </c>
      <c r="Q75" s="61"/>
      <c r="R75" s="28"/>
      <c r="AJ75" s="58" t="str">
        <f ca="1">IF(Table202337451793850907320380826[[#This Row],[Column2]]=0," ",_xlfn.RANK.EQ(AK75,$AK$68:$AK$77))</f>
        <v xml:space="preserve"> </v>
      </c>
      <c r="AK75" s="60">
        <f t="shared" ca="1" si="44"/>
        <v>0</v>
      </c>
      <c r="AL75" s="29" t="str">
        <f t="shared" ca="1" si="45"/>
        <v xml:space="preserve"> </v>
      </c>
      <c r="CB75" s="35">
        <f t="shared" ca="1" si="46"/>
        <v>7</v>
      </c>
      <c r="CC75" s="36">
        <f ca="1">IF(BM12&gt;0,0,RAND())</f>
        <v>0.22795713572004483</v>
      </c>
      <c r="CD75" s="29" t="s">
        <v>17</v>
      </c>
    </row>
    <row r="76" spans="1:82" ht="19.5" thickTop="1" x14ac:dyDescent="0.3">
      <c r="B76" s="56" t="str">
        <f ca="1">IF(OR(O11="warlock",Q11="warlock",P2="mountain",O11="barbarian",O11="bard",Q11="barbarian",O11="cleric",Q11="bard",Q11="cleric",O11="druid",Q11="druid",O11="fighter",Q11="fighter",O11="paladin",Q11="paladin",O11="ranger",Q11="ranger",O11="rogue",Q11="rogue"),"Light Armor"," ")</f>
        <v>Light Armor</v>
      </c>
      <c r="O76" s="33" t="str">
        <f ca="1">IF(Q2="dwarf",VLOOKUP(RANDBETWEEN(1,3),Table3[],2),IF(P2="rock","Artisan's Tools"," "))</f>
        <v>Brewer's Supplies</v>
      </c>
      <c r="P76" s="62" t="str">
        <f ca="1">IF(OR(O11="warlock",Q11="warlock",O11="barbarian",O11="bard",Q11="barbarian",Q11="bard",O11="cleric",O11="fighter",Q11="fighter",O11="monk",Q11="monk",O11="paladin",Q11="paladin",O11="ranger",Q11="ranger",O11="rogue"),"Simple Weapons",IF(Q2="dwarf","Handaxe"," "))</f>
        <v>Handaxe</v>
      </c>
      <c r="Q76" s="60" t="str">
        <f ca="1">IF(AND(P76&lt;&gt;"simple weapons",OR($O$11="druid",O11="non-classed")),"Club",IF(P80="shortsword"," ",IF(AND(P77&lt;&gt;"martial weapons",OR(O11="monk",O11="bard",Q11="monk",O11="rogue")),"Shortsword"," ")))</f>
        <v>Club</v>
      </c>
      <c r="R76" s="63" t="str">
        <f ca="1">IF(AND(P76&lt;&gt;"simple weapons",OR($O$11="druid",O11="sorcerer",O11="wizard",O11="non-classed")),"Quarterstaff"," ")</f>
        <v>Quarterstaff</v>
      </c>
      <c r="AJ76" s="58" t="str">
        <f ca="1">IF(Table202337451793850907320380826[[#This Row],[Column2]]=0," ",_xlfn.RANK.EQ(AK76,$AK$68:$AK$77))</f>
        <v xml:space="preserve"> </v>
      </c>
      <c r="AK76" s="60">
        <f t="shared" ca="1" si="44"/>
        <v>0</v>
      </c>
      <c r="AL76" s="29" t="str">
        <f t="shared" ca="1" si="45"/>
        <v xml:space="preserve"> </v>
      </c>
      <c r="CB76" s="35">
        <f t="shared" ca="1" si="46"/>
        <v>8</v>
      </c>
      <c r="CC76" s="36">
        <f ca="1">IF(BM13&gt;0,0,RAND())</f>
        <v>0.21420289754706234</v>
      </c>
      <c r="CD76" s="29" t="s">
        <v>18</v>
      </c>
    </row>
    <row r="77" spans="1:82" x14ac:dyDescent="0.3">
      <c r="B77" s="56" t="str">
        <f ca="1">IF(OR(P2="mountain",O11="barbarian",Q11="barbarian",P15="college of valor",R15="college of valor",O11="cleric",Q11="cleric",O11="druid",Q11="druid",O11="fighter",Q11="fighter",O11="paladin",Q11="paladin",O11="ranger",Q11="ranger"),"Medium Armor"," ")</f>
        <v>Medium Armor</v>
      </c>
      <c r="O77" s="33" t="str">
        <f ca="1">IF(AND(O11="monk",AF23=2),INDEX('Class Tables'!F25:F34,MATCH(1,('Class Tables'!D25:D34),0)),IF(AND(O11="monk",AF23=1),INDEX('Class Tables'!J80:J95,MATCH(1,('Class Tables'!I80:I95),0)),IF(P15="battle master",VLOOKUP(RANDBETWEEN(1,16),Table79[],2),IF(OR($O$11="bard"),INDEX('Class Tables'!$F$25:$F$34,MATCH(1,('Class Tables'!$D$25:$D$34),0))," "))))</f>
        <v xml:space="preserve"> </v>
      </c>
      <c r="P77" s="64" t="str">
        <f ca="1">IF(OR($O$11="barbarian",Q11="barbarian",P15="college of valor",R15="college of valor",R15="tempest",P15="tempest",P15="war",R15="war",O11="fighter",Q11="fighter",O11="paladin",Q11="paladin",O11="ranger",Q11="ranger"),"Martial Weapons",IF($Q$2="dwarf","Battleaxe",IF(OR($P$2="high",$P$2="wood"),"Longsword",IF($P$2="dark","Rapier"," "))))</f>
        <v>Battleaxe</v>
      </c>
      <c r="Q77" s="65" t="str">
        <f ca="1">IF(AND(OR($O$11="druid",O11="sorcerer",O11="wizard",O11="non-classed"),P76&lt;&gt;"Simple weapons"),"Dagger",IF(AND(O11="bard",P77&lt;&gt;"Martial Weapons"),"Hand Crossbow",IF(AND(O11="rogue",P77&lt;&gt;"martial weapons"),"Hand Crossbow"," ")))</f>
        <v>Dagger</v>
      </c>
      <c r="R77" s="66" t="str">
        <f ca="1">IF(AND(P77&lt;&gt;"martial weapons",$O$11="druid"),"Scimitar"," ")</f>
        <v xml:space="preserve"> </v>
      </c>
      <c r="AJ77" s="58" t="str">
        <f ca="1">IF(Table202337451793850907320380826[[#This Row],[Column2]]=0," ",_xlfn.RANK.EQ(AK77,$AK$68:$AK$77))</f>
        <v xml:space="preserve"> </v>
      </c>
      <c r="AK77" s="60">
        <f t="shared" ca="1" si="44"/>
        <v>0</v>
      </c>
      <c r="AL77" s="29" t="str">
        <f t="shared" ca="1" si="45"/>
        <v xml:space="preserve"> </v>
      </c>
      <c r="CB77" s="35">
        <f t="shared" ca="1" si="46"/>
        <v>6</v>
      </c>
      <c r="CC77" s="36">
        <f ca="1">IF(BM14&gt;0,0,RAND())</f>
        <v>0.27308290339879093</v>
      </c>
      <c r="CD77" s="29" t="s">
        <v>19</v>
      </c>
    </row>
    <row r="78" spans="1:82" x14ac:dyDescent="0.3">
      <c r="B78" s="56" t="str">
        <f ca="1">IF(OR(O11="barbarian",Q11="barbarian",R15="college of valor",P15="college of valor",O11="cleric",Q11="cleric",O11="druid",Q11="Druid",O11="fighter",Q11="fighter",O11="paladin",Q11="paladin",O11="ranger",Q11="ranger"),"Shields"," ")</f>
        <v xml:space="preserve"> </v>
      </c>
      <c r="O78" s="33" t="str">
        <f ca="1">IF(OR($O$11="bard"),INDEX('Class Tables'!$F$25:$F$34,MATCH(2,('Class Tables'!$D$25:$D$34),0))," ")</f>
        <v xml:space="preserve"> </v>
      </c>
      <c r="P78" s="62" t="str">
        <f ca="1">IF(AND(P76&lt;&gt;"Simple Weapons",Q2="dwarf"),"Light Hammer",IF(AND(P2="high",P76&lt;&gt;"Simple Weapons"),"Shortbow",IF(AND(P76&lt;&gt;"Simple Weapons",P2="wood"),"Shortbow",IF(AND(P2="dark",P77&lt;&gt;"Martial Weapons"),"Hand Crossbow"," "))))</f>
        <v>Light Hammer</v>
      </c>
      <c r="Q78" s="60" t="str">
        <f ca="1">IF(AND(OR($O$11="druid",O11="sorcerer",O11="wizard"),P76&lt;&gt;"Simple weapons"),"Dart",IF(AND(P77&lt;&gt;"martial weapons",OR(O11="bard",O11="rogue")),"Longsword"," "))</f>
        <v xml:space="preserve"> </v>
      </c>
      <c r="R78" s="63" t="str">
        <f ca="1">IF(AND(P76&lt;&gt;"simple weapons",$O$11="druid"),"Sickle"," ")</f>
        <v xml:space="preserve"> </v>
      </c>
      <c r="CB78" s="35">
        <f t="shared" ca="1" si="46"/>
        <v>5</v>
      </c>
      <c r="CC78" s="36">
        <f ca="1">IF(BM16&gt;0,0,RAND())</f>
        <v>0.32540070552522316</v>
      </c>
      <c r="CD78" s="29" t="s">
        <v>21</v>
      </c>
    </row>
    <row r="79" spans="1:82" x14ac:dyDescent="0.3">
      <c r="B79" s="33" t="str">
        <f ca="1">IF(OR(P15="life",R15="life",P15="nature",R15="nature",P15="tempest",R15="tempest",P15="war",R15="war",O11="fighter",Q11="fighter",O11="paladin"),"Heavy Armor"," ")</f>
        <v xml:space="preserve"> </v>
      </c>
      <c r="O79" s="33" t="str">
        <f ca="1">IF(OR($O$11="bard",$Q$11="bard"),INDEX('Class Tables'!$F$25:$F$34,MATCH(3,('Class Tables'!$D$25:$D$34),0))," ")</f>
        <v xml:space="preserve"> </v>
      </c>
      <c r="P79" s="64" t="str">
        <f ca="1">IF(P77="martial weapons"," ",IF(Q2="dwarf","Warhammer",IF(OR(P2="high",P2="wood"),"Longbow"," ")))</f>
        <v>Warhammer</v>
      </c>
      <c r="Q79" s="65" t="str">
        <f ca="1">IF(AND($O$11="druid",P76&lt;&gt;"simple weapons"),"Javelin",IF(AND(O11="sorcerer",P76&lt;&gt;"simple weapons"),"Light Crossbow",IF(AND(O11="wizard",P76&lt;&gt;"simple weapons"),"Light Crossbow",IF(AND(OR(O11="bard",O11="rogue"),P77&lt;&gt;"martial weapons"),"Rapier"," "))))</f>
        <v xml:space="preserve"> </v>
      </c>
      <c r="R79" s="66" t="str">
        <f ca="1">IF(AND(P76&lt;&gt;"simple weapons",OR($O$11="druid",O11="sorcerer",O11="wizard")),"Sling"," ")</f>
        <v xml:space="preserve"> </v>
      </c>
      <c r="AJ79" s="31" t="s">
        <v>676</v>
      </c>
      <c r="CB79" s="35">
        <f t="shared" ca="1" si="46"/>
        <v>1</v>
      </c>
      <c r="CC79" s="36">
        <f ca="1">IF(BM17&gt;0,0,RAND())</f>
        <v>0.82793033829845131</v>
      </c>
      <c r="CD79" s="29" t="s">
        <v>22</v>
      </c>
    </row>
    <row r="80" spans="1:82" ht="19.5" thickBot="1" x14ac:dyDescent="0.35">
      <c r="O80" s="33" t="str">
        <f ca="1">IF(OR(O11="druid",S11="hermit"),"Herbalism Kit"," ")</f>
        <v xml:space="preserve"> </v>
      </c>
      <c r="P80" s="51" t="str">
        <f ca="1">IF(AND(P77&lt;&gt;"martial weapons",OR(P2="high",P2="wood",P2="dark")),"Shortsword"," ")</f>
        <v xml:space="preserve"> </v>
      </c>
      <c r="Q80" s="67" t="str">
        <f ca="1">IF(AND(P76&lt;&gt;"simple weapons",$O$11="druid"),"Mace"," ")</f>
        <v xml:space="preserve"> </v>
      </c>
      <c r="R80" s="68" t="str">
        <f ca="1">IF(AND(P76&lt;&gt;"simple weapons",$O$11="druid"),"Spear"," ")</f>
        <v xml:space="preserve"> </v>
      </c>
      <c r="AJ80" s="58" t="str">
        <f ca="1">IF(Table203338452794851908321381827[[#This Row],[Column2]]=0," ",_xlfn.RANK.EQ(AK80,$AK$80:$AK$89))</f>
        <v xml:space="preserve"> </v>
      </c>
      <c r="AK80" s="60">
        <f t="shared" ref="AK80:AK89" ca="1" si="47">IF(AL80=" ", 0,RAND())</f>
        <v>0</v>
      </c>
      <c r="AL80" s="29" t="str">
        <f t="shared" ref="AL80:AL89" ca="1" si="48">T315</f>
        <v xml:space="preserve"> </v>
      </c>
      <c r="CB80" s="35">
        <f t="shared" ca="1" si="46"/>
        <v>3</v>
      </c>
      <c r="CC80" s="36">
        <f ca="1">IF(BM22&gt;0,0,RAND())</f>
        <v>0.56175340859772094</v>
      </c>
      <c r="CD80" s="29" t="s">
        <v>27</v>
      </c>
    </row>
    <row r="81" spans="1:82" x14ac:dyDescent="0.3">
      <c r="O81" s="33" t="str">
        <f ca="1">IF(AND(AF25=2,OR(O11="rogue",Q11="rogue")),"Thieves' Tools - Expert",IF(OR(O11="rogue",Q11="rogue"),"Thieves' Tools"," "))</f>
        <v xml:space="preserve"> </v>
      </c>
      <c r="AJ81" s="58" t="str">
        <f ca="1">IF(Table203338452794851908321381827[[#This Row],[Column2]]=0," ",_xlfn.RANK.EQ(AK81,$AK$80:$AK$89))</f>
        <v xml:space="preserve"> </v>
      </c>
      <c r="AK81" s="60">
        <f t="shared" ca="1" si="47"/>
        <v>0</v>
      </c>
      <c r="AL81" s="29" t="str">
        <f t="shared" ca="1" si="48"/>
        <v xml:space="preserve"> </v>
      </c>
      <c r="CB81" s="35">
        <f t="shared" ca="1" si="46"/>
        <v>2</v>
      </c>
      <c r="CC81" s="36">
        <f ca="1">IF(BM23&gt;0,0,RAND())</f>
        <v>0.79701305335838568</v>
      </c>
      <c r="CD81" s="29" t="s">
        <v>28</v>
      </c>
    </row>
    <row r="82" spans="1:82" x14ac:dyDescent="0.3">
      <c r="O82" s="33" t="str">
        <f ca="1">IF(P15="assassin","Disguise Kit"," ")</f>
        <v xml:space="preserve"> </v>
      </c>
      <c r="AJ82" s="58" t="str">
        <f ca="1">IF(Table203338452794851908321381827[[#This Row],[Column2]]=0," ",_xlfn.RANK.EQ(AK82,$AK$80:$AK$89))</f>
        <v xml:space="preserve"> </v>
      </c>
      <c r="AK82" s="60">
        <f t="shared" ca="1" si="47"/>
        <v>0</v>
      </c>
      <c r="AL82" s="29" t="str">
        <f t="shared" ca="1" si="48"/>
        <v xml:space="preserve"> </v>
      </c>
    </row>
    <row r="83" spans="1:82" x14ac:dyDescent="0.3">
      <c r="O83" s="33" t="str">
        <f ca="1">IF(P15="assassin","Poisoner's Kit"," ")</f>
        <v xml:space="preserve"> </v>
      </c>
      <c r="AJ83" s="58" t="str">
        <f ca="1">IF(Table203338452794851908321381827[[#This Row],[Column2]]=0," ",_xlfn.RANK.EQ(AK83,$AK$80:$AK$89))</f>
        <v xml:space="preserve"> </v>
      </c>
      <c r="AK83" s="60">
        <f t="shared" ca="1" si="47"/>
        <v>0</v>
      </c>
      <c r="AL83" s="29" t="str">
        <f t="shared" ca="1" si="48"/>
        <v xml:space="preserve"> </v>
      </c>
      <c r="CB83" s="31" t="s">
        <v>735</v>
      </c>
    </row>
    <row r="84" spans="1:82" x14ac:dyDescent="0.3">
      <c r="O84" s="33" t="str">
        <f ca="1">IF(S11="soldier",VLOOKUP(RANDBETWEEN(1,4),Table258[],2),IF(OR(S11="sailor",S11="pirate"),"Navigator's Tools",IF(OR(S11="folk hero",S11="Guild Artisan"),VLOOKUP(RANDBETWEEN(1,16),Table79[],2),IF(AND(OR(S11="criminal",S11="urchin"),OR(O81&lt;&gt;"Thieves' Tools",O81&lt;&gt;"Thieves' Tools - Expert")),"Thieves' Tools",IF(AND(OR(S11="charlatan",S11="entertainer"),O82&lt;&gt;"Disguise Kit"),"Disguise Kit"," ")))))</f>
        <v xml:space="preserve"> </v>
      </c>
      <c r="AJ84" s="58" t="str">
        <f ca="1">IF(Table203338452794851908321381827[[#This Row],[Column2]]=0," ",_xlfn.RANK.EQ(AK84,$AK$80:$AK$89))</f>
        <v xml:space="preserve"> </v>
      </c>
      <c r="AK84" s="60">
        <f t="shared" ca="1" si="47"/>
        <v>0</v>
      </c>
      <c r="AL84" s="29" t="str">
        <f t="shared" ca="1" si="48"/>
        <v xml:space="preserve"> </v>
      </c>
      <c r="CB84" s="35">
        <f t="shared" ref="CB84:CB94" ca="1" si="49">_xlfn.RANK.EQ(CC84,$CC$84:$CC$94)</f>
        <v>2</v>
      </c>
      <c r="CC84" s="36">
        <f ca="1">IF(BM6&gt;0,0,RAND())</f>
        <v>0.92066984318540213</v>
      </c>
      <c r="CD84" s="29" t="s">
        <v>12</v>
      </c>
    </row>
    <row r="85" spans="1:82" x14ac:dyDescent="0.3">
      <c r="O85" s="33" t="str">
        <f ca="1">IF(AND(S11="urchin",O82&lt;&gt;"Disguise Kit"),"Disguise Kit",IF(OR(S11="Sailor",S11="pirate"),"Vehicles (Water)",IF(OR(S11="folk hero",S11="Soldier"),"Vehicles (Land)",IF(OR(S11="entertainer",S11="outlander"),INDEX('Class Tables'!$F$25:$F$34,MATCH(4,('Class Tables'!$D$25:$D$34),0)),IF(OR(S11="criminal",S11="noble",S11="knight"),VLOOKUP(RANDBETWEEN(1,4),Table258[],2),IF(S11="charlatan","Forgery Kit"," "))))))</f>
        <v xml:space="preserve"> </v>
      </c>
      <c r="AJ85" s="58" t="str">
        <f ca="1">IF(Table203338452794851908321381827[[#This Row],[Column2]]=0," ",_xlfn.RANK.EQ(AK85,$AK$80:$AK$89))</f>
        <v xml:space="preserve"> </v>
      </c>
      <c r="AK85" s="60">
        <f t="shared" ca="1" si="47"/>
        <v>0</v>
      </c>
      <c r="AL85" s="29" t="str">
        <f t="shared" ca="1" si="48"/>
        <v xml:space="preserve"> </v>
      </c>
      <c r="CB85" s="35">
        <f t="shared" ca="1" si="49"/>
        <v>3</v>
      </c>
      <c r="CC85" s="36">
        <f ca="1">IF(BM9&gt;0,0,RAND())</f>
        <v>0.85263384873642578</v>
      </c>
      <c r="CD85" s="29" t="s">
        <v>14</v>
      </c>
    </row>
    <row r="86" spans="1:82" ht="19.5" thickBot="1" x14ac:dyDescent="0.35">
      <c r="AJ86" s="58" t="str">
        <f ca="1">IF(Table203338452794851908321381827[[#This Row],[Column2]]=0," ",_xlfn.RANK.EQ(AK86,$AK$80:$AK$89))</f>
        <v xml:space="preserve"> </v>
      </c>
      <c r="AK86" s="60">
        <f t="shared" ca="1" si="47"/>
        <v>0</v>
      </c>
      <c r="AL86" s="29" t="str">
        <f t="shared" ca="1" si="48"/>
        <v xml:space="preserve"> </v>
      </c>
      <c r="CB86" s="35">
        <f t="shared" ca="1" si="49"/>
        <v>1</v>
      </c>
      <c r="CC86" s="36">
        <f ca="1">IF(BM10&gt;0,0,RAND())</f>
        <v>0.95482758539744927</v>
      </c>
      <c r="CD86" s="29" t="s">
        <v>15</v>
      </c>
    </row>
    <row r="87" spans="1:82" ht="30.75" thickBot="1" x14ac:dyDescent="0.45">
      <c r="A87" s="72"/>
      <c r="B87" s="128" t="s">
        <v>1953</v>
      </c>
      <c r="AJ87" s="58" t="str">
        <f ca="1">IF(Table203338452794851908321381827[[#This Row],[Column2]]=0," ",_xlfn.RANK.EQ(AK87,$AK$80:$AK$89))</f>
        <v xml:space="preserve"> </v>
      </c>
      <c r="AK87" s="60">
        <f t="shared" ca="1" si="47"/>
        <v>0</v>
      </c>
      <c r="AL87" s="29" t="str">
        <f t="shared" ca="1" si="48"/>
        <v xml:space="preserve"> </v>
      </c>
      <c r="CB87" s="35">
        <f t="shared" ca="1" si="49"/>
        <v>6</v>
      </c>
      <c r="CC87" s="36">
        <f ca="1">IF(BM12&gt;0,0,RAND())</f>
        <v>0.39792104156914709</v>
      </c>
      <c r="CD87" s="29" t="s">
        <v>17</v>
      </c>
    </row>
    <row r="88" spans="1:82" x14ac:dyDescent="0.3">
      <c r="A88" s="115"/>
      <c r="B88" s="130" t="s">
        <v>1952</v>
      </c>
      <c r="C88" s="130"/>
      <c r="D88" s="130"/>
      <c r="E88" s="130"/>
      <c r="F88" s="130"/>
      <c r="G88" s="130"/>
      <c r="H88" s="130"/>
      <c r="I88" s="130"/>
      <c r="J88" s="130"/>
      <c r="K88" s="130"/>
      <c r="L88" s="130"/>
      <c r="M88" s="130"/>
      <c r="N88" s="130"/>
      <c r="O88" s="130" t="s">
        <v>1954</v>
      </c>
      <c r="P88" s="130" t="s">
        <v>1955</v>
      </c>
      <c r="Q88" s="130" t="s">
        <v>1956</v>
      </c>
      <c r="R88" s="130" t="s">
        <v>1088</v>
      </c>
      <c r="S88" s="130" t="s">
        <v>2480</v>
      </c>
      <c r="T88" s="130" t="s">
        <v>1957</v>
      </c>
      <c r="AJ88" s="58" t="str">
        <f ca="1">IF(Table203338452794851908321381827[[#This Row],[Column2]]=0," ",_xlfn.RANK.EQ(AK88,$AK$80:$AK$89))</f>
        <v xml:space="preserve"> </v>
      </c>
      <c r="AK88" s="60">
        <f t="shared" ca="1" si="47"/>
        <v>0</v>
      </c>
      <c r="AL88" s="29" t="str">
        <f t="shared" ca="1" si="48"/>
        <v xml:space="preserve"> </v>
      </c>
      <c r="CB88" s="35">
        <f t="shared" ca="1" si="49"/>
        <v>11</v>
      </c>
      <c r="CC88" s="36">
        <f ca="1">IF(BM13&gt;0,0,RAND())</f>
        <v>0.10752525349410724</v>
      </c>
      <c r="CD88" s="29" t="s">
        <v>18</v>
      </c>
    </row>
    <row r="89" spans="1:82" x14ac:dyDescent="0.3">
      <c r="A89" s="137"/>
      <c r="B89" s="33" t="str">
        <f ca="1">IF(OR(O15="unarmored defense",O16="unarmored defense",Q15="unarmored defense",Q16="unarmored defense"),"Unarmored Defense",IF(B79="heavy armor",VLOOKUP(RANDBETWEEN(1,4),Table286[],2),IF(B77="medium armor",VLOOKUP(RANDBETWEEN(1,5),Table285[],2),IF(B76="light armor",VLOOKUP(RANDBETWEEN(1,3),Table284[],2),VLOOKUP(RANDBETWEEN(1,3),Table291[],2)))))</f>
        <v>Half Plate Armor</v>
      </c>
      <c r="C89" s="33"/>
      <c r="D89" s="33"/>
      <c r="E89" s="33"/>
      <c r="F89" s="33"/>
      <c r="G89" s="33"/>
      <c r="H89" s="33"/>
      <c r="I89" s="33"/>
      <c r="J89" s="33"/>
      <c r="K89" s="33"/>
      <c r="L89" s="33"/>
      <c r="M89" s="33"/>
      <c r="N89" s="33"/>
      <c r="O89" s="33">
        <f ca="1">IF(B89="unarmored Defense",10,INDEX(Items!C2:C22,MATCH(B89,(Items!B2:B22),0)))</f>
        <v>15</v>
      </c>
      <c r="P89" s="33">
        <f ca="1">IF(OR(B89="ring mail",B89="chain mail",B89="splint",B89="plate"),0,IF(B89="fine clothes",P39,IF(B89="common clothes",P39,IF(B89="traveler's clothes",P39,IF(B89="unarmored defense",P39,IF(B89="padded",P39,IF(B89="leather",P39,IF(B89="Studded Leather",P39,IF(B89="Hide",MIN(2,(P39)),IF(B89="chain shirt",MIN(2,(P39)),IF(B89="scale mail",MIN(2,(P39)),IF(B89="breastplate",MIN(2,(P39)),IF(B89="half plate",MIN(2,(Q2)),0)))))))))))))</f>
        <v>0</v>
      </c>
      <c r="Q89" s="33">
        <f ca="1">IF(AND(B89="unarmored defense",OR(O11="barbarian",Q11="barbarian")),P40,IF(AND(B89="unarmored defense",OR(O11="monk",Q11="monk")),P42,IF(AND(OR(O17="defense style",Q17="defense style",P18="defense style",O15="defense style",S18="defense style",Q15="defense style"),B89&lt;&gt;"unarmored defense"),2,0)))</f>
        <v>0</v>
      </c>
      <c r="R89" s="33">
        <f ca="1">IF(AND(B90="shield",COUNTIF(B109:P109,"*"&amp;"Shield +3"&amp;"*")),5,IF(AND(B90="shield",COUNTIF(B109:P109,"*"&amp;"Shield +2"&amp;"*")),4,IF(AND(B90="shield",COUNTIF(B109:P109,"*"&amp;"Shield +1"&amp;"*")),3,IF(B90="shield",2,0))))</f>
        <v>0</v>
      </c>
      <c r="S89" s="29" t="str">
        <f ca="1">IF(COUNTIF(B109:P109,"*"&amp;"Armor +3"&amp;"*"),3,IF(COUNTIF(B109:P109,"*"&amp;"Armor +2"&amp;"*"),2,IF(COUNTIF(B109:P109,"*"&amp;"Armor +1"&amp;"*"),1," ")))</f>
        <v xml:space="preserve"> </v>
      </c>
      <c r="T89" s="33">
        <f ca="1">SUM(C89:S89)</f>
        <v>15</v>
      </c>
      <c r="AJ89" s="58" t="str">
        <f ca="1">IF(Table203338452794851908321381827[[#This Row],[Column2]]=0," ",_xlfn.RANK.EQ(AK89,$AK$80:$AK$89))</f>
        <v xml:space="preserve"> </v>
      </c>
      <c r="AK89" s="60">
        <f t="shared" ca="1" si="47"/>
        <v>0</v>
      </c>
      <c r="AL89" s="29" t="str">
        <f t="shared" ca="1" si="48"/>
        <v xml:space="preserve"> </v>
      </c>
      <c r="CB89" s="35">
        <f t="shared" ca="1" si="49"/>
        <v>7</v>
      </c>
      <c r="CC89" s="36">
        <f ca="1">IF(BM14&gt;0,0,RAND())</f>
        <v>0.35548319660433469</v>
      </c>
      <c r="CD89" s="29" t="s">
        <v>19</v>
      </c>
    </row>
    <row r="90" spans="1:82" x14ac:dyDescent="0.3">
      <c r="A90" s="137"/>
      <c r="B90" s="33" t="str">
        <f ca="1">IF(B78="shields","Shield"," ")</f>
        <v xml:space="preserve"> </v>
      </c>
      <c r="C90" s="33"/>
      <c r="D90" s="33"/>
      <c r="E90" s="33"/>
      <c r="F90" s="33"/>
      <c r="G90" s="33"/>
      <c r="H90" s="33"/>
      <c r="I90" s="33"/>
      <c r="J90" s="33"/>
      <c r="K90" s="33"/>
      <c r="L90" s="33"/>
      <c r="M90" s="33"/>
      <c r="N90" s="33"/>
      <c r="O90" s="33"/>
      <c r="P90" s="33"/>
      <c r="Q90" s="33"/>
      <c r="R90" s="33"/>
      <c r="S90" s="33"/>
      <c r="CB90" s="35">
        <f t="shared" ca="1" si="49"/>
        <v>9</v>
      </c>
      <c r="CC90" s="36">
        <f ca="1">IF(BM17&gt;0,0,RAND())</f>
        <v>0.20455385465529763</v>
      </c>
      <c r="CD90" s="29" t="s">
        <v>22</v>
      </c>
    </row>
    <row r="91" spans="1:82" x14ac:dyDescent="0.3">
      <c r="A91" s="137"/>
      <c r="B91" s="69" t="s">
        <v>1962</v>
      </c>
      <c r="C91" s="69"/>
      <c r="D91" s="69"/>
      <c r="E91" s="69"/>
      <c r="F91" s="69"/>
      <c r="G91" s="69"/>
      <c r="H91" s="69"/>
      <c r="I91" s="69"/>
      <c r="J91" s="69"/>
      <c r="K91" s="69"/>
      <c r="L91" s="69"/>
      <c r="M91" s="69"/>
      <c r="N91" s="69"/>
      <c r="O91" s="69" t="s">
        <v>1963</v>
      </c>
      <c r="P91" s="69" t="s">
        <v>1982</v>
      </c>
      <c r="Q91" s="70" t="s">
        <v>1983</v>
      </c>
      <c r="R91" s="71" t="s">
        <v>2715</v>
      </c>
      <c r="S91" s="30"/>
      <c r="AJ91" s="31" t="s">
        <v>1169</v>
      </c>
      <c r="CB91" s="35">
        <f t="shared" ca="1" si="49"/>
        <v>10</v>
      </c>
      <c r="CC91" s="36">
        <f ca="1">IF(BM18&gt;0,0,RAND())</f>
        <v>0.12135427450023317</v>
      </c>
      <c r="CD91" s="29" t="s">
        <v>23</v>
      </c>
    </row>
    <row r="92" spans="1:82" x14ac:dyDescent="0.3">
      <c r="A92" s="137"/>
      <c r="B92" s="33" t="str">
        <f ca="1">IF(P77="martial weapons",VLOOKUP(RANDBETWEEN(1,18),Table289[],2),IF(P76="simple weapons",VLOOKUP(RANDBETWEEN(1,10),Table287[],2),INDEX(AQ45:AQ59,MATCH(1,(AO45:AO59),0))))</f>
        <v>Quarterstaff</v>
      </c>
      <c r="C92" s="33"/>
      <c r="D92" s="33"/>
      <c r="E92" s="33"/>
      <c r="F92" s="33"/>
      <c r="G92" s="33"/>
      <c r="H92" s="33"/>
      <c r="I92" s="33"/>
      <c r="J92" s="33"/>
      <c r="K92" s="33"/>
      <c r="L92" s="33"/>
      <c r="M92" s="33"/>
      <c r="N92" s="33"/>
      <c r="O92" s="33" t="str">
        <f ca="1">INDEX(Items!$G$2:$G$44,MATCH(B92,(Items!$F$2:$F$44),0))</f>
        <v>1d6b</v>
      </c>
      <c r="P92" s="33" t="str">
        <f ca="1">INDEX(Items!$I$2:$I$44,MATCH(B92,(Items!$F$2:$F$44),0))</f>
        <v>1d8b</v>
      </c>
      <c r="Q92" s="72" t="str">
        <f ca="1">INDEX(Items!$H$2:$H$44,MATCH(B92,(Items!$F$2:$F$44),0))</f>
        <v>n/a</v>
      </c>
      <c r="R92" s="30"/>
      <c r="S92" s="30"/>
      <c r="AJ92" s="58" t="str">
        <f ca="1">IF(Table204339453795852909322382828[[#This Row],[Column2]]=0," ",_xlfn.RANK.EQ(AK92,$AK$92:$AK$101))</f>
        <v xml:space="preserve"> </v>
      </c>
      <c r="AK92" s="60">
        <f t="shared" ref="AK92:AK101" ca="1" si="50">IF(AL92=" ", 0,RAND())</f>
        <v>0</v>
      </c>
      <c r="AL92" s="29" t="str">
        <f t="shared" ref="AL92:AL101" ca="1" si="51">P334</f>
        <v xml:space="preserve"> </v>
      </c>
      <c r="CB92" s="35">
        <f t="shared" ca="1" si="49"/>
        <v>5</v>
      </c>
      <c r="CC92" s="36">
        <f ca="1">IF(BM19&gt;0,0,RAND())</f>
        <v>0.54265095531564378</v>
      </c>
      <c r="CD92" s="29" t="s">
        <v>24</v>
      </c>
    </row>
    <row r="93" spans="1:82" x14ac:dyDescent="0.3">
      <c r="A93" s="137"/>
      <c r="B93" s="33" t="str">
        <f ca="1">IF(P77="martial weapons",VLOOKUP(RANDBETWEEN(1,18),Table289[],2),IF(P76="simple weapons",VLOOKUP(RANDBETWEEN(1,10),Table287[],2),INDEX(AQ45:AQ59,MATCH(2,(AO45:AO59),0))))</f>
        <v>Battleaxe</v>
      </c>
      <c r="C93" s="33"/>
      <c r="D93" s="33"/>
      <c r="E93" s="33"/>
      <c r="F93" s="33"/>
      <c r="G93" s="33"/>
      <c r="H93" s="33"/>
      <c r="I93" s="33"/>
      <c r="J93" s="33"/>
      <c r="K93" s="33"/>
      <c r="L93" s="33"/>
      <c r="M93" s="33"/>
      <c r="N93" s="33"/>
      <c r="O93" s="33" t="str">
        <f ca="1">INDEX(Items!$G$2:$G$44,MATCH(B93,(Items!$F$2:$F$44),0))</f>
        <v>1d8s</v>
      </c>
      <c r="P93" s="33" t="str">
        <f ca="1">INDEX(Items!$I$2:$I$44,MATCH(B93,(Items!$F$2:$F$44),0))</f>
        <v>1d10s</v>
      </c>
      <c r="Q93" s="72" t="str">
        <f ca="1">INDEX(Items!$H$2:$H$44,MATCH(B93,(Items!$F$2:$F$44),0))</f>
        <v>n/a</v>
      </c>
      <c r="R93" s="30"/>
      <c r="S93" s="30"/>
      <c r="AJ93" s="58" t="str">
        <f ca="1">IF(Table204339453795852909322382828[[#This Row],[Column2]]=0," ",_xlfn.RANK.EQ(AK93,$AK$92:$AK$101))</f>
        <v xml:space="preserve"> </v>
      </c>
      <c r="AK93" s="60">
        <f t="shared" ca="1" si="50"/>
        <v>0</v>
      </c>
      <c r="AL93" s="29" t="str">
        <f t="shared" ca="1" si="51"/>
        <v xml:space="preserve"> </v>
      </c>
      <c r="CB93" s="35">
        <f t="shared" ca="1" si="49"/>
        <v>8</v>
      </c>
      <c r="CC93" s="36">
        <f ca="1">IF(BM21&gt;0,0,RAND())</f>
        <v>0.3376180021976577</v>
      </c>
      <c r="CD93" s="29" t="s">
        <v>26</v>
      </c>
    </row>
    <row r="94" spans="1:82" x14ac:dyDescent="0.3">
      <c r="A94" s="137"/>
      <c r="B94" s="33" t="str">
        <f ca="1">IF(P77="martial weapons",VLOOKUP(RANDBETWEEN(1,5),Table290[],2),IF(P76="simple weapons",VLOOKUP(RANDBETWEEN(1,4),Table288[],2,),INDEX(AQ45:AQ59,MATCH(3,(AO45:AO59),0))))</f>
        <v>Warhammer</v>
      </c>
      <c r="C94" s="33"/>
      <c r="D94" s="33"/>
      <c r="E94" s="33"/>
      <c r="F94" s="33"/>
      <c r="G94" s="33"/>
      <c r="H94" s="33"/>
      <c r="I94" s="33"/>
      <c r="J94" s="33"/>
      <c r="K94" s="33"/>
      <c r="L94" s="33"/>
      <c r="M94" s="33"/>
      <c r="N94" s="33"/>
      <c r="O94" s="33" t="str">
        <f ca="1">IF(B94=" "," ",INDEX(Items!$G$2:$G$44,MATCH(B94,(Items!$F$2:$F$44),0)))</f>
        <v>1d8b</v>
      </c>
      <c r="P94" s="33" t="str">
        <f ca="1">IF(B94=" "," ",INDEX(Items!$I$2:$I$44,MATCH(B94,(Items!$F$2:$F$44),0)))</f>
        <v>1d10b</v>
      </c>
      <c r="Q94" s="72" t="str">
        <f ca="1">IF(B94=" "," ",INDEX(Items!$H$2:$H$44,MATCH(B94,(Items!$F$2:$F$44),0)))</f>
        <v>n/a</v>
      </c>
      <c r="R94" s="30"/>
      <c r="S94" s="30"/>
      <c r="AJ94" s="58" t="str">
        <f ca="1">IF(Table204339453795852909322382828[[#This Row],[Column2]]=0," ",_xlfn.RANK.EQ(AK94,$AK$92:$AK$101))</f>
        <v xml:space="preserve"> </v>
      </c>
      <c r="AK94" s="60">
        <f t="shared" ca="1" si="50"/>
        <v>0</v>
      </c>
      <c r="AL94" s="29" t="str">
        <f t="shared" ca="1" si="51"/>
        <v xml:space="preserve"> </v>
      </c>
      <c r="CB94" s="35">
        <f t="shared" ca="1" si="49"/>
        <v>4</v>
      </c>
      <c r="CC94" s="36">
        <f ca="1">IF(BM22&gt;0,0,RAND())</f>
        <v>0.61827614767332983</v>
      </c>
      <c r="CD94" s="29" t="s">
        <v>27</v>
      </c>
    </row>
    <row r="95" spans="1:82" ht="19.5" thickBot="1" x14ac:dyDescent="0.35">
      <c r="A95" s="137"/>
      <c r="B95" s="38" t="str">
        <f ca="1">IF(O11="monk","Martial Arts"," ")</f>
        <v xml:space="preserve"> </v>
      </c>
      <c r="C95" s="33"/>
      <c r="D95" s="33"/>
      <c r="E95" s="33"/>
      <c r="F95" s="33"/>
      <c r="G95" s="33"/>
      <c r="H95" s="33"/>
      <c r="I95" s="33"/>
      <c r="J95" s="33"/>
      <c r="K95" s="33"/>
      <c r="L95" s="33"/>
      <c r="M95" s="33"/>
      <c r="N95" s="33"/>
      <c r="O95" s="38" t="str">
        <f ca="1">IF(B95="martial arts",INDEX('Class Tables'!J98:J117,MATCH(O12,('Class Tables'!I98:I117),0))," ")</f>
        <v xml:space="preserve"> </v>
      </c>
      <c r="P95" s="38" t="str">
        <f ca="1">IF(B95=" "," ",IF(B95="martial arts", " ",INDEX(Items!$I$2:$I$44,MATCH(B95,(Items!$F$2:$F$44),0))))</f>
        <v xml:space="preserve"> </v>
      </c>
      <c r="Q95" s="73" t="str">
        <f ca="1">IF(B95=" "," ",IF(B95="martial arts"," ",INDEX(Items!$H$2:$H$44,MATCH(B95,(Items!$F$2:$F$44),0))))</f>
        <v xml:space="preserve"> </v>
      </c>
      <c r="R95" s="41"/>
      <c r="S95" s="41"/>
      <c r="AJ95" s="58" t="str">
        <f ca="1">IF(Table204339453795852909322382828[[#This Row],[Column2]]=0," ",_xlfn.RANK.EQ(AK95,$AK$92:$AK$101))</f>
        <v xml:space="preserve"> </v>
      </c>
      <c r="AK95" s="60">
        <f t="shared" ca="1" si="50"/>
        <v>0</v>
      </c>
      <c r="AL95" s="29" t="str">
        <f t="shared" ca="1" si="51"/>
        <v xml:space="preserve"> </v>
      </c>
    </row>
    <row r="96" spans="1:82" x14ac:dyDescent="0.3">
      <c r="A96" s="137"/>
      <c r="O96" s="69" t="s">
        <v>1964</v>
      </c>
      <c r="P96" s="69" t="s">
        <v>34</v>
      </c>
      <c r="Q96" s="69" t="s">
        <v>1986</v>
      </c>
      <c r="R96" s="69" t="s">
        <v>2753</v>
      </c>
      <c r="S96" s="70" t="s">
        <v>2480</v>
      </c>
      <c r="AJ96" s="58" t="str">
        <f ca="1">IF(Table204339453795852909322382828[[#This Row],[Column2]]=0," ",_xlfn.RANK.EQ(AK96,$AK$92:$AK$101))</f>
        <v xml:space="preserve"> </v>
      </c>
      <c r="AK96" s="60">
        <f t="shared" ca="1" si="50"/>
        <v>0</v>
      </c>
      <c r="AL96" s="29" t="str">
        <f t="shared" ca="1" si="51"/>
        <v xml:space="preserve"> </v>
      </c>
      <c r="CB96" s="31" t="s">
        <v>736</v>
      </c>
    </row>
    <row r="97" spans="1:82" x14ac:dyDescent="0.3">
      <c r="A97" s="137"/>
      <c r="B97" s="29" t="str">
        <f ca="1">B92</f>
        <v>Quarterstaff</v>
      </c>
      <c r="O97" s="33">
        <f ca="1">IF(VLOOKUP(B92,Items!$F$2:$J$44,5,FALSE)="fin",SUM($P$38:$P$39)-SMALL($P$38:$P$39,1),IF(VLOOKUP(B92,(Items!$F$2:$J$44),5,FALSE)="str",$P$38,IF(VLOOKUP(B92,(Items!$F$2:$J$44),5,FALSE)="dex",$P$39,0)))</f>
        <v>3</v>
      </c>
      <c r="P97" s="33">
        <f ca="1">P8</f>
        <v>2</v>
      </c>
      <c r="Q97" s="33">
        <f ca="1">IF(AND(OR(B92&lt;&gt;"light crossbow",B92&lt;&gt;"dart",B92="shortbow",B92&lt;&gt;"Sling",B92&lt;&gt;"blowgun",B92&lt;&gt;"hand crossbow",B92&lt;&gt;"heavy crossbow",B92&lt;&gt;"longbow",B92&lt;&gt;"net",B92&lt;&gt;"greatclub",B92&lt;&gt;"glaive",B92&lt;&gt;"Greataxe",B92&lt;&gt;"Greatsword",B92&lt;&gt;"halbard",B92&lt;&gt;"maul",B92&lt;&gt;"pike"),OR($O$18="dueling style",$Q$18="dueling style",$P$18="dueling style",$S$18="dueling style",$O$15="dueling style",$Q$15="dueling style")),2,0)</f>
        <v>0</v>
      </c>
      <c r="R97" s="33">
        <f ca="1">IF(AND(OR(B92="light crossbow",B92="dart",B92="shortbow",B92="Sling",B92="blowgun",B92="hand crossbow",B92="heavy crossbow",B92="longbow",B92="net"),OR($P$18="archery style",$S$18="archery style",$O$15="archery style",$Q$15="archery style")),2,0)</f>
        <v>0</v>
      </c>
      <c r="S97" s="72" t="str">
        <f ca="1">IF(COUNTIF(B109:P109,"*"&amp;"Weapon +3"&amp;"*"),3,IF(COUNTIF(B109:P109,"*"&amp;"Weapon +2"&amp;"*"),2,IF(COUNTIF(B109:P109,"*"&amp;"Weapon +1"&amp;"*"),1," ")))</f>
        <v xml:space="preserve"> </v>
      </c>
      <c r="AJ97" s="58" t="str">
        <f ca="1">IF(Table204339453795852909322382828[[#This Row],[Column2]]=0," ",_xlfn.RANK.EQ(AK97,$AK$92:$AK$101))</f>
        <v xml:space="preserve"> </v>
      </c>
      <c r="AK97" s="60">
        <f t="shared" ca="1" si="50"/>
        <v>0</v>
      </c>
      <c r="AL97" s="29" t="str">
        <f t="shared" ca="1" si="51"/>
        <v xml:space="preserve"> </v>
      </c>
      <c r="CB97" s="35">
        <f t="shared" ref="CB97:CB102" ca="1" si="52">_xlfn.RANK.EQ(CC97,$CC$97:$CC$102)</f>
        <v>5</v>
      </c>
      <c r="CC97" s="36">
        <f ca="1">IF(BM8&gt;0,0,RAND())</f>
        <v>0.16578611409881272</v>
      </c>
      <c r="CD97" s="29" t="s">
        <v>13</v>
      </c>
    </row>
    <row r="98" spans="1:82" x14ac:dyDescent="0.3">
      <c r="A98" s="137"/>
      <c r="B98" s="29" t="str">
        <f ca="1">B93</f>
        <v>Battleaxe</v>
      </c>
      <c r="O98" s="33">
        <f ca="1">IF(VLOOKUP(B93,Items!$F$2:$J$44,5,FALSE)="fin",SUM($P$38:$P$39)-SMALL($P$38:$P$39,1),IF(VLOOKUP(B93,(Items!$F$2:$J$44),5,FALSE)="str",$P$38,IF(VLOOKUP(B93,(Items!$F$2:$J$44),5,FALSE)="dex",$P$39,0)))</f>
        <v>3</v>
      </c>
      <c r="P98" s="33">
        <f ca="1">P8</f>
        <v>2</v>
      </c>
      <c r="Q98" s="33">
        <f ca="1">IF(AND(OR(B93&lt;&gt;"light crossbow",B93&lt;&gt;"dart",B93="shortbow",B93&lt;&gt;"Sling",B93&lt;&gt;"blowgun",B93&lt;&gt;"hand crossbow",B93&lt;&gt;"heavy crossbow",B93&lt;&gt;"longbow",B93&lt;&gt;"net",B93&lt;&gt;"greatclub",B93&lt;&gt;"glaive",B93&lt;&gt;"Greataxe",B93&lt;&gt;"Greatsword",B93&lt;&gt;"halbard",B93&lt;&gt;"maul",B93&lt;&gt;"pike"),OR($O$18="dueling style",$Q$18="dueling style",$P$18="dueling style",$S$18="dueling style",$O$15="dueling style",$Q$15="dueling style")),2,0)</f>
        <v>0</v>
      </c>
      <c r="R98" s="33">
        <f ca="1">IF(AND(OR(B93="light crossbow",B93="dart",B93="shortbow",B93="Sling",B93="blowgun",B93="hand crossbow",B93="heavy crossbow",B93="longbow",B93="net"),OR($P$18="archery style",$S$18="archery style",$O$15="archery style",$Q$15="archery style")),2,0)</f>
        <v>0</v>
      </c>
      <c r="S98" s="72" t="str">
        <f ca="1">IF(AND(S97&lt;&gt;2,COUNTIF(B109:P109,"*"&amp;"Weapon +2"&amp;"*")),2,IF(AND(S97&lt;&gt;1,COUNTIF(B109:P109,"*"&amp;"Weapon +1"&amp;"*")),1," "))</f>
        <v xml:space="preserve"> </v>
      </c>
      <c r="AJ98" s="58" t="str">
        <f ca="1">IF(Table204339453795852909322382828[[#This Row],[Column2]]=0," ",_xlfn.RANK.EQ(AK98,$AK$92:$AK$101))</f>
        <v xml:space="preserve"> </v>
      </c>
      <c r="AK98" s="60">
        <f t="shared" ca="1" si="50"/>
        <v>0</v>
      </c>
      <c r="AL98" s="29" t="str">
        <f t="shared" ca="1" si="51"/>
        <v xml:space="preserve"> </v>
      </c>
      <c r="CB98" s="35">
        <f t="shared" ca="1" si="52"/>
        <v>4</v>
      </c>
      <c r="CC98" s="36">
        <f ca="1">IF(BM10&gt;0,0,RAND())</f>
        <v>0.17897094149481951</v>
      </c>
      <c r="CD98" s="29" t="s">
        <v>15</v>
      </c>
    </row>
    <row r="99" spans="1:82" x14ac:dyDescent="0.3">
      <c r="A99" s="137"/>
      <c r="B99" s="29" t="str">
        <f ca="1">B94</f>
        <v>Warhammer</v>
      </c>
      <c r="O99" s="33">
        <f ca="1">IF(VLOOKUP(B94,Items!$F$2:$J$44,5,FALSE)="fin",SUM($P$38:$P$39)-SMALL($P$38:$P$39,1),IF(VLOOKUP(B94,(Items!$F$2:$J$44),5,FALSE)="str",$P$38,IF(VLOOKUP(B94,(Items!$F$2:$J$44),5,FALSE)="dex",$P$39,0)))</f>
        <v>3</v>
      </c>
      <c r="P99" s="33">
        <f ca="1">IF(B94=" "," ",P8)</f>
        <v>2</v>
      </c>
      <c r="Q99" s="33">
        <f ca="1">IF(AND(OR(B94&lt;&gt;"light crossbow",B94&lt;&gt;"dart",B94="shortbow",B94&lt;&gt;"Sling",B94&lt;&gt;"blowgun",B94&lt;&gt;"hand crossbow",B94&lt;&gt;"heavy crossbow",B94&lt;&gt;"longbow",B94&lt;&gt;"net",B94&lt;&gt;"greatclub",B94&lt;&gt;"glaive",B94&lt;&gt;"Greataxe",B94&lt;&gt;"Greatsword",B94&lt;&gt;"halbard",B94&lt;&gt;"maul",B94&lt;&gt;"pike"),OR($O$18="dueling style",$Q$18="dueling style",$P$18="dueling style",$S$18="dueling style",$O$15="dueling style",$Q$15="dueling style")),2,0)</f>
        <v>0</v>
      </c>
      <c r="R99" s="33">
        <f ca="1">IF(AND(OR(B94="light crossbow",B94="dart",B94="shortbow",B94="Sling",B94="blowgun",B94="hand crossbow",B94="heavy crossbow",B94="longbow",B94="net"),OR($P$18="archery style",$S$18="archery style",$O$15="archery style",$Q$15="archery style")),2,0)</f>
        <v>0</v>
      </c>
      <c r="S99" s="72" t="str">
        <f ca="1">IF(AND(S97&lt;&gt;1,S98&lt;&gt;1,COUNTIF(B109:P109,"*"&amp;"Weapon +1"&amp;"*")),1," ")</f>
        <v xml:space="preserve"> </v>
      </c>
      <c r="AJ99" s="58" t="str">
        <f ca="1">IF(Table204339453795852909322382828[[#This Row],[Column2]]=0," ",_xlfn.RANK.EQ(AK99,$AK$92:$AK$101))</f>
        <v xml:space="preserve"> </v>
      </c>
      <c r="AK99" s="60">
        <f t="shared" ca="1" si="50"/>
        <v>0</v>
      </c>
      <c r="AL99" s="29" t="str">
        <f t="shared" ca="1" si="51"/>
        <v xml:space="preserve"> </v>
      </c>
      <c r="CB99" s="35">
        <f t="shared" ca="1" si="52"/>
        <v>6</v>
      </c>
      <c r="CC99" s="36">
        <f ca="1">IF(BM12&gt;0,0,RAND())</f>
        <v>0.13378769894275289</v>
      </c>
      <c r="CD99" s="29" t="s">
        <v>17</v>
      </c>
    </row>
    <row r="100" spans="1:82" x14ac:dyDescent="0.3">
      <c r="A100" s="138"/>
      <c r="B100" s="29" t="str">
        <f ca="1">B95</f>
        <v xml:space="preserve"> </v>
      </c>
      <c r="O100" s="33" t="str">
        <f ca="1">IF(B95="martial arts",SUM($P$38:$P$39)-SMALL($P$38:$P$39,1)," ")</f>
        <v xml:space="preserve"> </v>
      </c>
      <c r="P100" s="33" t="str">
        <f ca="1">IF(B95=" "," ",P8)</f>
        <v xml:space="preserve"> </v>
      </c>
      <c r="Q100" s="33">
        <f ca="1">IF(AND(OR(B95&lt;&gt;"light crossbow",B95&lt;&gt;"dart",B95="shortbow",B95&lt;&gt;"Sling",B95&lt;&gt;"blowgun",B95&lt;&gt;"hand crossbow",B95&lt;&gt;"heavy crossbow",B95&lt;&gt;"longbow",B95&lt;&gt;"net",B95&lt;&gt;"greatclub",B95&lt;&gt;"glaive",B95&lt;&gt;"Greataxe",B95&lt;&gt;"Greatsword",B95&lt;&gt;"halbard",B95&lt;&gt;"maul",B95&lt;&gt;"pike"),OR($O$18="dueling style",$Q$18="dueling style",$P$18="dueling style",$S$18="dueling style",$O$15="dueling style",$Q$15="dueling style")),2,0)</f>
        <v>0</v>
      </c>
      <c r="R100" s="33">
        <f ca="1">IF(AND(OR(B95="light crossbow",B95="dart",B95="shortbow",B95="Sling",B95="blowgun",B95="hand crossbow",B95="heavy crossbow",B95="longbow",B95="net"),OR($P$18="archery style",$S$18="archery style",$O$15="archery style",$Q$15="archery style")),2,0)</f>
        <v>0</v>
      </c>
      <c r="S100" s="72" t="str">
        <f ca="1">IF(AND(S98&lt;&gt;1,S99&lt;&gt;1,COUNTIF(B110:P110,"*"&amp;"Weapon +1"&amp;"*")),1," ")</f>
        <v xml:space="preserve"> </v>
      </c>
      <c r="AJ100" s="58" t="str">
        <f ca="1">IF(Table204339453795852909322382828[[#This Row],[Column2]]=0," ",_xlfn.RANK.EQ(AK100,$AK$92:$AK$101))</f>
        <v xml:space="preserve"> </v>
      </c>
      <c r="AK100" s="60">
        <f t="shared" ca="1" si="50"/>
        <v>0</v>
      </c>
      <c r="AL100" s="29" t="str">
        <f t="shared" ca="1" si="51"/>
        <v xml:space="preserve"> </v>
      </c>
      <c r="CB100" s="35">
        <f t="shared" ca="1" si="52"/>
        <v>1</v>
      </c>
      <c r="CC100" s="36">
        <f ca="1">IF(BM13&gt;0,0,RAND())</f>
        <v>0.75680996834888503</v>
      </c>
      <c r="CD100" s="29" t="s">
        <v>18</v>
      </c>
    </row>
    <row r="101" spans="1:82" x14ac:dyDescent="0.3">
      <c r="A101" s="138"/>
      <c r="AJ101" s="58" t="str">
        <f ca="1">IF(Table204339453795852909322382828[[#This Row],[Column2]]=0," ",_xlfn.RANK.EQ(AK101,$AK$92:$AK$101))</f>
        <v xml:space="preserve"> </v>
      </c>
      <c r="AK101" s="60">
        <f t="shared" ca="1" si="50"/>
        <v>0</v>
      </c>
      <c r="AL101" s="29" t="str">
        <f t="shared" ca="1" si="51"/>
        <v xml:space="preserve"> </v>
      </c>
      <c r="CB101" s="35">
        <f t="shared" ca="1" si="52"/>
        <v>2</v>
      </c>
      <c r="CC101" s="36">
        <f ca="1">IF(BM19&gt;0,0,RAND())</f>
        <v>0.63403551319824691</v>
      </c>
      <c r="CD101" s="29" t="s">
        <v>24</v>
      </c>
    </row>
    <row r="102" spans="1:82" x14ac:dyDescent="0.3">
      <c r="A102" s="137"/>
      <c r="B102" s="69" t="str">
        <f ca="1">IF(B40="non-classed","Shoulder Bag",IF(B103="diplomat's pack","Small Chest","Backpack"))</f>
        <v>Backpack</v>
      </c>
      <c r="C102" s="33"/>
      <c r="D102" s="33"/>
      <c r="E102" s="33"/>
      <c r="F102" s="33"/>
      <c r="G102" s="33"/>
      <c r="H102" s="33"/>
      <c r="I102" s="33"/>
      <c r="J102" s="33"/>
      <c r="K102" s="33"/>
      <c r="L102" s="33"/>
      <c r="M102" s="33"/>
      <c r="N102" s="33"/>
      <c r="O102" s="33"/>
      <c r="P102" s="33"/>
      <c r="Q102" s="69" t="s">
        <v>1988</v>
      </c>
      <c r="R102" s="69" t="str">
        <f ca="1">IF(OR(P15="eldritch knight",R15="eldritch knight",P15="arcane trickster",R15="arcane trickster",O11="ranger",Q11="ranger",O11="bard",Q11="bard",O11="cleric",Q11="cleric",O11="druid",Q11="druid",O11="paladin",Q11="paladin",O11="sorcerer",Q11="sorcerer",O11="warlock",Q11="warlock",O11="wizard",Q11="wizard"),"Component Pouch"," ")</f>
        <v xml:space="preserve"> </v>
      </c>
      <c r="CB102" s="35">
        <f t="shared" ca="1" si="52"/>
        <v>3</v>
      </c>
      <c r="CC102" s="36">
        <f ca="1">IF(BM20&gt;0,0,RAND())</f>
        <v>0.21817616553798991</v>
      </c>
      <c r="CD102" s="29" t="s">
        <v>25</v>
      </c>
    </row>
    <row r="103" spans="1:82" x14ac:dyDescent="0.3">
      <c r="A103" s="137"/>
      <c r="B103" s="33" t="str">
        <f ca="1">IF(AND(AF21=2,O11="wizard"),"Explorer's Pack",IF(AND(AF21=1,OR(O11="sorcerer",O11="wizard",O11="warlock")),"Scholar's Pack",IF(AND(AF20=1,O11="rogue"),"Dungeoneer's Pack",IF(AND(AF20=2,O11="rogue"),"Explorer's Pack",IF(AND(AF20=3,O11="rogue"),"Burglar's Pack",IF(AND(AF21=1,OR(O11="monk",O11="Fighter",O11="ranger",O11="Sorcerer")),"Explorer's Pack",IF(AND(AF21=2,OR(O11="fighter",O11="monk",O11="ranger",O11="sorcerer",O11="warlock")),"Dungeoneer's Pack",IF(O11="druid","Explorer's Pack",IF(AND(AF21=2,OR(O11="cleric",O11="paladin")),"Explorer's Pack",IF(AND(AF21=1,OR(O11="cleric",O11="paladin")),"Priest's Pack",IF(AND(AF21=1,O11="bard"),"Diplomat's Pack",IF(AND(AF21=2,O11="bard"),"Entertainer's Pack",IF(O11="barbarian","Explorer's Pack"," ")))))))))))))</f>
        <v xml:space="preserve"> </v>
      </c>
      <c r="C103" s="33"/>
      <c r="D103" s="33"/>
      <c r="E103" s="33"/>
      <c r="F103" s="33"/>
      <c r="G103" s="33"/>
      <c r="H103" s="33"/>
      <c r="I103" s="33"/>
      <c r="J103" s="33"/>
      <c r="K103" s="33"/>
      <c r="L103" s="33"/>
      <c r="M103" s="33"/>
      <c r="N103" s="33"/>
      <c r="O103" s="33" t="str">
        <f ca="1">IF(B103="Scholar's Pack","SP - Little Bag of Sand",IF(B103="Priest's Pack","PP - 2 Blocks of Incense",IF(B103="Entertainer's Pack","EP - Waterskin",IF(B103="Dungeoneer's Pack","DP - Tinderbox",IF(B103="Diplomat's Pack","DP - Lamp",IF(B103="Burglar's Pack","BP - Hammer",IF(B103="explorer's pack","EP - 10 Days Rations"," ")))))))</f>
        <v xml:space="preserve"> </v>
      </c>
      <c r="P103" s="33" t="str">
        <f ca="1">IF(B103="Diplomat's Pack","DP - Soap",IF(B103="Burglar's Pack","BP - Tinderbox"," "))</f>
        <v xml:space="preserve"> </v>
      </c>
      <c r="Q103" s="33" t="str">
        <f ca="1">INDEX(Items!C47:C66,MATCH(P6,(Items!A47:A66),0))&amp;" CP"</f>
        <v>0 CP</v>
      </c>
      <c r="R103" s="33" t="str">
        <f ca="1">IF(OR(,O11="bard",Q11="bard",O11="cleric",Q11="cleric",O11="druid",Q11="druid",O11="paladin",Q11="paladin",O11="sorcerer",Q11="sorcerer",O11="warlock",Q11="warlock",O11="wizard",Q11="wizard"),"Arcane Focus"," ")</f>
        <v xml:space="preserve"> </v>
      </c>
      <c r="AJ103" s="31" t="s">
        <v>1170</v>
      </c>
    </row>
    <row r="104" spans="1:82" x14ac:dyDescent="0.3">
      <c r="A104" s="137"/>
      <c r="B104" s="33" t="str">
        <f ca="1">IF(B103="Scholar's Pack","SP - Book of Lore",IF(B103="Priest's Pack","PP - Blanket",IF(B103="Entertainer's Pack","EP - Bedroll",IF(B103="Dungeoneer's Pack","DP - Crowbar",IF(B103="Diplomat's Pack","DP - 2 Map/Scroll Cases",IF(B103="Burglar's Pack","BP - 10' of String",IF(B103="explorer's pack"," EP - Bedroll"," ")))))))</f>
        <v xml:space="preserve"> </v>
      </c>
      <c r="C104" s="33"/>
      <c r="D104" s="33"/>
      <c r="E104" s="33"/>
      <c r="F104" s="33"/>
      <c r="G104" s="33"/>
      <c r="H104" s="33"/>
      <c r="I104" s="33"/>
      <c r="J104" s="33"/>
      <c r="K104" s="33"/>
      <c r="L104" s="33"/>
      <c r="M104" s="33"/>
      <c r="N104" s="33"/>
      <c r="O104" s="33" t="str">
        <f ca="1">IF(B103="Scholar's Pack","SP - Small Knife",IF(B103="Priest's Pack","PP - Censer",IF(B103="Entertainer's Pack","EP - Disguise Kit",IF(B103="Dungeoneer's Pack","DP - 10 Days Rations",IF(B103="Diplomat's Pack","DP - 2 Flasks of Oil",IF(B103="Burglar's Pack","BP - 10 Pitons",IF(B103="explorer's pack","EP - Waterskin"," ")))))))</f>
        <v xml:space="preserve"> </v>
      </c>
      <c r="P104" s="33" t="str">
        <f ca="1">IF(B103="Burglar's Pack","BP - Waterskin"," ")</f>
        <v xml:space="preserve"> </v>
      </c>
      <c r="Q104" s="33" t="str">
        <f ca="1">INDEX(Items!D47:D66,MATCH(P6,(Items!A47:A66),0))&amp;" SP"</f>
        <v>11 SP</v>
      </c>
      <c r="R104" s="69" t="str">
        <f ca="1">IF(COUNTIF(B92:B94,"*"&amp;"sling"&amp;"*"),"Sling Bullet Pouch"," ")</f>
        <v xml:space="preserve"> </v>
      </c>
      <c r="AJ104" s="58" t="str">
        <f ca="1">IF(AK104=0," ",_xlfn.RANK.EQ(AK104,$AK$104:$AK$113))</f>
        <v xml:space="preserve"> </v>
      </c>
      <c r="AK104" s="60">
        <f t="shared" ref="AK104:AK113" ca="1" si="53">IF(AL104=" ", 0,RAND())</f>
        <v>0</v>
      </c>
      <c r="AL104" s="29" t="str">
        <f t="shared" ref="AL104:AL113" ca="1" si="54">Q334</f>
        <v xml:space="preserve"> </v>
      </c>
      <c r="CB104" s="31" t="s">
        <v>737</v>
      </c>
    </row>
    <row r="105" spans="1:82" x14ac:dyDescent="0.3">
      <c r="A105" s="137"/>
      <c r="B105" s="33" t="str">
        <f ca="1">IF(B103="Scholar's Pack","SP - Bottle of Ink",IF(B103="Priest's Pack","PP - 10 Candles",IF(B103="Entertainer's Pack","EP - 2 Costumes",IF(B103="Dungeoneer's Pack","DP -Hammer ",IF(B103="Diplomat's Pack","DP - Set of Fine Clothes",IF(B103="Burglar's Pack","BP - Bell",IF(B103="explorer's pack","EP - Mess Kit"," ")))))))</f>
        <v xml:space="preserve"> </v>
      </c>
      <c r="C105" s="33"/>
      <c r="D105" s="33"/>
      <c r="E105" s="33"/>
      <c r="F105" s="33"/>
      <c r="G105" s="33"/>
      <c r="H105" s="33"/>
      <c r="I105" s="33"/>
      <c r="J105" s="33"/>
      <c r="K105" s="33"/>
      <c r="L105" s="33"/>
      <c r="M105" s="33"/>
      <c r="N105" s="33"/>
      <c r="O105" s="33" t="str">
        <f ca="1">IF(B103="Priest's Pack","PP - Vestments",IF(B103="Dungeoneer's Pack","DP - Waterskin",IF(B103="Diplomat's Pack","DP - 5 Sheets of Paper",IF(B103="Burglar's Pack","BP - Hooded Lantern",IF(B103="explorer's pack","EP - 50' Hempen Rope"," ")))))</f>
        <v xml:space="preserve"> </v>
      </c>
      <c r="P105" s="33" t="str">
        <f ca="1">IF(B103="Burglar's Pack","BP - 50' Hempen Rope"," ")</f>
        <v xml:space="preserve"> </v>
      </c>
      <c r="Q105" s="33" t="str">
        <f ca="1">INDEX(Items!E47:E66,MATCH(P6,(Items!A47:A66),0))&amp;" EP"</f>
        <v>0 EP</v>
      </c>
      <c r="R105" s="33" t="str">
        <f ca="1">IF(COUNTIF(B92:B94,"*"&amp;"sling"&amp;"*"),RANDBETWEEN(6,13)&amp;" Sling Bullets"," ")</f>
        <v xml:space="preserve"> </v>
      </c>
      <c r="AJ105" s="58" t="str">
        <f t="shared" ref="AJ105:AJ113" ca="1" si="55">IF(AK105=0," ",_xlfn.RANK.EQ(AK105,$AK$104:$AK$113))</f>
        <v xml:space="preserve"> </v>
      </c>
      <c r="AK105" s="60">
        <f t="shared" ca="1" si="53"/>
        <v>0</v>
      </c>
      <c r="AL105" s="29" t="str">
        <f t="shared" ca="1" si="54"/>
        <v xml:space="preserve"> </v>
      </c>
      <c r="CB105" s="35">
        <f t="shared" ref="CB105:CB111" ca="1" si="56">_xlfn.RANK.EQ(CC105,$CC$105:$CC$111)</f>
        <v>3</v>
      </c>
      <c r="CC105" s="36">
        <f ca="1">IF(BM8&gt;0,0,RAND())</f>
        <v>0.20462681445650877</v>
      </c>
      <c r="CD105" s="29" t="s">
        <v>13</v>
      </c>
    </row>
    <row r="106" spans="1:82" x14ac:dyDescent="0.3">
      <c r="A106" s="137"/>
      <c r="B106" s="33" t="str">
        <f ca="1">IF(B103="Scholar's Pack","SP - Ink Pen",IF(B103="Priest's Pack","PP - Tinderbox",IF(B103="Entertainer's Pack","EP - 5 Candles",IF(B103="Dungeoneer's Pack","DP - 10 Pitons",IF(B103="Diplomat's Pack","DP - Bottle of Ink",IF(B103="Burglar's Pack","BP - 5 Candles",IF(B103="explorer's pack","EP - Tinderbox"," ")))))))</f>
        <v xml:space="preserve"> </v>
      </c>
      <c r="C106" s="33"/>
      <c r="D106" s="33"/>
      <c r="E106" s="33"/>
      <c r="F106" s="33"/>
      <c r="G106" s="33"/>
      <c r="H106" s="33"/>
      <c r="I106" s="33"/>
      <c r="J106" s="33"/>
      <c r="K106" s="33"/>
      <c r="L106" s="33"/>
      <c r="M106" s="33"/>
      <c r="N106" s="33"/>
      <c r="O106" s="33" t="str">
        <f ca="1">IF(B103="Priest's Pack","PP - 2 Days Rations",IF(B103="Dungeoneer's Pack","DP - 50' Hempen Rope",IF(B103="Diplomat's Pack","DP - Vial of Perfume",IF(B103="Burglar's Pack","BP - 2 Flasks of Oil"," "))))</f>
        <v xml:space="preserve"> </v>
      </c>
      <c r="P106" s="33" t="str">
        <f ca="1">VLOOKUP(RANDBETWEEN(1,58),Table296[],2)</f>
        <v>Magnifying Glass</v>
      </c>
      <c r="Q106" s="33" t="str">
        <f ca="1">INDEX(Items!F47:F66,MATCH(P6,(Items!A47:A66),0))&amp;" GP"</f>
        <v>0 GP</v>
      </c>
      <c r="R106" s="69" t="str">
        <f ca="1">IF(COUNTIF(B92:B94,"*"&amp;"light crossbow"&amp;"*"),"Quiver",IF(COUNTIF(B92:B94,"*"&amp;"hand crossbow"&amp;"*"),"Quiver",IF(COUNTIF(B92:B94,"*"&amp;"heavy crossbow"&amp;"*"),"Quiver",IF(COUNTIF(B92:B94,"*"&amp;"longbow"&amp;"*"),"Quiver",IF(COUNTIF(B92:B94,"*"&amp;"shortbow"&amp;"*"),"Quiver"," ")))))</f>
        <v xml:space="preserve"> </v>
      </c>
      <c r="AJ106" s="58" t="str">
        <f t="shared" ca="1" si="55"/>
        <v xml:space="preserve"> </v>
      </c>
      <c r="AK106" s="60">
        <f t="shared" ca="1" si="53"/>
        <v>0</v>
      </c>
      <c r="AL106" s="29" t="str">
        <f t="shared" ca="1" si="54"/>
        <v xml:space="preserve"> </v>
      </c>
      <c r="CB106" s="35">
        <f t="shared" ca="1" si="56"/>
        <v>5</v>
      </c>
      <c r="CC106" s="36">
        <f ca="1">IF(BM10&gt;0,0,RAND())</f>
        <v>0.1006568482128033</v>
      </c>
      <c r="CD106" s="29" t="s">
        <v>15</v>
      </c>
    </row>
    <row r="107" spans="1:82" x14ac:dyDescent="0.3">
      <c r="A107" s="137"/>
      <c r="B107" s="33" t="str">
        <f ca="1">IF(B103="Scholar's Pack","SP - 10 Sheets of Parchment",IF(B103="Priest's Pack","PP - Alms Box",IF(B103="Entertainer's Pack","EP - 5 Days Rations",IF(B103="Dungeoneer's Pack","DP - 10 Torches",IF(B103="Diplomat's Pack","DP - Ink Pen",IF(B103="Burglar's Pack","BP - Crowbar",IF(B103="explorer's pack","EP - 10 Torches"," ")))))))</f>
        <v xml:space="preserve"> </v>
      </c>
      <c r="C107" s="33"/>
      <c r="D107" s="33"/>
      <c r="E107" s="33"/>
      <c r="F107" s="33"/>
      <c r="G107" s="33"/>
      <c r="H107" s="33"/>
      <c r="I107" s="33"/>
      <c r="J107" s="33"/>
      <c r="K107" s="33"/>
      <c r="L107" s="33"/>
      <c r="M107" s="33"/>
      <c r="N107" s="33"/>
      <c r="O107" s="33" t="str">
        <f ca="1">IF(B103="Priest's Pack","PP - Waterskin",IF(B103="Diplomat's Pack","DP - Sealing Wax",IF(B103="Burglar's Pack","BP - 5 Days Rations"," ")))</f>
        <v xml:space="preserve"> </v>
      </c>
      <c r="P107" s="33" t="str">
        <f ca="1">VLOOKUP(RANDBETWEEN(1,58),Table296[],2)</f>
        <v>Hunting Trap</v>
      </c>
      <c r="Q107" s="33" t="str">
        <f ca="1">INDEX(Items!G47:G66,MATCH(P6,(Items!A47:A66),0))&amp;" PP"</f>
        <v>0 PP</v>
      </c>
      <c r="R107" s="33" t="str">
        <f ca="1">IF(COUNTIF(B92:B94,"*"&amp;"longbow"&amp;"*"),RANDBETWEEN(10,24)&amp;" Arrows",IF(COUNTIF(B92:B94,"*"&amp;"shortbow"&amp;"*"),RANDBETWEEN(10,24)&amp;" Arrows",IF(COUNTIF(B92:B94,"*"&amp;"light crossbow"&amp;"*"),RANDBETWEEN(10,24)&amp;" Bolts",IF(COUNTIF(B92:B94,"*"&amp;"hand crossbow"&amp;"*"),RANDBETWEEN(10,24)&amp;" Bolts",IF(COUNTIF(B92:B94,"*"&amp;"heavy crossbow"&amp;"*"),RANDBETWEEN(10,24)&amp;" Bolts"," ")))))</f>
        <v xml:space="preserve"> </v>
      </c>
      <c r="AJ107" s="58" t="str">
        <f t="shared" ca="1" si="55"/>
        <v xml:space="preserve"> </v>
      </c>
      <c r="AK107" s="60">
        <f t="shared" ca="1" si="53"/>
        <v>0</v>
      </c>
      <c r="AL107" s="29" t="str">
        <f t="shared" ca="1" si="54"/>
        <v xml:space="preserve"> </v>
      </c>
      <c r="CB107" s="35">
        <f t="shared" ca="1" si="56"/>
        <v>7</v>
      </c>
      <c r="CC107" s="36">
        <f ca="1">IF(BM11&gt;0,0,RAND())</f>
        <v>7.2848171935148254E-2</v>
      </c>
      <c r="CD107" s="29" t="s">
        <v>16</v>
      </c>
    </row>
    <row r="108" spans="1:82" x14ac:dyDescent="0.3">
      <c r="A108" s="137"/>
      <c r="B108" s="33" t="str">
        <f ca="1">IF(AF35&gt;=1,VLOOKUP(RANDBETWEEN(1,200),Table298[],2)," ")</f>
        <v>a dead bird</v>
      </c>
      <c r="C108" s="33"/>
      <c r="D108" s="33"/>
      <c r="E108" s="33"/>
      <c r="F108" s="33"/>
      <c r="G108" s="33"/>
      <c r="H108" s="33"/>
      <c r="I108" s="33"/>
      <c r="J108" s="33"/>
      <c r="K108" s="33"/>
      <c r="L108" s="33"/>
      <c r="M108" s="33"/>
      <c r="N108" s="33"/>
      <c r="O108" s="33" t="str">
        <f ca="1">IF(AF35&gt;=2,VLOOKUP(RANDBETWEEN(1,200),Table298[],2)," ")</f>
        <v>a satchet of elven tea</v>
      </c>
      <c r="P108" s="33" t="str">
        <f ca="1">IF(AF35&gt;=3,VLOOKUP(RANDBETWEEN(1,200),Table298[],2)," ")</f>
        <v>a small pouch of tobacco</v>
      </c>
      <c r="AJ108" s="58" t="str">
        <f t="shared" ca="1" si="55"/>
        <v xml:space="preserve"> </v>
      </c>
      <c r="AK108" s="60">
        <f t="shared" ca="1" si="53"/>
        <v>0</v>
      </c>
      <c r="AL108" s="29" t="str">
        <f t="shared" ca="1" si="54"/>
        <v xml:space="preserve"> </v>
      </c>
      <c r="CB108" s="35">
        <f t="shared" ca="1" si="56"/>
        <v>1</v>
      </c>
      <c r="CC108" s="36">
        <f ca="1">IF(BM13&gt;0,0,RAND())</f>
        <v>0.81564724580799663</v>
      </c>
      <c r="CD108" s="29" t="s">
        <v>18</v>
      </c>
    </row>
    <row r="109" spans="1:82" ht="19.5" thickBot="1" x14ac:dyDescent="0.35">
      <c r="B109" s="38" t="str">
        <f ca="1">IF(AND(P6&gt;=5,O11&lt;&gt;"non-classed"),VLOOKUP(RANDBETWEEN(1,100),Table5764[],2)," ")</f>
        <v xml:space="preserve"> </v>
      </c>
      <c r="O109" s="29" t="str">
        <f ca="1">IF(AND(P6&gt;=11,O11&lt;&gt;"non-classed"),VLOOKUP(RANDBETWEEN(1,100),Table576465[],2)," ")</f>
        <v xml:space="preserve"> </v>
      </c>
      <c r="P109" s="29" t="str">
        <f ca="1">IF(AND(P6&gt;=17,O11&lt;&gt;"non-classed"),VLOOKUP(RANDBETWEEN(1,100),Table576466[],2)," ")</f>
        <v xml:space="preserve"> </v>
      </c>
      <c r="AJ109" s="58" t="str">
        <f t="shared" ca="1" si="55"/>
        <v xml:space="preserve"> </v>
      </c>
      <c r="AK109" s="60">
        <f t="shared" ca="1" si="53"/>
        <v>0</v>
      </c>
      <c r="AL109" s="29" t="str">
        <f t="shared" ca="1" si="54"/>
        <v xml:space="preserve"> </v>
      </c>
      <c r="CB109" s="35">
        <f t="shared" ca="1" si="56"/>
        <v>2</v>
      </c>
      <c r="CC109" s="36">
        <f ca="1">IF(BM14&gt;0,0,RAND())</f>
        <v>0.67790292602110813</v>
      </c>
      <c r="CD109" s="29" t="s">
        <v>19</v>
      </c>
    </row>
    <row r="110" spans="1:82" ht="19.5" thickBot="1" x14ac:dyDescent="0.35">
      <c r="A110" s="33"/>
      <c r="AJ110" s="58" t="str">
        <f t="shared" ca="1" si="55"/>
        <v xml:space="preserve"> </v>
      </c>
      <c r="AK110" s="60">
        <f t="shared" ca="1" si="53"/>
        <v>0</v>
      </c>
      <c r="AL110" s="29" t="str">
        <f t="shared" ca="1" si="54"/>
        <v xml:space="preserve"> </v>
      </c>
      <c r="CB110" s="35">
        <f t="shared" ca="1" si="56"/>
        <v>4</v>
      </c>
      <c r="CC110" s="36">
        <f ca="1">IF(BM16&gt;0,0,RAND())</f>
        <v>0.18033258937588015</v>
      </c>
      <c r="CD110" s="29" t="s">
        <v>21</v>
      </c>
    </row>
    <row r="111" spans="1:82" ht="30.75" thickBot="1" x14ac:dyDescent="0.45">
      <c r="B111" s="105" t="s">
        <v>1327</v>
      </c>
      <c r="AJ111" s="58" t="str">
        <f t="shared" ca="1" si="55"/>
        <v xml:space="preserve"> </v>
      </c>
      <c r="AK111" s="60">
        <f t="shared" ca="1" si="53"/>
        <v>0</v>
      </c>
      <c r="AL111" s="29" t="str">
        <f t="shared" ca="1" si="54"/>
        <v xml:space="preserve"> </v>
      </c>
      <c r="CB111" s="35">
        <f t="shared" ca="1" si="56"/>
        <v>6</v>
      </c>
      <c r="CC111" s="36">
        <f ca="1">IF(BM20&gt;0,0,RAND())</f>
        <v>9.3940772218871094E-2</v>
      </c>
      <c r="CD111" s="29" t="s">
        <v>25</v>
      </c>
    </row>
    <row r="112" spans="1:82" x14ac:dyDescent="0.3">
      <c r="B112" s="74"/>
      <c r="C112" s="75"/>
      <c r="D112" s="75"/>
      <c r="E112" s="75"/>
      <c r="F112" s="75"/>
      <c r="G112" s="75"/>
      <c r="H112" s="75"/>
      <c r="I112" s="75"/>
      <c r="J112" s="75"/>
      <c r="K112" s="75"/>
      <c r="L112" s="75"/>
      <c r="M112" s="75"/>
      <c r="N112" s="75"/>
      <c r="O112" s="75"/>
      <c r="P112" s="76" t="s">
        <v>1124</v>
      </c>
      <c r="Q112" s="76" t="s">
        <v>1166</v>
      </c>
      <c r="R112" s="77" t="s">
        <v>1167</v>
      </c>
      <c r="AJ112" s="58" t="str">
        <f t="shared" ca="1" si="55"/>
        <v xml:space="preserve"> </v>
      </c>
      <c r="AK112" s="60">
        <f t="shared" ca="1" si="53"/>
        <v>0</v>
      </c>
      <c r="AL112" s="29" t="str">
        <f t="shared" ca="1" si="54"/>
        <v xml:space="preserve"> </v>
      </c>
    </row>
    <row r="113" spans="2:82" x14ac:dyDescent="0.3">
      <c r="B113" s="78" t="s">
        <v>1122</v>
      </c>
      <c r="C113" s="33"/>
      <c r="D113" s="33"/>
      <c r="E113" s="33"/>
      <c r="F113" s="33"/>
      <c r="G113" s="33"/>
      <c r="H113" s="33"/>
      <c r="I113" s="33"/>
      <c r="J113" s="33"/>
      <c r="K113" s="33"/>
      <c r="L113" s="33"/>
      <c r="M113" s="33"/>
      <c r="N113" s="33"/>
      <c r="O113" s="34">
        <v>1</v>
      </c>
      <c r="P113" s="33" t="str">
        <f ca="1">IF(P2="forest","Minor Illusion",IF(Q2="tiefling","Thaumaturgy",IF(P2="dark","Dancing Lights",IF(P2="high",INDEX('Spell Tables'!P242:P257,MATCH(1,('Spell Tables'!N242:N257),0))," "))))</f>
        <v xml:space="preserve"> </v>
      </c>
      <c r="Q113" s="33" t="str">
        <f ca="1">IF(AND($P$2="Dark",$P$6&gt;=3),"Faerie Fire (1/day)",IF(AND(Q2="tiefling",P6&gt;=3),"Hellish Rebuke (as 2nd Level - 1/day)"," "))</f>
        <v xml:space="preserve"> </v>
      </c>
      <c r="R113" s="72" t="str">
        <f ca="1">IF(AND($P$2="Dark",$P$6&gt;=5),"Darkness (1/day)",IF(AND(Q2="tiefling",P6&gt;=5),"Darkness (1/day)"," "))</f>
        <v xml:space="preserve"> </v>
      </c>
      <c r="AJ113" s="58" t="str">
        <f t="shared" ca="1" si="55"/>
        <v xml:space="preserve"> </v>
      </c>
      <c r="AK113" s="60">
        <f t="shared" ca="1" si="53"/>
        <v>0</v>
      </c>
      <c r="AL113" s="29" t="str">
        <f t="shared" ca="1" si="54"/>
        <v xml:space="preserve"> </v>
      </c>
      <c r="CB113" s="31" t="s">
        <v>738</v>
      </c>
    </row>
    <row r="114" spans="2:82" x14ac:dyDescent="0.3">
      <c r="B114" s="79" t="str">
        <f ca="1">IF(OR(P2="dark",Q2="tiefling"),8+$P$8+$N$43,IF(P2="Forest",8+$P$8+$N$41," "))</f>
        <v xml:space="preserve"> </v>
      </c>
      <c r="C114" s="33"/>
      <c r="D114" s="33"/>
      <c r="E114" s="33"/>
      <c r="F114" s="33"/>
      <c r="G114" s="33"/>
      <c r="H114" s="33"/>
      <c r="I114" s="33"/>
      <c r="J114" s="33"/>
      <c r="K114" s="33"/>
      <c r="L114" s="33"/>
      <c r="M114" s="33"/>
      <c r="N114" s="33"/>
      <c r="O114" s="34">
        <v>2</v>
      </c>
      <c r="P114" s="33"/>
      <c r="Q114" s="33"/>
      <c r="R114" s="72"/>
      <c r="CB114" s="35">
        <f t="shared" ref="CB114:CB119" ca="1" si="57">_xlfn.RANK.EQ(CC114,$CC$114:$CC$119)</f>
        <v>6</v>
      </c>
      <c r="CC114" s="36">
        <f ca="1">IF(BM8&gt;0,0,RAND())</f>
        <v>0.23943945569404312</v>
      </c>
      <c r="CD114" s="29" t="s">
        <v>13</v>
      </c>
    </row>
    <row r="115" spans="2:82" x14ac:dyDescent="0.3">
      <c r="B115" s="78" t="s">
        <v>1123</v>
      </c>
      <c r="C115" s="33"/>
      <c r="D115" s="33"/>
      <c r="E115" s="33"/>
      <c r="F115" s="33"/>
      <c r="G115" s="33"/>
      <c r="H115" s="33"/>
      <c r="I115" s="33"/>
      <c r="J115" s="33"/>
      <c r="K115" s="33"/>
      <c r="L115" s="33"/>
      <c r="M115" s="33"/>
      <c r="N115" s="33"/>
      <c r="O115" s="34">
        <v>3</v>
      </c>
      <c r="P115" s="33"/>
      <c r="Q115" s="33"/>
      <c r="R115" s="72"/>
      <c r="AJ115" s="31" t="s">
        <v>1171</v>
      </c>
      <c r="CB115" s="35">
        <f t="shared" ca="1" si="57"/>
        <v>5</v>
      </c>
      <c r="CC115" s="36">
        <f ca="1">IF(BM11&gt;0,0,RAND())</f>
        <v>0.2754479858641985</v>
      </c>
      <c r="CD115" s="29" t="s">
        <v>16</v>
      </c>
    </row>
    <row r="116" spans="2:82" ht="19.5" thickBot="1" x14ac:dyDescent="0.35">
      <c r="B116" s="80" t="str">
        <f ca="1">IF(OR(P2="dark",Q2="tiefling"),P8+$N$43,IF(P2="forest",P8+$N$41," "))</f>
        <v xml:space="preserve"> </v>
      </c>
      <c r="C116" s="38"/>
      <c r="D116" s="38"/>
      <c r="E116" s="38"/>
      <c r="F116" s="38"/>
      <c r="G116" s="38"/>
      <c r="H116" s="38"/>
      <c r="I116" s="38"/>
      <c r="J116" s="38"/>
      <c r="K116" s="38"/>
      <c r="L116" s="38"/>
      <c r="M116" s="38"/>
      <c r="N116" s="38"/>
      <c r="O116" s="38"/>
      <c r="P116" s="38"/>
      <c r="Q116" s="38"/>
      <c r="R116" s="73"/>
      <c r="AJ116" s="58" t="str">
        <f ca="1">IF(AK116=0," ",_xlfn.RANK.EQ(AK116,$AK$116:$AK$125))</f>
        <v xml:space="preserve"> </v>
      </c>
      <c r="AK116" s="60">
        <f t="shared" ref="AK116:AK125" ca="1" si="58">IF(AL116=" ", 0,RAND())</f>
        <v>0</v>
      </c>
      <c r="AL116" s="29" t="str">
        <f t="shared" ref="AL116:AL125" ca="1" si="59">R334</f>
        <v xml:space="preserve"> </v>
      </c>
      <c r="CB116" s="35">
        <f t="shared" ca="1" si="57"/>
        <v>2</v>
      </c>
      <c r="CC116" s="36">
        <f ca="1">IF(BM12&gt;0,0,RAND())</f>
        <v>0.53294102773117458</v>
      </c>
      <c r="CD116" s="29" t="s">
        <v>17</v>
      </c>
    </row>
    <row r="117" spans="2:82" ht="19.5" thickBot="1" x14ac:dyDescent="0.35">
      <c r="AJ117" s="58" t="str">
        <f t="shared" ref="AJ117:AJ125" ca="1" si="60">IF(AK117=0," ",_xlfn.RANK.EQ(AK117,$AK$116:$AK$125))</f>
        <v xml:space="preserve"> </v>
      </c>
      <c r="AK117" s="60">
        <f t="shared" ca="1" si="58"/>
        <v>0</v>
      </c>
      <c r="AL117" s="29" t="str">
        <f t="shared" ca="1" si="59"/>
        <v xml:space="preserve"> </v>
      </c>
      <c r="CB117" s="35">
        <f t="shared" ca="1" si="57"/>
        <v>1</v>
      </c>
      <c r="CC117" s="36">
        <f ca="1">IF(BM14&gt;0,0,RAND())</f>
        <v>0.82311583195110205</v>
      </c>
      <c r="CD117" s="29" t="s">
        <v>19</v>
      </c>
    </row>
    <row r="118" spans="2:82" ht="30.75" thickBot="1" x14ac:dyDescent="0.45">
      <c r="B118" s="105" t="s">
        <v>1334</v>
      </c>
      <c r="AJ118" s="58" t="str">
        <f t="shared" ca="1" si="60"/>
        <v xml:space="preserve"> </v>
      </c>
      <c r="AK118" s="60">
        <f t="shared" ca="1" si="58"/>
        <v>0</v>
      </c>
      <c r="AL118" s="29" t="str">
        <f t="shared" ca="1" si="59"/>
        <v xml:space="preserve"> </v>
      </c>
      <c r="CB118" s="35">
        <f t="shared" ca="1" si="57"/>
        <v>4</v>
      </c>
      <c r="CC118" s="36">
        <f ca="1">IF(BM15&gt;0,0,RAND())</f>
        <v>0.50102108151338132</v>
      </c>
      <c r="CD118" s="29" t="s">
        <v>20</v>
      </c>
    </row>
    <row r="119" spans="2:82" x14ac:dyDescent="0.3">
      <c r="B119" s="79"/>
      <c r="C119" s="27"/>
      <c r="D119" s="27"/>
      <c r="E119" s="27"/>
      <c r="F119" s="27"/>
      <c r="G119" s="27"/>
      <c r="H119" s="27"/>
      <c r="I119" s="27"/>
      <c r="J119" s="27"/>
      <c r="K119" s="27"/>
      <c r="L119" s="27"/>
      <c r="M119" s="27"/>
      <c r="N119" s="27"/>
      <c r="O119" s="27"/>
      <c r="P119" s="76" t="s">
        <v>1124</v>
      </c>
      <c r="Q119" s="76" t="s">
        <v>1166</v>
      </c>
      <c r="R119" s="76" t="s">
        <v>1167</v>
      </c>
      <c r="S119" s="76" t="s">
        <v>1168</v>
      </c>
      <c r="T119" s="77" t="s">
        <v>676</v>
      </c>
      <c r="AJ119" s="58" t="str">
        <f t="shared" ca="1" si="60"/>
        <v xml:space="preserve"> </v>
      </c>
      <c r="AK119" s="60">
        <f t="shared" ca="1" si="58"/>
        <v>0</v>
      </c>
      <c r="AL119" s="29" t="str">
        <f t="shared" ca="1" si="59"/>
        <v xml:space="preserve"> </v>
      </c>
      <c r="CB119" s="35">
        <f t="shared" ca="1" si="57"/>
        <v>3</v>
      </c>
      <c r="CC119" s="36">
        <f ca="1">IF(BM20&gt;0,0,RAND())</f>
        <v>0.52243122273125719</v>
      </c>
      <c r="CD119" s="29" t="s">
        <v>25</v>
      </c>
    </row>
    <row r="120" spans="2:82" x14ac:dyDescent="0.3">
      <c r="B120" s="78" t="str">
        <f ca="1">IF(P15="way of the four elements","Way of the Four Elements",IF(AND(O11="wizard",O12&gt;=20),"Signature Spell",IF(AND($O$11="paladin",$O$12&gt;=3),"Oath Spells",IF(AND($P$15="moon",$O$12&gt;=14),"Thousand Forms",IF($P$15="way of the shadow","Shadow Arts",IF(AND($O$11="druid",$P$15="land"),"Land Circle Spells",IF($O$11="cleric","Domain Spells",IF($O$11="bard","Magical Secrets",IF($P$15="path of the totem warrior","Totem Warrior Spells",IF(AND($O$11="warlock",$O$12&gt;=2),"Mystic Arcanum and Invocation",IF($P$15="arcane trickster","4th,8th,14th,20th non E&amp;I spells",IF($P$15="eldritch knight","4th,8th,14th,20th non A&amp;E spells"," "))))))))))))</f>
        <v xml:space="preserve"> </v>
      </c>
      <c r="C120" s="33"/>
      <c r="D120" s="33"/>
      <c r="E120" s="33"/>
      <c r="F120" s="33"/>
      <c r="G120" s="33"/>
      <c r="H120" s="33"/>
      <c r="I120" s="33"/>
      <c r="J120" s="33"/>
      <c r="K120" s="33"/>
      <c r="L120" s="33"/>
      <c r="M120" s="33"/>
      <c r="N120" s="33"/>
      <c r="O120" s="34">
        <v>1</v>
      </c>
      <c r="P120" s="33" t="str">
        <f ca="1">IF($O$16="pact of the tome",INDEX('Spell Tables'!$BD$19:$BD$37,MATCH(1,('Spell Tables'!$BB$19:$BB$37),0)),IF($P$15="way of the shadow","Minor Illusion (free)",IF($P$15="land",INDEX('Spell Tables'!P48:P55,MATCH(8,('Spell Tables'!N48:N55),0)),IF($P$15="nature",INDEX('Spell Tables'!P48:P55,MATCH(6,('Spell Tables'!N48:N55),0)),IF($P$15="light","Light",IF(AND($O$11="bard",AL191="c"),INDEX('Spell Tables'!$BD$2:$BD$16,MATCH(10,('Spell Tables'!$BB$2:$BB$16),0))," "))))))</f>
        <v xml:space="preserve"> </v>
      </c>
      <c r="Q120" s="33" t="str">
        <f ca="1">IF(COUNTIF(P18:P21,"*"&amp;"Fist of Four Thunders"&amp;"*"),"Thunderwave (2 ki)",IF(COUNTIF($O$18:$O$25,"*"&amp;"armor of shadows"&amp;"*"),"Mage Armor*",IF($P$15="oath of vengeance","Bane",IF($P$15="Oath of the Ancients","Ensnaring Strike",IF($P$15="Oath of Devotion","Protection from Good and Evil",IF(AND($P$15="war",$O$12&gt;=1),"Divine Favor",IF(AND($P$15="Trickery",$O$12&gt;=1),"Charm Person",IF(AND($P$15="tempest",$O$12&gt;=1),"Fog Cloud",IF(AND($P$15="nature",$O$12&gt;=1),"Animal Friendship",IF(AND($P$15="light",$O$12&gt;=1),"Burning Hands",IF($P$15="life","Bless",IF($P$15="knowledge","Command",IF(AND($O$11="bard",AL155=1),INDEX('Spell Tables'!$BH$2:$BH$41,MATCH($O$120,('Spell Tables'!$BF$2:$BF$41),0)),IF($P$15="arcane trickster",INDEX('Spell Tables'!$X$141:$X$163,MATCH(O120,('Spell Tables'!$V$141:$V$163),0)),IF($P$15="path of the totem warrior","Speak with Animals (as ritual)",IF($P$15="eldritch knight",INDEX('Spell Tables'!$X$70:$X$90,MATCH($O$120,('Spell Tables'!$V$70:$V$90),0))," "))))))))))))))))</f>
        <v xml:space="preserve"> </v>
      </c>
      <c r="R120" s="33" t="str">
        <f ca="1">IF(COUNTIF(P18:P21,"*"&amp;"Clench of the North Wind"&amp;"*"),"Hold Person (3 ki)",IF(COUNTIF(P18:P21,"*"&amp;"Clench of the North Wind"&amp;"*"),"Hold Person (3 ki)",IF(COUNTIF(O18:O25,"*"&amp;"ascendant step"&amp;"*"),"Levitate*",IF(AND(P15="oath of vengeance",O12&gt;=5),"Hold Person",IF(AND(P15="Oath of the Ancients",O12&gt;=5),"Moonbeam",IF(AND(P15="Oath of Devotion",O12&gt;=5),"Lesser Restoration",IF(AND(P15="moon",O12&gt;=14),"Alter Self",IF(P15="Way of the Shadow","Darkness",IF(AND($P$20="Underdark",$O$12&gt;=3),"Spider Climb",IF(AND($P$20="Swamp",$O$12&gt;=3),"Darkness",IF(AND($P$20="Mountain",$O$12&gt;=3),"Spider Climb",IF(AND($P$20="Grassland",$O$12&gt;=3),"Invisibility",IF(AND($P$20="Forest",$O$12&gt;=3),"Barkskin",IF(AND($P$20="Desert",$O$12&gt;=3),"Blur",IF(AND($P$20="Coast",$O$12&gt;=3),"Mirror Image",IF(AND($P$20="arctic",$O$12&gt;=3),"Hold Person",IF(AND(P15="war",O12&gt;=3),"Magic Weapon",IF(AND(P15="Trickery",O12&gt;=3),"Mirror Image",IF(AND(P15="tempest",O12&gt;=3),"Gust of Wind",IF(AND(P15="nature",O12&gt;=3),"Barkskin",IF(AND(P15="light",O12&gt;=3),"Flaming Sphere",IF(AND(P15="Life",O12&gt;=3),"Lesser Restoration",IF(AND(P15="knowledge",O12&gt;=3),"Augury",IF(AND(O11="bard",AL155=2),INDEX('Spell Tables'!BL2:BL37,MATCH(O120,('Spell Tables'!BJ2:BJ37),0)),IF(P15="path of the totem warrior","Beast Sense (as ritual)",IF(AND(P15="eldritch knight",O12&gt;=8),INDEX('Spell Tables'!AF70:AF94,MATCH(#REF!,('Spell Tables'!AD70:AD94),0)),IF(AND(P15="arcane trickster",O12&gt;=8),INDEX('Spell Tables'!AF141:AF165,MATCH(#REF!,('Spell Tables'!AD141:AD165),0))," ")))))))))))))))))))))))))))</f>
        <v xml:space="preserve"> </v>
      </c>
      <c r="S120" s="33" t="str">
        <f ca="1">IF(COUNTIF(P18:P21,"*"&amp;"Mist Stance"&amp;"*"),"Gaseous Form (4 ki)",IF(AND($O$11="wizard",O12&gt;=20),INDEX('Spell Tables'!$AB$242:$AB$270,MATCH(29,('Spell Tables'!$Z$242:$Z$270),0)),IF(COUNTIF(O18:O25,"*"&amp;"mire the mind"&amp;"*"),"Slow**",IF(AND(P15="oath of vengeance",O12&gt;=9),"Haste",IF(AND(P15="Oath of the Ancients",O12&gt;=9),"Plant Growth",IF(AND(P15="Oath of Devotion",O12&gt;=9),"Beacon of Hope",IF(AND($P$20="Underdark",$O$12&gt;=5),"Gaseous Form",IF(AND($P$20="Swamp",$O$12&gt;=5),"Water Walk",IF(AND($P$20="Mountain",$O$12&gt;=5),"Lightning Bolt",IF(AND($P$20="Grassland",$O$12&gt;=5),"Daylight",IF(AND($P$20="Forest",$O$12&gt;=5),"Call Lightning",IF(AND($P$20="Desert",$O$12&gt;=5),"Create Food and Water",IF(AND($P$20="Coast",$O$12&gt;=5),"Water Breathing",IF(AND($P$20="arctic",$O$12&gt;=5),"Sleet Storm",IF(AND(P15="war",O12&gt;=5),"Crusader's Mantle",IF(AND(P15="trickery",O12&gt;=5),"Blink",IF(AND(P15="tempest",O12&gt;=5),"Call Lightning",IF(AND(P15="nature",O12&gt;=5),"Plant Growth",IF(AND(P15="light",O12&gt;=5),"Daylight",IF(AND(P15="life",O12&gt;=5),"Beacon of Hope",IF(AND(P15="knowledge",O12&gt;=5),"Nondetection",IF(AND(O11="bard",AL155=3),INDEX('Spell Tables'!BP2:BP35,MATCH(O120,('Spell Tables'!BN2:BN35),0)),IF(AND(P15="arcane trickster",O12&gt;=14),INDEX('Spell Tables'!AN141:AN165,MATCH(O120,('Spell Tables'!AL141:AL165),0)),IF(AND(P15="eldritch knight",O12&gt;=14),INDEX('Spell Tables'!AN70:AN88,MATCH(O120,('Spell Tables'!AL70:AL88),0))," "))))))))))))))))))))))))</f>
        <v xml:space="preserve"> </v>
      </c>
      <c r="T120" s="72" t="str">
        <f ca="1">IF(COUNTIF(P18:P21,"*"&amp;"Eternal Mountain Defense"&amp;"*"),"Stoneskin (5 ki)",IF(COUNTIF(O18:O25,"*"&amp;"bewitching whispers"&amp;"*"),"Compulsion**",IF(AND(P15="oath of vengeance",O12&gt;=13),"Banishment",IF(AND(P15="Oath of the Ancients",O12&gt;=13),"Ice Storm",IF(AND(P15="Oath of Devotion",O12&gt;=13),"Freedom of Movement",IF(AND($P$20="Underdark",$O$12&gt;=7),"Greater Invisibility",IF(AND($P$20="Swamp",$O$12&gt;=7),"Freedom of Movement",IF(AND($P$20="Mountain",$O$12&gt;=7),"Stone Shape",IF(AND($P$20="Grassland",$O$12&gt;=7),"Divination",IF(AND($P$20="Forest",$O$12&gt;=7),"Divination",IF(AND($P$20="Desert",$O$12&gt;=7),"Blight",IF(AND($P$20="Coast",$O$12&gt;=7),"Control Water",IF(AND($P$20="arctic",$O$12&gt;=7),"Freedom of Movement",IF(AND(P15="war",O12&gt;=7),"Freedom of Movement",IF(AND(P15="trickery",O12&gt;=7),"Dimension Door",IF(AND(P15="tempest",O12&gt;=7),"Control Water",IF(AND(P15="nature",O12&gt;=7),"Dominate Beast",IF(AND(P15="light",O12&gt;=7),"Guardian of Faith",IF(AND(P15="life",O12&gt;=7),"Death Ward",IF(AND(P15="knowledge",O12&gt;=7),"Arcane Eye",IF(AND(O11="bard",AL155=4),INDEX('Spell Tables'!BT2:BT29,MATCH(O120,('Spell Tables'!BR2:BR29),0)),IF(AND(P15="arcane trickster",O12&gt;=20),INDEX('Spell Tables'!AV141:AV159,MATCH(O120,('Spell Tables'!AT141:AT159),0)),IF(AND(P15="eldritch knight",O12&gt;=20),INDEX('Spell Tables'!AV70:AV86,MATCH(O120,('Spell Tables'!AT70:AT86),0))," ")))))))))))))))))))))))</f>
        <v xml:space="preserve"> </v>
      </c>
      <c r="AJ120" s="58" t="str">
        <f t="shared" ca="1" si="60"/>
        <v xml:space="preserve"> </v>
      </c>
      <c r="AK120" s="60">
        <f t="shared" ca="1" si="58"/>
        <v>0</v>
      </c>
      <c r="AL120" s="29" t="str">
        <f t="shared" ca="1" si="59"/>
        <v xml:space="preserve"> </v>
      </c>
    </row>
    <row r="121" spans="2:82" x14ac:dyDescent="0.3">
      <c r="B121" s="79" t="str">
        <f ca="1">IF(P15="way of the four elements","Elemental Disciplines - cost Ki",IF(AND(O11="wizard",O12&gt;=20),"Always Prepared",IF(AND($O$11="warlock",$O$12&gt;=2),"* = at will - no slot use",IF($P$15="land",$P$20," "))))</f>
        <v xml:space="preserve"> </v>
      </c>
      <c r="C121" s="33"/>
      <c r="D121" s="33"/>
      <c r="E121" s="33"/>
      <c r="F121" s="33"/>
      <c r="G121" s="33"/>
      <c r="H121" s="33"/>
      <c r="I121" s="33"/>
      <c r="J121" s="33"/>
      <c r="K121" s="33"/>
      <c r="L121" s="33"/>
      <c r="M121" s="33"/>
      <c r="N121" s="33"/>
      <c r="O121" s="34">
        <v>2</v>
      </c>
      <c r="P121" s="33" t="str">
        <f ca="1">IF($O$16="pact of the tome",INDEX('Spell Tables'!$BD$19:$BD$37,MATCH(2,('Spell Tables'!$BB$19:$BB$37),0)),IF(AND($O$11="bard",AL192="c"),INDEX('Spell Tables'!$BD$2:$BD$16,MATCH(11,('Spell Tables'!$BB$2:$BB$16),0))," "))</f>
        <v xml:space="preserve"> </v>
      </c>
      <c r="Q121" s="33" t="str">
        <f ca="1">IF(COUNTIF(P18:P21,"*"&amp;"Sweeping Cinder Strike"&amp;"*"),"Burning Hands (2 ki)",IF(COUNTIF(O18:O25,"*"&amp;"beast speech"&amp;"*"),"Speak with Animals*",IF(P15="Oath of the Ancients","Speak with Animals",IF(P15="Oath of vengeance","Hunter's Mark",IF(P15="Oath of Devotion","Sanctuary",IF(AND(P15="war",O12&gt;=1),"Shield of Faith",IF(AND(P15="trickery",O12&gt;=1),"Disguise Self",IF(AND(P15="tempest",O12&gt;=1),"Thunderwave",IF(AND(P15="Nature",O12&gt;=1),"Speak with Animals",IF(AND(P15="light",O12&gt;=1),"Faerie Fire",IF(P15="life","Cure Wounds",IF(P15="knowledge","Identify",IF(AND($O$11="bard",AL156=1),INDEX('Spell Tables'!$BH$2:$BH$41,MATCH(O121,('Spell Tables'!$BF$2:$BF$41),0))," ")))))))))))))</f>
        <v xml:space="preserve"> </v>
      </c>
      <c r="R121" s="33" t="str">
        <f ca="1">IF(COUNTIF(P18:P21,"*"&amp;"Gong of the Summit"&amp;"*"),"Shatter (3 ki)",IF(COUNTIF(O18:O25,"*"&amp;"master of myriad forms"&amp;"*"),"Alter Self*",IF(AND(P15="oath of vengeance",O12&gt;=5),"Misty Step",IF(AND(P15="Oath of the Ancients",O12&gt;=5),"Misty Step",IF(AND(P15="Oath of Devotion",O12&gt;=5),"Zone of Truth",IF(P15="way of the shadow","Darkvision",IF(AND($P$20="Underdark",$O$12&gt;=3),"Web",IF(AND($P$20="Swamp",$O$12&gt;=3),"Melf's Acid Arrow",IF(AND($P$20="Mountain",$O$12&gt;=3),"Spike Growth",IF(AND($P$20="Grassland",$O$12&gt;=3),"Pass Without Trace",IF(AND($P$20="Forest",$O$12&gt;=3),"Spider Climb",IF(AND($P$20="Desert",$O$12&gt;=3),"Silence",IF(AND($P$20="Coast",$O$12&gt;=3),"Misty Step",IF(AND($P$20="arctic",$O$12&gt;=3),"Spike Growth",IF(AND(P15="war",O12&gt;=3),"Spiritual Weapon",IF(AND(P15="trickery",O12&gt;=3),"Pass Without Trace",IF(AND(P15="tempest",O12&gt;=3),"Shatter",IF(AND(P15="nature",O12&gt;=3),"Spike Growth",IF(AND(P15="light",O12&gt;=3),"Scorching Ray",IF(AND(P15="life",O12&gt;=3),"Spiritual Weapon",IF(AND(P15="knowledge",O12&gt;=3),"Suggestion",IF(AND($O$11="bard",AL156=2),INDEX('Spell Tables'!$BL$2:$BL$37,MATCH(O121,('Spell Tables'!$BJ$2:$BJ$37),0))," "))))))))))))))))))))))</f>
        <v xml:space="preserve"> </v>
      </c>
      <c r="S121" s="33" t="str">
        <f ca="1">IF(COUNTIF(P18:P21,"*"&amp;"Ride the Wind"&amp;"*"),"Fly (4 ki)",IF(AND($O$11="wizard",O12&gt;=20),INDEX('Spell Tables'!$AB$242:$AB$270,MATCH(28,('Spell Tables'!$Z$242:$Z$270),0)),IF(COUNTIF(O18:O25,"*"&amp;"sign of ill omen"&amp;"*"),"Bestow Curse**",IF(AND(P15="oath of vengeance",O12&gt;=9),"Protection from Energy",IF(AND(P15="Oath of the Ancients",O12&gt;=9),"Protection from Energy",IF(AND(P15="Oath of Devotion",O12&gt;=9),"Dispel Magic",IF(AND($P$20="Underdark",$O$12&gt;=5),"Stinking Cloud",IF(AND($P$20="Swamp",$O$12&gt;=5),"Stinking Cloud",IF(AND($P$20="Mountain",$O$12&gt;=5),"Meld Into Stone",IF(AND($P$20="Grassland",$O$12&gt;=5),"Haste",IF(AND($P$20="Forest",$O$12&gt;=5),"Plant Growth",IF(AND($P$20="Desert",$O$12&gt;=5),"Protection from Energy",IF(AND($P$20="Coast",$O$12&gt;=5),"Water Walk",IF(AND($P$20="arctic",$O$12&gt;=5),"Slow",IF(AND(P15="war",O12&gt;=5),"Spirit Guardians",IF(AND(P15="trickery",O12&gt;=5),"Dispel Magic",IF(AND(P15="Tempest",O12&gt;=5),"Sleet Storm",IF(AND(P15="nature",O12&gt;=5),"Wind Wall",IF(AND(P15="light",O12&gt;=5),"Fireball",IF(AND(P15="life",O12&gt;=5),"Revivify",IF(AND(P15="knowledge",O12&gt;=5),"Speak with Dead",IF(AND($O$11="bard",AL156=3),INDEX('Spell Tables'!$BP$2:$BP$35,MATCH(O121,('Spell Tables'!$BN$2:$BN$35),0))," "))))))))))))))))))))))</f>
        <v xml:space="preserve"> </v>
      </c>
      <c r="T121" s="72" t="str">
        <f ca="1">IF(COUNTIF(P18:P21,"*"&amp;"River of Hungry Flame"&amp;"*"),"Wall of Fire (5 ki)",IF(COUNTIF(O18:O25,"*"&amp;"Dreadful word"&amp;"*"),"Confusion**",IF(AND(P15="oath of vengeance",O12&gt;=13),"Dimension Door",IF(AND(P15="Oath of the Ancients",O12&gt;=13),"Stoneskin",IF(AND(P15="Oath of Devotion",O12&gt;=13),"Guardian of Faith",IF(AND($P$20="Underdark",$O$12&gt;=7),"Stone Shape",IF(AND($P$20="Swamp",$O$12&gt;=7),"Locate Creature",IF(AND($P$20="Mountain",$O$12&gt;=7),"Stonekin",IF(AND($P$20="Grassland",$O$12&gt;=7),"Freedom of Movement",IF(AND($P$20="Forest",$O$12&gt;=7),"Freedom of Movement",IF(AND($P$20="Desert",$O$12&gt;=7),"Hallucinatory Terrain",IF(AND($P$20="Coast",$O$12&gt;=7),"Freedom of Movement",IF(AND($P$20="arctic",$O$12&gt;=7),"Ice Storm",IF(AND(P15="war",O12&gt;=7),"Stoneskin",IF(AND(P15="trickery",O12&gt;=7),"Polymorph",IF(AND(P15="tempest",O12&gt;=7),"Ice Storm",IF(AND(P15="nature",O12&gt;=7),"Grasping Vine",IF(AND(P15="light",O12&gt;=7),"Wall of Fire",IF(AND(P15="life",O12&gt;=7),"Guardian of Faith",IF(AND(P15="knowledge",O12&gt;=7),"Confusion",IF(AND($O$11="bard",AL156=4),INDEX('Spell Tables'!$BT$2:$BT$29,MATCH(O121,('Spell Tables'!$BR$2:$BR$29),0))," ")))))))))))))))))))))</f>
        <v xml:space="preserve"> </v>
      </c>
      <c r="AJ121" s="58" t="str">
        <f t="shared" ca="1" si="60"/>
        <v xml:space="preserve"> </v>
      </c>
      <c r="AK121" s="60">
        <f t="shared" ca="1" si="58"/>
        <v>0</v>
      </c>
      <c r="AL121" s="29" t="str">
        <f t="shared" ca="1" si="59"/>
        <v xml:space="preserve"> </v>
      </c>
    </row>
    <row r="122" spans="2:82" x14ac:dyDescent="0.3">
      <c r="B122" s="79" t="str">
        <f ca="1">IF(AND(O11="wizard",O12&gt;=20),"Cast once at 3rd level - no slot use",IF(AND($O$11="warlock",$O$12&gt;=2),"** = once per long rest - uses slot",IF(AND($O$11="paladin",$O$12&gt;=3),"Free Preparation",IF(AND($P$15="moon",$O$12&gt;=14),"At Will",IF($P$15="way of the shadow","Cost 2 Ki Points",IF(OR($P$15="land",$O$11="cleric"),"Free Preparation",IF(AND($O$11="bard",$O$12&gt;=10),"Count Toward Known"," ")))))))</f>
        <v xml:space="preserve"> </v>
      </c>
      <c r="C122" s="33"/>
      <c r="D122" s="33"/>
      <c r="E122" s="33"/>
      <c r="F122" s="33"/>
      <c r="G122" s="33"/>
      <c r="H122" s="33"/>
      <c r="I122" s="33"/>
      <c r="J122" s="33"/>
      <c r="K122" s="33"/>
      <c r="L122" s="33"/>
      <c r="M122" s="33"/>
      <c r="N122" s="33"/>
      <c r="O122" s="34">
        <v>3</v>
      </c>
      <c r="P122" s="33" t="str">
        <f ca="1">IF($O$16="pact of the tome",INDEX('Spell Tables'!$BD$19:$BD$37,MATCH(3,('Spell Tables'!$BB$19:$BB$37),0))," ")</f>
        <v xml:space="preserve"> </v>
      </c>
      <c r="Q122" s="29" t="str">
        <f ca="1">IF(COUNTIF(O18:O25,"*"&amp;"eldritch sight"&amp;"*"),"Detect Magic*",IF(AND($O$11="bard",AL191=1),INDEX('Spell Tables'!$BH$2:$BH$41,MATCH(O122,('Spell Tables'!$BF$2:$BF$41),0))," "))</f>
        <v xml:space="preserve"> </v>
      </c>
      <c r="R122" s="33" t="str">
        <f ca="1">IF(COUNTIF(P18:P21,"*"&amp;"Rush of the Gale Spirits"&amp;"*"),"Gust of Wind (2 ki)",IF(P15="way of the shadow","Pass Without Trace",IF(AND($O$11="bard",AL191=2),INDEX('Spell Tables'!$BL$2:$BL$37,MATCH(O122,('Spell Tables'!$BJ$2:$BJ$37),0))," ")))</f>
        <v xml:space="preserve"> </v>
      </c>
      <c r="S122" s="33" t="str">
        <f ca="1">IF(COUNTIF(O18:O25,"*"&amp;"whispers of the grave"&amp;"*"),"Speak with Dead*",IF(AND($O$11="bard",AL191=3),INDEX('Spell Tables'!$BP$2:$BP$35,MATCH(O122,('Spell Tables'!$BN$2:$BN$35),0))," "))</f>
        <v xml:space="preserve"> </v>
      </c>
      <c r="T122" s="72" t="str">
        <f ca="1">IF(COUNTIF(O18:O25,"*"&amp;"Sculptor of Flesh"&amp;"*"),"Polymorph**"," ")</f>
        <v xml:space="preserve"> </v>
      </c>
      <c r="AJ122" s="58" t="str">
        <f t="shared" ca="1" si="60"/>
        <v xml:space="preserve"> </v>
      </c>
      <c r="AK122" s="60">
        <f t="shared" ca="1" si="58"/>
        <v>0</v>
      </c>
      <c r="AL122" s="29" t="str">
        <f t="shared" ca="1" si="59"/>
        <v xml:space="preserve"> </v>
      </c>
    </row>
    <row r="123" spans="2:82" x14ac:dyDescent="0.3">
      <c r="B123" s="79" t="str">
        <f ca="1">IF(AND($O$11="warlock",$O$12&gt;=2),"6th level and up = *"," ")</f>
        <v xml:space="preserve"> </v>
      </c>
      <c r="O123" s="81">
        <v>4</v>
      </c>
      <c r="Q123" s="29" t="str">
        <f ca="1">IF(COUNTIF(O18:O25,"*"&amp;"fiendish vigor"&amp;"*"),"False Life*",IF(AND($O$11="bard",AL192=1),INDEX('Spell Tables'!$BH$2:$BH$41,MATCH(O123,('Spell Tables'!$BF$2:$BF$41),0))," "))</f>
        <v xml:space="preserve"> </v>
      </c>
      <c r="R123" s="29" t="str">
        <f ca="1">IF(P15="way of the shadow","Silence",IF(AND($O$11="bard",AL192=2),INDEX('Spell Tables'!$BL$2:$BL$37,MATCH(O123,('Spell Tables'!$BJ$2:$BJ$37),0))," "))</f>
        <v xml:space="preserve"> </v>
      </c>
      <c r="S123" s="29" t="str">
        <f ca="1">IF(AND($O$11="bard",AL192=3),INDEX('Spell Tables'!$BP$2:$BP$35,MATCH(O123,('Spell Tables'!$BN$2:$BN$35),0))," ")</f>
        <v xml:space="preserve"> </v>
      </c>
      <c r="T123" s="72" t="str">
        <f ca="1">IF(COUNTIF(O18:O25,"*"&amp;"visions of distant realms"&amp;"*"),"Arcane Eye*"," ")</f>
        <v xml:space="preserve"> </v>
      </c>
      <c r="AJ123" s="58" t="str">
        <f t="shared" ca="1" si="60"/>
        <v xml:space="preserve"> </v>
      </c>
      <c r="AK123" s="60">
        <f t="shared" ca="1" si="58"/>
        <v>0</v>
      </c>
      <c r="AL123" s="29" t="str">
        <f t="shared" ca="1" si="59"/>
        <v xml:space="preserve"> </v>
      </c>
    </row>
    <row r="124" spans="2:82" x14ac:dyDescent="0.3">
      <c r="B124" s="79"/>
      <c r="O124" s="81">
        <v>5</v>
      </c>
      <c r="Q124" s="29" t="str">
        <f ca="1">IF(COUNTIF(O18:O25,"*"&amp;"Mask of many faces"&amp;"*"),"Disguise Self*","")</f>
        <v/>
      </c>
      <c r="T124" s="72"/>
      <c r="AJ124" s="58" t="str">
        <f t="shared" ca="1" si="60"/>
        <v xml:space="preserve"> </v>
      </c>
      <c r="AK124" s="60">
        <f t="shared" ca="1" si="58"/>
        <v>0</v>
      </c>
      <c r="AL124" s="29" t="str">
        <f t="shared" ca="1" si="59"/>
        <v xml:space="preserve"> </v>
      </c>
    </row>
    <row r="125" spans="2:82" x14ac:dyDescent="0.3">
      <c r="B125" s="79"/>
      <c r="O125" s="81">
        <v>6</v>
      </c>
      <c r="Q125" s="29" t="str">
        <f ca="1">IF(COUNTIF(O18:O25,"*"&amp;"misty vision"&amp;"*"),"Silent Image*"," " )</f>
        <v xml:space="preserve"> </v>
      </c>
      <c r="T125" s="72"/>
      <c r="AJ125" s="58" t="str">
        <f t="shared" ca="1" si="60"/>
        <v xml:space="preserve"> </v>
      </c>
      <c r="AK125" s="60">
        <f t="shared" ca="1" si="58"/>
        <v>0</v>
      </c>
      <c r="AL125" s="29" t="str">
        <f t="shared" ca="1" si="59"/>
        <v xml:space="preserve"> </v>
      </c>
    </row>
    <row r="126" spans="2:82" x14ac:dyDescent="0.3">
      <c r="B126" s="79"/>
      <c r="O126" s="81">
        <v>7</v>
      </c>
      <c r="Q126" s="29" t="str">
        <f ca="1">IF(COUNTIF(O18:O25,"*"&amp;"otherworldly leap"&amp;"*"),"Jump*"," ")</f>
        <v xml:space="preserve"> </v>
      </c>
      <c r="T126" s="72"/>
    </row>
    <row r="127" spans="2:82" x14ac:dyDescent="0.3">
      <c r="B127" s="79"/>
      <c r="O127" s="81">
        <v>8</v>
      </c>
      <c r="Q127" s="29" t="str">
        <f ca="1">IF(COUNTIF(O18:O25,"*"&amp;"Thief of five fates"&amp;"*"),"Bane**"," ")</f>
        <v xml:space="preserve"> </v>
      </c>
      <c r="T127" s="72"/>
      <c r="AJ127" s="31" t="s">
        <v>677</v>
      </c>
    </row>
    <row r="128" spans="2:82" x14ac:dyDescent="0.3">
      <c r="B128" s="79" t="str">
        <f ca="1">IF(AND($O$16="pact of the tome",COUNTIF($O$13:$O$13,"*"&amp;"book of ancient secrets"&amp;"*")),"Book of Ancient Secrets"," ")</f>
        <v xml:space="preserve"> </v>
      </c>
      <c r="O128" s="81">
        <v>9</v>
      </c>
      <c r="Q128" s="29" t="str">
        <f ca="1">IF(AND(O16="pact of the tome",COUNTIF(O18:O25,"*"&amp;"book of ancient secrets"&amp;"*")),INDEX('Spell Tables'!BD40:BD46,MATCH(1,('Spell Tables'!BB40:BB46),0))," ")</f>
        <v xml:space="preserve"> </v>
      </c>
      <c r="T128" s="72"/>
      <c r="AJ128" s="58" t="str">
        <f ca="1">IF(AK128=0," ",_xlfn.RANK.EQ(AK128,$AK$128:$AK$137))</f>
        <v xml:space="preserve"> </v>
      </c>
      <c r="AK128" s="60">
        <f t="shared" ref="AK128:AK137" ca="1" si="61">IF(AL128=" ", 0,RAND())</f>
        <v>0</v>
      </c>
      <c r="AL128" s="29" t="str">
        <f t="shared" ref="AL128:AL137" ca="1" si="62">S334</f>
        <v xml:space="preserve"> </v>
      </c>
    </row>
    <row r="129" spans="1:38" ht="19.5" thickBot="1" x14ac:dyDescent="0.35">
      <c r="B129" s="80" t="str">
        <f ca="1">IF($O$16="pact of the chain",$O$16,IF(OR(P129="minor illusion",S129="animate dead",T129="polymorph"),"School Spells - in Spellbook"," "))</f>
        <v xml:space="preserve"> </v>
      </c>
      <c r="C129" s="38"/>
      <c r="D129" s="38"/>
      <c r="E129" s="38"/>
      <c r="F129" s="38"/>
      <c r="G129" s="38"/>
      <c r="H129" s="38"/>
      <c r="I129" s="38"/>
      <c r="J129" s="38"/>
      <c r="K129" s="38"/>
      <c r="L129" s="38"/>
      <c r="M129" s="38"/>
      <c r="N129" s="38"/>
      <c r="O129" s="82">
        <v>10</v>
      </c>
      <c r="P129" s="38" t="str">
        <f ca="1">IF(AND(P15="school of Illusion",COUNTIF(P315:P324,"*"&amp;"Minor Illusion"&amp;"*"))," ",IF(P15="school of illusion","Minor Illusion"," "))</f>
        <v xml:space="preserve"> </v>
      </c>
      <c r="Q129" s="38" t="str">
        <f ca="1">IF(AND(O16="pact of the tome",COUNTIF(O18:O25,"*"&amp;"book of ancient secrets"&amp;"*")),INDEX('Spell Tables'!BD40:BD46,MATCH(2,('Spell Tables'!BB40:BB46),0)),IF(O16="pact of the chain","Find Familiar (as ritual)"," "))</f>
        <v xml:space="preserve"> </v>
      </c>
      <c r="R129" s="38"/>
      <c r="S129" s="38" t="str">
        <f ca="1">IF(AND(P15="school of necromancy",O12&gt;=6,COUNTIF(S315:S324,"*"&amp;"Animate Dead"&amp;"*"))," ",IF(AND(P15="school of necromancy",O12&gt;=6),"Animate Dead"," "))</f>
        <v xml:space="preserve"> </v>
      </c>
      <c r="T129" s="73" t="str">
        <f ca="1">IF(AND(P15="school of transmutation",O12&gt;=10,COUNTIF(T315:T324,"*"&amp;"Polymorph"&amp;"*"))," ",IF(AND(P15="school of transmutation",O12&gt;=6),"Polymorph"," "))</f>
        <v xml:space="preserve"> </v>
      </c>
      <c r="AJ129" s="58" t="str">
        <f t="shared" ref="AJ129:AJ137" ca="1" si="63">IF(AK129=0," ",_xlfn.RANK.EQ(AK129,$AK$128:$AK$137))</f>
        <v xml:space="preserve"> </v>
      </c>
      <c r="AK129" s="60">
        <f t="shared" ca="1" si="61"/>
        <v>0</v>
      </c>
      <c r="AL129" s="29" t="str">
        <f t="shared" ca="1" si="62"/>
        <v xml:space="preserve"> </v>
      </c>
    </row>
    <row r="130" spans="1:38" x14ac:dyDescent="0.3">
      <c r="A130" s="33"/>
      <c r="B130" s="27"/>
      <c r="AJ130" s="58" t="str">
        <f t="shared" ca="1" si="63"/>
        <v xml:space="preserve"> </v>
      </c>
      <c r="AK130" s="60">
        <f t="shared" ca="1" si="61"/>
        <v>0</v>
      </c>
      <c r="AL130" s="29" t="str">
        <f t="shared" ca="1" si="62"/>
        <v xml:space="preserve"> </v>
      </c>
    </row>
    <row r="131" spans="1:38" ht="19.5" thickBot="1" x14ac:dyDescent="0.35">
      <c r="A131" s="131"/>
      <c r="B131" s="33"/>
      <c r="O131" s="38"/>
      <c r="AJ131" s="58" t="str">
        <f t="shared" ca="1" si="63"/>
        <v xml:space="preserve"> </v>
      </c>
      <c r="AK131" s="60">
        <f t="shared" ca="1" si="61"/>
        <v>0</v>
      </c>
      <c r="AL131" s="29" t="str">
        <f t="shared" ca="1" si="62"/>
        <v xml:space="preserve"> </v>
      </c>
    </row>
    <row r="132" spans="1:38" x14ac:dyDescent="0.3">
      <c r="A132" s="131"/>
      <c r="B132" s="129"/>
      <c r="O132" s="132"/>
      <c r="P132" s="76" t="s">
        <v>1169</v>
      </c>
      <c r="Q132" s="76" t="s">
        <v>1170</v>
      </c>
      <c r="R132" s="76" t="s">
        <v>1171</v>
      </c>
      <c r="S132" s="76" t="s">
        <v>677</v>
      </c>
      <c r="T132" s="77" t="s">
        <v>1172</v>
      </c>
      <c r="AJ132" s="58" t="str">
        <f t="shared" ca="1" si="63"/>
        <v xml:space="preserve"> </v>
      </c>
      <c r="AK132" s="60">
        <f t="shared" ca="1" si="61"/>
        <v>0</v>
      </c>
      <c r="AL132" s="29" t="str">
        <f t="shared" ca="1" si="62"/>
        <v xml:space="preserve"> </v>
      </c>
    </row>
    <row r="133" spans="1:38" x14ac:dyDescent="0.3">
      <c r="A133" s="131"/>
      <c r="B133" s="129"/>
      <c r="O133" s="86">
        <v>1</v>
      </c>
      <c r="P133" s="65" t="str">
        <f ca="1">IF(COUNTIF(P18:P21,"*"&amp;"Breath of Winter"&amp;"*"),"Cone of Cold (6 ki)",IF(COUNTIF(O18:O25,"*"&amp;"chains of carceri"&amp;"*"),"Hold Monster**(c,f,e only)",IF(AND(P15="oath of vengeance",O12&gt;=17),"Hold Monster",IF(AND(P15="Oath of the Ancients",O12&gt;=17),"Commune with Nature",IF(AND(P15="Oath of Devotion",O12&gt;=17),"Commune",IF(AND($P$20="Underdark",$O$12&gt;=9),"Cloudkill",IF(AND($P$20="Swamp",$O$12&gt;=9),"Insect Plague",IF(AND($P$20="Mountain",$O$12&gt;=9),"Passwall",IF(AND($P$20="Grassland",$O$12&gt;=9),"Dream",IF(AND($P$20="Forest",$O$12&gt;=9),"Commune with Nature",IF(AND($P$20="Desert",$O$12&gt;=9),"Insect Plague",IF(AND($P$20="Coast",$O$12&gt;=9),"Conjure Elemental",IF(AND($P$20="arctic",$O$12&gt;=9),"Commune with Nature",IF(AND($P$15="war",$O$12&gt;=9),"Flame Strike",IF(AND($P$15="trickery",$O$12&gt;=9),"Dominate Person",IF(AND($P$15="tempest",$O$12&gt;=9),"Destructive Wave",IF(AND($P$15="nature",$O$12&gt;=9),"Insect Plague",IF(AND(P15="light",O12&gt;=9),"Flame Strike",IF(AND(P15="life",O12&gt;=9),"Mass Cure Wounds",IF(AND(P15="knowledge",O12&gt;=9),"Legend Lore",IF(AND(O11="bard",AL156=5),INDEX('Spell Tables'!BX2:BX24,MATCH(O120,('Spell Tables'!BV2:BV24),0)),IF(AND(P15="path of the totem warrior",O12&gt;=10),"Commune with Nature (as ritual)"," "))))))))))))))))))))))</f>
        <v xml:space="preserve"> </v>
      </c>
      <c r="Q133" s="65" t="str">
        <f ca="1">IF(AND(O11="bard",AL167=6),INDEX('Spell Tables'!CB2:CB27,MATCH(O120,('Spell Tables'!BZ2:BZ27),0)),IF(AND($O$11="warlock",$O$12&gt;=11),INDEX('Spell Tables'!AN194:AN201,MATCH(1,('Spell Tables'!AL194:AL201),0))," "))</f>
        <v xml:space="preserve"> </v>
      </c>
      <c r="R133" s="65" t="str">
        <f ca="1">IF(AND(O11="bard",AL167=7),INDEX('Spell Tables'!CF2:CF11,MATCH(O120,('Spell Tables'!CD2:CD11),0)),IF(AND($O$11="warlock",$O$12&gt;=13),INDEX('Spell Tables'!AR194:AR197,MATCH(1,('Spell Tables'!AP194:AP197),0))," "))</f>
        <v xml:space="preserve"> </v>
      </c>
      <c r="S133" s="65" t="str">
        <f ca="1">IF(AND(O11="bard",AL179=8),INDEX('Spell Tables'!CJ2:CJ14,MATCH(O120,('Spell Tables'!CH2:CH14),0)),IF(AND($O$11="warlock",$O$12&gt;=15),INDEX('Spell Tables'!AV194:AV198,MATCH(1,('Spell Tables'!AT194:AT198),0))," "))</f>
        <v xml:space="preserve"> </v>
      </c>
      <c r="T133" s="66" t="str">
        <f ca="1">IF(AND(O11="bard",AL180=9),INDEX('Spell Tables'!CN2:CN11,MATCH(O120,('Spell Tables'!CL2:CL11),0)),IF(AND($O$11="warlock",$O$12&gt;=17),INDEX('Spell Tables'!AZ194:AZ198,MATCH(1,('Spell Tables'!AX194:AX198),0))," "))</f>
        <v xml:space="preserve"> </v>
      </c>
      <c r="AJ133" s="58" t="str">
        <f t="shared" ca="1" si="63"/>
        <v xml:space="preserve"> </v>
      </c>
      <c r="AK133" s="60">
        <f t="shared" ca="1" si="61"/>
        <v>0</v>
      </c>
      <c r="AL133" s="29" t="str">
        <f t="shared" ca="1" si="62"/>
        <v xml:space="preserve"> </v>
      </c>
    </row>
    <row r="134" spans="1:38" x14ac:dyDescent="0.3">
      <c r="A134" s="131"/>
      <c r="B134" s="129"/>
      <c r="O134" s="133">
        <v>2</v>
      </c>
      <c r="P134" s="60" t="str">
        <f ca="1">IF(COUNTIF(P18:P21,"*"&amp;"Wave of Rolling Earth"&amp;"*"),"Wall of Stone (6 ki)",IF(COUNTIF(O18:O25,"*"&amp;"minions of chaos"&amp;"*"),"Conjure Elemental**",IF(AND(P15="oath of vengeance",O12&gt;=17),"Scrying",IF(AND(P15="Oath of the Ancients",O12&gt;=17),"Tree Stride",IF(AND(P15="Oath of Devotion",O12&gt;=17),"Flame Strike",IF(AND($P$20="Underdark",$O$12&gt;=9),"Insect Plague",IF(AND($P$20="Swamp",$O$12&gt;=9),"Scrying",IF(AND($P$20="Mountain",$O$12&gt;=9),"Wall of Stone",IF(AND($P$20="Grassland",$O$12&gt;=9),"Insect Plague",IF(AND($P$20="Forest",$O$12&gt;=9),"Tree Stride",IF(AND($P$20="Desert",$O$12&gt;=9),"Wall of Stone",IF(AND($P$20="Coast",$O$12&gt;=9),"Scrying",IF(AND($P$20="arctic",$O$12&gt;=9),"Cone of Cold",IF(AND($P$15="war",$O$12&gt;=9),"Hold Monster",IF(AND($P$15="trickery",$O$12&gt;=9),"Modify Memory",IF(AND($P$15="tempest",$O$12&gt;=9),"Insect Plague",IF(AND($P$15="nature",$O$12&gt;=9),"Tree Stride",IF(AND(P15="light",O12&gt;=9),"Scrying",IF(AND(P15="life",O12&gt;=9),"Raise Dead",IF(AND(P15="knowledge",O12&gt;=9),"Scrying",IF(AND($O$11="bard",AL157=5),INDEX('Spell Tables'!$BX$2:$BX$24,MATCH(O121,('Spell Tables'!$BV$2:$BV$24),0))," ")))))))))))))))))))))</f>
        <v xml:space="preserve"> </v>
      </c>
      <c r="Q134" s="60" t="str">
        <f ca="1">IF(AND(O11="bard",AL168=6),INDEX('Spell Tables'!CB2:CB27,MATCH(O121,('Spell Tables'!BZ2:BZ27),0))," ")</f>
        <v xml:space="preserve"> </v>
      </c>
      <c r="R134" s="60" t="str">
        <f ca="1">IF(AND(O11="bard",AL168=7),INDEX('Spell Tables'!CF2:CF11,MATCH(O121,('Spell Tables'!CD2:CD11),0))," ")</f>
        <v xml:space="preserve"> </v>
      </c>
      <c r="S134" s="60" t="str">
        <f ca="1">IF(AND(O11="bard",AL179=8),INDEX('Spell Tables'!CJ2:CJ14,MATCH(O121,('Spell Tables'!CH2:CH14),0))," ")</f>
        <v xml:space="preserve"> </v>
      </c>
      <c r="T134" s="63" t="str">
        <f ca="1">IF(AND(O11="bard",AL180=9),INDEX('Spell Tables'!CN2:CN11,MATCH(O121,('Spell Tables'!CL2:CL11),0))," ")</f>
        <v xml:space="preserve"> </v>
      </c>
      <c r="AJ134" s="58" t="str">
        <f t="shared" ca="1" si="63"/>
        <v xml:space="preserve"> </v>
      </c>
      <c r="AK134" s="60">
        <f t="shared" ca="1" si="61"/>
        <v>0</v>
      </c>
      <c r="AL134" s="29" t="str">
        <f t="shared" ca="1" si="62"/>
        <v xml:space="preserve"> </v>
      </c>
    </row>
    <row r="135" spans="1:38" x14ac:dyDescent="0.3">
      <c r="A135" s="33"/>
      <c r="O135" s="86">
        <v>3</v>
      </c>
      <c r="P135" s="65"/>
      <c r="Q135" s="65"/>
      <c r="R135" s="65"/>
      <c r="S135" s="65"/>
      <c r="T135" s="66"/>
      <c r="AJ135" s="58" t="str">
        <f t="shared" ca="1" si="63"/>
        <v xml:space="preserve"> </v>
      </c>
      <c r="AK135" s="60">
        <f t="shared" ca="1" si="61"/>
        <v>0</v>
      </c>
      <c r="AL135" s="29" t="str">
        <f t="shared" ca="1" si="62"/>
        <v xml:space="preserve"> </v>
      </c>
    </row>
    <row r="136" spans="1:38" x14ac:dyDescent="0.3">
      <c r="A136" s="33"/>
      <c r="O136" s="133">
        <v>4</v>
      </c>
      <c r="P136" s="60"/>
      <c r="Q136" s="60"/>
      <c r="R136" s="60"/>
      <c r="S136" s="60"/>
      <c r="T136" s="63"/>
      <c r="AJ136" s="58" t="str">
        <f t="shared" ca="1" si="63"/>
        <v xml:space="preserve"> </v>
      </c>
      <c r="AK136" s="60">
        <f t="shared" ca="1" si="61"/>
        <v>0</v>
      </c>
      <c r="AL136" s="29" t="str">
        <f t="shared" ca="1" si="62"/>
        <v xml:space="preserve"> </v>
      </c>
    </row>
    <row r="137" spans="1:38" x14ac:dyDescent="0.3">
      <c r="A137" s="33"/>
      <c r="O137" s="86">
        <v>5</v>
      </c>
      <c r="P137" s="65"/>
      <c r="Q137" s="65"/>
      <c r="R137" s="65"/>
      <c r="S137" s="65"/>
      <c r="T137" s="66"/>
      <c r="AJ137" s="58" t="str">
        <f t="shared" ca="1" si="63"/>
        <v xml:space="preserve"> </v>
      </c>
      <c r="AK137" s="60">
        <f t="shared" ca="1" si="61"/>
        <v>0</v>
      </c>
      <c r="AL137" s="29" t="str">
        <f t="shared" ca="1" si="62"/>
        <v xml:space="preserve"> </v>
      </c>
    </row>
    <row r="138" spans="1:38" x14ac:dyDescent="0.3">
      <c r="A138" s="33"/>
      <c r="O138" s="133">
        <v>6</v>
      </c>
      <c r="P138" s="60"/>
      <c r="Q138" s="60"/>
      <c r="R138" s="60"/>
      <c r="S138" s="60"/>
      <c r="T138" s="63"/>
    </row>
    <row r="139" spans="1:38" x14ac:dyDescent="0.3">
      <c r="A139" s="33"/>
      <c r="O139" s="86">
        <v>7</v>
      </c>
      <c r="P139" s="65"/>
      <c r="Q139" s="65"/>
      <c r="R139" s="65"/>
      <c r="S139" s="65"/>
      <c r="T139" s="66"/>
      <c r="AJ139" s="31" t="s">
        <v>1172</v>
      </c>
    </row>
    <row r="140" spans="1:38" x14ac:dyDescent="0.3">
      <c r="A140" s="33"/>
      <c r="O140" s="133">
        <v>8</v>
      </c>
      <c r="P140" s="60"/>
      <c r="Q140" s="60"/>
      <c r="R140" s="60"/>
      <c r="S140" s="60"/>
      <c r="T140" s="63"/>
      <c r="AJ140" s="58" t="str">
        <f ca="1">IF(AK140=0," ",_xlfn.RANK.EQ(AK140,$AK$140:$AK$149))</f>
        <v xml:space="preserve"> </v>
      </c>
      <c r="AK140" s="60">
        <f t="shared" ref="AK140:AK149" ca="1" si="64">IF(AL140=" ", 0,RAND())</f>
        <v>0</v>
      </c>
      <c r="AL140" s="29" t="str">
        <f t="shared" ref="AL140:AL149" ca="1" si="65">T334</f>
        <v xml:space="preserve"> </v>
      </c>
    </row>
    <row r="141" spans="1:38" x14ac:dyDescent="0.3">
      <c r="A141" s="33"/>
      <c r="O141" s="86">
        <v>9</v>
      </c>
      <c r="P141" s="65"/>
      <c r="Q141" s="65"/>
      <c r="R141" s="65"/>
      <c r="S141" s="65"/>
      <c r="T141" s="66"/>
      <c r="AJ141" s="58" t="str">
        <f t="shared" ref="AJ141:AJ149" ca="1" si="66">IF(AK141=0," ",_xlfn.RANK.EQ(AK141,$AK$140:$AK$149))</f>
        <v xml:space="preserve"> </v>
      </c>
      <c r="AK141" s="60">
        <f t="shared" ca="1" si="64"/>
        <v>0</v>
      </c>
      <c r="AL141" s="29" t="str">
        <f t="shared" ca="1" si="65"/>
        <v xml:space="preserve"> </v>
      </c>
    </row>
    <row r="142" spans="1:38" ht="19.5" thickBot="1" x14ac:dyDescent="0.35">
      <c r="A142" s="33"/>
      <c r="O142" s="134">
        <v>10</v>
      </c>
      <c r="P142" s="67"/>
      <c r="Q142" s="67"/>
      <c r="R142" s="67"/>
      <c r="S142" s="67"/>
      <c r="T142" s="68"/>
      <c r="AJ142" s="58" t="str">
        <f t="shared" ca="1" si="66"/>
        <v xml:space="preserve"> </v>
      </c>
      <c r="AK142" s="60">
        <f t="shared" ca="1" si="64"/>
        <v>0</v>
      </c>
      <c r="AL142" s="29" t="str">
        <f t="shared" ca="1" si="65"/>
        <v xml:space="preserve"> </v>
      </c>
    </row>
    <row r="143" spans="1:38" ht="19.5" thickBot="1" x14ac:dyDescent="0.35">
      <c r="AJ143" s="58" t="str">
        <f t="shared" ca="1" si="66"/>
        <v xml:space="preserve"> </v>
      </c>
      <c r="AK143" s="60">
        <f t="shared" ca="1" si="64"/>
        <v>0</v>
      </c>
      <c r="AL143" s="29" t="str">
        <f t="shared" ca="1" si="65"/>
        <v xml:space="preserve"> </v>
      </c>
    </row>
    <row r="144" spans="1:38" ht="30.75" thickBot="1" x14ac:dyDescent="0.45">
      <c r="B144" s="105" t="s">
        <v>1335</v>
      </c>
      <c r="AJ144" s="58" t="str">
        <f t="shared" ca="1" si="66"/>
        <v xml:space="preserve"> </v>
      </c>
      <c r="AK144" s="60">
        <f t="shared" ca="1" si="64"/>
        <v>0</v>
      </c>
      <c r="AL144" s="29" t="str">
        <f t="shared" ca="1" si="65"/>
        <v xml:space="preserve"> </v>
      </c>
    </row>
    <row r="145" spans="1:38" x14ac:dyDescent="0.3">
      <c r="B145" s="79"/>
      <c r="C145" s="27"/>
      <c r="D145" s="27"/>
      <c r="E145" s="27"/>
      <c r="F145" s="27"/>
      <c r="G145" s="27"/>
      <c r="H145" s="27"/>
      <c r="I145" s="27"/>
      <c r="J145" s="27"/>
      <c r="K145" s="27"/>
      <c r="L145" s="27"/>
      <c r="M145" s="27"/>
      <c r="N145" s="27"/>
      <c r="O145" s="27"/>
      <c r="P145" s="76" t="s">
        <v>1124</v>
      </c>
      <c r="Q145" s="76" t="s">
        <v>1166</v>
      </c>
      <c r="R145" s="76" t="s">
        <v>1167</v>
      </c>
      <c r="S145" s="76" t="s">
        <v>1168</v>
      </c>
      <c r="T145" s="77" t="s">
        <v>676</v>
      </c>
      <c r="AJ145" s="58" t="str">
        <f t="shared" ca="1" si="66"/>
        <v xml:space="preserve"> </v>
      </c>
      <c r="AK145" s="60">
        <f t="shared" ca="1" si="64"/>
        <v>0</v>
      </c>
      <c r="AL145" s="29" t="str">
        <f t="shared" ca="1" si="65"/>
        <v xml:space="preserve"> </v>
      </c>
    </row>
    <row r="146" spans="1:38" x14ac:dyDescent="0.3">
      <c r="B146" s="86" t="str">
        <f ca="1">IF(R15="way of the four elements","Way of the Four Elements",IF(AND(Q11="paladin",Q12&gt;=3),"Oath Spells",IF(AND(R15="moon",Q12&gt;=14),"Thousand Forms",IF(R15="way of the shadow","Shadow Arts",IF(AND(Q11="druid",R15="land"),"Land Circle Spells",IF(Q11="cleric","Domain Spells",IF(Q11="bard","Magical Secrets",IF(R15="path of the totem warrior","Totem Warrior Spells",IF(AND(Q11="warlock",Q12&gt;=2),"Mystic Arcanum and Invocation",IF(R15="arcane trickster","4th,8th,14th,20th non E&amp;I spells",IF(R15="eldritch knight","4th,8th,14th,20th non A&amp;E spells"," ")))))))))))</f>
        <v xml:space="preserve"> </v>
      </c>
      <c r="C146" s="33"/>
      <c r="D146" s="33"/>
      <c r="E146" s="33"/>
      <c r="F146" s="33"/>
      <c r="G146" s="33"/>
      <c r="H146" s="33"/>
      <c r="I146" s="33"/>
      <c r="J146" s="33"/>
      <c r="K146" s="33"/>
      <c r="L146" s="33"/>
      <c r="M146" s="33"/>
      <c r="N146" s="33"/>
      <c r="O146" s="34">
        <v>1</v>
      </c>
      <c r="P146" s="33" t="str">
        <f ca="1">IF(R15="school of illusion","Minor Illusion",IF(Q16="pact of the tome",INDEX('Spell Tables'!$BD$19:$BD$37,MATCH(1,('Spell Tables'!$BB$19:$BB$37),0)),IF(R15="way of the shadow","Minor Illusion (free)",IF(R15="land",INDEX('Spell Tables'!P48:P55,MATCH(8,('Spell Tables'!N48:N55),0)),IF(R15="nature",INDEX('Spell Tables'!P48:P55,MATCH(6,('Spell Tables'!N48:N55),0)),IF(R15="light","Light",IF(AND(Q11="bard",AL191="c"),INDEX('Spell Tables'!$BD$2:$BD$16,MATCH(10,('Spell Tables'!$BB$2:$BB$16),0))," ")))))))</f>
        <v xml:space="preserve"> </v>
      </c>
      <c r="Q146" s="33" t="str">
        <f ca="1">IF(COUNTIF(R18:R21,"*"&amp;"Fist of Four Thunders"&amp;"*"),"Thunderwave (2 ki)",IF(COUNTIF($Q$18:$Q$22,"*"&amp;"armor of shadows"&amp;"*"),"Mage Armor*",IF(R15="oath of vengeance","Bane",IF(R15="Oath of the Ancients","Ensnaring Strike",IF(R15="Oath of Devotion","Protection from Good and Evil",IF(AND(R15="war",Q12&gt;=1),"Divine Favor",IF(AND(R15="Trickery",Q12&gt;=1),"Charm Person",IF(AND(R15="tempest",Q12&gt;=1),"Fog Cloud",IF(AND(R15="nature",Q12&gt;=1),"Animal Friendship",IF(AND(R15="light",Q12&gt;=1),"Burning Hands",IF(R15="life","Bless",IF(R15="knowledge","Command",IF(AND(Q11="bard",AL155=1),INDEX('Spell Tables'!$BH$2:$BH$41,MATCH($O$120,('Spell Tables'!$BF$2:$BF$41),0)),IF(R15="arcane trickster",INDEX('Spell Tables'!$X$141:$X$163,MATCH(O120,('Spell Tables'!$V$141:$V$163),0)),IF(R15="path of the totem warrior","Speak with Animals (as ritual)",IF(R15="eldritch knight",INDEX('Spell Tables'!$X$70:$X$90,MATCH($O$120,('Spell Tables'!$V$70:W90),0))," "))))))))))))))))</f>
        <v xml:space="preserve"> </v>
      </c>
      <c r="R146" s="33" t="str">
        <f ca="1">IF(COUNTIF(R18:R21,"*"&amp;"Clench of the North Wind"&amp;"*"),"Hold Person (3 ki)",IF(COUNTIF(Q18:Q22,"*"&amp;"ascendant step"&amp;"*"),"Levitate*",IF(AND(R15="oath of vengeance",Q12&gt;=5),"Hold Person",IF(AND(R15="Oath of the Ancients",Q12&gt;=5),"Moonbeam",IF(AND(R15="Oath of Devotion",Q12&gt;=5),"Lesser Restoration",IF(AND(R15="moon",Q12&gt;=14),"Alter Self",IF(R15="Way of the Shadow","Darkness",IF(AND($P$20="Underdark",Q12&gt;=3),"Spider Climb",IF(AND($P$20="Swamp",Q12&gt;=3),"Darkness",IF(AND($P$20="Mountain",Q12&gt;=3),"Spider Climb",IF(AND($P$20="Grassland",Q12&gt;=3),"Invisibility",IF(AND($P$20="Forest",Q12&gt;=3),"Barkskin",IF(AND($P$20="Desert",Q12&gt;=3),"Blur",IF(AND($P$20="Coast",Q12&gt;=3),"Mirror Image",IF(AND($P$20="arctic",Q12&gt;=3),"Hold Person",IF(AND(R15="war",Q12&gt;=3),"Magic Weapon",IF(AND(R15="Trickery",Q12&gt;=3),"Mirror Image",IF(AND(R15="tempest",Q12&gt;=3),"Gust of Wind",IF(AND(R15="nature",Q12&gt;=3),"Barkskin",IF(AND(R15="light",Q12&gt;=3),"Flaming Sphere",IF(AND(R15="Life",Q12&gt;=3),"Lesser Restoration",IF(AND(R15="knowledge",Q12&gt;=3),"Augury",IF(AND(Q11="bard",AL155=2),INDEX('Spell Tables'!BL2:BL37,MATCH(O120,('Spell Tables'!BJ2:BJ37),0)),IF(R15="path of the totem warrior","Beast Sense (as ritual)",IF(AND(R15="eldritch knight",Q12&gt;=8),INDEX('Spell Tables'!AF70:AF94,MATCH(#REF!,('Spell Tables'!AD70:AD94),0)),IF(AND(R15="arcane trickster",Q12&gt;=8),INDEX('Spell Tables'!AF141:AF165,MATCH(#REF!,('Spell Tables'!AD141:AD165),0))," "))))))))))))))))))))))))))</f>
        <v xml:space="preserve"> </v>
      </c>
      <c r="S146" s="33" t="str">
        <f ca="1">IF(COUNTIF(Q18:Q22,"*"&amp;"mire the mind"&amp;"*"),"Slow**",IF(AND(R15="oath of vengeance",Q12&gt;=9),"Haste",IF(AND(R15="Oath of the Ancients",Q12&gt;=9),"Plant Growth",IF(AND(R15="Oath of Devotion",Q12&gt;=9),"Beacon of Hope",IF(AND($P$20="Underdark",Q12&gt;=5),"Gaseous Form",IF(AND($P$20="Swamp",Q12&gt;=5),"Water Walk",IF(AND($P$20="Mountain",Q12&gt;=5),"Lightning Bolt",IF(AND($P$20="Grassland",Q12&gt;=5),"Daylight",IF(AND($P$20="Forest",Q12&gt;=5),"Call Lightning",IF(AND($P$20="Desert",Q12&gt;=5),"Create Food and Water",IF(AND($P$20="Coast",Q12&gt;=5),"Water Breathing",IF(AND($P$20="arctic",Q12&gt;=5),"Sleet Storm",IF(AND(R15="war",Q12&gt;=5),"Crusader's Mantle",IF(AND(R15="trickery",Q12&gt;=5),"Blink",IF(AND(R15="tempest",Q12&gt;=5),"Call Lightning",IF(AND(R15="nature",Q12&gt;=5),"Plant Growth",IF(AND(R15="light",Q12&gt;=5),"Daylight",IF(AND(R15="life",Q12&gt;=5),"Beacon of Hope",IF(AND(R15="knowledge",Q12&gt;=5),"Nondetection",IF(AND(Q11="bard",AL155=3),INDEX('Spell Tables'!BP2:BP35,MATCH(O120,('Spell Tables'!BN2:BN35),0)),IF(AND(R15="arcane trickster",Q12&gt;=14),INDEX('Spell Tables'!AN141:AN165,MATCH(O120,('Spell Tables'!AL141:AL165),0)),IF(AND(R15="eldritch knight",Q12&gt;=14),INDEX('Spell Tables'!AN70:AN88,MATCH(O120,('Spell Tables'!AL70:AL88),0))," "))))))))))))))))))))))</f>
        <v xml:space="preserve"> </v>
      </c>
      <c r="T146" s="72" t="str">
        <f ca="1">IF(COUNTIF(Q18:Q22,"*"&amp;"bewitching whispers"&amp;"*"),"Compulsion**",IF(AND(R15="oath of vengeance",Q12&gt;=13),"Banishment",IF(AND(R15="Oath of the Ancients",Q12&gt;=13),"Ice Storm",IF(AND(R15="Oath of Devotion",Q12&gt;=13),"Freedom of Movement",IF(AND($P$20="Underdark",Q12&gt;=7),"Greater Invisibility",IF(AND($P$20="Swamp",Q12&gt;=7),"Freedom of Movement",IF(AND($P$20="Mountain",Q12&gt;=7),"Stone Shape",IF(AND($P$20="Grassland",Q12&gt;=7),"Divination",IF(AND($P$20="Forest",Q12&gt;=7),"Divination",IF(AND($P$20="Desert",Q12&gt;=7),"Blight",IF(AND($P$20="Coast",Q12&gt;=7),"Control Water",IF(AND($P$20="arctic",Q12&gt;=7),"Freedom of Movement",IF(AND(R15="war",Q12&gt;=7),"Freedom of Movement",IF(AND(R15="trickery",Q12&gt;=7),"Dimension Door",IF(AND(R15="tempest",Q12&gt;=7),"Control Water",IF(AND(R15="nature",Q12&gt;=7),"Dominate Beast",IF(AND(R15="light",Q12&gt;=7),"Guardian of Faith",IF(AND(R15="life",Q12&gt;=7),"Death Ward",IF(AND(R15="knowledge",Q12&gt;=7),"Arcane Eye",IF(AND(Q11="bard",AL155=4),INDEX('Spell Tables'!BT2:BT29,MATCH(O120,('Spell Tables'!BR2:BR29),0)),IF(AND(R15="arcane trickster",Q12&gt;=20),INDEX('Spell Tables'!AV141:AV159,MATCH(O120,('Spell Tables'!AT267:AT285),0)),IF(AND(R15="eldritch knight",Q12&gt;=20),INDEX('Spell Tables'!AV70:AV86,MATCH(O120,('Spell Tables'!AT70:AT86),0))," "))))))))))))))))))))))</f>
        <v xml:space="preserve"> </v>
      </c>
      <c r="AJ146" s="58" t="str">
        <f t="shared" ca="1" si="66"/>
        <v xml:space="preserve"> </v>
      </c>
      <c r="AK146" s="60">
        <f t="shared" ca="1" si="64"/>
        <v>0</v>
      </c>
      <c r="AL146" s="29" t="str">
        <f t="shared" ca="1" si="65"/>
        <v xml:space="preserve"> </v>
      </c>
    </row>
    <row r="147" spans="1:38" x14ac:dyDescent="0.3">
      <c r="B147" s="79" t="str">
        <f ca="1">IF(R15="way of the four elements","Elemental Disciplines - cost ki",IF(AND(Q11="warlock",Q12&gt;=2),"* = at will - no slot use",IF(R15="land",$P$20," ")))</f>
        <v xml:space="preserve"> </v>
      </c>
      <c r="C147" s="33"/>
      <c r="D147" s="33"/>
      <c r="E147" s="33"/>
      <c r="F147" s="33"/>
      <c r="G147" s="33"/>
      <c r="H147" s="33"/>
      <c r="I147" s="33"/>
      <c r="J147" s="33"/>
      <c r="K147" s="33"/>
      <c r="L147" s="33"/>
      <c r="M147" s="33"/>
      <c r="N147" s="33"/>
      <c r="O147" s="34">
        <v>2</v>
      </c>
      <c r="P147" s="33" t="str">
        <f ca="1">IF(Q16="pact of the tome",INDEX('Spell Tables'!$BD$19:$BD$37,MATCH(2,('Spell Tables'!$BB$19:$BB$37),0)),IF(AND(Q11="bard",AL192="c"),INDEX('Spell Tables'!$BD$2:$BD$16,MATCH(11,('Spell Tables'!$BB$2:$BB$16),0))," "))</f>
        <v xml:space="preserve"> </v>
      </c>
      <c r="Q147" s="33" t="str">
        <f ca="1">IF(COUNTIF(R18:R21,"*"&amp;"Sweeping Cinder Strike"&amp;"*"),"Burning Hands (2 ki)",IF(COUNTIF(Q18:Q22,"*"&amp;"beast speech"&amp;"*"),"Speak with Animals*",IF(R15="Oath of the Ancients","Speak with Animals",IF(R15="Oath of vengeance","Hunter's Mark",IF(R15="Oath of Devotion","Sanctuary",IF(AND(R15="war",Q12&gt;=1),"Shield of Faith",IF(AND(R15="trickery",Q12&gt;=1),"Disguise Self",IF(AND(R15="tempest",Q12&gt;=1),"Thunderwave",IF(AND(R15="Nature",Q12&gt;=1),"Speak with Animals",IF(AND(R15="light",Q12&gt;=1),"Faerie Fire",IF(R15="life","Cure Wounds",IF(R15="knowledge","Identify",IF(AND(Q11="bard",AL156=1),INDEX('Spell Tables'!$BH$2:$BH$41,MATCH(O121,('Spell Tables'!$BF$2:$BF$41),0))," ")))))))))))))</f>
        <v xml:space="preserve"> </v>
      </c>
      <c r="R147" s="33" t="str">
        <f ca="1">IF(COUNTIF(R18:R21,"*"&amp;"Gong of the Summit"&amp;"*"),"Shatter (3 ki)",IF(COUNTIF(Q18:Q22,"*"&amp;"master of myriad forms"&amp;"*"),"Alter Self*",IF(AND(R15="oath of vengeance",Q12&gt;=5),"Misty Step",IF(AND(R15="Oath of the Ancients",Q12&gt;=5),"Misty Step",IF(AND(R15="Oath of Devotion",Q12&gt;=5),"Zone of Truth",IF(R15="way of the shadow","Darkvision",IF(AND($P$20="Underdark",Q12&gt;=3),"Web",IF(AND($P$20="Swamp",Q12&gt;=3),"Melf's Acid Arrow",IF(AND($P$20="Mountain",Q12&gt;=3),"Spike Growth",IF(AND($P$20="Grassland",Q12&gt;=3),"Pass Without Trace",IF(AND($P$20="Forest",Q12&gt;=3),"Spider Climb",IF(AND($P$20="Desert",Q12&gt;=3),"Silence",IF(AND($P$20="Coast",Q12&gt;=3),"Misty Step",IF(AND($P$20="arctic",Q12&gt;=3),"Spike Growth",IF(AND(R15="war",Q12&gt;=3),"Spiritual Weapon",IF(AND(R15="trickery",Q12&gt;=3),"Pass Without Trace",IF(AND(R15="tempest",Q12&gt;=3),"Shatter",IF(AND(R15="nature",Q12&gt;=3),"Spike Growth",IF(AND(R15="light",Q12&gt;=3),"Scorching Ray",IF(AND(R15="life",Q12&gt;=3),"Spiritual Weapon",IF(AND(R15="knowledge",Q12&gt;=3),"Suggestion",IF(AND(Q11="bard",AL156=2),INDEX('Spell Tables'!$BL$2:$BL$37,MATCH(O121,('Spell Tables'!$BJ$2:$BJ$37),0))," "))))))))))))))))))))))</f>
        <v xml:space="preserve"> </v>
      </c>
      <c r="S147" s="33" t="str">
        <f ca="1">IF(COUNTIF(Q18:Q22,"*"&amp;"sign of ill omen"&amp;"*"),"Bestow Curse**",IF(AND(R15="oath of vengeance",Q12&gt;=9),"Protection from Energy",IF(AND(R15="Oath of the Ancients",Q12&gt;=9),"Protection from Energy",IF(AND(R15="Oath of Devotion",Q12&gt;=9),"Dispel Magic",IF(AND($P$20="Underdark",Q12&gt;=5),"Stinking Cloud",IF(AND($P$20="Swamp",Q12&gt;=5),"Stinking Cloud",IF(AND($P$20="Mountain",Q12&gt;=5),"Meld Into Stone",IF(AND($P$20="Grassland",Q12&gt;=5),"Haste",IF(AND($P$20="Forest",Q12&gt;=5),"Plant Growth",IF(AND($P$20="Desert",Q12&gt;=5),"Protection from Energy",IF(AND($P$20="Coast",Q12&gt;=5),"Water Walk",IF(AND($P$20="arctic",Q12&gt;=5),"Slow",IF(AND(R15="war",Q12&gt;=5),"Spirit Guardians",IF(AND(R15="trickery",Q12&gt;=5),"Dispel Magic",IF(AND(R15="Tempest",Q12&gt;=5),"Sleet Storm",IF(AND(R15="nature",Q12&gt;=5),"Wind Wall",IF(AND(R15="light",Q12&gt;=5),"Fireball",IF(AND(R15="life",Q12&gt;=5),"Revivify",IF(AND(R15="knowledge",Q12&gt;=5),"Speak with Dead",IF(AND(Q11="bard",AL156=3),INDEX('Spell Tables'!$BP$2:$BP$35,MATCH(O121,('Spell Tables'!$BN$2:$BN$35),0))," "))))))))))))))))))))</f>
        <v xml:space="preserve"> </v>
      </c>
      <c r="T147" s="72" t="str">
        <f ca="1">IF(COUNTIF(Q18:Q22,"*"&amp;"dreadful word"&amp;"*"),"Confusion**",IF(AND(R15="oath of vengeance",Q12&gt;=13),"Dimension Door",IF(AND(R15="Oath of the Ancients",Q12&gt;=13),"Stoneskin",IF(AND(R15="Oath of Devotion",Q12&gt;=13),"Guardian of Faith",IF(AND($P$20="Underdark",Q12&gt;=7),"Stone Shape",IF(AND($P$20="Swamp",Q12&gt;=7),"Locate Creature",IF(AND($P$20="Mountain",Q12&gt;=7),"Stonekin",IF(AND($P$20="Grassland",Q12&gt;=7),"Freedom of Movement",IF(AND($P$20="Forest",Q12&gt;=7),"Freedom of Movement",IF(AND($P$20="Desert",Q12&gt;=7),"Hallucinatory Terrain",IF(AND($P$20="Coast",Q12&gt;=7),"Freedom of Movement",IF(AND($P$20="arctic",Q12&gt;=7),"Ice Storm",IF(AND(R15="war",Q12&gt;=7),"Stoneskin",IF(AND(R15="trickery",Q12&gt;=7),"Polymorph",IF(AND(R15="tempest",Q12&gt;=7),"Ice Storm",IF(AND(R15="nature",Q12&gt;=7),"Grasping Vine",IF(AND(R15="light",Q12&gt;=7),"Wall of Fire",IF(AND(R15="life",Q12&gt;=7),"Guardian of Faith",IF(AND(R15="knowledge",Q12&gt;=7),"Confusion",IF(AND(Q11="bard",AL156=4),INDEX('Spell Tables'!$BT$2:$BT$29,MATCH(O121,('Spell Tables'!$BR$2:$BR$29),0))," "))))))))))))))))))))</f>
        <v xml:space="preserve"> </v>
      </c>
      <c r="AJ147" s="58" t="str">
        <f t="shared" ca="1" si="66"/>
        <v xml:space="preserve"> </v>
      </c>
      <c r="AK147" s="60">
        <f t="shared" ca="1" si="64"/>
        <v>0</v>
      </c>
      <c r="AL147" s="29" t="str">
        <f t="shared" ca="1" si="65"/>
        <v xml:space="preserve"> </v>
      </c>
    </row>
    <row r="148" spans="1:38" x14ac:dyDescent="0.3">
      <c r="B148" s="79" t="str">
        <f ca="1">IF(AND(Q11="warlock",Q12&gt;=2),"** = once per long rest - uses slot",IF(AND(Q11="paladin",Q12&gt;=3),"Free Preparation",IF(AND(R15="moon",Q12&gt;=14),"At Will",IF(R15="way of the shadow","Cost 2 Ki Points",IF(OR(R15="land",Q11="cleric"),"Free Preparation",IF(AND(Q11="bard",Q12&gt;=10),"Count Toward Known"," "))))))</f>
        <v xml:space="preserve"> </v>
      </c>
      <c r="C148" s="33"/>
      <c r="D148" s="33"/>
      <c r="E148" s="33"/>
      <c r="F148" s="33"/>
      <c r="G148" s="33"/>
      <c r="H148" s="33"/>
      <c r="I148" s="33"/>
      <c r="J148" s="33"/>
      <c r="K148" s="33"/>
      <c r="L148" s="33"/>
      <c r="M148" s="33"/>
      <c r="N148" s="33"/>
      <c r="O148" s="34">
        <v>3</v>
      </c>
      <c r="P148" s="33" t="str">
        <f ca="1">IF(Q16="pact of the tome",INDEX('Spell Tables'!$BD$19:$BD$37,MATCH(3,('Spell Tables'!$BB$19:$BB$37),0))," ")</f>
        <v xml:space="preserve"> </v>
      </c>
      <c r="Q148" s="33" t="str">
        <f ca="1">IF(COUNTIF(Q18:Q22,"*"&amp;"eldritch sight"&amp;"*"),"Detect Magic*"," ")</f>
        <v xml:space="preserve"> </v>
      </c>
      <c r="R148" s="33" t="str">
        <f ca="1">IF(COUNTIF(R18:R21,"*"&amp;"Rush of the Gale Spirits"&amp;"*"),"Gust of Wind (2 ki)",IF(R15="way of the shadow","Pass Without Trace"," "))</f>
        <v xml:space="preserve"> </v>
      </c>
      <c r="S148" s="33" t="str">
        <f ca="1">IF(COUNTIF(Q18:Q22,"*"&amp;"whispers of the grave"&amp;"*"),"Speak with Dead*"," ")</f>
        <v xml:space="preserve"> </v>
      </c>
      <c r="T148" s="72" t="str">
        <f ca="1">IF(COUNTIF(Q18:Q22,"*"&amp;"Sculptor of Flesh"&amp;"*"),"Polymorph**"," ")</f>
        <v xml:space="preserve"> </v>
      </c>
      <c r="AJ148" s="58" t="str">
        <f t="shared" ca="1" si="66"/>
        <v xml:space="preserve"> </v>
      </c>
      <c r="AK148" s="60">
        <f t="shared" ca="1" si="64"/>
        <v>0</v>
      </c>
      <c r="AL148" s="29" t="str">
        <f t="shared" ca="1" si="65"/>
        <v xml:space="preserve"> </v>
      </c>
    </row>
    <row r="149" spans="1:38" x14ac:dyDescent="0.3">
      <c r="B149" s="79"/>
      <c r="O149" s="81">
        <v>4</v>
      </c>
      <c r="Q149" s="29" t="str">
        <f ca="1">IF(COUNTIF(Q18:Q22,"*"&amp;"fiendish vigor"&amp;"*"),"False Life*"," ")</f>
        <v xml:space="preserve"> </v>
      </c>
      <c r="R149" s="29" t="str">
        <f ca="1">IF(R15="way of the shadow","Silence"," ")</f>
        <v xml:space="preserve"> </v>
      </c>
      <c r="T149" s="72" t="str">
        <f ca="1">IF(COUNTIF(Q18:Q22,"*"&amp;"visions of distant realms"&amp;"*"),"Arcane Eye*"," ")</f>
        <v xml:space="preserve"> </v>
      </c>
      <c r="AJ149" s="58" t="str">
        <f t="shared" ca="1" si="66"/>
        <v xml:space="preserve"> </v>
      </c>
      <c r="AK149" s="60">
        <f t="shared" ca="1" si="64"/>
        <v>0</v>
      </c>
      <c r="AL149" s="29" t="str">
        <f t="shared" ca="1" si="65"/>
        <v xml:space="preserve"> </v>
      </c>
    </row>
    <row r="150" spans="1:38" x14ac:dyDescent="0.3">
      <c r="B150" s="79"/>
      <c r="O150" s="81">
        <v>5</v>
      </c>
      <c r="Q150" s="29" t="str">
        <f ca="1">IF(COUNTIF(Q18:Q22,"*"&amp;"mask of many faces"&amp;"*"),"Disguise Self*","")</f>
        <v/>
      </c>
      <c r="T150" s="72"/>
    </row>
    <row r="151" spans="1:38" x14ac:dyDescent="0.3">
      <c r="B151" s="79"/>
      <c r="O151" s="81">
        <v>6</v>
      </c>
      <c r="Q151" s="29" t="str">
        <f ca="1">IF(COUNTIF(Q18:Q22,"*"&amp;"misty vision"&amp;"*"),"Silent Image*"," " )</f>
        <v xml:space="preserve"> </v>
      </c>
      <c r="T151" s="72"/>
      <c r="AJ151" s="31" t="s">
        <v>1666</v>
      </c>
    </row>
    <row r="152" spans="1:38" x14ac:dyDescent="0.3">
      <c r="B152" s="79"/>
      <c r="O152" s="81">
        <v>7</v>
      </c>
      <c r="Q152" s="29" t="str">
        <f ca="1">IF(COUNTIF(Q18:Q22,"*"&amp;"otherworldly leap"&amp;"*"),"Jump*"," ")</f>
        <v xml:space="preserve"> </v>
      </c>
      <c r="T152" s="72"/>
      <c r="AJ152" s="29">
        <v>1</v>
      </c>
      <c r="AK152" s="29">
        <v>1</v>
      </c>
    </row>
    <row r="153" spans="1:38" x14ac:dyDescent="0.3">
      <c r="B153" s="79"/>
      <c r="O153" s="81">
        <v>8</v>
      </c>
      <c r="Q153" s="29" t="str">
        <f ca="1">IF(COUNTIF(Q18:Q22,"*"&amp;"thief of five fates"&amp;"*"),"Bane**"," ")</f>
        <v xml:space="preserve"> </v>
      </c>
      <c r="T153" s="72"/>
      <c r="AJ153" s="29">
        <v>2</v>
      </c>
      <c r="AK153" s="29">
        <v>2</v>
      </c>
    </row>
    <row r="154" spans="1:38" x14ac:dyDescent="0.3">
      <c r="B154" s="79" t="str">
        <f ca="1">IF(AND(Q16="pact of the tome",COUNTIF($O$13:$O$13,"*"&amp;"book of ancient secrets"&amp;"*")),"Book of Ancient Secrets"," ")</f>
        <v xml:space="preserve"> </v>
      </c>
      <c r="O154" s="81">
        <v>9</v>
      </c>
      <c r="Q154" s="29" t="str">
        <f ca="1">IF(AND(Q16="pact of the tome",COUNTIF(Q18:Q22,"*"&amp;"book of ancient secrets"&amp;"*")),INDEX('Spell Tables'!BD40:BD46,MATCH(1,('Spell Tables'!BB40:BB46),0))," ")</f>
        <v xml:space="preserve"> </v>
      </c>
      <c r="T154" s="72"/>
      <c r="AJ154" s="29">
        <v>3</v>
      </c>
      <c r="AK154" s="29">
        <v>3</v>
      </c>
    </row>
    <row r="155" spans="1:38" ht="19.5" thickBot="1" x14ac:dyDescent="0.35">
      <c r="B155" s="80" t="str">
        <f ca="1">IF(Q16="pact of the chain",Q16,IF(OR(P155="minor illusion",S155="animate dead",T155="polymorph"),"School Spells - in Spellbook"," "))</f>
        <v xml:space="preserve"> </v>
      </c>
      <c r="C155" s="38"/>
      <c r="D155" s="38"/>
      <c r="E155" s="38"/>
      <c r="F155" s="38"/>
      <c r="G155" s="38"/>
      <c r="H155" s="38"/>
      <c r="I155" s="38"/>
      <c r="J155" s="38"/>
      <c r="K155" s="38"/>
      <c r="L155" s="38"/>
      <c r="M155" s="38"/>
      <c r="N155" s="38"/>
      <c r="O155" s="82">
        <v>10</v>
      </c>
      <c r="P155" s="38" t="str">
        <f ca="1">IF(AND(R15="school of Illusion",COUNTIF(P315:P324,"*Minor Illusion*"))," ",IF(R15="school of illusion","Minor Illusion"," "))</f>
        <v xml:space="preserve"> </v>
      </c>
      <c r="Q155" s="38" t="str">
        <f ca="1">IF(AND(Q16="pact of the tome",COUNTIF(Q18:Q22,"*"&amp;"book of ancient secrets"&amp;"*")),INDEX('Spell Tables'!BD40:BD46,MATCH(2,('Spell Tables'!BB40:BB46),0)),IF(Q16="pact of the chain","Find Familiar (as ritual)"," "))</f>
        <v xml:space="preserve"> </v>
      </c>
      <c r="R155" s="38"/>
      <c r="S155" s="38" t="str">
        <f ca="1">IF(AND(R15="school of necromancy",Q12&gt;=6,COUNTIF(S315:S324,"*"&amp;"Animate Dead"&amp;"*"))," ",IF(AND(R15="school of necromancy",Q12&gt;=6),"Animate Dead"," "))</f>
        <v xml:space="preserve"> </v>
      </c>
      <c r="T155" s="73" t="str">
        <f ca="1">IF(AND(R15="school of transmutation",Q12&gt;=10,COUNTIF(T315:T324,"*"&amp;"Polymorph"&amp;"*"))," ",IF(AND(R15="school of transmutation",Q12&gt;=6),"Polymorph"," "))</f>
        <v xml:space="preserve"> </v>
      </c>
      <c r="AJ155" s="29">
        <v>4</v>
      </c>
      <c r="AK155" s="29">
        <v>3</v>
      </c>
      <c r="AL155" s="29" t="str">
        <f ca="1">IF(AND(O11="bard",O12&gt;=10),VLOOKUP(RANDBETWEEN(1,10),Table219344458800857914330387833[],2),IF(AND(Q11="bard",Q12&gt;=10),VLOOKUP(RANDBETWEEN(1,10),Table219344458800857914330387833[],2)," "))</f>
        <v xml:space="preserve"> </v>
      </c>
    </row>
    <row r="156" spans="1:38" ht="19.5" thickBot="1" x14ac:dyDescent="0.35">
      <c r="B156" s="27"/>
      <c r="O156" s="99"/>
      <c r="AJ156" s="29">
        <v>5</v>
      </c>
      <c r="AK156" s="29">
        <v>4</v>
      </c>
      <c r="AL156" s="29" t="str">
        <f ca="1">IF(AND(O11="bard",O12&gt;=10),VLOOKUP(RANDBETWEEN(1,10),Table219344458800857914330387833[],2),IF(AND(Q11="bard",Q12&gt;=10),VLOOKUP(RANDBETWEEN(1,10),Table219344458800857914330387833[],2)," "))</f>
        <v xml:space="preserve"> </v>
      </c>
    </row>
    <row r="157" spans="1:38" x14ac:dyDescent="0.3">
      <c r="A157" s="33"/>
      <c r="B157" s="72"/>
      <c r="P157" s="76" t="s">
        <v>1169</v>
      </c>
      <c r="Q157" s="76" t="s">
        <v>1170</v>
      </c>
      <c r="R157" s="76" t="s">
        <v>1171</v>
      </c>
      <c r="S157" s="76" t="s">
        <v>677</v>
      </c>
      <c r="T157" s="104" t="s">
        <v>1172</v>
      </c>
      <c r="AJ157" s="29">
        <v>6</v>
      </c>
      <c r="AK157" s="29">
        <v>4</v>
      </c>
    </row>
    <row r="158" spans="1:38" x14ac:dyDescent="0.3">
      <c r="A158" s="33"/>
      <c r="B158" s="72"/>
      <c r="O158" s="83">
        <v>1</v>
      </c>
      <c r="P158" s="65" t="str">
        <f ca="1">IF(COUNTIF(Q18:Q22,"*"&amp;"chains of carceri"&amp;"*"),"Hold Monster**(c,f,e only)",IF(AND(R15="oath of vengeance",Q12&gt;=17),"Hold Monster",IF(AND(R15="Oath of the Ancients",Q12&gt;=17),"Commune with Nature",IF(AND(R15="Oath of Devotion",Q12&gt;=17),"Commune",IF(AND($P$20="Underdark",Q12&gt;=9),"Cloudkill",IF(AND($P$20="Swamp",Q12&gt;=9),"Insect Plague",IF(AND($P$20="Mountain",Q12&gt;=9),"Passwall",IF(AND($P$20="Grassland",Q12&gt;=9),"Dream",IF(AND($P$20="Forest",Q12&gt;=9),"Commune with Nature",IF(AND($P$20="Desert",Q12&gt;=9),"Insect Plague",IF(AND($P$20="Coast",Q12&gt;=9),"Conjure Elemental",IF(AND($P$20="arctic",Q12&gt;=9),"Commune with Nature",IF(AND(R15="war",Q12&gt;=9),"Flame Strike",IF(AND(R15="trickery",Q12&gt;=9),"Dominate Person",IF(AND(R15="tempest",Q12&gt;=9),"Destructive Wave",IF(AND(R15="nature",Q12&gt;=9),"Insect Plague",IF(AND(R15="light",Q12&gt;=9),"Flame Strike",IF(AND(R15="life",Q12&gt;=9),"Mass Cure Wounds",IF(AND(R15="knowledge",Q12&gt;=9),"Legend Lore",IF(AND(Q11="bard",AL155=5),INDEX('Spell Tables'!BX2:BX24,MATCH(O120,('Spell Tables'!BV2:BV24),0)),IF(AND(R15="path of the totem warrior",Q12&gt;=10),"Commune with Nature (as ritual)"," ")))))))))))))))))))))</f>
        <v xml:space="preserve"> </v>
      </c>
      <c r="Q158" s="65" t="str">
        <f ca="1">IF(AND(Q11="bard",AL167=6),INDEX('Spell Tables'!CB2:CB27,MATCH(O120,('Spell Tables'!BZ2:BZ27),0)),IF(AND(Q11="warlock",Q12&gt;=11),INDEX('Spell Tables'!AN194:AN201,MATCH(1,('Spell Tables'!AL194:AL201),0))," "))</f>
        <v xml:space="preserve"> </v>
      </c>
      <c r="R158" s="65" t="str">
        <f ca="1">IF(AND(Q11="bard",AL167=7),INDEX('Spell Tables'!CF2:CF11,MATCH(O120,('Spell Tables'!CD2:CD11),0)),IF(AND(Q11="warlock",Q12&gt;=13),INDEX('Spell Tables'!AR194:AR197,MATCH(1,('Spell Tables'!AP194:AP197),0))," "))</f>
        <v xml:space="preserve"> </v>
      </c>
      <c r="S158" s="65" t="str">
        <f ca="1">IF(AND(Q11="bard",AL179=8),INDEX('Spell Tables'!CJ2:CJ14,MATCH(O120,('Spell Tables'!CH2:CH14),0)),IF(AND(Q11="warlock",Q12&gt;=15),INDEX('Spell Tables'!AV194:AV198,MATCH(1,('Spell Tables'!AT295:AT299),0))," "))</f>
        <v xml:space="preserve"> </v>
      </c>
      <c r="T158" s="66" t="str">
        <f ca="1">IF(AND(Q11="bard",AL179=9),INDEX('Spell Tables'!CN2:CN11,MATCH(O120,('Spell Tables'!CL2:CL11),0)),IF(AND(Q11="warlock",Q12&gt;=17),INDEX('Spell Tables'!AZ194:AZ198,MATCH(1,('Spell Tables'!AX194:AX198),0))," "))</f>
        <v xml:space="preserve"> </v>
      </c>
      <c r="AJ158" s="29">
        <v>7</v>
      </c>
      <c r="AK158" s="29">
        <v>4</v>
      </c>
    </row>
    <row r="159" spans="1:38" x14ac:dyDescent="0.3">
      <c r="A159" s="33"/>
      <c r="B159" s="72"/>
      <c r="O159" s="84">
        <v>2</v>
      </c>
      <c r="P159" s="60" t="str">
        <f ca="1">IF(COUNTIF(Q18:Q22,"*"&amp;"minions of chaos"&amp;"*"),"Conjure Elemental**",IF(AND(R15="oath of vengeance",Q12&gt;=17),"Scrying",IF(AND(R15="Oath of the Ancients",Q12&gt;=17),"Tree Stride",IF(AND(R15="Oath of Devotion",Q12&gt;=17),"Flame Strike",IF(AND($P$20="Underdark",Q12&gt;=9),"Insect Plague",IF(AND($P$20="Swamp",Q12&gt;=9),"Scrying",IF(AND($P$20="Mountain",Q12&gt;=9),"Wall of Stone",IF(AND($P$20="Grassland",Q12&gt;=9),"Insect Plague",IF(AND($P$20="Forest",Q12&gt;=9),"Tree Stride",IF(AND($P$20="Desert",Q12&gt;=9),"Wall of Stone",IF(AND($P$20="Coast",Q12&gt;=9),"Scrying",IF(AND($P$20="arctic",Q12&gt;=9),"Cone of Cold",IF(AND(R15="war",Q12&gt;=9),"Hold Monster",IF(AND(R15="trickery",Q12&gt;=9),"Modify Memory",IF(AND(R15="tempest",Q12&gt;=9),"Insect Plague",IF(AND(R15="nature",Q12&gt;=9),"Tree Stride",IF(AND(R15="light",Q12&gt;=9),"Scrying",IF(AND(R15="life",Q12&gt;=9),"Raise Dead",IF(AND(R15="knowledge",Q12&gt;=9),"Scrying",IF(AND(Q11="bard",AL156=5),INDEX('Spell Tables'!$BX$2:$BX$24,MATCH(O121,('Spell Tables'!$BV$2:$BV$24),0))," "))))))))))))))))))))</f>
        <v xml:space="preserve"> </v>
      </c>
      <c r="Q159" s="60" t="str">
        <f ca="1">IF(AND(Q11="bard",AL168=6),INDEX('Spell Tables'!CB2:CB27,MATCH(O121,('Spell Tables'!BZ2:BZ27),0))," ")</f>
        <v xml:space="preserve"> </v>
      </c>
      <c r="R159" s="60" t="str">
        <f ca="1">IF(AND(Q11="bard",AL168=7),INDEX('Spell Tables'!CF2:CF11,MATCH(O121,('Spell Tables'!CD2:CD11),0))," ")</f>
        <v xml:space="preserve"> </v>
      </c>
      <c r="S159" s="60" t="str">
        <f ca="1">IF(AND(Q11="bard",AL180=8),INDEX('Spell Tables'!CJ2:CJ14,MATCH(O121,('Spell Tables'!CH2:CH14),0))," ")</f>
        <v xml:space="preserve"> </v>
      </c>
      <c r="T159" s="63" t="str">
        <f ca="1">IF(AND(Q11="bard",AL180=9),INDEX('Spell Tables'!CN2:CN11,MATCH(O121,('Spell Tables'!CL2:CL11),0))," ")</f>
        <v xml:space="preserve"> </v>
      </c>
      <c r="AJ159" s="29">
        <v>8</v>
      </c>
      <c r="AK159" s="29">
        <v>5</v>
      </c>
    </row>
    <row r="160" spans="1:38" x14ac:dyDescent="0.3">
      <c r="A160" s="33"/>
      <c r="B160" s="72"/>
      <c r="O160" s="83">
        <v>3</v>
      </c>
      <c r="P160" s="65"/>
      <c r="Q160" s="65"/>
      <c r="R160" s="65"/>
      <c r="S160" s="65"/>
      <c r="T160" s="66"/>
      <c r="AJ160" s="29">
        <v>9</v>
      </c>
      <c r="AK160" s="29">
        <v>5</v>
      </c>
    </row>
    <row r="161" spans="1:38" x14ac:dyDescent="0.3">
      <c r="A161" s="33"/>
      <c r="B161" s="72"/>
      <c r="O161" s="84">
        <v>4</v>
      </c>
      <c r="P161" s="60"/>
      <c r="Q161" s="60"/>
      <c r="R161" s="60"/>
      <c r="S161" s="60"/>
      <c r="T161" s="63"/>
      <c r="AJ161" s="29">
        <v>10</v>
      </c>
      <c r="AK161" s="29">
        <v>5</v>
      </c>
    </row>
    <row r="162" spans="1:38" x14ac:dyDescent="0.3">
      <c r="A162" s="33"/>
      <c r="B162" s="72"/>
      <c r="O162" s="83">
        <v>5</v>
      </c>
      <c r="P162" s="65"/>
      <c r="Q162" s="65"/>
      <c r="R162" s="65"/>
      <c r="S162" s="65"/>
      <c r="T162" s="66"/>
    </row>
    <row r="163" spans="1:38" x14ac:dyDescent="0.3">
      <c r="A163" s="33"/>
      <c r="B163" s="72"/>
      <c r="O163" s="84">
        <v>6</v>
      </c>
      <c r="P163" s="60"/>
      <c r="Q163" s="60"/>
      <c r="R163" s="60"/>
      <c r="S163" s="60"/>
      <c r="T163" s="63"/>
      <c r="AJ163" s="31" t="s">
        <v>1667</v>
      </c>
    </row>
    <row r="164" spans="1:38" x14ac:dyDescent="0.3">
      <c r="A164" s="33"/>
      <c r="B164" s="72"/>
      <c r="O164" s="83">
        <v>7</v>
      </c>
      <c r="P164" s="65"/>
      <c r="Q164" s="65"/>
      <c r="R164" s="65"/>
      <c r="S164" s="65"/>
      <c r="T164" s="66"/>
      <c r="AJ164" s="29">
        <v>1</v>
      </c>
      <c r="AK164" s="29">
        <v>6</v>
      </c>
    </row>
    <row r="165" spans="1:38" x14ac:dyDescent="0.3">
      <c r="A165" s="33"/>
      <c r="B165" s="72"/>
      <c r="O165" s="84">
        <v>8</v>
      </c>
      <c r="P165" s="60"/>
      <c r="Q165" s="60"/>
      <c r="R165" s="60"/>
      <c r="S165" s="60"/>
      <c r="T165" s="63"/>
      <c r="AJ165" s="29">
        <v>2</v>
      </c>
      <c r="AK165" s="29">
        <v>6</v>
      </c>
    </row>
    <row r="166" spans="1:38" x14ac:dyDescent="0.3">
      <c r="A166" s="33"/>
      <c r="B166" s="72"/>
      <c r="O166" s="83">
        <v>9</v>
      </c>
      <c r="P166" s="65"/>
      <c r="Q166" s="65"/>
      <c r="R166" s="65"/>
      <c r="S166" s="65"/>
      <c r="T166" s="66"/>
      <c r="U166" s="57"/>
      <c r="V166" s="57"/>
      <c r="W166" s="57"/>
      <c r="X166" s="57"/>
      <c r="AJ166" s="29">
        <v>3</v>
      </c>
      <c r="AK166" s="29">
        <v>6</v>
      </c>
    </row>
    <row r="167" spans="1:38" ht="19.5" thickBot="1" x14ac:dyDescent="0.35">
      <c r="A167" s="33"/>
      <c r="B167" s="72"/>
      <c r="O167" s="85">
        <v>10</v>
      </c>
      <c r="P167" s="67"/>
      <c r="Q167" s="67"/>
      <c r="R167" s="67"/>
      <c r="S167" s="67"/>
      <c r="T167" s="68"/>
      <c r="AJ167" s="29">
        <v>4</v>
      </c>
      <c r="AK167" s="29">
        <v>6</v>
      </c>
      <c r="AL167" s="29" t="str">
        <f ca="1">IF(AND(O11="bard",O12&gt;=14),VLOOKUP(RANDBETWEEN(1,10),Table220345459801858915331388834[],2)," ")</f>
        <v xml:space="preserve"> </v>
      </c>
    </row>
    <row r="168" spans="1:38" ht="19.5" thickBot="1" x14ac:dyDescent="0.35">
      <c r="AJ168" s="29">
        <v>5</v>
      </c>
      <c r="AK168" s="29">
        <v>7</v>
      </c>
      <c r="AL168" s="29" t="str">
        <f ca="1">IF(AND(O11="bard",O12&gt;=14),VLOOKUP(RANDBETWEEN(1,10),Table220345459801858915331388834[],2)," ")</f>
        <v xml:space="preserve"> </v>
      </c>
    </row>
    <row r="169" spans="1:38" ht="30.75" thickBot="1" x14ac:dyDescent="0.45">
      <c r="B169" s="105" t="s">
        <v>1243</v>
      </c>
      <c r="AJ169" s="29">
        <v>6</v>
      </c>
      <c r="AK169" s="29">
        <v>7</v>
      </c>
    </row>
    <row r="170" spans="1:38" ht="19.5" thickBot="1" x14ac:dyDescent="0.35">
      <c r="B170" s="79"/>
      <c r="C170" s="27"/>
      <c r="D170" s="27"/>
      <c r="E170" s="27"/>
      <c r="F170" s="27"/>
      <c r="G170" s="27"/>
      <c r="H170" s="27"/>
      <c r="I170" s="27"/>
      <c r="J170" s="27"/>
      <c r="K170" s="27"/>
      <c r="L170" s="27"/>
      <c r="M170" s="27"/>
      <c r="N170" s="27"/>
      <c r="O170" s="27"/>
      <c r="P170" s="87" t="s">
        <v>1341</v>
      </c>
      <c r="Q170" s="88" t="str">
        <f ca="1">IF($O$11="warlock",INDEX('Spell Tables'!$D$194:$D$213,MATCH($O$12,('Spell Tables'!$A$194:$A$213),0))," ")</f>
        <v xml:space="preserve"> </v>
      </c>
      <c r="R170" s="89" t="s">
        <v>1340</v>
      </c>
      <c r="S170" s="90" t="str">
        <f ca="1">IF($O$11="warlock",INDEX('Spell Tables'!$E$194:$E$213,MATCH($O$12,('Spell Tables'!$A$194:$A$213),0))," ")</f>
        <v xml:space="preserve"> </v>
      </c>
      <c r="T170" s="91"/>
      <c r="AJ170" s="29">
        <v>7</v>
      </c>
      <c r="AK170" s="29">
        <v>7</v>
      </c>
    </row>
    <row r="171" spans="1:38" x14ac:dyDescent="0.3">
      <c r="B171" s="112"/>
      <c r="C171" s="33"/>
      <c r="D171" s="33"/>
      <c r="E171" s="33"/>
      <c r="F171" s="33"/>
      <c r="G171" s="33"/>
      <c r="H171" s="33"/>
      <c r="I171" s="33"/>
      <c r="J171" s="33"/>
      <c r="K171" s="33"/>
      <c r="L171" s="33"/>
      <c r="M171" s="33"/>
      <c r="N171" s="33"/>
      <c r="O171" s="33"/>
      <c r="P171" s="92" t="s">
        <v>1342</v>
      </c>
      <c r="Q171" s="33" t="str">
        <f ca="1">IF(AND(AF14=2,OR(O11="monk",O11="barbarian",O11="warlock"),OR(Q11="fighter",Q11="rogue"),OR(P15&lt;&gt;"arcane trickster",R15&lt;&gt;"arcane trickster",P15&lt;&gt;"eldritch knight",R15&lt;&gt;"eldritch knight")),0,IF(AND(AF14=2,OR(O11="monk",O11="barbarian",O11="warlock"),OR(Q11="monk",Q11="barbarian",Q11="warlock")),0,IF(AND(AF14=2,OR(O11="monk",O11="barbarian",O11="warlock",Q11="monk",Q11="barbarian",Q11="warlock"),OR(P15="arcane trickster",R15="arcane trickster",P15="eldritch knight",R15="eldritch knight")),INDEX('Spell Tables'!D141:D160,MATCH(AF18,('Spell Tables'!A141:A160),0)),IF(AND(AF14=2,OR(O11="monk",O11="barbarian",O11="warlock",Q11="monk",Q11="barbarian",Q11="warlock"),OR(O11="paladin",Q11="paladin",O11="ranger",Q11="ranger")),INDEX('Spell Tables'!D119:D138,MATCH(AF18,('Spell Tables'!B119:B138),0)),IF(AF14=2,INDEX('Spell Tables'!D242:D261,MATCH(AF18,('Spell Tables'!B242:B261),0)),IF(AND(AF14=1,$P$15="arcane trickster"),INDEX('Spell Tables'!$D$141:$D$161,MATCH($O$12,('Spell Tables'!$A$141:$A$160),0)),IF(AND(AF14=1,(OR($O$11="bard",$O$11="cleric",$O$11="druid",$O$11="sorcerer",$O$11="wizard"))),INDEX('Spell Tables'!$D$2:$D$21,MATCH($O$12,('Spell Tables'!$A$2:$A$21),0)),IF(AND(AF14=1,$P$15)="Eldritch Knight",INDEX('Spell Tables'!$D$70:$D$89,MATCH($O$12,('Spell Tables'!$A$70:$A$89),0))," "))))))))</f>
        <v xml:space="preserve"> </v>
      </c>
      <c r="R171" s="33" t="str">
        <f ca="1">IF(AND(AF14=2,OR(O11="monk",O11="barbarian",O11="warlock"),OR(Q11="fighter",Q11="rogue"),OR(P15&lt;&gt;"arcane trickster",R15&lt;&gt;"arcane trickster",P15&lt;&gt;"eldritch knight",R15&lt;&gt;"eldritch knight")),0,IF(AND(AF14=2,OR(O11="monk",O11="barbarian",O11="warlock"),OR(Q11="monk",Q11="barbarian",Q11="warlock")),0,IF(AND(AF14=2,OR(O11="monk",O11="barbarian",O11="warlock",Q11="monk",Q11="barbarian",Q11="warlock"),OR(P15="arcane trickster",R15="arcane trickster",P15="eldritch knight",R15="eldritch knight")),INDEX('Spell Tables'!E141:E160,MATCH(AF18,('Spell Tables'!A141:A160),0)),IF(AND(AF14=2,OR(O11="monk",O11="barbarian",O11="warlock",Q11="monk",Q11="barbarian",Q11="warlock"),OR(O11="paladin",Q11="paladin",O11="ranger",Q11="ranger")),INDEX('Spell Tables'!E119:E138,MATCH(AF18,('Spell Tables'!B119:B138),0)),IF(AF14=2,INDEX('Spell Tables'!E242:E261,MATCH(AF18,('Spell Tables'!B242:B261),0)),IF($P$15="arcane trickster",INDEX('Spell Tables'!$E$141:$E$161,MATCH($O$12,('Spell Tables'!$A$141:$A$160),0)),IF(OR($O$11="bard",$O$11="cleric",$O$11="druid",O11="sorcerer",O11="wizard"),INDEX('Spell Tables'!E$2:E$21,MATCH($O$12,('Spell Tables'!$A$2:$A$21),0)),IF($P$15="Eldritch Knight",INDEX('Spell Tables'!E70:E89,MATCH($O$12,('Spell Tables'!$A$70:$A$89),0))," "))))))))</f>
        <v xml:space="preserve"> </v>
      </c>
      <c r="S171" s="33" t="str">
        <f ca="1">IF(AND(AF14=2,OR(O11="monk",O11="barbarian",O11="warlock"),OR(Q11="fighter",Q11="rogue"),OR(P15&lt;&gt;"arcane trickster",R15&lt;&gt;"arcane trickster",P15&lt;&gt;"eldritch knight",R15&lt;&gt;"eldritch knight")),0,IF(AND(AF14=2,OR(O11="monk",O11="barbarian",O11="warlock"),OR(Q11="monk",Q11="barbarian",Q11="warlock")),0,IF(AND(AF14=2,OR(O11="monk",O11="barbarian",O11="warlock",Q11="monk",Q11="barbarian",Q11="warlock"),OR(P15="arcane trickster",R15="arcane trickster",P15="eldritch knight",R15="eldritch knight")),INDEX('Spell Tables'!F141:F160,MATCH(AF18,('Spell Tables'!A141:A160),0)),IF(AND(AF14=2,OR(O11="monk",O11="barbarian",O11="warlock",Q11="monk",Q11="barbarian",Q11="warlock"),OR(O11="paladin",Q11="paladin",O11="ranger",Q11="ranger")),INDEX('Spell Tables'!F119:F1383,MATCH(AF18,('Spell Tables'!B119:B138),0)),IF(AF14=2,INDEX('Spell Tables'!F242:F261,MATCH(AF18,('Spell Tables'!B242:B261),0)),IF($P$15="arcane trickster",INDEX('Spell Tables'!$F$141:$F$161,MATCH($O$12,('Spell Tables'!$A$141:$A$160),0)),IF(OR($O$11="bard",$O$11="cleric",$O$11="druid",O11="sorcerer",O11="wizard"),INDEX('Spell Tables'!F$2:F$21,MATCH($O$12,('Spell Tables'!$A$2:$A$21),0)),IF($P$15="Eldritch Knight",INDEX('Spell Tables'!F70:F89,MATCH($O$12,('Spell Tables'!$A$70:$A$89),0))," "))))))))</f>
        <v xml:space="preserve"> </v>
      </c>
      <c r="T171" s="72" t="str">
        <f ca="1">IF(AND(AF14=2,OR(O11="monk",O11="barbarian",O11="warlock"),OR(Q11="fighter",Q11="rogue"),OR(P15&lt;&gt;"arcane trickster",R15&lt;&gt;"arcane trickster",P15&lt;&gt;"eldritch knight",R15&lt;&gt;"eldritch knight")),0,IF(AND(AF14=2,OR(O11="monk",O11="barbarian",O11="warlock"),OR(Q11="monk",Q11="barbarian",Q11="warlock")),0,IF(AND(AF14=2,OR(O11="monk",O11="barbarian",O11="warlock",Q11="monk",Q11="barbarian",Q11="warlock"),OR(P15="arcane trickster",R15="arcane trickster",P15="eldritch knight",R15="eldritch knight")),INDEX('Spell Tables'!G141:G160,MATCH(AF18,('Spell Tables'!A141:A160),0)),IF(AND(AF14=2,OR(O11="monk",O11="barbarian",O11="warlock",Q11="monk",Q11="barbarian",Q11="warlock"),OR(O11="paladin",Q11="paladin",O11="ranger",Q11="ranger")),INDEX('Spell Tables'!G119:G138,MATCH(AF18,('Spell Tables'!B119:B138),0)),IF(AF14=2,INDEX('Spell Tables'!G242:G261,MATCH(AF18,('Spell Tables'!B242:B261),0)),IF($P$15="arcane trickster",INDEX('Spell Tables'!$G$141:$G$161,MATCH($O$12,('Spell Tables'!$A$141:$A$160),0)),IF(OR($O$11="bard",$O$11="cleric",$O$11="druid",O11="sorcerer",O11="wizard"),INDEX('Spell Tables'!G$2:G$21,MATCH($O$12,('Spell Tables'!$A$2:$A$21),0)),IF($P$15="Eldritch Knight",INDEX('Spell Tables'!G70:G89,MATCH($O$12,('Spell Tables'!$A$70:$A$89),0))," "))))))))</f>
        <v xml:space="preserve"> </v>
      </c>
      <c r="AJ171" s="29">
        <v>8</v>
      </c>
      <c r="AK171" s="29">
        <v>7</v>
      </c>
    </row>
    <row r="172" spans="1:38" hidden="1" x14ac:dyDescent="0.3">
      <c r="B172" s="112" t="s">
        <v>1270</v>
      </c>
      <c r="C172" s="33"/>
      <c r="D172" s="33"/>
      <c r="E172" s="33"/>
      <c r="F172" s="33"/>
      <c r="G172" s="33"/>
      <c r="H172" s="33"/>
      <c r="I172" s="33"/>
      <c r="J172" s="33"/>
      <c r="K172" s="33"/>
      <c r="L172" s="33"/>
      <c r="M172" s="33"/>
      <c r="N172" s="33"/>
      <c r="O172" s="33" t="s">
        <v>530</v>
      </c>
      <c r="P172" s="92" t="s">
        <v>530</v>
      </c>
      <c r="Q172" s="33" t="str">
        <f ca="1">IF(AND(O11="wizard",O12&gt;=3),"x",IF(O11="wizard","xx"," "))</f>
        <v xml:space="preserve"> </v>
      </c>
      <c r="R172" s="33" t="str">
        <f ca="1">IF(AND(O11="wizard",O12&gt;=5),"x",IF(AND($O$11="wizard",$O$12&gt;3),"xx",IF(AND(O11="wizard",O12=3),"xxx"," ")))</f>
        <v xml:space="preserve"> </v>
      </c>
      <c r="S172" s="33" t="str">
        <f ca="1">IF(AND(O11="Wizard",O12&gt;=7),"x",IF(AND($O$11="wizard",$O$12&gt;5),"xx",IF(AND(O11="wizard",O12=5),"xxx"," ")))</f>
        <v xml:space="preserve"> </v>
      </c>
      <c r="T172" s="33" t="str">
        <f ca="1">IF(AND(O11="wizard",O12&gt;=9),"x",IF(AND($O$11="wizard",$O$12&gt;7),"xx",IF(AND(O11="wizard",O12=7),"xxx"," ")))</f>
        <v xml:space="preserve"> </v>
      </c>
      <c r="AJ172" s="29">
        <v>9</v>
      </c>
      <c r="AK172" s="29">
        <v>7</v>
      </c>
    </row>
    <row r="173" spans="1:38" hidden="1" x14ac:dyDescent="0.3">
      <c r="B173" s="112" t="s">
        <v>1272</v>
      </c>
      <c r="C173" s="33"/>
      <c r="D173" s="33"/>
      <c r="E173" s="33"/>
      <c r="F173" s="33"/>
      <c r="G173" s="33"/>
      <c r="H173" s="33"/>
      <c r="I173" s="33"/>
      <c r="J173" s="33"/>
      <c r="K173" s="33"/>
      <c r="L173" s="33"/>
      <c r="M173" s="33"/>
      <c r="N173" s="33"/>
      <c r="O173" s="33" t="str">
        <f ca="1">IF(O11="wizard",P41+O12," ")</f>
        <v xml:space="preserve"> </v>
      </c>
      <c r="P173" s="92">
        <f ca="1">IF(O11="wizard",INDEX('Spell Tables'!C242:C261,MATCH(O12,('Spell Tables'!B242:B261),0)),0)</f>
        <v>0</v>
      </c>
      <c r="Q173" s="33">
        <f ca="1">IF($Q172="x",RANDBETWEEN(1,2),IF($Q172="xx",$O$173,0))</f>
        <v>0</v>
      </c>
      <c r="R173" s="33">
        <f ca="1">IF(R172="x",RANDBETWEEN(1,2),IF(R172="xx",$O$173-Q173,0))</f>
        <v>0</v>
      </c>
      <c r="S173" s="33">
        <f ca="1">IF(S172="x",O173-SUM(Q173:R173,U122:X122),IF(S172="xx",$O$173-SUM(Q173:R173),0))</f>
        <v>0</v>
      </c>
      <c r="T173" s="33">
        <f ca="1">IF(T172="x",RANDBETWEEN(1,2),IF(T172="xx",RANDBETWEEN(2,3),IF(T172="xxx",RANDBETWEEN(1,2),0)))</f>
        <v>0</v>
      </c>
      <c r="AJ173" s="29">
        <v>10</v>
      </c>
      <c r="AK173" s="29">
        <v>7</v>
      </c>
    </row>
    <row r="174" spans="1:38" hidden="1" x14ac:dyDescent="0.3">
      <c r="B174" s="112" t="s">
        <v>1269</v>
      </c>
      <c r="C174" s="33"/>
      <c r="D174" s="33"/>
      <c r="E174" s="33"/>
      <c r="F174" s="33"/>
      <c r="G174" s="33"/>
      <c r="H174" s="33"/>
      <c r="I174" s="33"/>
      <c r="J174" s="33"/>
      <c r="K174" s="33"/>
      <c r="L174" s="33"/>
      <c r="M174" s="33"/>
      <c r="N174" s="33"/>
      <c r="O174" s="33" t="s">
        <v>530</v>
      </c>
      <c r="P174" s="92" t="s">
        <v>530</v>
      </c>
      <c r="Q174" s="33" t="str">
        <f ca="1">IF(AND($O$11="warlock",$O$12&gt;=3),"x",IF(O11="warlock","xx"," "))</f>
        <v xml:space="preserve"> </v>
      </c>
      <c r="R174" s="33" t="str">
        <f ca="1">IF(AND($O$11="warlock",$O$12&gt;=5),"x",IF(AND($O$11="warlock",$O$12&gt;=3),"xx"," "))</f>
        <v xml:space="preserve"> </v>
      </c>
      <c r="S174" s="33" t="str">
        <f ca="1">IF(AND($O$11="warlock",$O$12&gt;=7),"x",IF(AND($O$11="warlock",$O$12&gt;=5),"xx"," "))</f>
        <v xml:space="preserve"> </v>
      </c>
      <c r="T174" s="33" t="str">
        <f ca="1">IF(AND($O$11="warlock",$O$12&gt;=9),"x",IF(AND($O$11="warlock",$O$12&gt;=7),"xx"," "))</f>
        <v xml:space="preserve"> </v>
      </c>
    </row>
    <row r="175" spans="1:38" hidden="1" x14ac:dyDescent="0.3">
      <c r="B175" s="112" t="s">
        <v>1268</v>
      </c>
      <c r="C175" s="33"/>
      <c r="D175" s="33"/>
      <c r="E175" s="33"/>
      <c r="F175" s="33"/>
      <c r="G175" s="33"/>
      <c r="H175" s="33"/>
      <c r="I175" s="33"/>
      <c r="J175" s="33"/>
      <c r="K175" s="33"/>
      <c r="L175" s="33"/>
      <c r="M175" s="33"/>
      <c r="N175" s="33"/>
      <c r="O175" s="33" t="str">
        <f ca="1">IF(O11="warlock",INDEX('Spell Tables'!C194:C213,MATCH($O$12,('Spell Tables'!A194:A213),0))," ")</f>
        <v xml:space="preserve"> </v>
      </c>
      <c r="P175" s="92">
        <f ca="1">IF($O$11="warlock",INDEX('Spell Tables'!B194:B213,MATCH($O$12,('Spell Tables'!A194:A213),0)),0)</f>
        <v>0</v>
      </c>
      <c r="Q175" s="33">
        <f ca="1">IF($Q174="x",RANDBETWEEN(1,2),IF($Q174="xx",$O$175,0))</f>
        <v>0</v>
      </c>
      <c r="R175" s="33">
        <f ca="1">IF(R174="x",RANDBETWEEN(1,2),IF(R174="xx",$O$175-Q175,0))</f>
        <v>0</v>
      </c>
      <c r="S175" s="33">
        <f ca="1">IF(S174="x",O175-SUM(Q175:R175,U124:X124),IF(S174="xx",$O$175-SUM(Q175:R175),0))</f>
        <v>0</v>
      </c>
      <c r="T175" s="33">
        <f ca="1">IF(T174="x",RANDBETWEEN(1,2),IF(T174="xx",RANDBETWEEN(2,3),0))</f>
        <v>0</v>
      </c>
      <c r="AJ175" s="31" t="s">
        <v>1668</v>
      </c>
    </row>
    <row r="176" spans="1:38" hidden="1" x14ac:dyDescent="0.3">
      <c r="B176" s="112" t="s">
        <v>1267</v>
      </c>
      <c r="C176" s="33"/>
      <c r="D176" s="33"/>
      <c r="E176" s="33"/>
      <c r="F176" s="33"/>
      <c r="G176" s="33"/>
      <c r="H176" s="33"/>
      <c r="I176" s="33"/>
      <c r="J176" s="33"/>
      <c r="K176" s="33"/>
      <c r="L176" s="33"/>
      <c r="M176" s="33"/>
      <c r="N176" s="33"/>
      <c r="O176" s="33" t="s">
        <v>530</v>
      </c>
      <c r="P176" s="92" t="s">
        <v>530</v>
      </c>
      <c r="Q176" s="33" t="str">
        <f ca="1">IF(AND($O$11="sorcerer",$O$12&gt;=3),"x",IF($O$11="sorcerer","xx"," "))</f>
        <v xml:space="preserve"> </v>
      </c>
      <c r="R176" s="33" t="str">
        <f ca="1">IF(AND($O$11="sorcerer",$O$12&gt;=5),"x",IF(AND($O$11="sorcerer",$O$12&gt;=3),"xx"," "))</f>
        <v xml:space="preserve"> </v>
      </c>
      <c r="S176" s="33" t="str">
        <f ca="1">IF(AND($O$11="sorcerer",$O$12&gt;=7),"x",IF(AND($O$11="sorcerer",$O$12&gt;=5),"xx"," "))</f>
        <v xml:space="preserve"> </v>
      </c>
      <c r="T176" s="33" t="str">
        <f ca="1">IF(AND($O$11="sorcerer",$O$12&gt;=9),"x",IF(AND($O$11="sorcerer",$O$12&gt;=7),"xx"," "))</f>
        <v xml:space="preserve"> </v>
      </c>
      <c r="AJ176" s="29">
        <v>1</v>
      </c>
      <c r="AK176" s="29">
        <v>8</v>
      </c>
    </row>
    <row r="177" spans="2:38" hidden="1" x14ac:dyDescent="0.3">
      <c r="B177" s="112" t="s">
        <v>1266</v>
      </c>
      <c r="C177" s="33"/>
      <c r="D177" s="33"/>
      <c r="E177" s="33"/>
      <c r="F177" s="33"/>
      <c r="G177" s="33"/>
      <c r="H177" s="33"/>
      <c r="I177" s="33"/>
      <c r="J177" s="33"/>
      <c r="K177" s="33"/>
      <c r="L177" s="33"/>
      <c r="M177" s="33"/>
      <c r="N177" s="33"/>
      <c r="O177" s="33" t="str">
        <f ca="1">IF(O11="sorcerer",INDEX('Spell Tables'!C168:C187,MATCH($O$12,('Spell Tables'!A168:A187),0))," ")</f>
        <v xml:space="preserve"> </v>
      </c>
      <c r="P177" s="92">
        <f ca="1">IF($O$11="sorcerer",INDEX('Spell Tables'!B168:B187,MATCH($O$12,('Spell Tables'!A168:A187),0)),0)</f>
        <v>0</v>
      </c>
      <c r="Q177" s="33">
        <f ca="1">IF($Q176="x",RANDBETWEEN(1,2),IF($Q176="xx",$O$177,0))</f>
        <v>0</v>
      </c>
      <c r="R177" s="33">
        <f ca="1">IF(R176="x",RANDBETWEEN(1,2),IF(R176="xx",$O$177-Q177,0))</f>
        <v>0</v>
      </c>
      <c r="S177" s="33">
        <f ca="1">IF(S176="x",O177-SUM(Q177:R177,U126:X126),IF(S176="xx",$O$177-SUM(Q177:R177),0))</f>
        <v>0</v>
      </c>
      <c r="T177" s="33">
        <f ca="1">IF(T176="x",RANDBETWEEN(1,2),IF(T176="xx",RANDBETWEEN(2,3),0))</f>
        <v>0</v>
      </c>
      <c r="AJ177" s="29">
        <v>2</v>
      </c>
      <c r="AK177" s="29">
        <v>8</v>
      </c>
    </row>
    <row r="178" spans="2:38" hidden="1" x14ac:dyDescent="0.3">
      <c r="B178" s="112" t="s">
        <v>1254</v>
      </c>
      <c r="C178" s="33"/>
      <c r="D178" s="33"/>
      <c r="E178" s="33"/>
      <c r="F178" s="33"/>
      <c r="G178" s="33"/>
      <c r="H178" s="33"/>
      <c r="I178" s="33"/>
      <c r="J178" s="33"/>
      <c r="K178" s="33"/>
      <c r="L178" s="33"/>
      <c r="M178" s="33"/>
      <c r="N178" s="33"/>
      <c r="O178" s="33" t="s">
        <v>530</v>
      </c>
      <c r="P178" s="92" t="s">
        <v>530</v>
      </c>
      <c r="Q178" s="33" t="str">
        <f ca="1">IF(AND(P15="arcane trickster",O12&gt;=7),"x",IF(P15="arcane trickster","xx"," "))</f>
        <v xml:space="preserve"> </v>
      </c>
      <c r="R178" s="33" t="str">
        <f ca="1">IF(AND(P15="arcane trickster",O12=13),"x",IF(AND(P15="arcane trickster",$O$12&gt;=7),"xx"," "))</f>
        <v xml:space="preserve"> </v>
      </c>
      <c r="S178" s="33" t="str">
        <f ca="1">IF(AND(P15="arcane trickster",O12&gt;=19),"x",IF(AND(P15="arcane trickster",$O$12&gt;=13),"xx"," "))</f>
        <v xml:space="preserve"> </v>
      </c>
      <c r="T178" s="33" t="str">
        <f ca="1">IF(AND(P15="arcane trickster",$O$12&gt;=19),"xx"," ")</f>
        <v xml:space="preserve"> </v>
      </c>
      <c r="AJ178" s="29">
        <v>3</v>
      </c>
      <c r="AK178" s="29">
        <v>8</v>
      </c>
    </row>
    <row r="179" spans="2:38" hidden="1" x14ac:dyDescent="0.3">
      <c r="B179" s="112" t="s">
        <v>1253</v>
      </c>
      <c r="C179" s="33"/>
      <c r="D179" s="33"/>
      <c r="E179" s="33"/>
      <c r="F179" s="33"/>
      <c r="G179" s="33"/>
      <c r="H179" s="33"/>
      <c r="I179" s="33"/>
      <c r="J179" s="33"/>
      <c r="K179" s="33"/>
      <c r="L179" s="33"/>
      <c r="M179" s="33"/>
      <c r="N179" s="33"/>
      <c r="O179" s="33" t="str">
        <f ca="1">IF(P15="arcane trickster",INDEX('Spell Tables'!C141:C160,MATCH($O$12,('Spell Tables'!A141:A160),0))," ")</f>
        <v xml:space="preserve"> </v>
      </c>
      <c r="P179" s="92">
        <f ca="1">IF($P$15="arcane trickster",INDEX('Spell Tables'!B141:B160,MATCH($O$12,('Spell Tables'!A141:A160),0)),0)</f>
        <v>0</v>
      </c>
      <c r="Q179" s="33">
        <f ca="1">IF($Q178="x",RANDBETWEEN(2,3),IF($Q178="xx",$O$179,0))</f>
        <v>0</v>
      </c>
      <c r="R179" s="33">
        <f ca="1">IF(R178="x",RANDBETWEEN(2,3),IF(R178="xx",$O$179-Q179,0))</f>
        <v>0</v>
      </c>
      <c r="S179" s="33">
        <f ca="1">IF(S178="x",O179-SUM(Q179:R179,U128:X128),IF(S178="xx",$O$179-SUM(Q179:R179),0))</f>
        <v>0</v>
      </c>
      <c r="T179" s="33">
        <f ca="1">IF(T178="x",RANDBETWEEN(1,2),IF(T178="xx",RANDBETWEEN(2,3),0))</f>
        <v>0</v>
      </c>
      <c r="AJ179" s="29">
        <v>4</v>
      </c>
      <c r="AK179" s="29">
        <v>8</v>
      </c>
      <c r="AL179" s="29" t="str">
        <f ca="1">IF(AND(O11="bard",O12&gt;=18),VLOOKUP(RANDBETWEEN(1,10),Table222346460802859916332389835[],2)," ")</f>
        <v xml:space="preserve"> </v>
      </c>
    </row>
    <row r="180" spans="2:38" hidden="1" x14ac:dyDescent="0.3">
      <c r="B180" s="112" t="s">
        <v>1247</v>
      </c>
      <c r="C180" s="33"/>
      <c r="D180" s="33"/>
      <c r="E180" s="33"/>
      <c r="F180" s="33"/>
      <c r="G180" s="33"/>
      <c r="H180" s="33"/>
      <c r="I180" s="33"/>
      <c r="J180" s="33"/>
      <c r="K180" s="33"/>
      <c r="L180" s="33"/>
      <c r="M180" s="33"/>
      <c r="N180" s="33"/>
      <c r="O180" s="33" t="s">
        <v>530</v>
      </c>
      <c r="P180" s="92" t="s">
        <v>1324</v>
      </c>
      <c r="Q180" s="33" t="str">
        <f ca="1">IF(AND($O$11="ranger",$O$12&gt;=5),"x",IF(AND(O11="ranger",O12&gt;=2),"xx"," "))</f>
        <v xml:space="preserve"> </v>
      </c>
      <c r="R180" s="33" t="str">
        <f ca="1">IF(AND($O$11="ranger",$O$12&gt;=9),"x",IF(AND($O$11="ranger",$O$12&gt;=5),"xx"," "))</f>
        <v xml:space="preserve"> </v>
      </c>
      <c r="S180" s="33" t="str">
        <f ca="1">IF(AND($O$11="ranger",$O$12&gt;=13),"x",IF(AND($O$11="ranger",$O$12&gt;=9),"xx"," "))</f>
        <v xml:space="preserve"> </v>
      </c>
      <c r="T180" s="33" t="str">
        <f ca="1">IF(AND($O$11="ranger",$O$12&gt;=17),"x",IF(AND($O$11="ranger",$O$12&gt;=13),"xx"," "))</f>
        <v xml:space="preserve"> </v>
      </c>
      <c r="AJ180" s="29">
        <v>5</v>
      </c>
      <c r="AK180" s="29">
        <v>9</v>
      </c>
      <c r="AL180" s="29" t="str">
        <f ca="1">IF(AND(O11="bard",O12&gt;=18),VLOOKUP(RANDBETWEEN(1,10),Table222346460802859916332389835[],2)," ")</f>
        <v xml:space="preserve"> </v>
      </c>
    </row>
    <row r="181" spans="2:38" hidden="1" x14ac:dyDescent="0.3">
      <c r="B181" s="112" t="s">
        <v>1246</v>
      </c>
      <c r="C181" s="33"/>
      <c r="D181" s="33"/>
      <c r="E181" s="33"/>
      <c r="F181" s="33"/>
      <c r="G181" s="33"/>
      <c r="H181" s="33"/>
      <c r="I181" s="33"/>
      <c r="J181" s="33"/>
      <c r="K181" s="33"/>
      <c r="L181" s="33"/>
      <c r="M181" s="33"/>
      <c r="N181" s="33"/>
      <c r="O181" s="33" t="str">
        <f ca="1">IF($O$11="ranger",INDEX('Spell Tables'!C119:C138,MATCH($O$12,('Spell Tables'!B119:B138),0))," ")</f>
        <v xml:space="preserve"> </v>
      </c>
      <c r="P181" s="92" t="s">
        <v>1324</v>
      </c>
      <c r="Q181" s="33">
        <f ca="1">IF($Q180="x",RANDBETWEEN(1,2),IF($Q180="xx",$O$181,0))</f>
        <v>0</v>
      </c>
      <c r="R181" s="33">
        <f ca="1">IF(R180="x",RANDBETWEEN(1,2),IF(R180="xx",$O$181-Q181,0))</f>
        <v>0</v>
      </c>
      <c r="S181" s="33">
        <f ca="1">IF(S180="x",O181-SUM(Q181:R181,T130:X130),IF(S180="xx",$O$181-SUM(Q181:R181),0))</f>
        <v>0</v>
      </c>
      <c r="T181" s="33">
        <f ca="1">IF(T180="x",RANDBETWEEN(1,2),IF(T180="xx",RANDBETWEEN(2,3),0))</f>
        <v>0</v>
      </c>
      <c r="AJ181" s="29">
        <v>6</v>
      </c>
      <c r="AK181" s="29">
        <v>9</v>
      </c>
    </row>
    <row r="182" spans="2:38" hidden="1" x14ac:dyDescent="0.3">
      <c r="B182" s="112" t="s">
        <v>1245</v>
      </c>
      <c r="C182" s="33"/>
      <c r="D182" s="33"/>
      <c r="E182" s="33"/>
      <c r="F182" s="33"/>
      <c r="G182" s="33"/>
      <c r="H182" s="33"/>
      <c r="I182" s="33"/>
      <c r="J182" s="33"/>
      <c r="K182" s="33"/>
      <c r="L182" s="33"/>
      <c r="M182" s="33"/>
      <c r="N182" s="33"/>
      <c r="O182" s="33" t="s">
        <v>530</v>
      </c>
      <c r="P182" s="92" t="s">
        <v>1324</v>
      </c>
      <c r="Q182" s="33" t="str">
        <f ca="1">IF(AND($O$11="paladin",$O$12&gt;=5),"x",IF($O$11="paladin","xx"," "))</f>
        <v xml:space="preserve"> </v>
      </c>
      <c r="R182" s="33" t="str">
        <f ca="1">IF(AND(O11="paladin",O12&gt;=9),"x",IF(AND($O$11="paladin",$O$12&gt;=5),"xx"," "))</f>
        <v xml:space="preserve"> </v>
      </c>
      <c r="S182" s="33" t="str">
        <f ca="1">IF(AND(O11="paladin",O12&gt;=13),"x",IF(AND($O$11="paladin",$O$12&gt;=9),"xx"," "))</f>
        <v xml:space="preserve"> </v>
      </c>
      <c r="T182" s="33" t="str">
        <f ca="1">IF(AND(O11="paladin",O12&gt;=17),"x",IF(AND($O$11="paladin",$O$12&gt;=13),"xx"," "))</f>
        <v xml:space="preserve"> </v>
      </c>
      <c r="AJ182" s="29">
        <v>7</v>
      </c>
      <c r="AK182" s="29">
        <v>9</v>
      </c>
    </row>
    <row r="183" spans="2:38" hidden="1" x14ac:dyDescent="0.3">
      <c r="B183" s="112" t="s">
        <v>1244</v>
      </c>
      <c r="C183" s="33"/>
      <c r="D183" s="33"/>
      <c r="E183" s="33"/>
      <c r="F183" s="33"/>
      <c r="G183" s="33"/>
      <c r="H183" s="33"/>
      <c r="I183" s="33"/>
      <c r="J183" s="33"/>
      <c r="K183" s="33"/>
      <c r="L183" s="33"/>
      <c r="M183" s="33"/>
      <c r="N183" s="33"/>
      <c r="O183" s="33" t="str">
        <f ca="1">IF(O11="paladin",ROUNDDOWN(P43+(O12*0.5),0)," ")</f>
        <v xml:space="preserve"> </v>
      </c>
      <c r="P183" s="92" t="s">
        <v>1324</v>
      </c>
      <c r="Q183" s="33">
        <f ca="1">IF($Q182="x",RANDBETWEEN(1,2),IF($Q182="xx",$O$183,0))</f>
        <v>0</v>
      </c>
      <c r="R183" s="33">
        <f ca="1">IF(R182="x",RANDBETWEEN(1,2),IF(R182="xx",$O$183-Q183,0))</f>
        <v>0</v>
      </c>
      <c r="S183" s="33">
        <f ca="1">IF(S182="x",O183-SUM(Q183:R183,U132:X132),IF(S182="xx",$O$183-SUM(Q183:R183),0))</f>
        <v>0</v>
      </c>
      <c r="T183" s="33">
        <f ca="1">IF(T182="x",RANDBETWEEN(1,2),IF(T182="xx",RANDBETWEEN(2,3),0))</f>
        <v>0</v>
      </c>
      <c r="AJ183" s="29">
        <v>8</v>
      </c>
      <c r="AK183" s="29">
        <v>9</v>
      </c>
    </row>
    <row r="184" spans="2:38" hidden="1" x14ac:dyDescent="0.3">
      <c r="B184" s="112" t="s">
        <v>1226</v>
      </c>
      <c r="C184" s="33"/>
      <c r="D184" s="33"/>
      <c r="E184" s="33"/>
      <c r="F184" s="33"/>
      <c r="G184" s="33"/>
      <c r="H184" s="33"/>
      <c r="I184" s="33"/>
      <c r="J184" s="33"/>
      <c r="K184" s="33"/>
      <c r="L184" s="33"/>
      <c r="M184" s="33"/>
      <c r="N184" s="33"/>
      <c r="O184" s="33" t="s">
        <v>530</v>
      </c>
      <c r="P184" s="92" t="s">
        <v>530</v>
      </c>
      <c r="Q184" s="33" t="str">
        <f ca="1">IF(AND(P15="eldritch knight",O12&gt;=7),"x",IF(P15="eldritch knight","xx"," "))</f>
        <v xml:space="preserve"> </v>
      </c>
      <c r="R184" s="33" t="str">
        <f ca="1">IF(AND(P15="eldritch knight",O12&gt;=13),"x",IF(AND(P15="eldritch knight",$O$12&gt;=7),"xx"," "))</f>
        <v xml:space="preserve"> </v>
      </c>
      <c r="S184" s="33" t="str">
        <f ca="1">IF(AND(P15="eldritch knight",O12&gt;=19),"x",IF(AND(P15="eldritch knight",$O$12&gt;=13),"xx"," "))</f>
        <v xml:space="preserve"> </v>
      </c>
      <c r="T184" s="33" t="str">
        <f ca="1">IF(AND(P15="eldritch knight",$O$12&gt;=19),"xx"," ")</f>
        <v xml:space="preserve"> </v>
      </c>
      <c r="AJ184" s="29">
        <v>9</v>
      </c>
      <c r="AK184" s="29">
        <v>9</v>
      </c>
    </row>
    <row r="185" spans="2:38" hidden="1" x14ac:dyDescent="0.3">
      <c r="B185" s="112" t="s">
        <v>1222</v>
      </c>
      <c r="C185" s="33"/>
      <c r="D185" s="33"/>
      <c r="E185" s="33"/>
      <c r="F185" s="33"/>
      <c r="G185" s="33"/>
      <c r="H185" s="33"/>
      <c r="I185" s="33"/>
      <c r="J185" s="33"/>
      <c r="K185" s="33"/>
      <c r="L185" s="33"/>
      <c r="M185" s="33"/>
      <c r="N185" s="33"/>
      <c r="O185" s="33" t="str">
        <f ca="1">IF($P$15="eldritch knight",INDEX('Spell Tables'!C70:C89,MATCH($O$12,('Spell Tables'!$A$70:$A$89),0))," ")</f>
        <v xml:space="preserve"> </v>
      </c>
      <c r="P185" s="92">
        <f ca="1">IF($P$15="eldritch knight",INDEX('Spell Tables'!B70:B89,MATCH($O$12,('Spell Tables'!A70:A89),0)),0)</f>
        <v>0</v>
      </c>
      <c r="Q185" s="33">
        <f ca="1">IF($Q184="x",RANDBETWEEN(2,3),IF($Q184="xx",$O$185,0))</f>
        <v>0</v>
      </c>
      <c r="R185" s="33">
        <f ca="1">IF(R184="x",RANDBETWEEN(2,3),IF(R184="xx",$O$185-Q185,0))</f>
        <v>0</v>
      </c>
      <c r="S185" s="33">
        <f ca="1">IF(S184="x",O185-SUM(Q185:R185,U134:X134),IF(S184="xx",$O$185-SUM(Q185:R185),0))</f>
        <v>0</v>
      </c>
      <c r="T185" s="33">
        <f ca="1">IF(T184="x",RANDBETWEEN(1,2),IF(T184="xx",RANDBETWEEN(2,3),0))</f>
        <v>0</v>
      </c>
      <c r="AJ185" s="29">
        <v>10</v>
      </c>
      <c r="AK185" s="29">
        <v>9</v>
      </c>
    </row>
    <row r="186" spans="2:38" hidden="1" x14ac:dyDescent="0.3">
      <c r="B186" s="112" t="s">
        <v>1219</v>
      </c>
      <c r="C186" s="33"/>
      <c r="D186" s="33"/>
      <c r="E186" s="33"/>
      <c r="F186" s="33"/>
      <c r="G186" s="33"/>
      <c r="H186" s="33"/>
      <c r="I186" s="33"/>
      <c r="J186" s="33"/>
      <c r="K186" s="33"/>
      <c r="L186" s="33"/>
      <c r="M186" s="33"/>
      <c r="N186" s="33"/>
      <c r="O186" s="33" t="s">
        <v>530</v>
      </c>
      <c r="P186" s="92" t="s">
        <v>530</v>
      </c>
      <c r="Q186" s="33" t="str">
        <f ca="1">IF(AND($O$11="druid",$O$12&gt;=3),"x",IF($O$11="druid","xx"," "))</f>
        <v xml:space="preserve"> </v>
      </c>
      <c r="R186" s="33" t="str">
        <f ca="1">IF(AND($O$11="druid",$O$12&gt;=5),"x",IF(AND($O$11="druid",$O$12&gt;=3),"xx"," "))</f>
        <v xml:space="preserve"> </v>
      </c>
      <c r="S186" s="33" t="str">
        <f ca="1">IF(AND($O$11="druid",$O$12&gt;=7),"x",IF(AND($O$11="druid",$O$12&gt;=5),"xx"," "))</f>
        <v xml:space="preserve"> </v>
      </c>
      <c r="T186" s="33" t="str">
        <f ca="1">IF(AND($O$11="druid",$O$12&gt;=9),"x",IF(AND($O$11="druid",$O$12&gt;=7),"xx"," "))</f>
        <v xml:space="preserve"> </v>
      </c>
    </row>
    <row r="187" spans="2:38" hidden="1" x14ac:dyDescent="0.3">
      <c r="B187" s="112" t="s">
        <v>1220</v>
      </c>
      <c r="C187" s="33"/>
      <c r="D187" s="33"/>
      <c r="E187" s="33"/>
      <c r="F187" s="33"/>
      <c r="G187" s="33"/>
      <c r="H187" s="33"/>
      <c r="I187" s="33"/>
      <c r="J187" s="33"/>
      <c r="K187" s="33"/>
      <c r="L187" s="33"/>
      <c r="M187" s="33"/>
      <c r="N187" s="33"/>
      <c r="O187" s="33" t="str">
        <f ca="1">IF(O11="druid",O12+P42," ")</f>
        <v xml:space="preserve"> </v>
      </c>
      <c r="P187" s="92">
        <f ca="1">IF($O$11="druid",INDEX('Spell Tables'!C48:C67,MATCH($O$12,('Spell Tables'!B48:B67),0)),0)</f>
        <v>0</v>
      </c>
      <c r="Q187" s="33">
        <f ca="1">IF($Q186="x",RANDBETWEEN(1,2),IF($Q186="xx",$O$187,0))</f>
        <v>0</v>
      </c>
      <c r="R187" s="33">
        <f ca="1">IF(R186="x",RANDBETWEEN(1,2),IF(R186="xx",$O$187-Q187,0))</f>
        <v>0</v>
      </c>
      <c r="S187" s="33">
        <f ca="1">IF(S186="x",O187-SUM(Q187:R187,U136:X136),IF(S186="xx",$O$187-SUM(Q187:R187),0))</f>
        <v>0</v>
      </c>
      <c r="T187" s="33">
        <f ca="1">IF(T186="x",RANDBETWEEN(1,2),IF(T186="xx",RANDBETWEEN(2,3),0))</f>
        <v>0</v>
      </c>
      <c r="AJ187" s="31" t="s">
        <v>1670</v>
      </c>
    </row>
    <row r="188" spans="2:38" hidden="1" x14ac:dyDescent="0.3">
      <c r="B188" s="112" t="s">
        <v>1143</v>
      </c>
      <c r="C188" s="33"/>
      <c r="D188" s="33"/>
      <c r="E188" s="33"/>
      <c r="F188" s="33"/>
      <c r="G188" s="33"/>
      <c r="H188" s="33"/>
      <c r="I188" s="33"/>
      <c r="J188" s="33"/>
      <c r="K188" s="33"/>
      <c r="L188" s="33"/>
      <c r="M188" s="33"/>
      <c r="N188" s="33"/>
      <c r="O188" s="33" t="s">
        <v>530</v>
      </c>
      <c r="P188" s="92" t="s">
        <v>530</v>
      </c>
      <c r="Q188" s="33" t="str">
        <f ca="1">IF(AND(O11="cleric",O12&gt;=3),"x",IF(O11="cleric","xx"," "))</f>
        <v xml:space="preserve"> </v>
      </c>
      <c r="R188" s="33" t="str">
        <f ca="1">IF(AND(O11="cleric",O12&gt;=5),"x",IF(AND($O$11="cleric",$O$12&gt;=3),"xx"," "))</f>
        <v xml:space="preserve"> </v>
      </c>
      <c r="S188" s="33" t="str">
        <f ca="1">IF(AND(O11="cleric",O12&gt;=7),"x",IF(AND($O$11="cleric",$O$12&gt;=5),"xx"," "))</f>
        <v xml:space="preserve"> </v>
      </c>
      <c r="T188" s="33" t="str">
        <f ca="1">IF(AND(O11="cleric",O12&gt;=9),"x",IF(AND($O$11="cleric",$O$12&gt;=7),"xx"," "))</f>
        <v xml:space="preserve"> </v>
      </c>
      <c r="AJ188" s="29">
        <v>1</v>
      </c>
      <c r="AK188" s="29" t="s">
        <v>1671</v>
      </c>
    </row>
    <row r="189" spans="2:38" hidden="1" x14ac:dyDescent="0.3">
      <c r="B189" s="112" t="s">
        <v>1142</v>
      </c>
      <c r="C189" s="33"/>
      <c r="D189" s="33"/>
      <c r="E189" s="33"/>
      <c r="F189" s="33"/>
      <c r="G189" s="33"/>
      <c r="H189" s="33"/>
      <c r="I189" s="33"/>
      <c r="J189" s="33"/>
      <c r="K189" s="33"/>
      <c r="L189" s="33"/>
      <c r="M189" s="33"/>
      <c r="N189" s="33"/>
      <c r="O189" s="33" t="str">
        <f ca="1">IF(O11="cleric",O12+P42," ")</f>
        <v xml:space="preserve"> </v>
      </c>
      <c r="P189" s="92">
        <f ca="1">IF($O$11="cleric",INDEX('Spell Tables'!C26:C45,MATCH($O$12,('Spell Tables'!B26:B45),0)),0)</f>
        <v>0</v>
      </c>
      <c r="Q189" s="33">
        <f ca="1">IF($Q188="x",RANDBETWEEN(1,2),IF($Q188="xx",$O$189,0))</f>
        <v>0</v>
      </c>
      <c r="R189" s="33">
        <f ca="1">IF(R188="x",RANDBETWEEN(1,2),IF(R188="xx",$O$189-Q189,0))</f>
        <v>0</v>
      </c>
      <c r="S189" s="33">
        <f ca="1">IF(S188="x",O189-SUM(Q189:R189,U138:X138),IF(S188="xx",$O$189-SUM(Q189:R189),0))</f>
        <v>0</v>
      </c>
      <c r="T189" s="33">
        <f ca="1">IF(T188="x",RANDBETWEEN(1,2),IF(T188="xx",RANDBETWEEN(2,3),0))</f>
        <v>0</v>
      </c>
      <c r="AJ189" s="29">
        <v>2</v>
      </c>
      <c r="AK189" s="29">
        <v>1</v>
      </c>
    </row>
    <row r="190" spans="2:38" hidden="1" x14ac:dyDescent="0.3">
      <c r="B190" s="112" t="s">
        <v>1248</v>
      </c>
      <c r="C190" s="33"/>
      <c r="D190" s="33"/>
      <c r="E190" s="33"/>
      <c r="F190" s="33"/>
      <c r="G190" s="33"/>
      <c r="H190" s="33"/>
      <c r="I190" s="33"/>
      <c r="J190" s="33"/>
      <c r="K190" s="33"/>
      <c r="L190" s="33"/>
      <c r="M190" s="33"/>
      <c r="N190" s="33"/>
      <c r="O190" s="33" t="s">
        <v>530</v>
      </c>
      <c r="P190" s="92" t="s">
        <v>530</v>
      </c>
      <c r="Q190" s="33" t="str">
        <f ca="1">IF(AND($O$11="bard",$O$12&gt;=3),"x",IF($O$11="bard","xx"," "))</f>
        <v xml:space="preserve"> </v>
      </c>
      <c r="R190" s="33" t="str">
        <f ca="1">IF(AND($O$11="bard",$O$12&gt;=5),"x",IF(AND($O$11="bard",$O$12&gt;=3),"xx"," "))</f>
        <v xml:space="preserve"> </v>
      </c>
      <c r="S190" s="33" t="str">
        <f ca="1">IF(AND($O$11="bard",$O$12&gt;=7),"x",IF(AND($O$11="bard",$O$12&gt;=5),"xx"," "))</f>
        <v xml:space="preserve"> </v>
      </c>
      <c r="T190" s="33" t="str">
        <f ca="1">IF(AND($O$11="bard",$O$12&gt;=9),"x",IF(AND($O$11="bard",$O$12&gt;=7),"xx"," "))</f>
        <v xml:space="preserve"> </v>
      </c>
      <c r="AJ190" s="29">
        <v>3</v>
      </c>
      <c r="AK190" s="29">
        <v>1</v>
      </c>
    </row>
    <row r="191" spans="2:38" hidden="1" x14ac:dyDescent="0.3">
      <c r="B191" s="112" t="s">
        <v>1141</v>
      </c>
      <c r="C191" s="33"/>
      <c r="D191" s="33"/>
      <c r="E191" s="33"/>
      <c r="F191" s="33"/>
      <c r="G191" s="33"/>
      <c r="H191" s="33"/>
      <c r="I191" s="33"/>
      <c r="J191" s="33"/>
      <c r="K191" s="33"/>
      <c r="L191" s="33"/>
      <c r="M191" s="33"/>
      <c r="N191" s="33"/>
      <c r="O191" s="33" t="str">
        <f ca="1">IF($O$11="bard",INDEX('Spell Tables'!C$2:C$21,MATCH($O$12,('Spell Tables'!$A$2:$A$21),0))," ")</f>
        <v xml:space="preserve"> </v>
      </c>
      <c r="P191" s="92">
        <f ca="1">IF($O$11="bard",INDEX('Spell Tables'!B2:B21,MATCH($O$12,('Spell Tables'!A2:A21),0)),0)</f>
        <v>0</v>
      </c>
      <c r="Q191" s="33">
        <f ca="1">IF($Q190="x",RANDBETWEEN(1,2),IF($Q190="xx",$O$191,0))</f>
        <v>0</v>
      </c>
      <c r="R191" s="33">
        <f ca="1">IF(R190="x",RANDBETWEEN(1,2),IF(R190="xx",$O$191-Q191,0))</f>
        <v>0</v>
      </c>
      <c r="S191" s="33">
        <f ca="1">IF(S190="x",O191-SUM(Q191:R191,U140:X140),IF(S190="xx",$O$191-SUM(Q191:R191),0))</f>
        <v>0</v>
      </c>
      <c r="T191" s="33">
        <f ca="1">IF(T190="x",RANDBETWEEN(1,2),IF(T190="xx",RANDBETWEEN(2,3),0))</f>
        <v>0</v>
      </c>
      <c r="AJ191" s="29">
        <v>4</v>
      </c>
      <c r="AK191" s="29">
        <v>2</v>
      </c>
      <c r="AL191" s="29" t="str">
        <f ca="1">IF(AND(P15="college of lore",O12&gt;=6),VLOOKUP(RANDBETWEEN(1,10),Table250347461803860917333390836[],2),IF(AND(R15="college of lore",Q12&gt;=6),VLOOKUP(RANDBETWEEN(1,10),Table250347461803860917333390836[],2)," "))</f>
        <v xml:space="preserve"> </v>
      </c>
    </row>
    <row r="192" spans="2:38" x14ac:dyDescent="0.3">
      <c r="B192" s="112" t="s">
        <v>1122</v>
      </c>
      <c r="C192" s="33"/>
      <c r="D192" s="33"/>
      <c r="E192" s="33"/>
      <c r="F192" s="33"/>
      <c r="G192" s="33"/>
      <c r="H192" s="33"/>
      <c r="I192" s="33"/>
      <c r="J192" s="33"/>
      <c r="K192" s="33"/>
      <c r="L192" s="33"/>
      <c r="M192" s="33"/>
      <c r="N192" s="33"/>
      <c r="O192" s="33"/>
      <c r="P192" s="92" t="s">
        <v>1124</v>
      </c>
      <c r="Q192" s="92" t="s">
        <v>1326</v>
      </c>
      <c r="R192" s="92" t="s">
        <v>1167</v>
      </c>
      <c r="S192" s="92" t="s">
        <v>1168</v>
      </c>
      <c r="T192" s="92" t="s">
        <v>676</v>
      </c>
      <c r="AJ192" s="29">
        <v>5</v>
      </c>
      <c r="AK192" s="29">
        <v>2</v>
      </c>
      <c r="AL192" s="29" t="str">
        <f ca="1">IF(AND(P15="college of lore",O12&gt;=6),VLOOKUP(RANDBETWEEN(1,10),Table250347461803860917333390836[],2),IF(AND(R15="college of lore",Q12&gt;=6),VLOOKUP(RANDBETWEEN(1,10),Table250347461803860917333390836[],2)," "))</f>
        <v xml:space="preserve"> </v>
      </c>
    </row>
    <row r="193" spans="2:37" x14ac:dyDescent="0.3">
      <c r="B193" s="79" t="str">
        <f ca="1">IF(OR(O11="bard",O11="paladin",O11="sorcerer",O11="warlock"),8+$P$8+$P$43,IF(OR(O11="druid",O11="cleric",O11="ranger"),8+P8+P42,IF(OR(P15="eldritch knight",P15="arcane trickster",O11="wizard"),8+P8+P41," ")))</f>
        <v xml:space="preserve"> </v>
      </c>
      <c r="C193" s="33"/>
      <c r="D193" s="33"/>
      <c r="E193" s="33"/>
      <c r="F193" s="33"/>
      <c r="G193" s="33"/>
      <c r="H193" s="33"/>
      <c r="I193" s="33"/>
      <c r="J193" s="33"/>
      <c r="K193" s="33"/>
      <c r="L193" s="33"/>
      <c r="M193" s="33"/>
      <c r="N193" s="33"/>
      <c r="O193" s="34">
        <v>1</v>
      </c>
      <c r="P193" s="33" t="str">
        <f ca="1">IF(P$173&gt;=O193,INDEX('Spell Tables'!$P$242:$P$257,MATCH(O193,('Spell Tables'!$N$242:$N$257),0)),IF(P$175&gt;=O193,INDEX('Spell Tables'!$P$194:$P$201,MATCH(O193,('Spell Tables'!$N$194:$N$201),0)),IF(P$177&gt;=O193,INDEX('Spell Tables'!$P$168:$P$183,MATCH(O193,('Spell Tables'!$N$168:$N$183),0)),IF(P$179&gt;=O193,INDEX('Spell Tables'!$P$141:$P$156,MATCH(O193,('Spell Tables'!$N$141:$N$157),0)),IF(P$185&gt;=O193,INDEX('Spell Tables'!$P$70:$P$83,MATCH(O193,('Spell Tables'!$N$70:$N$83),0)),IF(P$187&gt;=O193,INDEX('Spell Tables'!$P$48:$P$55,MATCH(O193,('Spell Tables'!$N$48:$N$55),0)),IF(P$189&gt;=O193,INDEX('Spell Tables'!$P$26:$P$32,MATCH(O193,('Spell Tables'!$N$26:$N$32),0)),IF(P$191&gt;=O193,INDEX('Spell Tables'!$P$2:$P$12,MATCH(O193,('Spell Tables'!$N$2:$N$12),0))," "))))))))</f>
        <v xml:space="preserve"> </v>
      </c>
      <c r="Q193" s="33" t="str">
        <f ca="1">IF(AND($O$15="Otherworldly patron - great old one",Q$175&gt;=O193),INDEX('Spell Tables'!$T$226:$T$238,MATCH(O193,('Spell Tables'!$R$226:$R$238),0)),IF(AND($O$15="Otherworldly patron - fiend",Q$175&gt;=O193),INDEX('Spell Tables'!$T$210:$T$222,MATCH(O193,('Spell Tables'!$R$210:$R$222),0)),IF(Q$173&gt;=O193,INDEX($AL$44:$AL$53,MATCH(O193,($AJ$44:$AJ$53),0)),IF(AND($O$15="Otherworldly patron - archfey",Q$175&gt;=O193),INDEX('Spell Tables'!$T$194:$T$206,MATCH(O193,('Spell Tables'!$R$194:$R$206),0)),IF(Q$177&gt;=O193,INDEX('Spell Tables'!$T$168:$T$187,MATCH(O193,('Spell Tables'!$R$168:$R$187),0)),IF(Q$179&gt;=O193,INDEX('Spell Tables'!$T$141:$T$147,MATCH(O193,('Spell Tables'!$R$141:$R$147),0)),IF(Q$181&gt;=O193,INDEX('Spell Tables'!$P$119:$P$131,MATCH(O193,('Spell Tables'!$N$119:$N$131),0)),IF(Q$183&gt;=O193,INDEX('Spell Tables'!$P$97:$P$111,MATCH(O193,('Spell Tables'!$N$97:$N$111),0)),IF(Q$185&gt;=O193,INDEX('Spell Tables'!$T$70:$T$78,MATCH(O193,('Spell Tables'!$R$70:$R$78),0)),IF(Q$187&gt;=O193,INDEX('Spell Tables'!$T$48:$T$63,MATCH(O193,('Spell Tables'!$R$48:$R$63),0)),IF(Q$189&gt;=O193,INDEX('Spell Tables'!$T$26:$T$40,MATCH(O193,('Spell Tables'!$R$26:$R$40),0)),IF(Q$191&gt;=O193,INDEX('Spell Tables'!$T$2:$T$22,MATCH(O193,('Spell Tables'!$R$2:$R$22),0))," "))))))))))))</f>
        <v xml:space="preserve"> </v>
      </c>
      <c r="R193" s="33" t="str">
        <f ca="1">IF(AND($O$15="Otherworldly patron - great old one",R$175&gt;=O193),INDEX('Spell Tables'!$X$226:$X$239,MATCH(O193,('Spell Tables'!$V$226:$V$239),0)),IF(AND($O$15="Otherworldly patron - fiend",R$175&gt;=O193),INDEX('Spell Tables'!$X$210:$X$223,MATCH(O193,('Spell Tables'!$V$210:$V$223),0)),IF(AND($O$15="Otherworldly patron - archfey",R$175&gt;=O193),INDEX('Spell Tables'!$X$194:$X$207,MATCH(O193,('Spell Tables'!$V$194:$V$207),0)),IF($R$173&gt;=O193,INDEX($AL$56:$AL$65,MATCH(O193,($AJ$56:$AJ$65),0)),IF($R$177&gt;=O193,INDEX('Spell Tables'!$X$168:$X$191,MATCH(O193,('Spell Tables'!$V$168:$V$191),0)),IF($R$179&gt;=O193,INDEX('Spell Tables'!$AB$141:$AB$149,MATCH(O193,('Spell Tables'!$Z$141:$Z$149),0)),IF($R$181&gt;=O193,INDEX('Spell Tables'!$T$119:$T$131,MATCH(O193,('Spell Tables'!$R$119:$R$131),0)),IF($R$183&gt;=O193,INDEX('Spell Tables'!$T$97:$T$104,MATCH(O193,('Spell Tables'!$R$97:$R$104),0)),IF($R$185&gt;=O193,INDEX('Spell Tables'!$AB$70:$AB$75,MATCH(O193,('Spell Tables'!$Z$70:$Z$75),0)),IF($R$187&gt;=O193,INDEX('Spell Tables'!$X$48:$X$65,MATCH(O193,('Spell Tables'!$V$48:$V$65),0)),IF($R$189&gt;=O193,INDEX('Spell Tables'!$X$26:$X$42,MATCH(O193,('Spell Tables'!$V$26:$V$42),0)),IF($R$191&gt;=O193,INDEX('Spell Tables'!$X$2:$X$23,MATCH(O193,('Spell Tables'!$V$2:$V$23),0))," "))))))))))))</f>
        <v xml:space="preserve"> </v>
      </c>
      <c r="S193" s="33" t="str">
        <f ca="1">IF(AND($O$15="Otherworldly patron - great old one",S$175&gt;=O193),INDEX('Spell Tables'!$AB$226:$AB$238,MATCH(O193,('Spell Tables'!$Z$226:$Z$238),0)),IF(AND($O$15="Otherworldly patron - fiend",S$175&gt;=O193),INDEX('Spell Tables'!$AB$210:$AB$222,MATCH(O193,('Spell Tables'!$Z$210:$Z$222),0)),IF(AND($O$15="Otherworldly patron - archfey",S$175&gt;=O193),INDEX('Spell Tables'!$AB$194:$AB$206,MATCH(O193,('Spell Tables'!$Z$194:$Z$206),0)),IF($S$173&gt;=O193,INDEX($AL$68:$AL$77,MATCH(O193,($AJ$68:$AJ$77),0)),IF($S$177&gt;=O193,INDEX('Spell Tables'!$AB$168:$AB$187,MATCH(O193,('Spell Tables'!$Z$168:$Z$187),0)),IF($S$179&gt;=O193,INDEX('Spell Tables'!$AJ$141:$AJ$144,MATCH(O193,('Spell Tables'!$AH$141:$AH$144),0)),IF($S$181&gt;=O193,INDEX('Spell Tables'!$X$119:$X$129,MATCH(O193,('Spell Tables'!$V$119:$V$129),0)),IF($S$183&gt;=O193,INDEX('Spell Tables'!$X$97:$X$106,MATCH(O193,('Spell Tables'!$V$97:$V$106),0)),IF($S$185&gt;=O193,INDEX('Spell Tables'!$AJ$70:$AJ$79,MATCH(O193,('Spell Tables'!$AH$70:$AH$79),0)),IF($S$187&gt;=O193,INDEX('Spell Tables'!$AB$48:$AB$60,MATCH(O193,('Spell Tables'!$Z$48:$Z$60),0)),IF($S$189&gt;=O193,INDEX('Spell Tables'!$AB$26:$AB$45,MATCH(O193,('Spell Tables'!$Z$26:$Z$45),0)),IF($S$191&gt;=O193,INDEX('Spell Tables'!$AB$2:$AB$17,MATCH(O193,('Spell Tables'!$Z$2:$Z$17),0))," "))))))))))))</f>
        <v xml:space="preserve"> </v>
      </c>
      <c r="T193" s="33" t="str">
        <f ca="1">IF(AND($O$15="Otherworldly patron - great old one",T$175&gt;=O193),INDEX('Spell Tables'!$AF$226:$AF$231,MATCH(O193,('Spell Tables'!$AD$226:$AD$231),0)),IF(AND($O$15="Otherworldly patron - fiend",T$175&gt;=O193),INDEX('Spell Tables'!$AF$210:$AF$215,MATCH(O193,('Spell Tables'!$AD$210:$AD$215),0)),IF(AND($O$15="Otherworldly patron - archfey",T$175&gt;=O193),INDEX('Spell Tables'!$AF$194:$AF$199,MATCH(O193,('Spell Tables'!$AD$194:$AD$199),0)),IF($T$173&gt;=O193,INDEX($AL$80:$AL$89,MATCH(O193,($AJ$80:$AJ$89),0)),IF($T$177&gt;=O193,INDEX('Spell Tables'!$AF$168:$AF$177,MATCH(O193,('Spell Tables'!$AD$168:$AD$177),0)),IF($T$179&gt;=O193,INDEX('Spell Tables'!$AR$141:$AR$144,MATCH(O193,('Spell Tables'!$AP$141:$AP$144),0)),IF($T$181&gt;=O193,INDEX('Spell Tables'!$AB$119:$AB$123,MATCH(O193,('Spell Tables'!$Z$119:$Z$123),0)),IF($T$183&gt;=O193,INDEX('Spell Tables'!$AB$97:$AB$102,MATCH(O193,('Spell Tables'!$Z$97:$Z$102),0)),IF($T$185&gt;=O193,INDEX('Spell Tables'!$AR$70:$AR$75,MATCH(O193,('Spell Tables'!$AP$70:$AP$75),0)),IF($T$187&gt;=O193,INDEX('Spell Tables'!$AF$48:$AF$63,MATCH(O193,('Spell Tables'!$AD$48:$AD$63),0)),IF($T$189&gt;=O193,INDEX('Spell Tables'!$AF$26:$AF$33,MATCH(O193,('Spell Tables'!$AD$26:$AD$33),0)),IF($T$191&gt;=O193,INDEX('Spell Tables'!$AF$2:$AF$9,MATCH(O193,('Spell Tables'!$AD$2:$AD$9),0))," "))))))))))))</f>
        <v xml:space="preserve"> </v>
      </c>
      <c r="AJ193" s="29">
        <v>6</v>
      </c>
      <c r="AK193" s="29">
        <v>2</v>
      </c>
    </row>
    <row r="194" spans="2:37" x14ac:dyDescent="0.3">
      <c r="B194" s="112" t="s">
        <v>1123</v>
      </c>
      <c r="C194" s="33"/>
      <c r="D194" s="33"/>
      <c r="E194" s="33"/>
      <c r="F194" s="33"/>
      <c r="G194" s="33"/>
      <c r="H194" s="33"/>
      <c r="I194" s="33"/>
      <c r="J194" s="33"/>
      <c r="K194" s="33"/>
      <c r="L194" s="33"/>
      <c r="M194" s="33"/>
      <c r="N194" s="33"/>
      <c r="O194" s="34">
        <v>2</v>
      </c>
      <c r="P194" s="33" t="str">
        <f ca="1">IF(P$173&gt;=O194,INDEX('Spell Tables'!$P$242:$P$257,MATCH(O194,('Spell Tables'!$N$242:$N$257),0)),IF(P$175&gt;=O194,INDEX('Spell Tables'!$P$194:$P$201,MATCH(O194,('Spell Tables'!$N$194:$N$201),0)),IF(P$177&gt;=O194,INDEX('Spell Tables'!$P$168:$P$183,MATCH(O194,('Spell Tables'!$N$168:$N$183),0)),IF(P$179&gt;=O194,INDEX('Spell Tables'!$P$141:$P$156,MATCH(O194,('Spell Tables'!$N$141:$N$157),0)),IF(P$185&gt;=O194,INDEX('Spell Tables'!$P$70:$P$83,MATCH(O194,('Spell Tables'!$N$70:$N$83),0)),IF(P$187&gt;=O194,INDEX('Spell Tables'!$P$48:$P$55,MATCH(O194,('Spell Tables'!$N$48:$N$55),0)),IF(P$189&gt;=O194,INDEX('Spell Tables'!$P$26:$P$32,MATCH(O194,('Spell Tables'!$N$26:$N$32),0)),IF(P$191&gt;=O194,INDEX('Spell Tables'!$P$2:$P$12,MATCH(O194,('Spell Tables'!$N$2:$N$12),0))," "))))))))</f>
        <v xml:space="preserve"> </v>
      </c>
      <c r="Q194" s="33" t="str">
        <f ca="1">IF(AND($O$15="Otherworldly patron - great old one",Q$175&gt;=O194),INDEX('Spell Tables'!$T$226:$T$238,MATCH(O194,('Spell Tables'!$R$226:$R$238),0)),IF(AND($O$15="Otherworldly patron - fiend",Q$175&gt;=O194),INDEX('Spell Tables'!$T$210:$T$222,MATCH(O194,('Spell Tables'!$R$210:$R$222),0)),IF(Q$173&gt;=O194,INDEX($AL$44:$AL$53,MATCH(O194,($AJ$44:$AJ$53),0)),IF(AND($O$15="Otherworldly patron - archfey",Q$175&gt;=O194),INDEX('Spell Tables'!$T$194:$T$206,MATCH(O194,('Spell Tables'!$R$194:$R$206),0)),IF(Q$177&gt;=O194,INDEX('Spell Tables'!$T$168:$T$187,MATCH(O194,('Spell Tables'!$R$168:$R$187),0)),IF(Q$179&gt;=O194,INDEX('Spell Tables'!$T$141:$T$147,MATCH(O194,('Spell Tables'!$R$141:$R$147),0)),IF(Q$181&gt;=O194,INDEX('Spell Tables'!$P$119:$P$131,MATCH(O194,('Spell Tables'!$N$119:$N$131),0)),IF(Q$183&gt;=O194,INDEX('Spell Tables'!$P$97:$P$111,MATCH(O194,('Spell Tables'!$N$97:$N$111),0)),IF(Q$185&gt;=O194,INDEX('Spell Tables'!$T$70:$T$78,MATCH(O194,('Spell Tables'!$R$70:$R$78),0)),IF(Q$187&gt;=O194,INDEX('Spell Tables'!$T$48:$T$63,MATCH(O194,('Spell Tables'!$R$48:$R$63),0)),IF(Q$189&gt;=O194,INDEX('Spell Tables'!$T$26:$T$40,MATCH(O194,('Spell Tables'!$R$26:$R$40),0)),IF(Q$191&gt;=O194,INDEX('Spell Tables'!$T$2:$T$22,MATCH(O194,('Spell Tables'!$R$2:$R$22),0))," "))))))))))))</f>
        <v xml:space="preserve"> </v>
      </c>
      <c r="R194" s="33" t="str">
        <f ca="1">IF(AND($O$15="Otherworldly patron - great old one",R$175&gt;=O194),INDEX('Spell Tables'!$X$226:$X$239,MATCH(O194,('Spell Tables'!$V$226:$V$239),0)),IF(AND($O$15="Otherworldly patron - fiend",R$175&gt;=O194),INDEX('Spell Tables'!$X$210:$X$223,MATCH(O194,('Spell Tables'!$V$210:$V$223),0)),IF(AND($O$15="Otherworldly patron - archfey",R$175&gt;=O194),INDEX('Spell Tables'!$X$194:$X$207,MATCH(O194,('Spell Tables'!$V$194:$V$207),0)),IF($R$173&gt;=O194,INDEX($AL$56:$AL$65,MATCH(O194,($AJ$56:$AJ$65),0)),IF($R$177&gt;=O194,INDEX('Spell Tables'!$X$168:$X$191,MATCH(O194,('Spell Tables'!$V$168:$V$191),0)),IF($R$179&gt;=O194,INDEX('Spell Tables'!$AB$141:$AB$149,MATCH(O194,('Spell Tables'!$Z$141:$Z$149),0)),IF($R$181&gt;=O194,INDEX('Spell Tables'!$T$119:$T$131,MATCH(O194,('Spell Tables'!$R$119:$R$131),0)),IF($R$183&gt;=O194,INDEX('Spell Tables'!$T$97:$T$104,MATCH(O194,('Spell Tables'!$R$97:$R$104),0)),IF($R$185&gt;=O194,INDEX('Spell Tables'!$AB$70:$AB$75,MATCH(O194,('Spell Tables'!$Z$70:$Z$75),0)),IF($R$187&gt;=O194,INDEX('Spell Tables'!$X$48:$X$65,MATCH(O194,('Spell Tables'!$V$48:$V$65),0)),IF($R$189&gt;=O194,INDEX('Spell Tables'!$X$26:$X$42,MATCH(O194,('Spell Tables'!$V$26:$V$42),0)),IF($R$191&gt;=O194,INDEX('Spell Tables'!$X$2:$X$23,MATCH(O194,('Spell Tables'!$V$2:$V$23),0))," "))))))))))))</f>
        <v xml:space="preserve"> </v>
      </c>
      <c r="S194" s="33" t="str">
        <f ca="1">IF(AND($O$15="Otherworldly patron - great old one",S$175&gt;=O194),INDEX('Spell Tables'!$AB$226:$AB$238,MATCH(O194,('Spell Tables'!$Z$226:$Z$238),0)),IF(AND($O$15="Otherworldly patron - fiend",S$175&gt;=O194),INDEX('Spell Tables'!$AB$210:$AB$222,MATCH(O194,('Spell Tables'!$Z$210:$Z$222),0)),IF(AND($O$15="Otherworldly patron - archfey",S$175&gt;=O194),INDEX('Spell Tables'!$AB$194:$AB$206,MATCH(O194,('Spell Tables'!$Z$194:$Z$206),0)),IF($S$173&gt;=O194,INDEX($AL$68:$AL$77,MATCH(O194,($AJ$68:$AJ$77),0)),IF($S$177&gt;=O194,INDEX('Spell Tables'!$AB$168:$AB$187,MATCH(O194,('Spell Tables'!$Z$168:$Z$187),0)),IF($S$179&gt;=O194,INDEX('Spell Tables'!$AJ$141:$AJ$144,MATCH(O194,('Spell Tables'!$AH$141:$AH$144),0)),IF($S$181&gt;=O194,INDEX('Spell Tables'!$X$119:$X$129,MATCH(O194,('Spell Tables'!$V$119:$V$129),0)),IF($S$183&gt;=O194,INDEX('Spell Tables'!$X$97:$X$106,MATCH(O194,('Spell Tables'!$V$97:$V$106),0)),IF($S$185&gt;=O194,INDEX('Spell Tables'!$AJ$70:$AJ$79,MATCH(O194,('Spell Tables'!$AH$70:$AH$79),0)),IF($S$187&gt;=O194,INDEX('Spell Tables'!$AB$48:$AB$60,MATCH(O194,('Spell Tables'!$Z$48:$Z$60),0)),IF($S$189&gt;=O194,INDEX('Spell Tables'!$AB$26:$AB$45,MATCH(O194,('Spell Tables'!$Z$26:$Z$45),0)),IF($S$191&gt;=O194,INDEX('Spell Tables'!$AB$2:$AB$17,MATCH(O194,('Spell Tables'!$Z$2:$Z$17),0))," "))))))))))))</f>
        <v xml:space="preserve"> </v>
      </c>
      <c r="T194" s="33" t="str">
        <f ca="1">IF(AND($O$15="Otherworldly patron - great old one",T$175&gt;=O194),INDEX('Spell Tables'!$AF$226:$AF$231,MATCH(O194,('Spell Tables'!$AD$226:$AD$231),0)),IF(AND($O$15="Otherworldly patron - fiend",T$175&gt;=O194),INDEX('Spell Tables'!$AF$210:$AF$215,MATCH(O194,('Spell Tables'!$AD$210:$AD$215),0)),IF(AND($O$15="Otherworldly patron - archfey",T$175&gt;=O194),INDEX('Spell Tables'!$AF$194:$AF$199,MATCH(O194,('Spell Tables'!$AD$194:$AD$199),0)),IF($T$173&gt;=O194,INDEX($AL$80:$AL$89,MATCH(O194,($AJ$80:$AJ$89),0)),IF($T$177&gt;=O194,INDEX('Spell Tables'!$AF$168:$AF$177,MATCH(O194,('Spell Tables'!$AD$168:$AD$177),0)),IF($T$179&gt;=O194,INDEX('Spell Tables'!$AR$141:$AR$144,MATCH(O194,('Spell Tables'!$AP$141:$AP$144),0)),IF($T$181&gt;=O194,INDEX('Spell Tables'!$AB$119:$AB$123,MATCH(O194,('Spell Tables'!$Z$119:$Z$123),0)),IF($T$183&gt;=O194,INDEX('Spell Tables'!$AB$97:$AB$102,MATCH(O194,('Spell Tables'!$Z$97:$Z$102),0)),IF($T$185&gt;=O194,INDEX('Spell Tables'!$AR$70:$AR$75,MATCH(O194,('Spell Tables'!$AP$70:$AP$75),0)),IF($T$187&gt;=O194,INDEX('Spell Tables'!$AF$48:$AF$63,MATCH(O194,('Spell Tables'!$AD$48:$AD$63),0)),IF($T$189&gt;=O194,INDEX('Spell Tables'!$AF$26:$AF$33,MATCH(O194,('Spell Tables'!$AD$26:$AD$33),0)),IF($T$191&gt;=O194,INDEX('Spell Tables'!$AF$2:$AF$9,MATCH(O194,('Spell Tables'!$AD$2:$AD$9),0))," "))))))))))))</f>
        <v xml:space="preserve"> </v>
      </c>
      <c r="AJ194" s="29">
        <v>7</v>
      </c>
      <c r="AK194" s="29">
        <v>3</v>
      </c>
    </row>
    <row r="195" spans="2:37" x14ac:dyDescent="0.3">
      <c r="B195" s="79" t="str">
        <f ca="1">IF(OR(O11="bard",O11="paladin",O11="sorcerer",O11="warlock"),P8+$P$43,IF(OR(O11="druid",O11="cleric",O11="ranger"),P8+P42,IF(OR(P15="eldritch knight",P15="arcane trickster",O11="wizard"),P8+P41," ")))</f>
        <v xml:space="preserve"> </v>
      </c>
      <c r="C195" s="33"/>
      <c r="D195" s="33"/>
      <c r="E195" s="33"/>
      <c r="F195" s="33"/>
      <c r="G195" s="33"/>
      <c r="H195" s="33"/>
      <c r="I195" s="33"/>
      <c r="J195" s="33"/>
      <c r="K195" s="33"/>
      <c r="L195" s="33"/>
      <c r="M195" s="33"/>
      <c r="N195" s="33"/>
      <c r="O195" s="34">
        <v>3</v>
      </c>
      <c r="P195" s="33" t="str">
        <f ca="1">IF(P$173&gt;=O195,INDEX('Spell Tables'!$P$242:$P$257,MATCH(O195,('Spell Tables'!$N$242:$N$257),0)),IF(P$175&gt;=O195,INDEX('Spell Tables'!$P$194:$P$201,MATCH(O195,('Spell Tables'!$N$194:$N$201),0)),IF(P$177&gt;=O195,INDEX('Spell Tables'!$P$168:$P$183,MATCH(O195,('Spell Tables'!$N$168:$N$183),0)),IF(P$179&gt;=O195,INDEX('Spell Tables'!$P$141:$P$156,MATCH(O195,('Spell Tables'!$N$141:$N$157),0)),IF(P$185&gt;=O195,INDEX('Spell Tables'!$P$70:$P$83,MATCH(O195,('Spell Tables'!$N$70:$N$83),0)),IF(P$187&gt;=O195,INDEX('Spell Tables'!$P$48:$P$55,MATCH(O195,('Spell Tables'!$N$48:$N$55),0)),IF(P$189&gt;=O195,INDEX('Spell Tables'!$P$26:$P$32,MATCH(O195,('Spell Tables'!$N$26:$N$32),0)),IF(P$191&gt;=O195,INDEX('Spell Tables'!$P$2:$P$12,MATCH(O195,('Spell Tables'!$N$2:$N$12),0))," "))))))))</f>
        <v xml:space="preserve"> </v>
      </c>
      <c r="Q195" s="33" t="str">
        <f ca="1">IF(AND($O$15="Otherworldly patron - great old one",Q$175&gt;=O195),INDEX('Spell Tables'!$T$226:$T$238,MATCH(O195,('Spell Tables'!$R$226:$R$238),0)),IF(AND($O$15="Otherworldly patron - fiend",Q$175&gt;=O195),INDEX('Spell Tables'!$T$210:$T$222,MATCH(O195,('Spell Tables'!$R$210:$R$222),0)),IF(Q$173&gt;=O195,INDEX($AL$44:$AL$53,MATCH(O195,($AJ$44:$AJ$53),0)),IF(AND($O$15="Otherworldly patron - archfey",Q$175&gt;=O195),INDEX('Spell Tables'!$T$194:$T$206,MATCH(O195,('Spell Tables'!$R$194:$R$206),0)),IF(Q$177&gt;=O195,INDEX('Spell Tables'!$T$168:$T$187,MATCH(O195,('Spell Tables'!$R$168:$R$187),0)),IF(Q$179&gt;=O195,INDEX('Spell Tables'!$T$141:$T$147,MATCH(O195,('Spell Tables'!$R$141:$R$147),0)),IF(Q$181&gt;=O195,INDEX('Spell Tables'!$P$119:$P$131,MATCH(O195,('Spell Tables'!$N$119:$N$131),0)),IF(Q$183&gt;=O195,INDEX('Spell Tables'!$P$97:$P$111,MATCH(O195,('Spell Tables'!$N$97:$N$111),0)),IF(Q$185&gt;=O195,INDEX('Spell Tables'!$T$70:$T$78,MATCH(O195,('Spell Tables'!$R$70:$R$78),0)),IF(Q$187&gt;=O195,INDEX('Spell Tables'!$T$48:$T$63,MATCH(O195,('Spell Tables'!$R$48:$R$63),0)),IF(Q$189&gt;=O195,INDEX('Spell Tables'!$T$26:$T$40,MATCH(O195,('Spell Tables'!$R$26:$R$40),0)),IF(Q$191&gt;=O195,INDEX('Spell Tables'!$T$2:$T$22,MATCH(O195,('Spell Tables'!$R$2:$R$22),0))," "))))))))))))</f>
        <v xml:space="preserve"> </v>
      </c>
      <c r="R195" s="33" t="str">
        <f ca="1">IF(AND($O$15="Otherworldly patron - great old one",R$175&gt;=O195),INDEX('Spell Tables'!$X$226:$X$239,MATCH(O195,('Spell Tables'!$V$226:$V$239),0)),IF(AND($O$15="Otherworldly patron - fiend",R$175&gt;=O195),INDEX('Spell Tables'!$X$210:$X$223,MATCH(O195,('Spell Tables'!$V$210:$V$223),0)),IF(AND($O$15="Otherworldly patron - archfey",R$175&gt;=O195),INDEX('Spell Tables'!$X$194:$X$207,MATCH(O195,('Spell Tables'!$V$194:$V$207),0)),IF($R$173&gt;=O195,INDEX($AL$56:$AL$65,MATCH(O195,($AJ$56:$AJ$65),0)),IF($R$177&gt;=O195,INDEX('Spell Tables'!$X$168:$X$191,MATCH(O195,('Spell Tables'!$V$168:$V$191),0)),IF($R$179&gt;=O195,INDEX('Spell Tables'!$AB$141:$AB$149,MATCH(O195,('Spell Tables'!$Z$141:$Z$149),0)),IF($R$181&gt;=O195,INDEX('Spell Tables'!$T$119:$T$131,MATCH(O195,('Spell Tables'!$R$119:$R$131),0)),IF($R$183&gt;=O195,INDEX('Spell Tables'!$T$97:$T$104,MATCH(O195,('Spell Tables'!$R$97:$R$104),0)),IF($R$185&gt;=O195,INDEX('Spell Tables'!$AB$70:$AB$75,MATCH(O195,('Spell Tables'!$Z$70:$Z$75),0)),IF($R$187&gt;=O195,INDEX('Spell Tables'!$X$48:$X$65,MATCH(O195,('Spell Tables'!$V$48:$V$65),0)),IF($R$189&gt;=O195,INDEX('Spell Tables'!$X$26:$X$42,MATCH(O195,('Spell Tables'!$V$26:$V$42),0)),IF($R$191&gt;=O195,INDEX('Spell Tables'!$X$2:$X$23,MATCH(O195,('Spell Tables'!$V$2:$V$23),0))," "))))))))))))</f>
        <v xml:space="preserve"> </v>
      </c>
      <c r="S195" s="33" t="str">
        <f ca="1">IF(AND($O$15="Otherworldly patron - great old one",S$175&gt;=O195),INDEX('Spell Tables'!$AB$226:$AB$238,MATCH(O195,('Spell Tables'!$Z$226:$Z$238),0)),IF(AND($O$15="Otherworldly patron - fiend",S$175&gt;=O195),INDEX('Spell Tables'!$AB$210:$AB$222,MATCH(O195,('Spell Tables'!$Z$210:$Z$222),0)),IF(AND($O$15="Otherworldly patron - archfey",S$175&gt;=O195),INDEX('Spell Tables'!$AB$194:$AB$206,MATCH(O195,('Spell Tables'!$Z$194:$Z$206),0)),IF($S$173&gt;=O197,INDEX($AL$68:$AL$77,MATCH(O195,($AJ$68:$AJ$77),0)),IF($S$177&gt;=O195,INDEX('Spell Tables'!$AB$168:$AB$187,MATCH(O195,('Spell Tables'!$Z$168:$Z$187),0)),IF($S$179&gt;=O195,INDEX('Spell Tables'!$AJ$141:$AJ$144,MATCH(O195,('Spell Tables'!$AH$141:$AH$144),0)),IF($S$181&gt;=O195,INDEX('Spell Tables'!$X$119:$X$129,MATCH(O195,('Spell Tables'!$V$119:$V$129),0)),IF($S$183&gt;=O195,INDEX('Spell Tables'!$X$97:$X$106,MATCH(O195,('Spell Tables'!$V$97:$V$106),0)),IF($S$185&gt;=O195,INDEX('Spell Tables'!$AJ$70:$AJ$79,MATCH(O195,('Spell Tables'!$AH$70:$AH$79),0)),IF($S$187&gt;=O195,INDEX('Spell Tables'!$AB$48:$AB$60,MATCH(O195,('Spell Tables'!$Z$48:$Z$60),0)),IF($S$189&gt;=O195,INDEX('Spell Tables'!$AB$26:$AB$45,MATCH(O195,('Spell Tables'!$Z$26:$Z$45),0)),IF($S$191&gt;=O195,INDEX('Spell Tables'!$AB$2:$AB$17,MATCH(O195,('Spell Tables'!$Z$2:$Z$17),0))," "))))))))))))</f>
        <v xml:space="preserve"> </v>
      </c>
      <c r="T195" s="33" t="str">
        <f ca="1">IF(AND($O$15="Otherworldly patron - great old one",T$175&gt;=O195),INDEX('Spell Tables'!$AF$226:$AF$231,MATCH(O195,('Spell Tables'!$AD$226:$AD$231),0)),IF(AND($O$15="Otherworldly patron - fiend",T$175&gt;=O195),INDEX('Spell Tables'!$AF$210:$AF$215,MATCH(O195,('Spell Tables'!$AD$210:$AD$215),0)),IF(AND($O$15="Otherworldly patron - archfey",T$175&gt;=O195),INDEX('Spell Tables'!$AF$194:$AF$199,MATCH(O195,('Spell Tables'!$AD$194:$AD$199),0)),IF($T$173&gt;=O195,INDEX($AL$80:$AL$89,MATCH(O195,($AJ$80:$AJ$89),0)),IF($T$177&gt;=O195,INDEX('Spell Tables'!$AF$168:$AF$177,MATCH(O195,('Spell Tables'!$AD$168:$AD$177),0)),IF($T$179&gt;=O195,INDEX('Spell Tables'!$AR$141:$AR$144,MATCH(O195,('Spell Tables'!$AP$141:$AP$144),0)),IF($T$181&gt;=O195,INDEX('Spell Tables'!$AB$119:$AB$123,MATCH(O195,('Spell Tables'!$Z$119:$Z$123),0)),IF($T$183&gt;=O195,INDEX('Spell Tables'!$AB$97:$AB$102,MATCH(O195,('Spell Tables'!$Z$97:$Z$102),0)),IF($T$185&gt;=O195,INDEX('Spell Tables'!$AR$70:$AR$75,MATCH(O195,('Spell Tables'!$AP$70:$AP$75),0)),IF($T$187&gt;=O195,INDEX('Spell Tables'!$AF$48:$AF$63,MATCH(O195,('Spell Tables'!$AD$48:$AD$63),0)),IF($T$189&gt;=O195,INDEX('Spell Tables'!$AF$26:$AF$33,MATCH(O195,('Spell Tables'!$AD$26:$AD$33),0)),IF($T$191&gt;=O195,INDEX('Spell Tables'!$AF$2:$AF$9,MATCH(O195,('Spell Tables'!$AD$2:$AD$9),0))," "))))))))))))</f>
        <v xml:space="preserve"> </v>
      </c>
      <c r="AJ195" s="29">
        <v>8</v>
      </c>
      <c r="AK195" s="29">
        <v>3</v>
      </c>
    </row>
    <row r="196" spans="2:37" x14ac:dyDescent="0.3">
      <c r="B196" s="79"/>
      <c r="C196" s="33"/>
      <c r="D196" s="33"/>
      <c r="E196" s="33"/>
      <c r="F196" s="33"/>
      <c r="G196" s="33"/>
      <c r="H196" s="33"/>
      <c r="I196" s="33"/>
      <c r="J196" s="33"/>
      <c r="K196" s="33"/>
      <c r="L196" s="33"/>
      <c r="M196" s="33"/>
      <c r="N196" s="33"/>
      <c r="O196" s="34">
        <v>4</v>
      </c>
      <c r="P196" s="33" t="str">
        <f ca="1">IF(P$173&gt;=O196,INDEX('Spell Tables'!$P$242:$P$257,MATCH(O196,('Spell Tables'!$N$242:$N$257),0)),IF(P$175&gt;=O196,INDEX('Spell Tables'!$P$194:$P$201,MATCH(O196,('Spell Tables'!$N$194:$N$201),0)),IF(P$177&gt;=O196,INDEX('Spell Tables'!$P$168:$P$183,MATCH(O196,('Spell Tables'!$N$168:$N$183),0)),IF(P$179&gt;=O196,INDEX('Spell Tables'!$P$141:$P$156,MATCH(O196,('Spell Tables'!$N$141:$N$157),0)),IF(P$185&gt;=O196,INDEX('Spell Tables'!$P$70:$P$83,MATCH(O196,('Spell Tables'!$N$70:$N$83),0)),IF(P$187&gt;=O196,INDEX('Spell Tables'!$P$48:$P$55,MATCH(O196,('Spell Tables'!$N$48:$N$55),0)),IF(P$189&gt;=O196,INDEX('Spell Tables'!$P$26:$P$32,MATCH(O196,('Spell Tables'!$N$26:$N$32),0)),IF(P$191&gt;=O196,INDEX('Spell Tables'!$P$2:$P$12,MATCH(O196,('Spell Tables'!$N$2:$N$12),0))," "))))))))</f>
        <v xml:space="preserve"> </v>
      </c>
      <c r="Q196" s="33" t="str">
        <f ca="1">IF(AND($O$15="Otherworldly patron - great old one",Q$175&gt;=O196),INDEX('Spell Tables'!$T$226:$T$238,MATCH(O196,('Spell Tables'!$R$226:$R$238),0)),IF(AND($O$15="Otherworldly patron - fiend",Q$175&gt;=O196),INDEX('Spell Tables'!$T$210:$T$222,MATCH(O196,('Spell Tables'!$R$210:$R$222),0)),IF(Q$173&gt;=O196,INDEX($AL$44:$AL$53,MATCH(O196,($AJ$44:$AJ$53),0)),IF(AND($O$15="Otherworldly patron - archfey",Q$175&gt;=O196),INDEX('Spell Tables'!$T$194:$T$206,MATCH(O196,('Spell Tables'!$R$194:$R$206),0)),IF(Q$177&gt;=O196,INDEX('Spell Tables'!$T$168:$T$187,MATCH(O196,('Spell Tables'!$R$168:$R$187),0)),IF(Q$179&gt;=O196,INDEX('Spell Tables'!$T$141:$T$147,MATCH(O196,('Spell Tables'!$R$141:$R$147),0)),IF(Q$181&gt;=O196,INDEX('Spell Tables'!$P$119:$P$131,MATCH(O196,('Spell Tables'!$N$119:$N$131),0)),IF(Q$183&gt;=O196,INDEX('Spell Tables'!$P$97:$P$111,MATCH(O196,('Spell Tables'!$N$97:$N$111),0)),IF(Q$185&gt;=O196,INDEX('Spell Tables'!$T$70:$T$78,MATCH(O196,('Spell Tables'!$R$70:$R$78),0)),IF(Q$187&gt;=O196,INDEX('Spell Tables'!$T$48:$T$63,MATCH(O196,('Spell Tables'!$R$48:$R$63),0)),IF(Q$189&gt;=O196,INDEX('Spell Tables'!$T$26:$T$40,MATCH(O196,('Spell Tables'!$R$26:$R$40),0)),IF(Q$191&gt;=O196,INDEX('Spell Tables'!$T$2:$T$22,MATCH(O196,('Spell Tables'!$R$2:$R$22),0))," "))))))))))))</f>
        <v xml:space="preserve"> </v>
      </c>
      <c r="R196" s="33" t="str">
        <f ca="1">IF(AND($O$15="Otherworldly patron - great old one",R$175&gt;=O196),INDEX('Spell Tables'!$X$226:$X$239,MATCH(O196,('Spell Tables'!$V$226:$V$239),0)),IF(AND($O$15="Otherworldly patron - fiend",R$175&gt;=O196),INDEX('Spell Tables'!$X$210:$X$223,MATCH(O196,('Spell Tables'!$V$210:$V$223),0)),IF(AND($O$15="Otherworldly patron - archfey",R$175&gt;=O196),INDEX('Spell Tables'!$X$194:$X$207,MATCH(O196,('Spell Tables'!$V$194:$V$207),0)),IF($R$173&gt;=O196,INDEX($AL$56:$AL$65,MATCH(O196,($AJ$56:$AJ$65),0)),IF($R$177&gt;=O196,INDEX('Spell Tables'!$X$168:$X$191,MATCH(O196,('Spell Tables'!$V$168:$V$191),0)),IF($R$179&gt;=O196,INDEX('Spell Tables'!$AB$141:$AB$149,MATCH(O196,('Spell Tables'!$Z$141:$Z$149),0)),IF($R$181&gt;=O196,INDEX('Spell Tables'!$T$119:$T$131,MATCH(O196,('Spell Tables'!$R$119:$R$131),0)),IF($R$183&gt;=O196,INDEX('Spell Tables'!$T$97:$T$104,MATCH(O196,('Spell Tables'!$R$97:$R$104),0)),IF($R$185&gt;=O196,INDEX('Spell Tables'!$AB$70:$AB$75,MATCH(O196,('Spell Tables'!$Z$70:$Z$75),0)),IF($R$187&gt;=O196,INDEX('Spell Tables'!$X$48:$X$65,MATCH(O196,('Spell Tables'!$V$48:$V$65),0)),IF($R$189&gt;=O196,INDEX('Spell Tables'!$X$26:$X$42,MATCH(O196,('Spell Tables'!$V$26:$V$42),0)),IF($R$191&gt;=O196,INDEX('Spell Tables'!$X$2:$X$23,MATCH(O196,('Spell Tables'!$V$2:$V$23),0))," "))))))))))))</f>
        <v xml:space="preserve"> </v>
      </c>
      <c r="S196" s="33" t="str">
        <f ca="1">IF(AND($O$15="Otherworldly patron - great old one",S$175&gt;=O196),INDEX('Spell Tables'!$AB$226:$AB$238,MATCH(O196,('Spell Tables'!$Z$226:$Z$238),0)),IF(AND($O$15="Otherworldly patron - fiend",S$175&gt;=O196),INDEX('Spell Tables'!$AB$210:$AB$222,MATCH(O196,('Spell Tables'!$Z$210:$Z$222),0)),IF(AND($O$15="Otherworldly patron - archfey",S$175&gt;=O196),INDEX('Spell Tables'!$AB$194:$AB$206,MATCH(O196,('Spell Tables'!$Z$194:$Z$206),0)),IF($S$173&gt;=O196,INDEX($AL$68:$AL$77,MATCH(O196,($AJ$68:$AJ$77),0)),IF($S$177&gt;=O196,INDEX('Spell Tables'!$AB$168:$AB$187,MATCH(O196,('Spell Tables'!$Z$168:$Z$187),0)),IF($S$179&gt;=O196,INDEX('Spell Tables'!$AJ$141:$AJ$144,MATCH(O196,('Spell Tables'!$AH$141:$AH$144),0)),IF($S$181&gt;=O196,INDEX('Spell Tables'!$X$119:$X$129,MATCH(O196,('Spell Tables'!$V$119:$V$129),0)),IF($S$183&gt;=O196,INDEX('Spell Tables'!$X$97:$X$106,MATCH(O196,('Spell Tables'!$V$97:$V$106),0)),IF($S$185&gt;=O196,INDEX('Spell Tables'!$AJ$70:$AJ$79,MATCH(O196,('Spell Tables'!$AH$70:$AH$79),0)),IF($S$187&gt;=O196,INDEX('Spell Tables'!$AB$48:$AB$60,MATCH(O196,('Spell Tables'!$Z$48:$Z$60),0)),IF($S$189&gt;=O196,INDEX('Spell Tables'!$AB$26:$AB$45,MATCH(O196,('Spell Tables'!$Z$26:$Z$45),0)),IF($S$191&gt;=O196,INDEX('Spell Tables'!$AB$2:$AB$17,MATCH(O196,('Spell Tables'!$Z$2:$Z$17),0))," "))))))))))))</f>
        <v xml:space="preserve"> </v>
      </c>
      <c r="T196" s="33" t="str">
        <f ca="1">IF(AND($O$15="Otherworldly patron - great old one",T$175&gt;=O196),INDEX('Spell Tables'!$AF$226:$AF$231,MATCH(O196,('Spell Tables'!$AD$226:$AD$231),0)),IF(AND($O$15="Otherworldly patron - fiend",T$175&gt;=O196),INDEX('Spell Tables'!$AF$210:$AF$215,MATCH(O196,('Spell Tables'!$AD$210:$AD$215),0)),IF(AND($O$15="Otherworldly patron - archfey",T$175&gt;=O196),INDEX('Spell Tables'!$AF$194:$AF$199,MATCH(O196,('Spell Tables'!$AD$194:$AD$199),0)),IF($T$173&gt;=O196,INDEX($AL$80:$AL$89,MATCH(O196,($AJ$80:$AJ$89),0)),IF($T$177&gt;=O196,INDEX('Spell Tables'!$AF$168:$AF$177,MATCH(O196,('Spell Tables'!$AD$168:$AD$177),0)),IF($T$179&gt;=O196,INDEX('Spell Tables'!$AR$141:$AR$144,MATCH(O196,('Spell Tables'!$AP$141:$AP$144),0)),IF($T$181&gt;=O196,INDEX('Spell Tables'!$AB$119:$AB$123,MATCH(O196,('Spell Tables'!$Z$119:$Z$123),0)),IF($T$183&gt;=O196,INDEX('Spell Tables'!$AB$97:$AB$102,MATCH(O196,('Spell Tables'!$Z$97:$Z$102),0)),IF($T$185&gt;=O196,INDEX('Spell Tables'!$AR$70:$AR$75,MATCH(O196,('Spell Tables'!$AP$70:$AP$75),0)),IF($T$187&gt;=O196,INDEX('Spell Tables'!$AF$48:$AF$63,MATCH(O196,('Spell Tables'!$AD$48:$AD$63),0)),IF($T$189&gt;=O196,INDEX('Spell Tables'!$AF$26:$AF$33,MATCH(O196,('Spell Tables'!$AD$26:$AD$33),0)),IF($T$191&gt;=O196,INDEX('Spell Tables'!$AF$2:$AF$9,MATCH(O196,('Spell Tables'!$AD$2:$AD$9),0))," "))))))))))))</f>
        <v xml:space="preserve"> </v>
      </c>
      <c r="AJ196" s="29">
        <v>9</v>
      </c>
      <c r="AK196" s="29">
        <v>3</v>
      </c>
    </row>
    <row r="197" spans="2:37" x14ac:dyDescent="0.3">
      <c r="B197" s="79"/>
      <c r="C197" s="33"/>
      <c r="D197" s="33"/>
      <c r="E197" s="33"/>
      <c r="F197" s="33"/>
      <c r="G197" s="33"/>
      <c r="H197" s="33"/>
      <c r="I197" s="33"/>
      <c r="J197" s="33"/>
      <c r="K197" s="33"/>
      <c r="L197" s="33"/>
      <c r="M197" s="33"/>
      <c r="N197" s="33"/>
      <c r="O197" s="34">
        <v>5</v>
      </c>
      <c r="P197" s="33" t="str">
        <f ca="1">IF(P$173&gt;=O197,INDEX('Spell Tables'!$P$242:$P$257,MATCH(O197,('Spell Tables'!$N$242:$N$257),0)),IF(P$175&gt;=O197,INDEX('Spell Tables'!$P$194:$P$201,MATCH(O197,('Spell Tables'!$N$194:$N$201),0)),IF(P$177&gt;=O197,INDEX('Spell Tables'!$P$168:$P$183,MATCH(O197,('Spell Tables'!$N$168:$N$183),0)),IF(P$179&gt;=O197,INDEX('Spell Tables'!$P$141:$P$156,MATCH(O197,('Spell Tables'!$N$141:$N$157),0)),IF(P$185&gt;=O197,INDEX('Spell Tables'!$P$70:$P$83,MATCH(O197,('Spell Tables'!$N$70:$N$83),0)),IF(P$187&gt;=O197,INDEX('Spell Tables'!$P$48:$P$55,MATCH(O197,('Spell Tables'!$N$48:$N$55),0)),IF(P$189&gt;=O197,INDEX('Spell Tables'!$P$26:$P$32,MATCH(O197,('Spell Tables'!$N$26:$N$32),0)),IF(P$191&gt;=O197,INDEX('Spell Tables'!$P$2:$P$12,MATCH(O197,('Spell Tables'!$N$2:$N$12),0))," "))))))))</f>
        <v xml:space="preserve"> </v>
      </c>
      <c r="Q197" s="33" t="str">
        <f ca="1">IF(AND($O$15="Otherworldly patron - great old one",Q$175&gt;=O197),INDEX('Spell Tables'!$T$226:$T$238,MATCH(O197,('Spell Tables'!$R$226:$R$238),0)),IF(AND($O$15="Otherworldly patron - fiend",Q$175&gt;=O197),INDEX('Spell Tables'!$T$210:$T$222,MATCH(O197,('Spell Tables'!$R$210:$R$222),0)),IF(Q$173&gt;=O197,INDEX($AL$44:$AL$53,MATCH(O197,($AJ$44:$AJ$53),0)),IF(AND($O$15="Otherworldly patron - archfey",Q$175&gt;=O197),INDEX('Spell Tables'!$T$194:$T$206,MATCH(O197,('Spell Tables'!$R$194:$R$206),0)),IF(Q$177&gt;=O197,INDEX('Spell Tables'!$T$168:$T$187,MATCH(O197,('Spell Tables'!$R$168:$R$187),0)),IF(Q$179&gt;=O197,INDEX('Spell Tables'!$T$141:$T$147,MATCH(O197,('Spell Tables'!$R$141:$R$147),0)),IF(Q$181&gt;=O197,INDEX('Spell Tables'!$P$119:$P$131,MATCH(O197,('Spell Tables'!$N$119:$N$131),0)),IF(Q$183&gt;=O197,INDEX('Spell Tables'!$P$97:$P$111,MATCH(O197,('Spell Tables'!$N$97:$N$111),0)),IF(Q$185&gt;=O197,INDEX('Spell Tables'!$T$70:$T$78,MATCH(O197,('Spell Tables'!$R$70:$R$78),0)),IF(Q$187&gt;=O197,INDEX('Spell Tables'!$T$48:$T$63,MATCH(O197,('Spell Tables'!$R$48:$R$63),0)),IF(Q$189&gt;=O197,INDEX('Spell Tables'!$T$26:$T$40,MATCH(O197,('Spell Tables'!$R$26:$R$40),0)),IF(Q$191&gt;=O197,INDEX('Spell Tables'!$T$2:$T$22,MATCH(O197,('Spell Tables'!$R$2:$R$22),0))," "))))))))))))</f>
        <v xml:space="preserve"> </v>
      </c>
      <c r="R197" s="33" t="str">
        <f ca="1">IF(AND($O$15="Otherworldly patron - great old one",R$175&gt;=O197),INDEX('Spell Tables'!$X$226:$X$239,MATCH(O197,('Spell Tables'!$V$226:$V$239),0)),IF(AND($O$15="Otherworldly patron - fiend",R$175&gt;=O197),INDEX('Spell Tables'!$X$210:$X$223,MATCH(O197,('Spell Tables'!$V$210:$V$223),0)),IF(AND($O$15="Otherworldly patron - archfey",R$175&gt;=O197),INDEX('Spell Tables'!$X$194:$X$207,MATCH(O197,('Spell Tables'!$V$194:$V$207),0)),IF($R$173&gt;=O197,INDEX($AL$56:$AL$65,MATCH(O197,($AJ$56:$AJ$65),0)),IF($R$177&gt;=O197,INDEX('Spell Tables'!$X$168:$X$191,MATCH(O197,('Spell Tables'!$V$168:$V$191),0)),IF($R$179&gt;=O197,INDEX('Spell Tables'!$AB$141:$AB$149,MATCH(O197,('Spell Tables'!$Z$141:$Z$149),0)),IF($R$181&gt;=O197,INDEX('Spell Tables'!$T$119:$T$131,MATCH(O197,('Spell Tables'!$R$119:$R$131),0)),IF($R$183&gt;=O197,INDEX('Spell Tables'!$T$97:$T$104,MATCH(O197,('Spell Tables'!$R$97:$R$104),0)),IF($R$185&gt;=O197,INDEX('Spell Tables'!$AB$70:$AB$75,MATCH(O197,('Spell Tables'!$Z$70:$Z$75),0)),IF($R$187&gt;=O197,INDEX('Spell Tables'!$X$48:$X$65,MATCH(O197,('Spell Tables'!$V$48:$V$65),0)),IF($R$189&gt;=O197,INDEX('Spell Tables'!$X$26:$X$42,MATCH(O197,('Spell Tables'!$V$26:$V$42),0)),IF($R$191&gt;=O197,INDEX('Spell Tables'!$X$2:$X$23,MATCH(O197,('Spell Tables'!$V$2:$V$23),0))," "))))))))))))</f>
        <v xml:space="preserve"> </v>
      </c>
      <c r="S197" s="33" t="str">
        <f ca="1">IF(AND($O$15="Otherworldly patron - great old one",S$175&gt;=O197),INDEX('Spell Tables'!$AB$226:$AB$238,MATCH(O197,('Spell Tables'!$Z$226:$Z$238),0)),IF(AND($O$15="Otherworldly patron - fiend",S$175&gt;=O197),INDEX('Spell Tables'!$AB$210:$AB$222,MATCH(O197,('Spell Tables'!$Z$210:$Z$222),0)),IF(AND($O$15="Otherworldly patron - archfey",S$175&gt;=O197),INDEX('Spell Tables'!$AB$194:$AB$206,MATCH(O197,('Spell Tables'!$Z$194:$Z$206),0)),IF($S$173&gt;=O197,INDEX($AL$68:$AL$77,MATCH(O197,($AJ$68:$AJ$77),0)),IF($S$177&gt;=O197,INDEX('Spell Tables'!$AB$168:$AB$187,MATCH(O197,('Spell Tables'!$Z$168:$Z$187),0)),IF($S$179&gt;=O197,INDEX('Spell Tables'!$AJ$141:$AJ$144,MATCH(O197,('Spell Tables'!$AH$141:$AH$144),0)),IF($S$181&gt;=O197,INDEX('Spell Tables'!$X$119:$X$129,MATCH(O197,('Spell Tables'!$V$119:$V$129),0)),IF($S$183&gt;=O197,INDEX('Spell Tables'!$X$97:$X$106,MATCH(O197,('Spell Tables'!$V$97:$V$106),0)),IF($S$185&gt;=O197,INDEX('Spell Tables'!$AJ$70:$AJ$79,MATCH(O197,('Spell Tables'!$AH$70:$AH$79),0)),IF($S$187&gt;=O197,INDEX('Spell Tables'!$AB$48:$AB$60,MATCH(O197,('Spell Tables'!$Z$48:$Z$60),0)),IF($S$189&gt;=O197,INDEX('Spell Tables'!$AB$26:$AB$45,MATCH(O197,('Spell Tables'!$Z$26:$Z$45),0)),IF($S$191&gt;=O197,INDEX('Spell Tables'!$AB$2:$AB$17,MATCH(O197,('Spell Tables'!$Z$2:$Z$17),0))," "))))))))))))</f>
        <v xml:space="preserve"> </v>
      </c>
      <c r="T197" s="33" t="str">
        <f ca="1">IF(AND($O$15="Otherworldly patron - great old one",T$175&gt;=O197),INDEX('Spell Tables'!$AF$226:$AF$231,MATCH(O197,('Spell Tables'!$AD$226:$AD$231),0)),IF(AND($O$15="Otherworldly patron - fiend",T$175&gt;=O197),INDEX('Spell Tables'!$AF$210:$AF$215,MATCH(O197,('Spell Tables'!$AD$210:$AD$215),0)),IF(AND($O$15="Otherworldly patron - archfey",T$175&gt;=O197),INDEX('Spell Tables'!$AF$194:$AF$199,MATCH(O197,('Spell Tables'!$AD$194:$AD$199),0)),IF($T$173&gt;=O197,INDEX($AL$80:$AL$89,MATCH(O197,($AJ$80:$AJ$89),0)),IF($T$177&gt;=O197,INDEX('Spell Tables'!$AF$168:$AF$177,MATCH(O197,('Spell Tables'!$AD$168:$AD$177),0)),IF($T$179&gt;=O197,INDEX('Spell Tables'!$AR$141:$AR$144,MATCH(O197,('Spell Tables'!$AP$141:$AP$144),0)),IF($T$181&gt;=O197,INDEX('Spell Tables'!$AB$119:$AB$123,MATCH(O197,('Spell Tables'!$Z$119:$Z$123),0)),IF($T$183&gt;=O197,INDEX('Spell Tables'!$AB$97:$AB$102,MATCH(O197,('Spell Tables'!$Z$97:$Z$102),0)),IF($T$185&gt;=O197,INDEX('Spell Tables'!$AR$70:$AR$75,MATCH(O197,('Spell Tables'!$AP$70:$AP$75),0)),IF($T$187&gt;=O197,INDEX('Spell Tables'!$AF$48:$AF$63,MATCH(O197,('Spell Tables'!$AD$48:$AD$63),0)),IF($T$189&gt;=O197,INDEX('Spell Tables'!$AF$26:$AF$33,MATCH(O197,('Spell Tables'!$AD$26:$AD$33),0)),IF($T$191&gt;=O197,INDEX('Spell Tables'!$AF$2:$AF$9,MATCH(O197,('Spell Tables'!$AD$2:$AD$9),0))," "))))))))))))</f>
        <v xml:space="preserve"> </v>
      </c>
      <c r="AJ197" s="29">
        <v>10</v>
      </c>
      <c r="AK197" s="29">
        <v>3</v>
      </c>
    </row>
    <row r="198" spans="2:37" x14ac:dyDescent="0.3">
      <c r="B198" s="33"/>
      <c r="C198" s="33"/>
      <c r="D198" s="33"/>
      <c r="E198" s="33"/>
      <c r="F198" s="33"/>
      <c r="G198" s="33"/>
      <c r="H198" s="33"/>
      <c r="I198" s="33"/>
      <c r="J198" s="33"/>
      <c r="K198" s="33"/>
      <c r="L198" s="33"/>
      <c r="M198" s="33"/>
      <c r="N198" s="33"/>
      <c r="O198" s="34">
        <v>6</v>
      </c>
      <c r="P198" s="33" t="str">
        <f ca="1">IF(P$173&gt;=O198,INDEX('Spell Tables'!$P$242:$P$257,MATCH(O198,('Spell Tables'!$N$242:$N$257),0)),IF(P$175&gt;=O198,INDEX('Spell Tables'!$P$194:$P$201,MATCH(O198,('Spell Tables'!$N$194:$N$201),0)),IF(P$177&gt;=O198,INDEX('Spell Tables'!$P$168:$P$183,MATCH(O198,('Spell Tables'!$N$168:$N$183),0)),IF(P$179&gt;=O198,INDEX('Spell Tables'!$P$141:$P$156,MATCH(O198,('Spell Tables'!$N$141:$N$157),0)),IF(P$185&gt;=O198,INDEX('Spell Tables'!$P$70:$P$83,MATCH(O198,('Spell Tables'!$N$70:$N$83),0)),IF(P$187&gt;=O198,INDEX('Spell Tables'!$P$48:$P$55,MATCH(O198,('Spell Tables'!$N$48:$N$55),0)),IF(P$189&gt;=O198,INDEX('Spell Tables'!$P$26:$P$32,MATCH(O198,('Spell Tables'!$N$26:$N$32),0)),IF(P$191&gt;=O198,INDEX('Spell Tables'!$P$2:$P$12,MATCH(O198,('Spell Tables'!$N$2:$N$12),0))," "))))))))</f>
        <v xml:space="preserve"> </v>
      </c>
      <c r="Q198" s="33" t="str">
        <f ca="1">IF(AND($O$15="Otherworldly patron - great old one",Q$175&gt;=O198),INDEX('Spell Tables'!$T$226:$T$238,MATCH(O198,('Spell Tables'!$R$226:$R$238),0)),IF(AND($O$15="Otherworldly patron - fiend",Q$175&gt;=O198),INDEX('Spell Tables'!$T$210:$T$222,MATCH(O198,('Spell Tables'!$R$210:$R$222),0)),IF(Q$173&gt;=O198,INDEX($AL$44:$AL$53,MATCH(O198,($AJ$44:$AJ$53),0)),IF(AND($O$15="Otherworldly patron - archfey",Q$175&gt;=O198),INDEX('Spell Tables'!$T$194:$T$206,MATCH(O198,('Spell Tables'!$R$194:$R$206),0)),IF(Q$177&gt;=O198,INDEX('Spell Tables'!$T$168:$T$187,MATCH(O198,('Spell Tables'!$R$168:$R$187),0)),IF(Q$179&gt;=O198,INDEX('Spell Tables'!$T$141:$T$147,MATCH(O198,('Spell Tables'!$R$141:$R$147),0)),IF(Q$181&gt;=O198,INDEX('Spell Tables'!$P$119:$P$131,MATCH(O198,('Spell Tables'!$N$119:$N$131),0)),IF(Q$183&gt;=O198,INDEX('Spell Tables'!$P$97:$P$111,MATCH(O198,('Spell Tables'!$N$97:$N$111),0)),IF(Q$185&gt;=O198,INDEX('Spell Tables'!$T$70:$T$78,MATCH(O198,('Spell Tables'!$R$70:$R$78),0)),IF(Q$187&gt;=O198,INDEX('Spell Tables'!$T$48:$T$63,MATCH(O198,('Spell Tables'!$R$48:$R$63),0)),IF(Q$189&gt;=O198,INDEX('Spell Tables'!$T$26:$T$40,MATCH(O198,('Spell Tables'!$R$26:$R$40),0)),IF(Q$191&gt;=O198,INDEX('Spell Tables'!$T$2:$T$22,MATCH(O198,('Spell Tables'!$R$2:$R$22),0))," "))))))))))))</f>
        <v xml:space="preserve"> </v>
      </c>
      <c r="R198" s="33" t="str">
        <f ca="1">IF(AND($O$15="Otherworldly patron - great old one",R$175&gt;=O198),INDEX('Spell Tables'!$X$226:$X$239,MATCH(O198,('Spell Tables'!$V$226:$V$239),0)),IF(AND($O$15="Otherworldly patron - fiend",R$175&gt;=O198),INDEX('Spell Tables'!$X$210:$X$223,MATCH(O198,('Spell Tables'!$V$210:$V$223),0)),IF(AND($O$15="Otherworldly patron - archfey",R$175&gt;=O198),INDEX('Spell Tables'!$X$194:$X$207,MATCH(O198,('Spell Tables'!$V$194:$V$207),0)),IF($R$173&gt;=O198,INDEX($AL$56:$AL$65,MATCH(O198,($AJ$56:$AJ$65),0)),IF($R$177&gt;=O198,INDEX('Spell Tables'!$X$168:$X$191,MATCH(O198,('Spell Tables'!$V$168:$V$191),0)),IF($R$179&gt;=O198,INDEX('Spell Tables'!$AB$141:$AB$149,MATCH(O198,('Spell Tables'!$Z$141:$Z$149),0)),IF($R$181&gt;=O198,INDEX('Spell Tables'!$T$119:$T$131,MATCH(O198,('Spell Tables'!$R$119:$R$131),0)),IF($R$183&gt;=O198,INDEX('Spell Tables'!$T$97:$T$104,MATCH(O198,('Spell Tables'!$R$97:$R$104),0)),IF($R$185&gt;=O198,INDEX('Spell Tables'!$AB$70:$AB$75,MATCH(O198,('Spell Tables'!$Z$70:$Z$75),0)),IF($R$187&gt;=O198,INDEX('Spell Tables'!$X$48:$X$65,MATCH(O198,('Spell Tables'!$V$48:$V$65),0)),IF($R$189&gt;=O198,INDEX('Spell Tables'!$X$26:$X$42,MATCH(O198,('Spell Tables'!$V$26:$V$42),0)),IF($R$191&gt;=O198,INDEX('Spell Tables'!$X$2:$X$23,MATCH(O198,('Spell Tables'!$V$2:$V$23),0))," "))))))))))))</f>
        <v xml:space="preserve"> </v>
      </c>
      <c r="S198" s="33" t="str">
        <f ca="1">IF(AND($O$15="Otherworldly patron - great old one",S$175&gt;=O198),INDEX('Spell Tables'!$AB$226:$AB$238,MATCH(O198,('Spell Tables'!$Z$226:$Z$238),0)),IF(AND($O$15="Otherworldly patron - fiend",S$175&gt;=O198),INDEX('Spell Tables'!$AB$210:$AB$222,MATCH(O198,('Spell Tables'!$Z$210:$Z$222),0)),IF(AND($O$15="Otherworldly patron - archfey",S$175&gt;=O198),INDEX('Spell Tables'!$AB$194:$AB$206,MATCH(O198,('Spell Tables'!$Z$194:$Z$206),0)),IF($S$173&gt;=O198,INDEX($AL$68:$AL$77,MATCH(O198,($AJ$68:$AJ$77),0)),IF($S$177&gt;=O198,INDEX('Spell Tables'!$AB$168:$AB$187,MATCH(O198,('Spell Tables'!$Z$168:$Z$187),0)),IF($S$179&gt;=O198,INDEX('Spell Tables'!$AJ$141:$AJ$144,MATCH(O198,('Spell Tables'!$AH$141:$AH$144),0)),IF($S$181&gt;=O198,INDEX('Spell Tables'!$X$119:$X$129,MATCH(O198,('Spell Tables'!$V$119:$V$129),0)),IF($S$183&gt;=O198,INDEX('Spell Tables'!$X$97:$X$106,MATCH(O198,('Spell Tables'!$V$97:$V$106),0)),IF($S$185&gt;=O198,INDEX('Spell Tables'!$AJ$70:$AJ$79,MATCH(O198,('Spell Tables'!$AH$70:$AH$79),0)),IF($S$187&gt;=O198,INDEX('Spell Tables'!$AB$48:$AB$60,MATCH(O198,('Spell Tables'!$Z$48:$Z$60),0)),IF($S$189&gt;=O198,INDEX('Spell Tables'!$AB$26:$AB$45,MATCH(O198,('Spell Tables'!$Z$26:$Z$45),0)),IF($S$191&gt;=O198,INDEX('Spell Tables'!$AB$2:$AB$17,MATCH(O198,('Spell Tables'!$Z$2:$Z$17),0))," "))))))))))))</f>
        <v xml:space="preserve"> </v>
      </c>
      <c r="T198" s="33" t="str">
        <f ca="1">IF(AND($O$15="Otherworldly patron - great old one",T$175&gt;=O198),INDEX('Spell Tables'!$AF$226:$AF$231,MATCH(O198,('Spell Tables'!$AD$226:$AD$231),0)),IF(AND($O$15="Otherworldly patron - fiend",T$175&gt;=O198),INDEX('Spell Tables'!$AF$210:$AF$215,MATCH(O198,('Spell Tables'!$AD$210:$AD$215),0)),IF(AND($O$15="Otherworldly patron - archfey",T$175&gt;=O198),INDEX('Spell Tables'!$AF$194:$AF$199,MATCH(O198,('Spell Tables'!$AD$194:$AD$199),0)),IF($T$173&gt;=O198,INDEX($AL$80:$AL$89,MATCH(O198,($AJ$80:$AJ$89),0)),IF($T$177&gt;=O198,INDEX('Spell Tables'!$AF$168:$AF$177,MATCH(O198,('Spell Tables'!$AD$168:$AD$177),0)),IF($T$179&gt;=O198,INDEX('Spell Tables'!$AR$141:$AR$144,MATCH(O198,('Spell Tables'!$AP$141:$AP$144),0)),IF($T$181&gt;=O198,INDEX('Spell Tables'!$AB$119:$AB$123,MATCH(O198,('Spell Tables'!$Z$119:$Z$123),0)),IF($T$183&gt;=O198,INDEX('Spell Tables'!$AB$97:$AB$102,MATCH(O198,('Spell Tables'!$Z$97:$Z$102),0)),IF($T$185&gt;=O198,INDEX('Spell Tables'!$AR$70:$AR$75,MATCH(O198,('Spell Tables'!$AP$70:$AP$75),0)),IF($T$187&gt;=O198,INDEX('Spell Tables'!$AF$48:$AF$63,MATCH(O198,('Spell Tables'!$AD$48:$AD$63),0)),IF($T$189&gt;=O198,INDEX('Spell Tables'!$AF$26:$AF$33,MATCH(O198,('Spell Tables'!$AD$26:$AD$33),0)),IF($T$191&gt;=O198,INDEX('Spell Tables'!$AF$2:$AF$9,MATCH(O198,('Spell Tables'!$AD$2:$AD$9),0))," "))))))))))))</f>
        <v xml:space="preserve"> </v>
      </c>
    </row>
    <row r="199" spans="2:37" x14ac:dyDescent="0.3">
      <c r="B199" s="33"/>
      <c r="C199" s="33"/>
      <c r="D199" s="33"/>
      <c r="E199" s="33"/>
      <c r="F199" s="33"/>
      <c r="G199" s="33"/>
      <c r="H199" s="33"/>
      <c r="I199" s="33"/>
      <c r="J199" s="33"/>
      <c r="K199" s="33"/>
      <c r="L199" s="33"/>
      <c r="M199" s="33"/>
      <c r="N199" s="33"/>
      <c r="O199" s="34">
        <v>7</v>
      </c>
      <c r="P199" s="33" t="str">
        <f ca="1">IF(P$173&gt;=O199,INDEX('Spell Tables'!$P$242:$P$257,MATCH(O199,('Spell Tables'!$N$242:$N$257),0)),IF(P$175&gt;=O199,INDEX('Spell Tables'!$P$194:$P$201,MATCH(O199,('Spell Tables'!$N$194:$N$201),0)),IF(P$177&gt;=O199,INDEX('Spell Tables'!$P$168:$P$183,MATCH(O199,('Spell Tables'!$N$168:$N$183),0)),IF(P$179&gt;=O199,INDEX('Spell Tables'!$P$141:$P$156,MATCH(O199,('Spell Tables'!$N$141:$N$157),0)),IF(P$185&gt;=O199,INDEX('Spell Tables'!$P$70:$P$83,MATCH(O199,('Spell Tables'!$N$70:$N$83),0)),IF(P$187&gt;=O199,INDEX('Spell Tables'!$P$48:$P$55,MATCH(O199,('Spell Tables'!$N$48:$N$55),0)),IF(P$189&gt;=O199,INDEX('Spell Tables'!$P$26:$P$32,MATCH(O199,('Spell Tables'!$N$26:$N$32),0)),IF(P$191&gt;=O199,INDEX('Spell Tables'!$P$2:$P$12,MATCH(O199,('Spell Tables'!$N$2:$N$12),0))," "))))))))</f>
        <v xml:space="preserve"> </v>
      </c>
      <c r="Q199" s="33" t="str">
        <f ca="1">IF(AND($O$15="Otherworldly patron - great old one",Q$175&gt;=O199),INDEX('Spell Tables'!$T$226:$T$238,MATCH(O199,('Spell Tables'!$R$226:$R$238),0)),IF(AND($O$15="Otherworldly patron - fiend",Q$175&gt;=O199),INDEX('Spell Tables'!$T$210:$T$222,MATCH(O199,('Spell Tables'!$R$210:$R$222),0)),IF(Q$173&gt;=O199,INDEX($AL$44:$AL$53,MATCH(O199,($AJ$44:$AJ$53),0)),IF(AND($O$15="Otherworldly patron - archfey",Q$175&gt;=O199),INDEX('Spell Tables'!$T$194:$T$206,MATCH(O199,('Spell Tables'!$R$194:$R$206),0)),IF(Q$177&gt;=O199,INDEX('Spell Tables'!$T$168:$T$187,MATCH(O199,('Spell Tables'!$R$168:$R$187),0)),IF(Q$179&gt;=O199,INDEX('Spell Tables'!$T$141:$T$147,MATCH(O199,('Spell Tables'!$R$141:$R$147),0)),IF(Q$181&gt;=O199,INDEX('Spell Tables'!$P$119:$P$131,MATCH(O199,('Spell Tables'!$N$119:$N$131),0)),IF(Q$183&gt;=O199,INDEX('Spell Tables'!$P$97:$P$111,MATCH(O199,('Spell Tables'!$N$97:$N$111),0)),IF(Q$185&gt;=O199,INDEX('Spell Tables'!$T$70:$T$78,MATCH(O199,('Spell Tables'!$R$70:$R$78),0)),IF(Q$187&gt;=O199,INDEX('Spell Tables'!$T$48:$T$63,MATCH(O199,('Spell Tables'!$R$48:$R$63),0)),IF(Q$189&gt;=O199,INDEX('Spell Tables'!$T$26:$T$40,MATCH(O199,('Spell Tables'!$R$26:$R$40),0)),IF(Q$191&gt;=O199,INDEX('Spell Tables'!$T$2:$T$22,MATCH(O199,('Spell Tables'!$R$2:$R$22),0))," "))))))))))))</f>
        <v xml:space="preserve"> </v>
      </c>
      <c r="R199" s="33" t="str">
        <f ca="1">IF(AND($O$15="Otherworldly patron - great old one",R$175&gt;=O199),INDEX('Spell Tables'!$X$226:$X$239,MATCH(O199,('Spell Tables'!$V$226:$V$239),0)),IF(AND($O$15="Otherworldly patron - fiend",R$175&gt;=O199),INDEX('Spell Tables'!$X$210:$X$223,MATCH(O199,('Spell Tables'!$V$210:$V$223),0)),IF(AND($O$15="Otherworldly patron - archfey",R$175&gt;=O199),INDEX('Spell Tables'!$X$194:$X$207,MATCH(O199,('Spell Tables'!$V$194:$V$207),0)),IF($R$173&gt;=O199,INDEX($AL$56:$AL$65,MATCH(O199,($AJ$56:$AJ$65),0)),IF($R$177&gt;=O199,INDEX('Spell Tables'!$X$168:$X$191,MATCH(O199,('Spell Tables'!$V$168:$V$191),0)),IF($R$179&gt;=O199,INDEX('Spell Tables'!$AB$141:$AB$149,MATCH(O199,('Spell Tables'!$Z$141:$Z$149),0)),IF($R$181&gt;=O199,INDEX('Spell Tables'!$T$119:$T$131,MATCH(O199,('Spell Tables'!$R$119:$R$131),0)),IF($R$183&gt;=O199,INDEX('Spell Tables'!$T$97:$T$104,MATCH(O199,('Spell Tables'!$R$97:$R$104),0)),IF($R$185&gt;=O199,INDEX('Spell Tables'!$AB$70:$AB$75,MATCH(O199,('Spell Tables'!$Z$70:$Z$75),0)),IF($R$187&gt;=O199,INDEX('Spell Tables'!$X$48:$X$65,MATCH(O199,('Spell Tables'!$V$48:$V$65),0)),IF($R$189&gt;=O199,INDEX('Spell Tables'!$X$26:$X$42,MATCH(O199,('Spell Tables'!$V$26:$V$42),0)),IF($R$191&gt;=O199,INDEX('Spell Tables'!$X$2:$X$23,MATCH(O199,('Spell Tables'!$V$2:$V$23),0))," "))))))))))))</f>
        <v xml:space="preserve"> </v>
      </c>
      <c r="S199" s="33" t="str">
        <f ca="1">IF(AND($O$15="Otherworldly patron - great old one",S$175&gt;=O199),INDEX('Spell Tables'!$AB$226:$AB$238,MATCH(O199,('Spell Tables'!$Z$226:$Z$238),0)),IF(AND($O$15="Otherworldly patron - fiend",S$175&gt;=O199),INDEX('Spell Tables'!$AB$210:$AB$222,MATCH(O199,('Spell Tables'!$Z$210:$Z$222),0)),IF(AND($O$15="Otherworldly patron - archfey",S$175&gt;=O199),INDEX('Spell Tables'!$AB$194:$AB$206,MATCH(O199,('Spell Tables'!$Z$194:$Z$206),0)),IF($S$173&gt;=O199,INDEX($AL$68:$AL$77,MATCH(O199,($AJ$68:$AJ$77),0)),IF($S$177&gt;=O199,INDEX('Spell Tables'!$AB$168:$AB$187,MATCH(O199,('Spell Tables'!$Z$168:$Z$187),0)),IF($S$179&gt;=O199,INDEX('Spell Tables'!$AJ$141:$AJ$144,MATCH(O199,('Spell Tables'!$AH$141:$AH$144),0)),IF($S$181&gt;=O199,INDEX('Spell Tables'!$X$119:$X$129,MATCH(O199,('Spell Tables'!$V$119:$V$129),0)),IF($S$183&gt;=O199,INDEX('Spell Tables'!$X$97:$X$106,MATCH(O199,('Spell Tables'!$V$97:$V$106),0)),IF($S$185&gt;=O199,INDEX('Spell Tables'!$AJ$70:$AJ$79,MATCH(O199,('Spell Tables'!$AH$70:$AH$79),0)),IF($S$187&gt;=O199,INDEX('Spell Tables'!$AB$48:$AB$60,MATCH(O199,('Spell Tables'!$Z$48:$Z$60),0)),IF($S$189&gt;=O199,INDEX('Spell Tables'!$AB$26:$AB$45,MATCH(O199,('Spell Tables'!$Z$26:$Z$45),0)),IF($S$191&gt;=O199,INDEX('Spell Tables'!$AB$2:$AB$17,MATCH(O199,('Spell Tables'!$Z$2:$Z$17),0))," "))))))))))))</f>
        <v xml:space="preserve"> </v>
      </c>
      <c r="T199" s="33" t="str">
        <f ca="1">IF(AND($O$15="Otherworldly patron - great old one",T$175&gt;=O199),INDEX('Spell Tables'!$AF$226:$AF$231,MATCH(O199,('Spell Tables'!$AD$226:$AD$231),0)),IF(AND($O$15="Otherworldly patron - fiend",T$175&gt;=O199),INDEX('Spell Tables'!$AF$210:$AF$215,MATCH(O199,('Spell Tables'!$AD$210:$AD$215),0)),IF(AND($O$15="Otherworldly patron - archfey",T$175&gt;=O199),INDEX('Spell Tables'!$AF$194:$AF$199,MATCH(O199,('Spell Tables'!$AD$194:$AD$199),0)),IF($T$173&gt;=O199,INDEX($AL$80:$AL$89,MATCH(O199,($AJ$80:$AJ$89),0)),IF($T$177&gt;=O199,INDEX('Spell Tables'!$AF$168:$AF$177,MATCH(O199,('Spell Tables'!$AD$168:$AD$177),0)),IF($T$179&gt;=O199,INDEX('Spell Tables'!$AR$141:$AR$144,MATCH(O199,('Spell Tables'!$AP$141:$AP$144),0)),IF($T$181&gt;=O199,INDEX('Spell Tables'!$AB$119:$AB$123,MATCH(O199,('Spell Tables'!$Z$119:$Z$123),0)),IF($T$183&gt;=O199,INDEX('Spell Tables'!$AB$97:$AB$102,MATCH(O199,('Spell Tables'!$Z$97:$Z$102),0)),IF($T$185&gt;=O199,INDEX('Spell Tables'!$AR$70:$AR$75,MATCH(O199,('Spell Tables'!$AP$70:$AP$75),0)),IF($T$187&gt;=O199,INDEX('Spell Tables'!$AF$48:$AF$63,MATCH(O199,('Spell Tables'!$AD$48:$AD$63),0)),IF($T$189&gt;=O199,INDEX('Spell Tables'!$AF$26:$AF$33,MATCH(O199,('Spell Tables'!$AD$26:$AD$33),0)),IF($T$191&gt;=O199,INDEX('Spell Tables'!$AF$2:$AF$9,MATCH(O199,('Spell Tables'!$AD$2:$AD$9),0))," "))))))))))))</f>
        <v xml:space="preserve"> </v>
      </c>
    </row>
    <row r="200" spans="2:37" x14ac:dyDescent="0.3">
      <c r="B200" s="33"/>
      <c r="C200" s="33"/>
      <c r="D200" s="33"/>
      <c r="E200" s="33"/>
      <c r="F200" s="33"/>
      <c r="G200" s="33"/>
      <c r="H200" s="33"/>
      <c r="I200" s="33"/>
      <c r="J200" s="33"/>
      <c r="K200" s="33"/>
      <c r="L200" s="33"/>
      <c r="M200" s="33"/>
      <c r="N200" s="33"/>
      <c r="O200" s="34">
        <v>8</v>
      </c>
      <c r="P200" s="33" t="str">
        <f ca="1">IF(P$173&gt;=O200,INDEX('Spell Tables'!$P$242:$P$257,MATCH(O200,('Spell Tables'!$N$242:$N$257),0)),IF(P$175&gt;=O200,INDEX('Spell Tables'!$P$194:$P$201,MATCH(O200,('Spell Tables'!$N$194:$N$201),0)),IF(P$177&gt;=O200,INDEX('Spell Tables'!$P$168:$P$183,MATCH(O200,('Spell Tables'!$N$168:$N$183),0)),IF(P$179&gt;=O200,INDEX('Spell Tables'!$P$141:$P$156,MATCH(O200,('Spell Tables'!$N$141:$N$157),0)),IF(P$185&gt;=O200,INDEX('Spell Tables'!$P$70:$P$83,MATCH(O200,('Spell Tables'!$N$70:$N$83),0)),IF(P$187&gt;=O200,INDEX('Spell Tables'!$P$48:$P$55,MATCH(O200,('Spell Tables'!$N$48:$N$55),0)),IF(P$189&gt;=O200,INDEX('Spell Tables'!$P$26:$P$32,MATCH(O200,('Spell Tables'!$N$26:$N$32),0)),IF(P$191&gt;=O200,INDEX('Spell Tables'!$P$2:$P$12,MATCH(O200,('Spell Tables'!$N$2:$N$12),0))," "))))))))</f>
        <v xml:space="preserve"> </v>
      </c>
      <c r="Q200" s="33" t="str">
        <f ca="1">IF(AND($O$15="Otherworldly patron - great old one",Q$175&gt;=O200),INDEX('Spell Tables'!$T$226:$T$238,MATCH(O200,('Spell Tables'!$R$226:$R$238),0)),IF(AND($O$15="Otherworldly patron - fiend",Q$175&gt;=O200),INDEX('Spell Tables'!$T$210:$T$222,MATCH(O200,('Spell Tables'!$R$210:$R$222),0)),IF(Q$173&gt;=O200,INDEX($AL$44:$AL$53,MATCH(O200,($AJ$44:$AJ$53),0)),IF(AND($O$15="Otherworldly patron - archfey",Q$175&gt;=O200),INDEX('Spell Tables'!$T$194:$T$206,MATCH(O200,('Spell Tables'!$R$194:$R$206),0)),IF(Q$177&gt;=O200,INDEX('Spell Tables'!$T$168:$T$187,MATCH(O200,('Spell Tables'!$R$168:$R$187),0)),IF(Q$179&gt;=O200,INDEX('Spell Tables'!$T$141:$T$147,MATCH(O200,('Spell Tables'!$R$141:$R$147),0)),IF(Q$181&gt;=O200,INDEX('Spell Tables'!$P$119:$P$131,MATCH(O200,('Spell Tables'!$N$119:$N$131),0)),IF(Q$183&gt;=O200,INDEX('Spell Tables'!$P$97:$P$111,MATCH(O200,('Spell Tables'!$N$97:$N$111),0)),IF(Q$185&gt;=O200,INDEX('Spell Tables'!$T$70:$T$78,MATCH(O200,('Spell Tables'!$R$70:$R$78),0)),IF(Q$187&gt;=O200,INDEX('Spell Tables'!$T$48:$T$63,MATCH(O200,('Spell Tables'!$R$48:$R$63),0)),IF(Q$189&gt;=O200,INDEX('Spell Tables'!$T$26:$T$40,MATCH(O200,('Spell Tables'!$R$26:$R$40),0)),IF(Q$191&gt;=O200,INDEX('Spell Tables'!$T$2:$T$22,MATCH(O200,('Spell Tables'!$R$2:$R$22),0))," "))))))))))))</f>
        <v xml:space="preserve"> </v>
      </c>
      <c r="R200" s="33" t="str">
        <f ca="1">IF(AND($O$15="Otherworldly patron - great old one",R$175&gt;=O200),INDEX('Spell Tables'!$X$226:$X$239,MATCH(O200,('Spell Tables'!$V$226:$V$239),0)),IF(AND($O$15="Otherworldly patron - fiend",R$175&gt;=O200),INDEX('Spell Tables'!$X$210:$X$223,MATCH(O200,('Spell Tables'!$V$210:$V$223),0)),IF(AND($O$15="Otherworldly patron - archfey",R$175&gt;=O200),INDEX('Spell Tables'!$X$194:$X$207,MATCH(O200,('Spell Tables'!$V$194:$V$207),0)),IF($R$173&gt;=O200,INDEX($AL$56:$AL$65,MATCH(O200,($AJ$56:$AJ$65),0)),IF($R$177&gt;=O200,INDEX('Spell Tables'!$X$168:$X$191,MATCH(O200,('Spell Tables'!$V$168:$V$191),0)),IF($R$179&gt;=O200,INDEX('Spell Tables'!$AB$141:$AB$149,MATCH(O200,('Spell Tables'!$Z$141:$Z$149),0)),IF($R$181&gt;=O200,INDEX('Spell Tables'!$T$119:$T$131,MATCH(O200,('Spell Tables'!$R$119:$R$131),0)),IF($R$183&gt;=O200,INDEX('Spell Tables'!$T$97:$T$104,MATCH(O200,('Spell Tables'!$R$97:$R$104),0)),IF($R$185&gt;=O200,INDEX('Spell Tables'!$AB$70:$AB$75,MATCH(O200,('Spell Tables'!$Z$70:$Z$75),0)),IF($R$187&gt;=O200,INDEX('Spell Tables'!$X$48:$X$65,MATCH(O200,('Spell Tables'!$V$48:$V$65),0)),IF($R$189&gt;=O200,INDEX('Spell Tables'!$X$26:$X$42,MATCH(O200,('Spell Tables'!$V$26:$V$42),0)),IF($R$191&gt;=O200,INDEX('Spell Tables'!$X$2:$X$23,MATCH(O200,('Spell Tables'!$V$2:$V$23),0))," "))))))))))))</f>
        <v xml:space="preserve"> </v>
      </c>
      <c r="S200" s="33" t="str">
        <f ca="1">IF(AND($O$15="Otherworldly patron - great old one",S$175&gt;=O200),INDEX('Spell Tables'!$AB$226:$AB$238,MATCH(O200,('Spell Tables'!$Z$226:$Z$238),0)),IF(AND($O$15="Otherworldly patron - fiend",S$175&gt;=O200),INDEX('Spell Tables'!$AB$210:$AB$222,MATCH(O200,('Spell Tables'!$Z$210:$Z$222),0)),IF(AND($O$15="Otherworldly patron - archfey",S$175&gt;=O200),INDEX('Spell Tables'!$AB$194:$AB$206,MATCH(O200,('Spell Tables'!$Z$194:$Z$206),0)),IF($S$173&gt;=O200,INDEX($AL$68:$AL$77,MATCH(O200,($AJ$68:$AJ$77),0)),IF($S$177&gt;=O200,INDEX('Spell Tables'!$AB$168:$AB$187,MATCH(O200,('Spell Tables'!$Z$168:$Z$187),0)),IF($S$179&gt;=O200,INDEX('Spell Tables'!$AJ$141:$AJ$144,MATCH(O200,('Spell Tables'!$AH$141:$AH$144),0)),IF($S$181&gt;=O200,INDEX('Spell Tables'!$X$119:$X$129,MATCH(O200,('Spell Tables'!$V$119:$V$129),0)),IF($S$183&gt;=O200,INDEX('Spell Tables'!$X$97:$X$106,MATCH(O200,('Spell Tables'!$V$97:$V$106),0)),IF($S$185&gt;=O200,INDEX('Spell Tables'!$AJ$70:$AJ$79,MATCH(O200,('Spell Tables'!$AH$70:$AH$79),0)),IF($S$187&gt;=O200,INDEX('Spell Tables'!$AB$48:$AB$60,MATCH(O200,('Spell Tables'!$Z$48:$Z$60),0)),IF($S$189&gt;=O200,INDEX('Spell Tables'!$AB$26:$AB$45,MATCH(O200,('Spell Tables'!$Z$26:$Z$45),0)),IF($S$191&gt;=O200,INDEX('Spell Tables'!$AB$2:$AB$17,MATCH(O200,('Spell Tables'!$Z$2:$Z$17),0))," "))))))))))))</f>
        <v xml:space="preserve"> </v>
      </c>
      <c r="T200" s="33" t="str">
        <f ca="1">IF(AND($O$15="Otherworldly patron - great old one",T$175&gt;=O200),INDEX('Spell Tables'!$AF$226:$AF$231,MATCH(O200,('Spell Tables'!$AD$226:$AD$231),0)),IF(AND($O$15="Otherworldly patron - fiend",T$175&gt;=O200),INDEX('Spell Tables'!$AF$210:$AF$215,MATCH(O200,('Spell Tables'!$AD$210:$AD$215),0)),IF(AND($O$15="Otherworldly patron - archfey",T$175&gt;=O200),INDEX('Spell Tables'!$AF$194:$AF$199,MATCH(O200,('Spell Tables'!$AD$194:$AD$199),0)),IF($T$173&gt;=O200,INDEX($AL$80:$AL$89,MATCH(O200,($AJ$80:$AJ$89),0)),IF($T$177&gt;=O200,INDEX('Spell Tables'!$AF$168:$AF$177,MATCH(O200,('Spell Tables'!$AD$168:$AD$177),0)),IF($T$179&gt;=O200,INDEX('Spell Tables'!$AR$141:$AR$144,MATCH(O200,('Spell Tables'!$AP$141:$AP$144),0)),IF($T$181&gt;=O200,INDEX('Spell Tables'!$AB$119:$AB$123,MATCH(O200,('Spell Tables'!$Z$119:$Z$123),0)),IF($T$183&gt;=O200,INDEX('Spell Tables'!$AB$97:$AB$102,MATCH(O200,('Spell Tables'!$Z$97:$Z$102),0)),IF($T$185&gt;=O200,INDEX('Spell Tables'!$AR$70:$AR$75,MATCH(O200,('Spell Tables'!$AP$70:$AP$75),0)),IF($T$187&gt;=O200,INDEX('Spell Tables'!$AF$48:$AF$63,MATCH(O200,('Spell Tables'!$AD$48:$AD$63),0)),IF($T$189&gt;=O200,INDEX('Spell Tables'!$AF$26:$AF$33,MATCH(O200,('Spell Tables'!$AD$26:$AD$33),0)),IF($T$191&gt;=O200,INDEX('Spell Tables'!$AF$2:$AF$9,MATCH(O200,('Spell Tables'!$AD$2:$AD$9),0))," "))))))))))))</f>
        <v xml:space="preserve"> </v>
      </c>
    </row>
    <row r="201" spans="2:37" x14ac:dyDescent="0.3">
      <c r="B201" s="33"/>
      <c r="C201" s="33"/>
      <c r="D201" s="33"/>
      <c r="E201" s="33"/>
      <c r="F201" s="33"/>
      <c r="G201" s="33"/>
      <c r="H201" s="33"/>
      <c r="I201" s="33"/>
      <c r="J201" s="33"/>
      <c r="K201" s="33"/>
      <c r="L201" s="33"/>
      <c r="M201" s="33"/>
      <c r="N201" s="33"/>
      <c r="O201" s="34">
        <v>9</v>
      </c>
      <c r="P201" s="33" t="str">
        <f ca="1">IF(P$173&gt;=O201,INDEX('Spell Tables'!$P$242:$P$257,MATCH(O201,('Spell Tables'!$N$242:$N$257),0)),IF(P$175&gt;=O201,INDEX('Spell Tables'!$P$194:$P$201,MATCH(O201,('Spell Tables'!$N$194:$N$201),0)),IF(P$177&gt;=O201,INDEX('Spell Tables'!$P$168:$P$183,MATCH(O201,('Spell Tables'!$N$168:$N$183),0)),IF(P$179&gt;=O201,INDEX('Spell Tables'!$P$141:$P$156,MATCH(O201,('Spell Tables'!$N$141:$N$157),0)),IF(P$185&gt;=O201,INDEX('Spell Tables'!$P$70:$P$83,MATCH(O201,('Spell Tables'!$N$70:$N$83),0)),IF(P$187&gt;=O201,INDEX('Spell Tables'!$P$48:$P$55,MATCH(O201,('Spell Tables'!$N$48:$N$55),0)),IF(P$189&gt;=O201,INDEX('Spell Tables'!$P$26:$P$32,MATCH(O201,('Spell Tables'!$N$26:$N$32),0)),IF(P$191&gt;=O201,INDEX('Spell Tables'!$P$2:$P$12,MATCH(O201,('Spell Tables'!$N$2:$N$12),0))," "))))))))</f>
        <v xml:space="preserve"> </v>
      </c>
      <c r="Q201" s="33" t="str">
        <f ca="1">IF(AND($O$15="Otherworldly patron - great old one",Q$175&gt;=O201),INDEX('Spell Tables'!$T$226:$T$238,MATCH(O201,('Spell Tables'!$R$226:$R$238),0)),IF(AND($O$15="Otherworldly patron - fiend",Q$175&gt;=O201),INDEX('Spell Tables'!$T$210:$T$222,MATCH(O201,('Spell Tables'!$R$210:$R$222),0)),IF(Q$173&gt;=O201,INDEX($AL$44:$AL$53,MATCH(O201,($AJ$44:$AJ$53),0)),IF(AND($O$15="Otherworldly patron - archfey",Q$175&gt;=O201),INDEX('Spell Tables'!$T$194:$T$206,MATCH(O201,('Spell Tables'!$R$194:$R$206),0)),IF(Q$177&gt;=O201,INDEX('Spell Tables'!$T$168:$T$187,MATCH(O201,('Spell Tables'!$R$168:$R$187),0)),IF(Q$179&gt;=O201,INDEX('Spell Tables'!$T$141:$T$147,MATCH(O201,('Spell Tables'!$R$141:$R$147),0)),IF(Q$181&gt;=O201,INDEX('Spell Tables'!$P$119:$P$131,MATCH(O201,('Spell Tables'!$N$119:$N$131),0)),IF(Q$183&gt;=O201,INDEX('Spell Tables'!$P$97:$P$111,MATCH(O201,('Spell Tables'!$N$97:$N$111),0)),IF(Q$185&gt;=O201,INDEX('Spell Tables'!$T$70:$T$78,MATCH(O201,('Spell Tables'!$R$70:$R$78),0)),IF(Q$187&gt;=O201,INDEX('Spell Tables'!$T$48:$T$63,MATCH(O201,('Spell Tables'!$R$48:$R$63),0)),IF(Q$189&gt;=O201,INDEX('Spell Tables'!$T$26:$T$40,MATCH(O201,('Spell Tables'!$R$26:$R$40),0)),IF(Q$191&gt;=O201,INDEX('Spell Tables'!$T$2:$T$22,MATCH(O201,('Spell Tables'!$R$2:$R$22),0))," "))))))))))))</f>
        <v xml:space="preserve"> </v>
      </c>
      <c r="R201" s="33" t="str">
        <f ca="1">IF(AND($O$15="Otherworldly patron - great old one",R$175&gt;=O201),INDEX('Spell Tables'!$X$226:$X$239,MATCH(O201,('Spell Tables'!$V$226:$V$239),0)),IF(AND($O$15="Otherworldly patron - fiend",R$175&gt;=O201),INDEX('Spell Tables'!$X$210:$X$223,MATCH(O201,('Spell Tables'!$V$210:$V$223),0)),IF(AND($O$15="Otherworldly patron - archfey",R$175&gt;=O201),INDEX('Spell Tables'!$X$194:$X$207,MATCH(O201,('Spell Tables'!$V$194:$V$207),0)),IF($R$173&gt;=O201,INDEX($AL$56:$AL$65,MATCH(O201,($AJ$56:$AJ$65),0)),IF($R$177&gt;=O201,INDEX('Spell Tables'!$X$168:$X$191,MATCH(O201,('Spell Tables'!$V$168:$V$191),0)),IF($R$179&gt;=O201,INDEX('Spell Tables'!$AB$141:$AB$149,MATCH(O201,('Spell Tables'!$Z$141:$Z$149),0)),IF($R$181&gt;=O201,INDEX('Spell Tables'!$T$119:$T$131,MATCH(O201,('Spell Tables'!$R$119:$R$131),0)),IF($R$183&gt;=O201,INDEX('Spell Tables'!$T$97:$T$104,MATCH(O201,('Spell Tables'!$R$97:$R$104),0)),IF($R$185&gt;=O201,INDEX('Spell Tables'!$AB$70:$AB$75,MATCH(O201,('Spell Tables'!$Z$70:$Z$75),0)),IF($R$187&gt;=O201,INDEX('Spell Tables'!$X$48:$X$65,MATCH(O201,('Spell Tables'!$V$48:$V$65),0)),IF($R$189&gt;=O201,INDEX('Spell Tables'!$X$26:$X$42,MATCH(O201,('Spell Tables'!$V$26:$V$42),0)),IF($R$191&gt;=O201,INDEX('Spell Tables'!$X$2:$X$23,MATCH(O201,('Spell Tables'!$V$2:$V$23),0))," "))))))))))))</f>
        <v xml:space="preserve"> </v>
      </c>
      <c r="S201" s="33" t="str">
        <f ca="1">IF(AND($O$15="Otherworldly patron - great old one",S$175&gt;=O201),INDEX('Spell Tables'!$AB$226:$AB$238,MATCH(O201,('Spell Tables'!$Z$226:$Z$238),0)),IF(AND($O$15="Otherworldly patron - fiend",S$175&gt;=O201),INDEX('Spell Tables'!$AB$210:$AB$222,MATCH(O201,('Spell Tables'!$Z$210:$Z$222),0)),IF(AND($O$15="Otherworldly patron - archfey",S$175&gt;=O201),INDEX('Spell Tables'!$AB$194:$AB$206,MATCH(O201,('Spell Tables'!$Z$194:$Z$206),0)),IF($S$173&gt;=O201,INDEX($AL$68:$AL$77,MATCH(O201,($AJ$68:$AJ$77),0)),IF($S$177&gt;=O201,INDEX('Spell Tables'!$AB$168:$AB$187,MATCH(O201,('Spell Tables'!$Z$168:$Z$187),0)),IF($S$179&gt;=O201,INDEX('Spell Tables'!$AJ$141:$AJ$144,MATCH(O201,('Spell Tables'!$AH$141:$AH$144),0)),IF($S$181&gt;=O201,INDEX('Spell Tables'!$X$119:$X$129,MATCH(O201,('Spell Tables'!$V$119:$V$129),0)),IF($S$183&gt;=O201,INDEX('Spell Tables'!$X$97:$X$106,MATCH(O201,('Spell Tables'!$V$97:$V$106),0)),IF($S$185&gt;=O201,INDEX('Spell Tables'!$AJ$70:$AJ$79,MATCH(O201,('Spell Tables'!$AH$70:$AH$79),0)),IF($S$187&gt;=O201,INDEX('Spell Tables'!$AB$48:$AB$60,MATCH(O201,('Spell Tables'!$Z$48:$Z$60),0)),IF($S$189&gt;=O201,INDEX('Spell Tables'!$AB$26:$AB$45,MATCH(O201,('Spell Tables'!$Z$26:$Z$45),0)),IF($S$191&gt;=O201,INDEX('Spell Tables'!$AB$2:$AB$17,MATCH(O201,('Spell Tables'!$Z$2:$Z$17),0))," "))))))))))))</f>
        <v xml:space="preserve"> </v>
      </c>
      <c r="T201" s="33" t="str">
        <f ca="1">IF(AND($O$15="Otherworldly patron - great old one",T$175&gt;=O201),INDEX('Spell Tables'!$AF$226:$AF$231,MATCH(O201,('Spell Tables'!$AD$226:$AD$231),0)),IF(AND($O$15="Otherworldly patron - fiend",T$175&gt;=O201),INDEX('Spell Tables'!$AF$210:$AF$215,MATCH(O201,('Spell Tables'!$AD$210:$AD$215),0)),IF(AND($O$15="Otherworldly patron - archfey",T$175&gt;=O201),INDEX('Spell Tables'!$AF$194:$AF$199,MATCH(O201,('Spell Tables'!$AD$194:$AD$199),0)),IF($T$173&gt;=O201,INDEX($AL$80:$AL$89,MATCH(O201,($AJ$80:$AJ$89),0)),IF($T$177&gt;=O201,INDEX('Spell Tables'!$AF$168:$AF$177,MATCH(O201,('Spell Tables'!$AD$168:$AD$177),0)),IF($T$179&gt;=O201,INDEX('Spell Tables'!$AR$141:$AR$144,MATCH(O201,('Spell Tables'!$AP$141:$AP$144),0)),IF($T$181&gt;=O201,INDEX('Spell Tables'!$AB$119:$AB$123,MATCH(O201,('Spell Tables'!$Z$119:$Z$123),0)),IF($T$183&gt;=O201,INDEX('Spell Tables'!$AB$97:$AB$102,MATCH(O201,('Spell Tables'!$Z$97:$Z$102),0)),IF($T$185&gt;=O201,INDEX('Spell Tables'!$AR$70:$AR$75,MATCH(O201,('Spell Tables'!$AP$70:$AP$75),0)),IF($T$187&gt;=O201,INDEX('Spell Tables'!$AF$48:$AF$63,MATCH(O201,('Spell Tables'!$AD$48:$AD$63),0)),IF($T$189&gt;=O201,INDEX('Spell Tables'!$AF$26:$AF$33,MATCH(O201,('Spell Tables'!$AD$26:$AD$33),0)),IF($T$191&gt;=O201,INDEX('Spell Tables'!$AF$2:$AF$9,MATCH(O201,('Spell Tables'!$AD$2:$AD$9),0))," "))))))))))))</f>
        <v xml:space="preserve"> </v>
      </c>
    </row>
    <row r="202" spans="2:37" x14ac:dyDescent="0.3">
      <c r="B202" s="33"/>
      <c r="C202" s="33"/>
      <c r="D202" s="33"/>
      <c r="E202" s="33"/>
      <c r="F202" s="33"/>
      <c r="G202" s="33"/>
      <c r="H202" s="33"/>
      <c r="I202" s="33"/>
      <c r="J202" s="33"/>
      <c r="K202" s="33"/>
      <c r="L202" s="33"/>
      <c r="M202" s="33"/>
      <c r="N202" s="33"/>
      <c r="O202" s="34">
        <v>10</v>
      </c>
      <c r="P202" s="33" t="str">
        <f ca="1">IF(P$173&gt;=O202,INDEX('Spell Tables'!$P$242:$P$257,MATCH(O202,('Spell Tables'!$N$242:$N$257),0)),IF(P$175&gt;=O202,INDEX('Spell Tables'!$P$194:$P$201,MATCH(O202,('Spell Tables'!$N$194:$N$201),0)),IF(P$177&gt;=O202,INDEX('Spell Tables'!$P$168:$P$183,MATCH(O202,('Spell Tables'!$N$168:$N$183),0)),IF(P$179&gt;=O202,INDEX('Spell Tables'!$P$141:$P$156,MATCH(O202,('Spell Tables'!$N$141:$N$157),0)),IF(P$185&gt;=O202,INDEX('Spell Tables'!$P$70:$P$83,MATCH(O202,('Spell Tables'!$N$70:$N$83),0)),IF(P$187&gt;=O202,INDEX('Spell Tables'!$P$48:$P$55,MATCH(O202,('Spell Tables'!$N$48:$N$55),0)),IF(P$189&gt;=O202,INDEX('Spell Tables'!$P$26:$P$32,MATCH(O202,('Spell Tables'!$N$26:$N$32),0)),IF(P$191&gt;=O202,INDEX('Spell Tables'!$P$2:$P$12,MATCH(O202,('Spell Tables'!$N$2:$N$12),0))," "))))))))</f>
        <v xml:space="preserve"> </v>
      </c>
      <c r="Q202" s="33" t="str">
        <f ca="1">IF(AND($O$15="Otherworldly patron - great old one",Q$175&gt;=O202),INDEX('Spell Tables'!$T$226:$T$238,MATCH(O202,('Spell Tables'!$R$226:$R$238),0)),IF(AND($O$15="Otherworldly patron - fiend",Q$175&gt;=O202),INDEX('Spell Tables'!$T$210:$T$222,MATCH(O202,('Spell Tables'!$R$210:$R$222),0)),IF(Q$173&gt;=O202,INDEX($AL$44:$AL$53,MATCH(O202,($AJ$44:$AJ$53),0)),IF(AND($O$15="Otherworldly patron - archfey",Q$175&gt;=O202),INDEX('Spell Tables'!$T$194:$T$206,MATCH(O202,('Spell Tables'!$R$194:$R$206),0)),IF(Q$177&gt;=O202,INDEX('Spell Tables'!$T$168:$T$187,MATCH(O202,('Spell Tables'!$R$168:$R$187),0)),IF(Q$179&gt;=O202,INDEX('Spell Tables'!$T$141:$T$147,MATCH(O202,('Spell Tables'!$R$141:$R$147),0)),IF(Q$181&gt;=O202,INDEX('Spell Tables'!$P$119:$P$131,MATCH(O202,('Spell Tables'!$N$119:$N$131),0)),IF(Q$183&gt;=O202,INDEX('Spell Tables'!$P$97:$P$111,MATCH(O202,('Spell Tables'!$N$97:$N$111),0)),IF(Q$185&gt;=O202,INDEX('Spell Tables'!$T$70:$T$78,MATCH(O202,('Spell Tables'!$R$70:$R$78),0)),IF(Q$187&gt;=O202,INDEX('Spell Tables'!$T$48:$T$63,MATCH(O202,('Spell Tables'!$R$48:$R$63),0)),IF(Q$189&gt;=O202,INDEX('Spell Tables'!$T$26:$T$40,MATCH(O202,('Spell Tables'!$R$26:$R$40),0)),IF(Q$191&gt;=O202,INDEX('Spell Tables'!$T$2:$T$22,MATCH(O202,('Spell Tables'!$R$2:$R$22),0))," "))))))))))))</f>
        <v xml:space="preserve"> </v>
      </c>
      <c r="R202" s="33" t="str">
        <f ca="1">IF(AND($O$15="Otherworldly patron - great old one",R$175&gt;=O202),INDEX('Spell Tables'!$X$226:$X$239,MATCH(O202,('Spell Tables'!$V$226:$V$239),0)),IF(AND($O$15="Otherworldly patron - fiend",R$175&gt;=O202),INDEX('Spell Tables'!$X$210:$X$223,MATCH(O202,('Spell Tables'!$V$210:$V$223),0)),IF(AND($O$15="Otherworldly patron - archfey",R$175&gt;=O202),INDEX('Spell Tables'!$X$194:$X$207,MATCH(O202,('Spell Tables'!$V$194:$V$207),0)),IF($R$173&gt;=O202,INDEX($AL$56:$AL$65,MATCH(O202,($AJ$56:$AJ$65),0)),IF($R$177&gt;=O202,INDEX('Spell Tables'!$X$168:$X$191,MATCH(O202,('Spell Tables'!$V$168:$V$191),0)),IF($R$179&gt;=O202,INDEX('Spell Tables'!$AB$141:$AB$149,MATCH(O202,('Spell Tables'!$Z$141:$Z$149),0)),IF($R$181&gt;=O202,INDEX('Spell Tables'!$T$119:$T$131,MATCH(O202,('Spell Tables'!$R$119:$R$131),0)),IF($R$183&gt;=O202,INDEX('Spell Tables'!$T$97:$T$104,MATCH(O202,('Spell Tables'!$R$97:$R$104),0)),IF($R$185&gt;=O202,INDEX('Spell Tables'!$AB$70:$AB$75,MATCH(O202,('Spell Tables'!$Z$70:$Z$75),0)),IF($R$187&gt;=O202,INDEX('Spell Tables'!$X$48:$X$65,MATCH(O202,('Spell Tables'!$V$48:$V$65),0)),IF($R$189&gt;=O202,INDEX('Spell Tables'!$X$26:$X$42,MATCH(O202,('Spell Tables'!$V$26:$V$42),0)),IF($R$191&gt;=O202,INDEX('Spell Tables'!$X$2:$X$23,MATCH(O202,('Spell Tables'!$V$2:$V$23),0))," "))))))))))))</f>
        <v xml:space="preserve"> </v>
      </c>
      <c r="S202" s="33" t="str">
        <f ca="1">IF(AND($O$15="Otherworldly patron - great old one",S$175&gt;=O202),INDEX('Spell Tables'!$AB$226:$AB$238,MATCH(O202,('Spell Tables'!$Z$226:$Z$238),0)),IF(AND($O$15="Otherworldly patron - fiend",S$175&gt;=O202),INDEX('Spell Tables'!$AB$210:$AB$222,MATCH(O202,('Spell Tables'!$Z$210:$Z$222),0)),IF(AND($O$15="Otherworldly patron - archfey",S$175&gt;=O202),INDEX('Spell Tables'!$AB$194:$AB$206,MATCH(O202,('Spell Tables'!$Z$194:$Z$206),0)),IF($S$173&gt;=O202,INDEX($AL$68:$AL$77,MATCH(O202,($AJ$68:$AJ$77),0)),IF($S$177&gt;=O202,INDEX('Spell Tables'!$AB$168:$AB$187,MATCH(O202,('Spell Tables'!$Z$168:$Z$187),0)),IF($S$179&gt;=O202,INDEX('Spell Tables'!$AJ$141:$AJ$144,MATCH(O202,('Spell Tables'!$AH$141:$AH$144),0)),IF($S$181&gt;=O202,INDEX('Spell Tables'!$X$119:$X$129,MATCH(O202,('Spell Tables'!$V$119:$V$129),0)),IF($S$183&gt;=O202,INDEX('Spell Tables'!$X$97:$X$106,MATCH(O202,('Spell Tables'!$V$97:$V$106),0)),IF($S$185&gt;=O202,INDEX('Spell Tables'!$AJ$70:$AJ$79,MATCH(O202,('Spell Tables'!$AH$70:$AH$79),0)),IF($S$187&gt;=O202,INDEX('Spell Tables'!$AB$48:$AB$60,MATCH(O202,('Spell Tables'!$Z$48:$Z$60),0)),IF($S$189&gt;=O202,INDEX('Spell Tables'!$AB$26:$AB$45,MATCH(O202,('Spell Tables'!$Z$26:$Z$45),0)),IF($S$191&gt;=O202,INDEX('Spell Tables'!$AB$2:$AB$17,MATCH(O202,('Spell Tables'!$Z$2:$Z$17),0))," "))))))))))))</f>
        <v xml:space="preserve"> </v>
      </c>
      <c r="T202" s="33" t="str">
        <f ca="1">IF(AND($O$15="Otherworldly patron - great old one",T$175&gt;=O202),INDEX('Spell Tables'!$AF$226:$AF$231,MATCH(O202,('Spell Tables'!$AD$226:$AD$231),0)),IF(AND($O$15="Otherworldly patron - fiend",T$175&gt;=O202),INDEX('Spell Tables'!$AF$210:$AF$215,MATCH(O202,('Spell Tables'!$AD$210:$AD$215),0)),IF(AND($O$15="Otherworldly patron - archfey",T$175&gt;=O202),INDEX('Spell Tables'!$AF$194:$AF$199,MATCH(O202,('Spell Tables'!$AD$194:$AD$199),0)),IF($T$173&gt;=O202,INDEX('Spell Tables'!$AF$242:$AF$264,MATCH(O202,('Spell Tables'!$AD$242:$AD$264),0)),IF($T$177&gt;=O202,INDEX('Spell Tables'!$AF$168:$AF$177,MATCH(O202,('Spell Tables'!$AD$168:$AD$177),0)),IF($T$179&gt;=O202,INDEX('Spell Tables'!$AR$141:$AR$144,MATCH(O202,('Spell Tables'!$AP$141:$AP$144),0)),IF($T$181&gt;=O202,INDEX('Spell Tables'!$AB$119:$AB$123,MATCH(O202,('Spell Tables'!$Z$119:$Z$123),0)),IF($T$183&gt;=O202,INDEX('Spell Tables'!$AB$97:$AB$102,MATCH(O202,('Spell Tables'!$Z$97:$Z$102),0)),IF($T$185&gt;=O202,INDEX('Spell Tables'!$AR$70:$AR$75,MATCH(O202,('Spell Tables'!$AP$70:$AP$75),0)),IF($T$187&gt;=O202,INDEX('Spell Tables'!$AF$48:$AF$63,MATCH(O202,('Spell Tables'!$AD$48:$AD$63),0)),IF($T$189&gt;=O202,INDEX('Spell Tables'!$AF$26:$AF$33,MATCH(O202,('Spell Tables'!$AD$26:$AD$33),0)),IF($T$191&gt;=O202,INDEX('Spell Tables'!$AF$2:$AF$9,MATCH(O202,('Spell Tables'!$AD$2:$AD$9),0))," "))))))))))))</f>
        <v xml:space="preserve"> </v>
      </c>
    </row>
    <row r="204" spans="2:37" ht="19.5" thickBot="1" x14ac:dyDescent="0.35">
      <c r="C204" s="38"/>
      <c r="D204" s="38"/>
      <c r="E204" s="38"/>
      <c r="F204" s="38"/>
      <c r="G204" s="38"/>
      <c r="H204" s="38"/>
      <c r="I204" s="38"/>
      <c r="J204" s="38"/>
      <c r="K204" s="38"/>
      <c r="L204" s="38"/>
      <c r="M204" s="38"/>
      <c r="O204" s="38"/>
      <c r="P204" s="38"/>
      <c r="Q204" s="38"/>
      <c r="R204" s="38"/>
      <c r="S204" s="38"/>
      <c r="T204" s="38"/>
    </row>
    <row r="205" spans="2:37" hidden="1" x14ac:dyDescent="0.3">
      <c r="N205" s="72"/>
      <c r="P205" s="27"/>
      <c r="Q205" s="27"/>
      <c r="R205" s="27"/>
      <c r="S205" s="91"/>
    </row>
    <row r="206" spans="2:37" x14ac:dyDescent="0.3">
      <c r="N206" s="72"/>
      <c r="O206" s="135" t="s">
        <v>1342</v>
      </c>
      <c r="P206" s="65" t="str">
        <f ca="1">IF(AND(AF14=2,OR(O11="monk",O11="barbarian",O11="warlock"),OR(Q11="fighter",Q11="rogue"),OR(P15&lt;&gt;"arcane trickster",R15&lt;&gt;"arcane trickster",P15&lt;&gt;"eldritch knight",R15&lt;&gt;"eldritch knight")),0,IF(AND(AF14=2,OR(O11="monk",O11="barbarian",O11="warlock"),OR(Q11="monk",Q11="barbarian",Q11="warlock")),0,IF(AND(AF14=2,OR(O11="monk",O11="barbarian",O11="warlock",Q11="monk",Q11="barbarian",Q11="warlock"),OR(O11="paladin",Q11="paladin",O11="ranger",Q11="ranger")),INDEX('Spell Tables'!H119:H138,MATCH(AF18,('Spell Tables'!B119:B138),0)),IF(AF14=2,INDEX('Spell Tables'!H242:H261,MATCH(AF18,('Spell Tables'!B242:B261),0)),IF(OR($O$11="bard",$O$11="cleric",$O$11="druid",O11="sorcerer",O11="wizard"),INDEX('Spell Tables'!H$2:H$21,MATCH($O$12,('Spell Tables'!$A$2:$A$21),0))," ")))))</f>
        <v xml:space="preserve"> </v>
      </c>
      <c r="Q206" s="65" t="str">
        <f ca="1">IF(AND(AF14=2,OR(O11="monk",O11="barbarian",O11="warlock"),OR(Q11="fighter",Q11="rogue"),OR(P15&lt;&gt;"arcane trickster",R15&lt;&gt;"arcane trickster",P15&lt;&gt;"eldritch knight",R15&lt;&gt;"eldritch knight")),0,IF(AND(AF14=2,OR(O11="monk",O11="barbarian",O11="warlock"),OR(Q11="monk",Q11="barbarian",Q11="warlock")),0,IF(AF14=2,INDEX('Spell Tables'!I242:I261,MATCH(AF18,('Spell Tables'!B242:B261),0)),IF(OR($O$11="bard",$O$11="cleric",$O$11="druid",O11="sorcerer",O11="wizard"),INDEX('Spell Tables'!I$2:I$21,MATCH($O$12,('Spell Tables'!$A$2:$A$21),0))," "))))</f>
        <v xml:space="preserve"> </v>
      </c>
      <c r="R206" s="65" t="str">
        <f ca="1">IF(AND(AF14=2,OR(O11="monk",O11="barbarian",O11="warlock"),OR(Q11="fighter",Q11="rogue"),OR(P15&lt;&gt;"arcane trickster",R15&lt;&gt;"arcane trickster",P15&lt;&gt;"eldritch knight",R15&lt;&gt;"eldritch knight")),0,IF(AND(AF14=2,OR(O11="monk",O11="barbarian",O11="warlock"),OR(Q11="monk",Q11="barbarian",Q11="warlock")),0,IF(AF14=2,INDEX('Spell Tables'!J242:J261,MATCH(AF18,('Spell Tables'!B242:B261),0)),IF(OR($O$11="bard",$O$11="cleric",$O$11="druid",O11="sorcerer",O11="wizard"),INDEX('Spell Tables'!J$2:J$21,MATCH($O$12,('Spell Tables'!$A$2:$A$21),0))," "))))</f>
        <v xml:space="preserve"> </v>
      </c>
      <c r="S206" s="65" t="str">
        <f ca="1">IF(AND(AF14=2,OR(O11="monk",O11="barbarian",O11="warlock"),OR(Q11="fighter",Q11="rogue"),OR(P15&lt;&gt;"arcane trickster",R15&lt;&gt;"arcane trickster",P15&lt;&gt;"eldritch knight",R15&lt;&gt;"eldritch knight")),0,IF(AND(AF14=2,OR(O11="monk",O11="barbarian",O11="warlock"),OR(Q11="monk",Q11="barbarian",Q11="warlock")),0,IF(AF14=2,INDEX('Spell Tables'!K242:K261,MATCH(AF18,('Spell Tables'!B242:B261),0)),IF(OR($O$11="bard",$O$11="cleric",$O$11="druid",O11="sorcerer",O11="wizard"),INDEX('Spell Tables'!K$2:K$21,MATCH($O$12,('Spell Tables'!$A$2:$A$21),0))," "))))</f>
        <v xml:space="preserve"> </v>
      </c>
      <c r="T206" s="66" t="str">
        <f ca="1">IF(AND(AF14=2,OR(O11="monk",O11="barbarian",O11="warlock"),OR(Q11="fighter",Q11="rogue"),OR(P15&lt;&gt;"arcane trickster",R15&lt;&gt;"arcane trickster",P15&lt;&gt;"eldritch knight",R15&lt;&gt;"eldritch knight")),0,IF(AND(AF14=2,OR(O11="monk",O11="barbarian",O11="warlock"),OR(Q11="monk",Q11="barbarian",Q11="warlock")),0,IF(AF14=2,INDEX('Spell Tables'!L242:L261,MATCH(AF18,('Spell Tables'!B242:B261),0)),IF(OR($O$11="bard",$O$11="cleric",$O$11="druid",O11="sorcerer",O11="wizard"),INDEX('Spell Tables'!L$2:L$21,MATCH($O$12,('Spell Tables'!$A$2:$A$21),0))," "))))</f>
        <v xml:space="preserve"> </v>
      </c>
    </row>
    <row r="207" spans="2:37" hidden="1" x14ac:dyDescent="0.3">
      <c r="N207" s="72"/>
      <c r="O207" s="79"/>
      <c r="P207" s="29" t="str">
        <f ca="1">IF(AND(O11="wizard",O12&gt;=11),"x",IF(AND($O$11="wizard",$O$12&gt;9),"xx",IF(AND(O11="wizard",O12=9),"xxx"," ")))</f>
        <v xml:space="preserve"> </v>
      </c>
      <c r="Q207" s="29" t="str">
        <f ca="1">IF(AND(O11="wizard",O12&gt;=13),"x",IF(AND($O$11="wizard",$O$12&gt;11),"xx",IF(AND(O11="wizard",O12=11),"xxx"," ")))</f>
        <v xml:space="preserve"> </v>
      </c>
      <c r="R207" s="29" t="str">
        <f ca="1">IF(AND(O11="wizard",O12&gt;=15),"x",IF(AND($O$11="wizard",$O$12&gt;13),"xx",IF(AND(O11="wizard",O12=13),"xxx"," ")))</f>
        <v xml:space="preserve"> </v>
      </c>
      <c r="S207" s="29" t="str">
        <f ca="1">IF(AND(O11="wizard",O12&gt;=17),"x",IF(AND($O$11="wizard",$O$12&gt;15),"xx",IF(AND(O11="wizard",O12=15),"xxx"," ")))</f>
        <v xml:space="preserve"> </v>
      </c>
      <c r="T207" s="72" t="str">
        <f ca="1">IF(AND($O$11="wizard",$O$12&gt;17),"xx",IF(AND(O11="wizard",O12=17),"xxx"," "))</f>
        <v xml:space="preserve"> </v>
      </c>
    </row>
    <row r="208" spans="2:37" hidden="1" x14ac:dyDescent="0.3">
      <c r="N208" s="72"/>
      <c r="O208" s="79"/>
      <c r="P208" s="29">
        <f ca="1">IF(P207="x",RANDBETWEEN(2,3),IF(P207="xx",RANDBETWEEN(2,3),IF(P207="xxx",RANDBETWEEN(1,2),0)))</f>
        <v>0</v>
      </c>
      <c r="Q208" s="29">
        <f ca="1">IF(Q207="x",RANDBETWEEN(2,3),IF(Q207="xx",RANDBETWEEN(2,3),IF(Q207="xxx",RANDBETWEEN(1,2),0)))</f>
        <v>0</v>
      </c>
      <c r="R208" s="29">
        <f ca="1">IF(R207="x",RANDBETWEEN(1,2),IF(R207="xx",RANDBETWEEN(1,2),IF(R207="xxx",RANDBETWEEN(1,2),0)))</f>
        <v>0</v>
      </c>
      <c r="S208" s="29">
        <f ca="1">IF(OR(S207="x",S207="xx"),RANDBETWEEN(1,2),IF(S207="xxx",RANDBETWEEN(1,2),0))</f>
        <v>0</v>
      </c>
      <c r="T208" s="72">
        <f ca="1">IF(T207="xx",RANDBETWEEN(1,2),IF(T207="xxx",RANDBETWEEN(1,2),0))</f>
        <v>0</v>
      </c>
    </row>
    <row r="209" spans="14:20" hidden="1" x14ac:dyDescent="0.3">
      <c r="N209" s="72"/>
      <c r="O209" s="79"/>
      <c r="P209" s="29" t="str">
        <f ca="1">IF(AND($O$11="warlock",$O$12&gt;=9),"xx"," ")</f>
        <v xml:space="preserve"> </v>
      </c>
      <c r="T209" s="72"/>
    </row>
    <row r="210" spans="14:20" hidden="1" x14ac:dyDescent="0.3">
      <c r="N210" s="72"/>
      <c r="O210" s="79"/>
      <c r="P210" s="29">
        <f ca="1">IF(P209="x",RANDBETWEEN(2,3),IF(P209="xx",RANDBETWEEN(2,3),0))</f>
        <v>0</v>
      </c>
      <c r="T210" s="72"/>
    </row>
    <row r="211" spans="14:20" hidden="1" x14ac:dyDescent="0.3">
      <c r="N211" s="72"/>
      <c r="O211" s="79"/>
      <c r="P211" s="29" t="str">
        <f ca="1">IF(AND($O$11="sorcerer",$O$12&gt;=11),"x",IF(AND($O$11="sorcerer",$O$12&gt;=9),"xx"," "))</f>
        <v xml:space="preserve"> </v>
      </c>
      <c r="Q211" s="29" t="str">
        <f ca="1">IF(AND($O$11="sorcerer",$O$12&gt;=13),"x",IF(AND($O$11="sorcerer",$O$12&gt;=11),"xx"," "))</f>
        <v xml:space="preserve"> </v>
      </c>
      <c r="R211" s="29" t="str">
        <f ca="1">IF(AND($O$11="sorcerer",$O$12&gt;=15),"x",IF(AND($O$11="sorcerer",$O$12&gt;=13),"xx"," "))</f>
        <v xml:space="preserve"> </v>
      </c>
      <c r="S211" s="29" t="str">
        <f ca="1">IF(AND($O$11="sorcerer",$O$12&gt;=17),"x",IF(AND($O$11="sorcerer",$O$12&gt;15),"xx"," "))</f>
        <v xml:space="preserve"> </v>
      </c>
      <c r="T211" s="72" t="str">
        <f ca="1">IF(AND($O$11="sorcerer",$O$12&gt;=17),"xx"," ")</f>
        <v xml:space="preserve"> </v>
      </c>
    </row>
    <row r="212" spans="14:20" hidden="1" x14ac:dyDescent="0.3">
      <c r="N212" s="72"/>
      <c r="O212" s="79"/>
      <c r="P212" s="29">
        <f ca="1">IF(P211="x",RANDBETWEEN(2,3),IF(P211="xx",RANDBETWEEN(2,3),0))</f>
        <v>0</v>
      </c>
      <c r="Q212" s="29">
        <f ca="1">IF(Q211="x",RANDBETWEEN(2,3),IF(Q211="xx",RANDBETWEEN(2,3),0))</f>
        <v>0</v>
      </c>
      <c r="R212" s="29">
        <f ca="1">IF(R211="x",RANDBETWEEN(1,2),IF(R211="xx",RANDBETWEEN(1,2),0))</f>
        <v>0</v>
      </c>
      <c r="S212" s="29">
        <f ca="1">IF(OR(S211="x",S211="xx"),RANDBETWEEN(1,2),0)</f>
        <v>0</v>
      </c>
      <c r="T212" s="72">
        <f ca="1">IF(T211="xx",RANDBETWEEN(1,2),0)</f>
        <v>0</v>
      </c>
    </row>
    <row r="213" spans="14:20" hidden="1" x14ac:dyDescent="0.3">
      <c r="N213" s="72"/>
      <c r="O213" s="79"/>
      <c r="T213" s="72"/>
    </row>
    <row r="214" spans="14:20" hidden="1" x14ac:dyDescent="0.3">
      <c r="N214" s="72"/>
      <c r="O214" s="79"/>
      <c r="T214" s="72"/>
    </row>
    <row r="215" spans="14:20" hidden="1" x14ac:dyDescent="0.3">
      <c r="N215" s="72"/>
      <c r="O215" s="79"/>
      <c r="P215" s="29" t="str">
        <f ca="1">IF(AND($O$11="ranger",$O$12&gt;=17),"xx"," ")</f>
        <v xml:space="preserve"> </v>
      </c>
      <c r="T215" s="72"/>
    </row>
    <row r="216" spans="14:20" hidden="1" x14ac:dyDescent="0.3">
      <c r="N216" s="72"/>
      <c r="O216" s="79"/>
      <c r="P216" s="29">
        <f ca="1">IF(P215="x",RANDBETWEEN(2,3),IF(P215="xx",RANDBETWEEN(2,3),0))</f>
        <v>0</v>
      </c>
      <c r="T216" s="72"/>
    </row>
    <row r="217" spans="14:20" hidden="1" x14ac:dyDescent="0.3">
      <c r="N217" s="72"/>
      <c r="O217" s="79"/>
      <c r="P217" s="29" t="str">
        <f ca="1">IF(AND(O11="paladin",O12&gt;=17),"xx"," ")</f>
        <v xml:space="preserve"> </v>
      </c>
      <c r="T217" s="72"/>
    </row>
    <row r="218" spans="14:20" hidden="1" x14ac:dyDescent="0.3">
      <c r="N218" s="72"/>
      <c r="O218" s="79"/>
      <c r="P218" s="29">
        <f ca="1">IF(P217="x",RANDBETWEEN(2,3),IF(P217="xx",RANDBETWEEN(2,3),0))</f>
        <v>0</v>
      </c>
      <c r="T218" s="72"/>
    </row>
    <row r="219" spans="14:20" hidden="1" x14ac:dyDescent="0.3">
      <c r="N219" s="72"/>
      <c r="O219" s="79"/>
      <c r="T219" s="72"/>
    </row>
    <row r="220" spans="14:20" hidden="1" x14ac:dyDescent="0.3">
      <c r="N220" s="72"/>
      <c r="O220" s="79"/>
      <c r="T220" s="72"/>
    </row>
    <row r="221" spans="14:20" hidden="1" x14ac:dyDescent="0.3">
      <c r="N221" s="72"/>
      <c r="O221" s="79"/>
      <c r="P221" s="29" t="str">
        <f ca="1">IF(AND($O$11="druid",$O$12&gt;=11),"x",IF(AND($O$11="druid",$O$12&gt;=9),"xx"," "))</f>
        <v xml:space="preserve"> </v>
      </c>
      <c r="Q221" s="29" t="str">
        <f ca="1">IF(AND($O$11="druid",$O$12&gt;=13),"x",IF(AND($O$11="druid",$O$12&gt;=11),"xx"," "))</f>
        <v xml:space="preserve"> </v>
      </c>
      <c r="R221" s="29" t="str">
        <f ca="1">IF(AND($O$11="druid",$O$12&gt;=15),"x",IF(AND($O$11="druid",$O$12&gt;=13),"xx"," "))</f>
        <v xml:space="preserve"> </v>
      </c>
      <c r="S221" s="29" t="str">
        <f ca="1">IF(AND($O$11="druid",$O$12&gt;=17),"x",IF(AND($O$11="druid",$O$12&gt;15),"xx"," "))</f>
        <v xml:space="preserve"> </v>
      </c>
      <c r="T221" s="72" t="str">
        <f ca="1">IF(AND($O$11="druid",$O$12&gt;=17),"xx"," ")</f>
        <v xml:space="preserve"> </v>
      </c>
    </row>
    <row r="222" spans="14:20" hidden="1" x14ac:dyDescent="0.3">
      <c r="N222" s="72"/>
      <c r="O222" s="79"/>
      <c r="P222" s="29">
        <f ca="1">IF(P221="x",RANDBETWEEN(2,3),IF(P221="xx",RANDBETWEEN(2,3),0))</f>
        <v>0</v>
      </c>
      <c r="Q222" s="29">
        <f ca="1">IF(Q221="x",RANDBETWEEN(2,3),IF(Q221="xx",RANDBETWEEN(2,3),0))</f>
        <v>0</v>
      </c>
      <c r="R222" s="29">
        <f ca="1">IF(R221="x",RANDBETWEEN(1,2),IF(R221="xx",RANDBETWEEN(1,2),0))</f>
        <v>0</v>
      </c>
      <c r="S222" s="29">
        <f ca="1">IF(OR(S221="x",S221="xx"),RANDBETWEEN(1,2),0)</f>
        <v>0</v>
      </c>
      <c r="T222" s="72">
        <f ca="1">IF(T221="xx",RANDBETWEEN(1,2),0)</f>
        <v>0</v>
      </c>
    </row>
    <row r="223" spans="14:20" hidden="1" x14ac:dyDescent="0.3">
      <c r="N223" s="72"/>
      <c r="O223" s="79"/>
      <c r="P223" s="29" t="str">
        <f ca="1">IF(AND(O11="cleric",O12&gt;=11),"x",IF(AND($O$11="cleric",$O$12&gt;=9),"xx"," "))</f>
        <v xml:space="preserve"> </v>
      </c>
      <c r="Q223" s="29" t="str">
        <f ca="1">IF(AND(O11="cleric",O12&gt;=13),"x",IF(AND($O$11="cleric",$O$12&gt;=11),"xx"," "))</f>
        <v xml:space="preserve"> </v>
      </c>
      <c r="R223" s="29" t="str">
        <f ca="1">IF(AND(O11="cleric",O12&gt;=15),"x",IF(AND($O$11="cleric",$O$12&gt;=13),"xx"," "))</f>
        <v xml:space="preserve"> </v>
      </c>
      <c r="S223" s="29" t="str">
        <f ca="1">IF(AND(O11="cleric",O12&gt;=17),"x",IF(AND($O$11="cleric",$O$12&gt;15),"xx"," "))</f>
        <v xml:space="preserve"> </v>
      </c>
      <c r="T223" s="72" t="str">
        <f ca="1">IF(AND($O$11="cleric",$O$12&gt;=17),"xx"," ")</f>
        <v xml:space="preserve"> </v>
      </c>
    </row>
    <row r="224" spans="14:20" hidden="1" x14ac:dyDescent="0.3">
      <c r="N224" s="72"/>
      <c r="O224" s="79"/>
      <c r="P224" s="29">
        <f ca="1">IF(P223="x",RANDBETWEEN(2,3),IF(P223="xx",RANDBETWEEN(2,3),0))</f>
        <v>0</v>
      </c>
      <c r="Q224" s="29">
        <f ca="1">IF(Q223="x",RANDBETWEEN(2,3),IF(Q223="xx",RANDBETWEEN(2,3),0))</f>
        <v>0</v>
      </c>
      <c r="R224" s="29">
        <f ca="1">IF(R223="x",RANDBETWEEN(1,2),IF(R223="xx",RANDBETWEEN(1,2),0))</f>
        <v>0</v>
      </c>
      <c r="S224" s="29">
        <f ca="1">IF(OR(S223="x",S223="xx"),RANDBETWEEN(1,2),0)</f>
        <v>0</v>
      </c>
      <c r="T224" s="72">
        <f ca="1">IF(T223="xx",RANDBETWEEN(1,2),0)</f>
        <v>0</v>
      </c>
    </row>
    <row r="225" spans="2:20" hidden="1" x14ac:dyDescent="0.3">
      <c r="N225" s="72"/>
      <c r="O225" s="79"/>
      <c r="P225" s="29" t="str">
        <f ca="1">IF(AND($O$11="bard",$O$12&gt;=11),"x",IF(AND($O$11="bard",$O$12&gt;=9),"xx"," "))</f>
        <v xml:space="preserve"> </v>
      </c>
      <c r="Q225" s="29" t="str">
        <f ca="1">IF(AND($O$11="bard",$O$12&gt;=13),"x",IF(AND($O$11="bard",$O$12&gt;=11),"xx"," "))</f>
        <v xml:space="preserve"> </v>
      </c>
      <c r="R225" s="29" t="str">
        <f ca="1">IF(AND($O$11="bard",$O$12&gt;=15),"x",IF(AND($O$11="bard",$O$12&gt;=13),"xx"," "))</f>
        <v xml:space="preserve"> </v>
      </c>
      <c r="S225" s="29" t="str">
        <f ca="1">IF(AND($O$11="bard",$O$12&gt;=17),"x",IF(AND($O$11="bard",$O$12&gt;15),"xx"," "))</f>
        <v xml:space="preserve"> </v>
      </c>
      <c r="T225" s="72" t="str">
        <f ca="1">IF(AND($O$11="bard",$O$12&gt;=17),"xx"," ")</f>
        <v xml:space="preserve"> </v>
      </c>
    </row>
    <row r="226" spans="2:20" hidden="1" x14ac:dyDescent="0.3">
      <c r="N226" s="72"/>
      <c r="O226" s="79"/>
      <c r="P226" s="29">
        <f ca="1">IF(P225="x",RANDBETWEEN(2,3),IF(P225="xx",RANDBETWEEN(2,3),0))</f>
        <v>0</v>
      </c>
      <c r="Q226" s="29">
        <f ca="1">IF(Q225="x",RANDBETWEEN(2,3),IF(Q225="xx",RANDBETWEEN(2,3),0))</f>
        <v>0</v>
      </c>
      <c r="R226" s="29">
        <f ca="1">IF(R225="x",RANDBETWEEN(1,2),IF(R225="xx",RANDBETWEEN(1,2),0))</f>
        <v>0</v>
      </c>
      <c r="S226" s="29">
        <f ca="1">IF(OR(S225="x",S225="xx"),RANDBETWEEN(1,2),0)</f>
        <v>0</v>
      </c>
      <c r="T226" s="72">
        <f ca="1">IF(T225="xx",RANDBETWEEN(1,2),0)</f>
        <v>0</v>
      </c>
    </row>
    <row r="227" spans="2:20" x14ac:dyDescent="0.3">
      <c r="N227" s="72"/>
      <c r="O227" s="79"/>
      <c r="P227" s="107" t="s">
        <v>1169</v>
      </c>
      <c r="Q227" s="107" t="s">
        <v>1170</v>
      </c>
      <c r="R227" s="107" t="s">
        <v>1171</v>
      </c>
      <c r="S227" s="107" t="s">
        <v>677</v>
      </c>
      <c r="T227" s="93" t="s">
        <v>1172</v>
      </c>
    </row>
    <row r="228" spans="2:20" x14ac:dyDescent="0.3">
      <c r="N228" s="72"/>
      <c r="O228" s="86">
        <v>1</v>
      </c>
      <c r="P228" s="65" t="str">
        <f ca="1">IF(AND($O$15="Otherworldly patron - great old one",P$210&gt;=O193),INDEX('Spell Tables'!$AJ$226:$AJ$231,MATCH(O193,('Spell Tables'!$AH$226:$AH$231),0)),IF(AND($O$15="Otherworldly patron - fiend",P$210&gt;=O193),INDEX('Spell Tables'!$AJ$210:$AJ$215,MATCH(O193,('Spell Tables'!$AH$210:$AH$215),0)),IF(AND($O$15="Otherworldly patron - archfey",P$210&gt;=O193),INDEX('Spell Tables'!$AJ$194:$AJ$199,MATCH(O193,('Spell Tables'!$AH$194:$AH$199),0)),IF($P$208&gt;=O193,INDEX($AL$92:$AL$101,MATCH(O193,($AJ$92:$AJ$101),0)),IF($P$212&gt;=O193,INDEX('Spell Tables'!$AJ$168:$AJ$178,MATCH(O193,('Spell Tables'!$AH$168:$AH$178),0)),IF($P$216&gt;=O193,INDEX('Spell Tables'!$AF$119:$AF$122,MATCH(O193,('Spell Tables'!$AD$119:$AD$122),0)),IF($P$218&gt;=O193,INDEX('Spell Tables'!$AF$97:$AF$102,MATCH(O193,('Spell Tables'!$AD$97:$AD$102),0)),IF($P$222&gt;=O193,INDEX('Spell Tables'!$AJ$48:$AJ$61,MATCH(O193,('Spell Tables'!$AH$48:$AH$61),0)),IF($P$224&gt;=O193,INDEX('Spell Tables'!$AJ$26:$AJ$38,MATCH(O193,('Spell Tables'!$AH$26:$AH$38),0)),IF($P$226&gt;=O193,INDEX('Spell Tables'!$AJ$2:$AJ$17,MATCH(O193,('Spell Tables'!$AH$2:$AH$17),0))," "))))))))))</f>
        <v xml:space="preserve"> </v>
      </c>
      <c r="Q228" s="65" t="str">
        <f ca="1">IF($Q$208&gt;=O193,INDEX($AL$104:$AL$113,MATCH(O193,($AJ$104:$AJ$113),0)),IF($Q$212&gt;=O193,INDEX('Spell Tables'!$AN$168:$AN$177,MATCH(O193,('Spell Tables'!$AL$168:$AL$177),0)),IF($Q$222&gt;=O193,INDEX('Spell Tables'!$AN$48:$AN$56,MATCH(O193,('Spell Tables'!$AL$48:$AL$56),0)),IF($Q$224&gt;=O193,INDEX('Spell Tables'!$AN$26:$AN$35,MATCH(O193,('Spell Tables'!$AL$26:$AL$35),0)),IF($Q$226&gt;=O193,INDEX('Spell Tables'!$AN$2:$AN$8,MATCH(O193,('Spell Tables'!$AL$2:$AL$8),0))," ")))))</f>
        <v xml:space="preserve"> </v>
      </c>
      <c r="R228" s="65" t="str">
        <f ca="1">IF($R$208&gt;=O193,INDEX($AL$116:$AL$125,MATCH(O193,($AJ$116:$AJ$125),0)),IF($R$212&gt;=O193,INDEX('Spell Tables'!$AR$168:$AR$175,MATCH(O193,('Spell Tables'!$AP$168:$AP$175),0)),IF($R$222&gt;=O193,INDEX('Spell Tables'!$AR$48:$AR$52,MATCH(O193,('Spell Tables'!$AP$48:$AP$52),0)),IF($R$224&gt;=O193,INDEX('Spell Tables'!$AR$26:$AR$33,MATCH(O193,('Spell Tables'!$AP$26:$AP$33),0)),IF($R$226&gt;=O193,INDEX('Spell Tables'!$AR$2:$AR$11,MATCH(O193,('Spell Tables'!$AL$2:$AL$11),0))," ")))))</f>
        <v xml:space="preserve"> </v>
      </c>
      <c r="S228" s="65" t="str">
        <f ca="1">IF($S$208&gt;=O193,INDEX($AL$128:$AL$137,MATCH(O193,($AJ$128:$AJ$137),0)),IF($S$212&gt;=O193,INDEX('Spell Tables'!$AV$168:$AV$172,MATCH(O193,('Spell Tables'!$AT$168:$AT$172),0)),IF($S$222&gt;=O193,INDEX('Spell Tables'!$AV$48:$AV$54,MATCH(O193,('Spell Tables'!$AT$48:$AT$54),0)),IF($S$224&gt;=O193,INDEX('Spell Tables'!$AV$26:$AV$29,MATCH(O193,('Spell Tables'!$AT$26:$AT$29),0)),IF($S$226&gt;=O193,INDEX('Spell Tables'!$AV$2:$AV$6,MATCH(O193,('Spell Tables'!$AT$2:$AT$6),0))," ")))))</f>
        <v xml:space="preserve"> </v>
      </c>
      <c r="T228" s="66" t="str">
        <f ca="1">IF($T$222&gt;=O193,INDEX('Spell Tables'!$AZ$48:$AZ$51,MATCH(O193,('Spell Tables'!$AX$48:$AX$51),0)),IF($T$208&gt;=O193,INDEX($AL$140:$AL$149,MATCH(O193,($AJ$140:$AJ$149),0)),IF($T$212&gt;=O193,INDEX('Spell Tables'!$AZ$168:$AZ$172,MATCH(O193,('Spell Tables'!$AX$168:$AX$172),0)),IF($T$224&gt;=O193,INDEX('Spell Tables'!$AZ$26:$AZ$29,MATCH(O193,('Spell Tables'!$AX$26:$AX$29),0)),IF($T$226&gt;=O193,INDEX('Spell Tables'!$AZ$2:$AZ$5,MATCH(O193,('Spell Tables'!$AX$2:$AX$5),0))," ")))))</f>
        <v xml:space="preserve"> </v>
      </c>
    </row>
    <row r="229" spans="2:20" x14ac:dyDescent="0.3">
      <c r="N229" s="72"/>
      <c r="O229" s="133">
        <v>2</v>
      </c>
      <c r="P229" s="60" t="str">
        <f ca="1">IF(AND($O$15="Otherworldly patron - great old one",P$210&gt;=O194),INDEX('Spell Tables'!$AJ$226:$AJ$231,MATCH(O194,('Spell Tables'!$AH$226:$AH$231),0)),IF(AND($O$15="Otherworldly patron - fiend",P$210&gt;=O194),INDEX('Spell Tables'!$AJ$210:$AJ$215,MATCH(O194,('Spell Tables'!$AH$210:$AH$215),0)),IF(AND($O$15="Otherworldly patron - archfey",P$210&gt;=O194),INDEX('Spell Tables'!$AJ$194:$AJ$199,MATCH(O194,('Spell Tables'!$AH$194:$AH$199),0)),IF($P$208&gt;=O194,INDEX($AL$92:$AL$101,MATCH(O194,($AJ$92:$AJ$101),0)),IF($P$212&gt;=O194,INDEX('Spell Tables'!$AJ$168:$AJ$178,MATCH(O194,('Spell Tables'!$AH$168:$AH$178),0)),IF($P$216&gt;=O194,INDEX('Spell Tables'!$AF$119:$AF$122,MATCH(O194,('Spell Tables'!$AD$119:$AD$122),0)),IF($P$218&gt;=O194,INDEX('Spell Tables'!$AF$97:$AF$102,MATCH(O194,('Spell Tables'!$AD$97:$AD$102),0)),IF($P$222&gt;=O194,INDEX('Spell Tables'!$AJ$48:$AJ$61,MATCH(O194,('Spell Tables'!$AH$48:$AH$61),0)),IF($P$224&gt;=O194,INDEX('Spell Tables'!$AJ$26:$AJ$38,MATCH(O194,('Spell Tables'!$AH$26:$AH$38),0)),IF($P$226&gt;=O194,INDEX('Spell Tables'!$AJ$2:$AJ$17,MATCH(O194,('Spell Tables'!$AH$2:$AH$17),0))," "))))))))))</f>
        <v xml:space="preserve"> </v>
      </c>
      <c r="Q229" s="60" t="str">
        <f ca="1">IF($Q$208&gt;=O194,INDEX($AL$104:$AL$113,MATCH(O194,($AJ$104:$AJ$113),0)),IF($Q$212&gt;=O194,INDEX('Spell Tables'!$AN$168:$AN$177,MATCH(O194,('Spell Tables'!$AL$168:$AL$177),0)),IF($Q$222&gt;=O194,INDEX('Spell Tables'!$AN$48:$AN$56,MATCH(O194,('Spell Tables'!$AL$48:$AL$56),0)),IF($Q$224&gt;=O194,INDEX('Spell Tables'!$AN$26:$AN$35,MATCH(O194,('Spell Tables'!$AL$26:$AL$35),0)),IF($Q$226&gt;=O194,INDEX('Spell Tables'!$AN$2:$AN$8,MATCH(O194,('Spell Tables'!$AL$2:$AL$8),0))," ")))))</f>
        <v xml:space="preserve"> </v>
      </c>
      <c r="R229" s="60" t="str">
        <f ca="1">IF($R$208&gt;=O194,INDEX($AL$116:$AL$125,MATCH(O194,($AJ$116:$AJ$125),0)),IF($R$212&gt;=O194,INDEX('Spell Tables'!$AR$168:$AR$175,MATCH(O194,('Spell Tables'!$AP$168:$AP$175),0)),IF($R$222&gt;=O194,INDEX('Spell Tables'!$AR$48:$AR$52,MATCH(O194,('Spell Tables'!$AP$48:$AP$52),0)),IF($R$224&gt;=O194,INDEX('Spell Tables'!$AR$26:$AR$33,MATCH(O194,('Spell Tables'!$AP$26:$AP$33),0)),IF($R$226&gt;=O194,INDEX('Spell Tables'!$AR$2:$AR$11,MATCH(O194,('Spell Tables'!$AL$2:$AL$11),0))," ")))))</f>
        <v xml:space="preserve"> </v>
      </c>
      <c r="S229" s="60" t="str">
        <f ca="1">IF($S$208&gt;=O194,INDEX($AL$128:$AL$137,MATCH(O194,($AJ$128:$AJ$137),0)),IF($S$212&gt;=O194,INDEX('Spell Tables'!$AV$168:$AV$172,MATCH(O194,('Spell Tables'!$AT$168:$AT$172),0)),IF($S$222&gt;=O194,INDEX('Spell Tables'!$AV$48:$AV$54,MATCH(O194,('Spell Tables'!$AT$48:$AT$54),0)),IF($S$224&gt;=O194,INDEX('Spell Tables'!$AV$26:$AV$29,MATCH(O194,('Spell Tables'!$AT$26:$AT$29),0)),IF($S$226&gt;=O194,INDEX('Spell Tables'!$AV$2:$AV$6,MATCH(O194,('Spell Tables'!$AT$2:$AT$6),0))," ")))))</f>
        <v xml:space="preserve"> </v>
      </c>
      <c r="T229" s="63" t="str">
        <f ca="1">IF($T$222&gt;=O194,INDEX('Spell Tables'!$AZ$48:$AZ$51,MATCH(O194,('Spell Tables'!$AX$48:$AX$51),0)),IF($T$208&gt;=O194,INDEX($AL$140:$AL$149,MATCH(O194,($AJ$140:$AJ$149),0)),IF($T$212&gt;=O194,INDEX('Spell Tables'!$AZ$168:$AZ$172,MATCH(O194,('Spell Tables'!$AX$168:$AX$172),0)),IF($T$224&gt;=O194,INDEX('Spell Tables'!$AZ$26:$AZ$29,MATCH(O194,('Spell Tables'!$AX$26:$AX$29),0)),IF($T$226&gt;=O194,INDEX('Spell Tables'!$AZ$2:$AZ$5,MATCH(O194,('Spell Tables'!$AX$2:$AX$5),0))," ")))))</f>
        <v xml:space="preserve"> </v>
      </c>
    </row>
    <row r="230" spans="2:20" x14ac:dyDescent="0.3">
      <c r="N230" s="72"/>
      <c r="O230" s="86">
        <v>3</v>
      </c>
      <c r="P230" s="65" t="str">
        <f ca="1">IF(AND($O$15="Otherworldly patron - great old one",P$210&gt;=O195),INDEX('Spell Tables'!$AJ$226:$AJ$231,MATCH(O195,('Spell Tables'!$AH$226:$AH$231),0)),IF(AND($O$15="Otherworldly patron - fiend",P$210&gt;=O195),INDEX('Spell Tables'!$AJ$210:$AJ$215,MATCH(O195,('Spell Tables'!$AH$210:$AH$215),0)),IF(AND($O$15="Otherworldly patron - archfey",P$210&gt;=O195),INDEX('Spell Tables'!$AJ$194:$AJ$199,MATCH(O195,('Spell Tables'!$AH$194:$AH$199),0)),IF($P$208&gt;=O195,INDEX($AL$92:$AL$101,MATCH(O195,($AJ$92:$AJ$101),0)),IF($P$212&gt;=O195,INDEX('Spell Tables'!$AJ$168:$AJ$178,MATCH(O195,('Spell Tables'!$AH$168:$AH$178),0)),IF($P$216&gt;=O195,INDEX('Spell Tables'!$AF$119:$AF$122,MATCH(O195,('Spell Tables'!$AD$119:$AD$122),0)),IF($P$218&gt;=O195,INDEX('Spell Tables'!$AF$97:$AF$102,MATCH(O195,('Spell Tables'!$AD$97:$AD$102),0)),IF($P$222&gt;=O195,INDEX('Spell Tables'!$AJ$48:$AJ$61,MATCH(O195,('Spell Tables'!$AH$48:$AH$61),0)),IF($P$224&gt;=O195,INDEX('Spell Tables'!$AJ$26:$AJ$38,MATCH(O195,('Spell Tables'!$AH$26:$AH$38),0)),IF($P$226&gt;=O195,INDEX('Spell Tables'!$AJ$2:$AJ$17,MATCH(O195,('Spell Tables'!$AH$2:$AH$17),0))," "))))))))))</f>
        <v xml:space="preserve"> </v>
      </c>
      <c r="Q230" s="65" t="str">
        <f ca="1">IF($Q$208&gt;=O195,INDEX($AL$104:$AL$113,MATCH(O195,($AJ$104:$AJ$113),0)),IF($Q$212&gt;=O195,INDEX('Spell Tables'!$AN$168:$AN$177,MATCH(O195,('Spell Tables'!$AL$168:$AL$177),0)),IF($Q$222&gt;=O195,INDEX('Spell Tables'!$AN$48:$AN$56,MATCH(O195,('Spell Tables'!$AL$48:$AL$56),0)),IF($Q$224&gt;=O195,INDEX('Spell Tables'!$AN$26:$AN$35,MATCH(O195,('Spell Tables'!$AL$26:$AL$35),0)),IF($Q$226&gt;=O195,INDEX('Spell Tables'!$AN$2:$AN$8,MATCH(O195,('Spell Tables'!$AL$2:$AL$8),0))," ")))))</f>
        <v xml:space="preserve"> </v>
      </c>
      <c r="R230" s="65" t="str">
        <f ca="1">IF($R$208&gt;=O195,INDEX($AL$116:$AL$125,MATCH(O195,($AJ$116:$AJ$125),0)),IF($R$212&gt;=O195,INDEX('Spell Tables'!$AR$168:$AR$175,MATCH(O195,('Spell Tables'!$AP$168:$AP$175),0)),IF($R$222&gt;=O195,INDEX('Spell Tables'!$AR$48:$AR$52,MATCH(O195,('Spell Tables'!$AP$48:$AP$52),0)),IF($R$224&gt;=O195,INDEX('Spell Tables'!$AR$26:$AR$33,MATCH(O195,('Spell Tables'!$AP$26:$AP$33),0)),IF($R$226&gt;=O195,INDEX('Spell Tables'!$AR$2:$AR$11,MATCH(O195,('Spell Tables'!$AL$2:$AL$11),0))," ")))))</f>
        <v xml:space="preserve"> </v>
      </c>
      <c r="S230" s="65" t="str">
        <f ca="1">IF($S$208&gt;=O195,INDEX($AL$128:$AL$137,MATCH(O195,($AJ$128:$AJ$137),0)),IF($S$212&gt;=O195,INDEX('Spell Tables'!$AV$168:$AV$172,MATCH(O195,('Spell Tables'!$AT$168:$AT$172),0)),IF($S$222&gt;=O195,INDEX('Spell Tables'!$AV$48:$AV$54,MATCH(O195,('Spell Tables'!$AT$48:$AT$54),0)),IF($S$224&gt;=O195,INDEX('Spell Tables'!$AV$26:$AV$29,MATCH(O195,('Spell Tables'!$AT$26:$AT$29),0)),IF($S$226&gt;=O195,INDEX('Spell Tables'!$AV$2:$AV$6,MATCH(O195,('Spell Tables'!$AT$2:$AT$6),0))," ")))))</f>
        <v xml:space="preserve"> </v>
      </c>
      <c r="T230" s="66" t="str">
        <f ca="1">IF($T$222&gt;=O195,INDEX('Spell Tables'!$AZ$48:$AZ$51,MATCH(O195,('Spell Tables'!$AX$48:$AX$51),0)),IF($T$208&gt;=O195,INDEX($AL$140:$AL$149,MATCH(O195,($AJ$140:$AJ$149),0)),IF($T$212&gt;=O195,INDEX('Spell Tables'!$AZ$168:$AZ$172,MATCH(O195,('Spell Tables'!$AX$168:$AX$172),0)),IF($T$224&gt;=O195,INDEX('Spell Tables'!$AZ$26:$AZ$29,MATCH(O195,('Spell Tables'!$AX$26:$AX$29),0)),IF($T$226&gt;=O195,INDEX('Spell Tables'!$AZ$2:$AZ$5,MATCH(O195,('Spell Tables'!$AX$2:$AX$5),0))," ")))))</f>
        <v xml:space="preserve"> </v>
      </c>
    </row>
    <row r="231" spans="2:20" x14ac:dyDescent="0.3">
      <c r="N231" s="72"/>
      <c r="O231" s="133">
        <v>4</v>
      </c>
      <c r="P231" s="60" t="str">
        <f ca="1">IF(AND($O$15="Otherworldly patron - great old one",P$210&gt;=O196),INDEX('Spell Tables'!$AJ$226:$AJ$231,MATCH(O196,('Spell Tables'!$AH$226:$AH$231),0)),IF(AND($O$15="Otherworldly patron - fiend",P$210&gt;=O196),INDEX('Spell Tables'!$AJ$210:$AJ$215,MATCH(O196,('Spell Tables'!$AH$210:$AH$215),0)),IF(AND($O$15="Otherworldly patron - archfey",P$210&gt;=O196),INDEX('Spell Tables'!$AJ$194:$AJ$199,MATCH(O196,('Spell Tables'!$AH$194:$AH$199),0)),IF($P$208&gt;=O196,INDEX($AL$92:$AL$101,MATCH(O196,($AJ$92:$AJ$101),0)),IF($P$212&gt;=O196,INDEX('Spell Tables'!$AJ$168:$AJ$178,MATCH(O196,('Spell Tables'!$AH$168:$AH$178),0)),IF($P$216&gt;=O196,INDEX('Spell Tables'!$AF$119:$AF$122,MATCH(O196,('Spell Tables'!$AD$119:$AD$122),0)),IF($P$218&gt;=O196,INDEX('Spell Tables'!$AF$97:$AF$102,MATCH(O196,('Spell Tables'!$AD$97:$AD$102),0)),IF($P$222&gt;=O196,INDEX('Spell Tables'!$AJ$48:$AJ$61,MATCH(O196,('Spell Tables'!$AH$48:$AH$61),0)),IF($P$224&gt;=O196,INDEX('Spell Tables'!$AJ$26:$AJ$38,MATCH(O196,('Spell Tables'!$AH$26:$AH$38),0)),IF($P$226&gt;=O196,INDEX('Spell Tables'!$AJ$2:$AJ$17,MATCH(O196,('Spell Tables'!$AH$2:$AH$17),0))," "))))))))))</f>
        <v xml:space="preserve"> </v>
      </c>
      <c r="Q231" s="60" t="str">
        <f ca="1">IF($Q$208&gt;=O196,INDEX($AL$104:$AL$113,MATCH(O196,($AJ$104:$AJ$113),0)),IF($Q$212&gt;=O196,INDEX('Spell Tables'!$AN$168:$AN$177,MATCH(O196,('Spell Tables'!$AL$168:$AL$177),0)),IF($Q$222&gt;=O196,INDEX('Spell Tables'!$AN$48:$AN$56,MATCH(O196,('Spell Tables'!$AL$48:$AL$56),0)),IF($Q$224&gt;=O196,INDEX('Spell Tables'!$AN$26:$AN$35,MATCH(O196,('Spell Tables'!$AL$26:$AL$35),0)),IF($Q$226&gt;=O196,INDEX('Spell Tables'!$AN$2:$AN$8,MATCH(O196,('Spell Tables'!$AL$2:$AL$8),0))," ")))))</f>
        <v xml:space="preserve"> </v>
      </c>
      <c r="R231" s="60" t="str">
        <f ca="1">IF($R$208&gt;=O196,INDEX($AL$116:$AL$125,MATCH(O196,($AJ$116:$AJ$125),0)),IF($R$212&gt;=O196,INDEX('Spell Tables'!$AR$168:$AR$175,MATCH(O196,('Spell Tables'!$AP$168:$AP$175),0)),IF($R$222&gt;=O196,INDEX('Spell Tables'!$AR$48:$AR$52,MATCH(O196,('Spell Tables'!$AP$48:$AP$52),0)),IF($R$224&gt;=O196,INDEX('Spell Tables'!$AR$26:$AR$33,MATCH(O196,('Spell Tables'!$AP$26:$AP$33),0)),IF($R$226&gt;=O196,INDEX('Spell Tables'!$AR$2:$AR$11,MATCH(O196,('Spell Tables'!$AL$2:$AL$11),0))," ")))))</f>
        <v xml:space="preserve"> </v>
      </c>
      <c r="S231" s="60" t="str">
        <f ca="1">IF($S$208&gt;=O196,INDEX($AL$128:$AL$137,MATCH(O196,($AJ$128:$AJ$137),0)),IF($S$212&gt;=O196,INDEX('Spell Tables'!$AV$168:$AV$172,MATCH(O196,('Spell Tables'!$AT$168:$AT$172),0)),IF($S$222&gt;=O196,INDEX('Spell Tables'!$AV$48:$AV$54,MATCH(O196,('Spell Tables'!$AT$48:$AT$54),0)),IF($S$224&gt;=O196,INDEX('Spell Tables'!$AV$26:$AV$29,MATCH(O196,('Spell Tables'!$AT$26:$AT$29),0)),IF($S$226&gt;=O196,INDEX('Spell Tables'!$AV$2:$AV$6,MATCH(O196,('Spell Tables'!$AT$2:$AT$6),0))," ")))))</f>
        <v xml:space="preserve"> </v>
      </c>
      <c r="T231" s="63" t="str">
        <f ca="1">IF($T$222&gt;=O196,INDEX('Spell Tables'!$AZ$48:$AZ$51,MATCH(O196,('Spell Tables'!$AX$48:$AX$51),0)),IF($T$208&gt;=O196,INDEX($AL$140:$AL$149,MATCH(O196,($AJ$140:$AJ$149),0)),IF($T$212&gt;=O196,INDEX('Spell Tables'!$AZ$168:$AZ$172,MATCH(O196,('Spell Tables'!$AX$168:$AX$172),0)),IF($T$224&gt;=O196,INDEX('Spell Tables'!$AZ$26:$AZ$29,MATCH(O196,('Spell Tables'!$AX$26:$AX$29),0)),IF($T$226&gt;=O196,INDEX('Spell Tables'!$AZ$2:$AZ$5,MATCH(O196,('Spell Tables'!$AX$2:$AX$5),0))," ")))))</f>
        <v xml:space="preserve"> </v>
      </c>
    </row>
    <row r="232" spans="2:20" x14ac:dyDescent="0.3">
      <c r="N232" s="72"/>
      <c r="O232" s="86">
        <v>5</v>
      </c>
      <c r="P232" s="65" t="str">
        <f ca="1">IF(AND($O$15="Otherworldly patron - great old one",P$210&gt;=O197),INDEX('Spell Tables'!$AJ$226:$AJ$231,MATCH(O197,('Spell Tables'!$AH$226:$AH$231),0)),IF(AND($O$15="Otherworldly patron - fiend",P$210&gt;=O197),INDEX('Spell Tables'!$AJ$210:$AJ$215,MATCH(O197,('Spell Tables'!$AH$210:$AH$215),0)),IF(AND($O$15="Otherworldly patron - archfey",P$210&gt;=O197),INDEX('Spell Tables'!$AJ$194:$AJ$199,MATCH(O197,('Spell Tables'!$AH$194:$AH$199),0)),IF($P$208&gt;=O197,INDEX($AL$92:$AL$101,MATCH(O197,($AJ$92:$AJ$101),0)),IF($P$212&gt;=O197,INDEX('Spell Tables'!$AJ$168:$AJ$178,MATCH(O197,('Spell Tables'!$AH$168:$AH$178),0)),IF($P$216&gt;=O197,INDEX('Spell Tables'!$AF$119:$AF$122,MATCH(O197,('Spell Tables'!$AD$119:$AD$122),0)),IF($P$218&gt;=O197,INDEX('Spell Tables'!$AF$97:$AF$102,MATCH(O197,('Spell Tables'!$AD$97:$AD$102),0)),IF($P$222&gt;=O197,INDEX('Spell Tables'!$AJ$48:$AJ$61,MATCH(O197,('Spell Tables'!$AH$48:$AH$61),0)),IF($P$224&gt;=O197,INDEX('Spell Tables'!$AJ$26:$AJ$38,MATCH(O197,('Spell Tables'!$AH$26:$AH$38),0)),IF($P$226&gt;=O197,INDEX('Spell Tables'!$AJ$2:$AJ$17,MATCH(O197,('Spell Tables'!$AH$2:$AH$17),0))," "))))))))))</f>
        <v xml:space="preserve"> </v>
      </c>
      <c r="Q232" s="65" t="str">
        <f ca="1">IF($Q$208&gt;=O197,INDEX($AL$104:$AL$113,MATCH(O197,($AJ$104:$AJ$113),0)),IF($Q$212&gt;=O197,INDEX('Spell Tables'!$AN$168:$AN$177,MATCH(O197,('Spell Tables'!$AL$168:$AL$177),0)),IF($Q$222&gt;=O197,INDEX('Spell Tables'!$AN$48:$AN$56,MATCH(O197,('Spell Tables'!$AL$48:$AL$56),0)),IF($Q$224&gt;=O197,INDEX('Spell Tables'!$AN$26:$AN$35,MATCH(O197,('Spell Tables'!$AL$26:$AL$35),0)),IF($Q$226&gt;=O197,INDEX('Spell Tables'!$AN$2:$AN$8,MATCH(O197,('Spell Tables'!$AL$2:$AL$8),0))," ")))))</f>
        <v xml:space="preserve"> </v>
      </c>
      <c r="R232" s="65" t="str">
        <f ca="1">IF($R$208&gt;=O197,INDEX($AL$116:$AL$125,MATCH(O197,($AJ$116:$AJ$125),0)),IF($R$212&gt;=O197,INDEX('Spell Tables'!$AR$168:$AR$175,MATCH(O197,('Spell Tables'!$AP$168:$AP$175),0)),IF($R$222&gt;=O197,INDEX('Spell Tables'!$AR$48:$AR$52,MATCH(O197,('Spell Tables'!$AP$48:$AP$52),0)),IF($R$224&gt;=O197,INDEX('Spell Tables'!$AR$26:$AR$33,MATCH(O197,('Spell Tables'!$AP$26:$AP$33),0)),IF($R$226&gt;=O197,INDEX('Spell Tables'!$AR$2:$AR$11,MATCH(O197,('Spell Tables'!$AL$2:$AL$11),0))," ")))))</f>
        <v xml:space="preserve"> </v>
      </c>
      <c r="S232" s="65" t="str">
        <f ca="1">IF($S$208&gt;=O197,INDEX($AL$128:$AL$137,MATCH(O197,($AJ$128:$AJ$137),0)),IF($S$212&gt;=O197,INDEX('Spell Tables'!$AV$168:$AV$172,MATCH(O197,('Spell Tables'!$AT$168:$AT$172),0)),IF($S$222&gt;=O197,INDEX('Spell Tables'!$AV$48:$AV$54,MATCH(O197,('Spell Tables'!$AT$48:$AT$54),0)),IF($S$224&gt;=O197,INDEX('Spell Tables'!$AV$26:$AV$29,MATCH(O197,('Spell Tables'!$AT$26:$AT$29),0)),IF($S$226&gt;=O197,INDEX('Spell Tables'!$AV$2:$AV$6,MATCH(O197,('Spell Tables'!$AT$2:$AT$6),0))," ")))))</f>
        <v xml:space="preserve"> </v>
      </c>
      <c r="T232" s="66" t="str">
        <f ca="1">IF($T$222&gt;=O197,INDEX('Spell Tables'!$AZ$48:$AZ$51,MATCH(O197,('Spell Tables'!$AX$48:$AX$51),0)),IF($T$208&gt;=O197,INDEX($AL$140:$AL$149,MATCH(O197,($AJ$140:$AJ$149),0)),IF($T$212&gt;=O197,INDEX('Spell Tables'!$AZ$168:$AZ$172,MATCH(O197,('Spell Tables'!$AX$168:$AX$172),0)),IF($T$224&gt;=O197,INDEX('Spell Tables'!$AZ$26:$AZ$29,MATCH(O197,('Spell Tables'!$AX$26:$AX$29),0)),IF($T$226&gt;=O197,INDEX('Spell Tables'!$AZ$2:$AZ$5,MATCH(O197,('Spell Tables'!$AX$2:$AX$5),0))," ")))))</f>
        <v xml:space="preserve"> </v>
      </c>
    </row>
    <row r="233" spans="2:20" x14ac:dyDescent="0.3">
      <c r="N233" s="72"/>
      <c r="O233" s="133">
        <v>6</v>
      </c>
      <c r="P233" s="60" t="str">
        <f ca="1">IF(AND($O$15="Otherworldly patron - great old one",P$210&gt;=O198),INDEX('Spell Tables'!$AJ$226:$AJ$231,MATCH(O198,('Spell Tables'!$AH$226:$AH$231),0)),IF(AND($O$15="Otherworldly patron - fiend",P$210&gt;=O198),INDEX('Spell Tables'!$AJ$210:$AJ$215,MATCH(O198,('Spell Tables'!$AH$210:$AH$215),0)),IF(AND($O$15="Otherworldly patron - archfey",P$210&gt;=O198),INDEX('Spell Tables'!$AJ$194:$AJ$199,MATCH(O198,('Spell Tables'!$AH$194:$AH$199),0)),IF($P$208&gt;=O198,INDEX($AL$92:$AL$101,MATCH(O198,($AJ$92:$AJ$101),0)),IF($P$212&gt;=O198,INDEX('Spell Tables'!$AJ$168:$AJ$178,MATCH(O198,('Spell Tables'!$AH$168:$AH$178),0)),IF($P$216&gt;=O198,INDEX('Spell Tables'!$AF$119:$AF$122,MATCH(O198,('Spell Tables'!$AD$119:$AD$122),0)),IF($P$218&gt;=O198,INDEX('Spell Tables'!$AF$97:$AF$102,MATCH(O198,('Spell Tables'!$AD$97:$AD$102),0)),IF($P$222&gt;=O198,INDEX('Spell Tables'!$AJ$48:$AJ$61,MATCH(O198,('Spell Tables'!$AH$48:$AH$61),0)),IF($P$224&gt;=O198,INDEX('Spell Tables'!$AJ$26:$AJ$38,MATCH(O198,('Spell Tables'!$AH$26:$AH$38),0)),IF($P$226&gt;=O198,INDEX('Spell Tables'!$AJ$2:$AJ$17,MATCH(O198,('Spell Tables'!$AH$2:$AH$17),0))," "))))))))))</f>
        <v xml:space="preserve"> </v>
      </c>
      <c r="Q233" s="60" t="str">
        <f ca="1">IF($Q$208&gt;=O198,INDEX($AL$104:$AL$113,MATCH(O198,($AJ$104:$AJ$113),0)),IF($Q$212&gt;=O198,INDEX('Spell Tables'!$AN$168:$AN$177,MATCH(O198,('Spell Tables'!$AL$168:$AL$177),0)),IF($Q$222&gt;=O198,INDEX('Spell Tables'!$AN$48:$AN$56,MATCH(O198,('Spell Tables'!$AL$48:$AL$56),0)),IF($Q$224&gt;=O198,INDEX('Spell Tables'!$AN$26:$AN$35,MATCH(O198,('Spell Tables'!$AL$26:$AL$35),0)),IF($Q$226&gt;=O198,INDEX('Spell Tables'!$AN$2:$AN$8,MATCH(O198,('Spell Tables'!$AL$2:$AL$8),0))," ")))))</f>
        <v xml:space="preserve"> </v>
      </c>
      <c r="R233" s="60" t="str">
        <f ca="1">IF($R$208&gt;=O198,INDEX($AL$116:$AL$125,MATCH(O198,($AJ$116:$AJ$125),0)),IF($R$212&gt;=O198,INDEX('Spell Tables'!$AR$168:$AR$175,MATCH(O198,('Spell Tables'!$AP$168:$AP$175),0)),IF($R$222&gt;=O198,INDEX('Spell Tables'!$AR$48:$AR$52,MATCH(O198,('Spell Tables'!$AP$48:$AP$52),0)),IF($R$224&gt;=O198,INDEX('Spell Tables'!$AR$26:$AR$33,MATCH(O198,('Spell Tables'!$AP$26:$AP$33),0)),IF($R$226&gt;=O198,INDEX('Spell Tables'!$AR$2:$AR$11,MATCH(O198,('Spell Tables'!$AL$2:$AL$11),0))," ")))))</f>
        <v xml:space="preserve"> </v>
      </c>
      <c r="S233" s="60" t="str">
        <f ca="1">IF($S$208&gt;=O198,INDEX($AL$128:$AL$137,MATCH(O198,($AJ$128:$AJ$137),0)),IF($S$212&gt;=O198,INDEX('Spell Tables'!$AV$168:$AV$172,MATCH(O198,('Spell Tables'!$AT$168:$AT$172),0)),IF($S$222&gt;=O198,INDEX('Spell Tables'!$AV$48:$AV$54,MATCH(O198,('Spell Tables'!$AT$48:$AT$54),0)),IF($S$224&gt;=O198,INDEX('Spell Tables'!$AV$26:$AV$29,MATCH(O198,('Spell Tables'!$AT$26:$AT$29),0)),IF($S$226&gt;=O198,INDEX('Spell Tables'!$AV$2:$AV$6,MATCH(O198,('Spell Tables'!$AT$2:$AT$6),0))," ")))))</f>
        <v xml:space="preserve"> </v>
      </c>
      <c r="T233" s="63" t="str">
        <f ca="1">IF($T$222&gt;=O198,INDEX('Spell Tables'!$AZ$48:$AZ$51,MATCH(O198,('Spell Tables'!$AX$48:$AX$51),0)),IF($T$208&gt;=O198,INDEX($AL$140:$AL$149,MATCH(O198,($AJ$140:$AJ$149),0)),IF($T$212&gt;=O198,INDEX('Spell Tables'!$AZ$168:$AZ$172,MATCH(O198,('Spell Tables'!$AX$168:$AX$172),0)),IF($T$224&gt;=O198,INDEX('Spell Tables'!$AZ$26:$AZ$29,MATCH(O198,('Spell Tables'!$AX$26:$AX$29),0)),IF($T$226&gt;=O198,INDEX('Spell Tables'!$AZ$2:$AZ$5,MATCH(O198,('Spell Tables'!$AX$2:$AX$5),0))," ")))))</f>
        <v xml:space="preserve"> </v>
      </c>
    </row>
    <row r="234" spans="2:20" x14ac:dyDescent="0.3">
      <c r="N234" s="72"/>
      <c r="O234" s="86">
        <v>7</v>
      </c>
      <c r="P234" s="65" t="str">
        <f ca="1">IF(AND($O$15="Otherworldly patron - great old one",P$210&gt;=O199),INDEX('Spell Tables'!$AJ$226:$AJ$231,MATCH(O199,('Spell Tables'!$AH$226:$AH$231),0)),IF(AND($O$15="Otherworldly patron - fiend",P$210&gt;=O199),INDEX('Spell Tables'!$AJ$210:$AJ$215,MATCH(O199,('Spell Tables'!$AH$210:$AH$215),0)),IF(AND($O$15="Otherworldly patron - archfey",P$210&gt;=O199),INDEX('Spell Tables'!$AJ$194:$AJ$199,MATCH(O199,('Spell Tables'!$AH$194:$AH$199),0)),IF($P$208&gt;=O199,INDEX($AL$92:$AL$101,MATCH(O199,($AJ$92:$AJ$101),0)),IF($P$212&gt;=O199,INDEX('Spell Tables'!$AJ$168:$AJ$178,MATCH(O199,('Spell Tables'!$AH$168:$AH$178),0)),IF($P$216&gt;=O199,INDEX('Spell Tables'!$AF$119:$AF$122,MATCH(O199,('Spell Tables'!$AD$119:$AD$122),0)),IF($P$218&gt;=O199,INDEX('Spell Tables'!$AF$97:$AF$102,MATCH(O199,('Spell Tables'!$AD$97:$AD$102),0)),IF($P$222&gt;=O199,INDEX('Spell Tables'!$AJ$48:$AJ$61,MATCH(O199,('Spell Tables'!$AH$48:$AH$61),0)),IF($P$224&gt;=O199,INDEX('Spell Tables'!$AJ$26:$AJ$38,MATCH(O199,('Spell Tables'!$AH$26:$AH$38),0)),IF($P$226&gt;=O199,INDEX('Spell Tables'!$AJ$2:$AJ$17,MATCH(O199,('Spell Tables'!$AH$2:$AH$17),0))," "))))))))))</f>
        <v xml:space="preserve"> </v>
      </c>
      <c r="Q234" s="65" t="str">
        <f ca="1">IF($Q$208&gt;=O199,INDEX($AL$104:$AL$113,MATCH(O199,($AJ$104:$AJ$113),0)),IF($Q$212&gt;=O199,INDEX('Spell Tables'!$AN$168:$AN$177,MATCH(O199,('Spell Tables'!$AL$168:$AL$177),0)),IF($Q$222&gt;=O199,INDEX('Spell Tables'!$AN$48:$AN$56,MATCH(O199,('Spell Tables'!$AL$48:$AL$56),0)),IF($Q$224&gt;=O199,INDEX('Spell Tables'!$AN$26:$AN$35,MATCH(O199,('Spell Tables'!$AL$26:$AL$35),0)),IF($Q$226&gt;=O199,INDEX('Spell Tables'!$AN$2:$AN$8,MATCH(O199,('Spell Tables'!$AL$2:$AL$8),0))," ")))))</f>
        <v xml:space="preserve"> </v>
      </c>
      <c r="R234" s="65" t="str">
        <f ca="1">IF($R$208&gt;=O199,INDEX($AL$116:$AL$125,MATCH(O199,($AJ$116:$AJ$125),0)),IF($R$212&gt;=O199,INDEX('Spell Tables'!$AR$168:$AR$175,MATCH(O199,('Spell Tables'!$AP$168:$AP$175),0)),IF($R$222&gt;=O199,INDEX('Spell Tables'!$AR$48:$AR$52,MATCH(O199,('Spell Tables'!$AP$48:$AP$52),0)),IF($R$224&gt;=O199,INDEX('Spell Tables'!$AR$26:$AR$33,MATCH(O199,('Spell Tables'!$AP$26:$AP$33),0)),IF($R$226&gt;=O199,INDEX('Spell Tables'!$AR$2:$AR$11,MATCH(O199,('Spell Tables'!$AL$2:$AL$11),0))," ")))))</f>
        <v xml:space="preserve"> </v>
      </c>
      <c r="S234" s="65" t="str">
        <f ca="1">IF($S$208&gt;=O199,INDEX($AL$128:$AL$137,MATCH(O199,($AJ$128:$AJ$137),0)),IF($S$212&gt;=O199,INDEX('Spell Tables'!$AV$168:$AV$172,MATCH(O199,('Spell Tables'!$AT$168:$AT$172),0)),IF($S$222&gt;=O199,INDEX('Spell Tables'!$AV$48:$AV$54,MATCH(O199,('Spell Tables'!$AT$48:$AT$54),0)),IF($S$224&gt;=O199,INDEX('Spell Tables'!$AV$26:$AV$29,MATCH(O199,('Spell Tables'!$AT$26:$AT$29),0)),IF($S$226&gt;=O199,INDEX('Spell Tables'!$AV$2:$AV$6,MATCH(O199,('Spell Tables'!$AT$2:$AT$6),0))," ")))))</f>
        <v xml:space="preserve"> </v>
      </c>
      <c r="T234" s="66" t="str">
        <f ca="1">IF($T$222&gt;=O199,INDEX('Spell Tables'!$AZ$48:$AZ$51,MATCH(O199,('Spell Tables'!$AX$48:$AX$51),0)),IF($T$208&gt;=O199,INDEX($AL$140:$AL$149,MATCH(O199,($AJ$140:$AJ$149),0)),IF($T$212&gt;=O199,INDEX('Spell Tables'!$AZ$168:$AZ$172,MATCH(O199,('Spell Tables'!$AX$168:$AX$172),0)),IF($T$224&gt;=O199,INDEX('Spell Tables'!$AZ$26:$AZ$29,MATCH(O199,('Spell Tables'!$AX$26:$AX$29),0)),IF($T$226&gt;=O199,INDEX('Spell Tables'!$AZ$2:$AZ$5,MATCH(O199,('Spell Tables'!$AX$2:$AX$5),0))," ")))))</f>
        <v xml:space="preserve"> </v>
      </c>
    </row>
    <row r="235" spans="2:20" x14ac:dyDescent="0.3">
      <c r="N235" s="72"/>
      <c r="O235" s="133">
        <v>8</v>
      </c>
      <c r="P235" s="60" t="str">
        <f ca="1">IF(AND($O$15="Otherworldly patron - great old one",P$210&gt;=O200),INDEX('Spell Tables'!$AJ$226:$AJ$231,MATCH(O200,('Spell Tables'!$AH$226:$AH$231),0)),IF(AND($O$15="Otherworldly patron - fiend",P$210&gt;=O200),INDEX('Spell Tables'!$AJ$210:$AJ$215,MATCH(O200,('Spell Tables'!$AH$210:$AH$215),0)),IF(AND($O$15="Otherworldly patron - archfey",P$210&gt;=O200),INDEX('Spell Tables'!$AJ$194:$AJ$199,MATCH(O200,('Spell Tables'!$AH$194:$AH$199),0)),IF($P$208&gt;=O200,INDEX($AL$92:$AL$101,MATCH(O200,($AJ$92:$AJ$101),0)),IF($P$212&gt;=O200,INDEX('Spell Tables'!$AJ$168:$AJ$178,MATCH(O200,('Spell Tables'!$AH$168:$AH$178),0)),IF($P$216&gt;=O200,INDEX('Spell Tables'!$AF$119:$AF$122,MATCH(O200,('Spell Tables'!$AD$119:$AD$122),0)),IF($P$218&gt;=O200,INDEX('Spell Tables'!$AF$97:$AF$102,MATCH(O200,('Spell Tables'!$AD$97:$AD$102),0)),IF($P$222&gt;=O200,INDEX('Spell Tables'!$AJ$48:$AJ$61,MATCH(O200,('Spell Tables'!$AH$48:$AH$61),0)),IF($P$224&gt;=O200,INDEX('Spell Tables'!$AJ$26:$AJ$38,MATCH(O200,('Spell Tables'!$AH$26:$AH$38),0)),IF($P$226&gt;=O200,INDEX('Spell Tables'!$AJ$2:$AJ$17,MATCH(O200,('Spell Tables'!$AH$2:$AH$17),0))," "))))))))))</f>
        <v xml:space="preserve"> </v>
      </c>
      <c r="Q235" s="60" t="str">
        <f ca="1">IF($Q$208&gt;=O200,INDEX($AL$104:$AL$113,MATCH(O200,($AJ$104:$AJ$113),0)),IF($Q$212&gt;=O200,INDEX('Spell Tables'!$AN$168:$AN$177,MATCH(O200,('Spell Tables'!$AL$168:$AL$177),0)),IF($Q$222&gt;=O200,INDEX('Spell Tables'!$AN$48:$AN$56,MATCH(O200,('Spell Tables'!$AL$48:$AL$56),0)),IF($Q$224&gt;=O200,INDEX('Spell Tables'!$AN$26:$AN$35,MATCH(O200,('Spell Tables'!$AL$26:$AL$35),0)),IF($Q$226&gt;=O200,INDEX('Spell Tables'!$AN$2:$AN$8,MATCH(O200,('Spell Tables'!$AL$2:$AL$8),0))," ")))))</f>
        <v xml:space="preserve"> </v>
      </c>
      <c r="R235" s="60" t="str">
        <f ca="1">IF($R$208&gt;=O200,INDEX($AL$116:$AL$125,MATCH(O200,($AJ$116:$AJ$125),0)),IF($R$212&gt;=O200,INDEX('Spell Tables'!$AR$168:$AR$175,MATCH(O200,('Spell Tables'!$AP$168:$AP$175),0)),IF($R$222&gt;=O200,INDEX('Spell Tables'!$AR$48:$AR$52,MATCH(O200,('Spell Tables'!$AP$48:$AP$52),0)),IF($R$224&gt;=O200,INDEX('Spell Tables'!$AR$26:$AR$33,MATCH(O200,('Spell Tables'!$AP$26:$AP$33),0)),IF($R$226&gt;=O200,INDEX('Spell Tables'!$AR$2:$AR$11,MATCH(O200,('Spell Tables'!$AL$2:$AL$11),0))," ")))))</f>
        <v xml:space="preserve"> </v>
      </c>
      <c r="S235" s="60" t="str">
        <f ca="1">IF($S$208&gt;=O200,INDEX($AL$128:$AL$137,MATCH(O200,($AJ$128:$AJ$137),0)),IF($S$212&gt;=O200,INDEX('Spell Tables'!$AV$168:$AV$172,MATCH(O200,('Spell Tables'!$AT$168:$AT$172),0)),IF($S$222&gt;=O200,INDEX('Spell Tables'!$AV$48:$AV$54,MATCH(O200,('Spell Tables'!$AT$48:$AT$54),0)),IF($S$224&gt;=O200,INDEX('Spell Tables'!$AV$26:$AV$29,MATCH(O200,('Spell Tables'!$AT$26:$AT$29),0)),IF($S$226&gt;=O200,INDEX('Spell Tables'!$AV$2:$AV$6,MATCH(O200,('Spell Tables'!$AT$2:$AT$6),0))," ")))))</f>
        <v xml:space="preserve"> </v>
      </c>
      <c r="T235" s="63" t="str">
        <f ca="1">IF($T$222&gt;=O200,INDEX('Spell Tables'!$AZ$48:$AZ$51,MATCH(O200,('Spell Tables'!$AX$48:$AX$51),0)),IF($T$208&gt;=O200,INDEX($AL$140:$AL$149,MATCH(O200,($AJ$140:$AJ$149),0)),IF($T$212&gt;=O200,INDEX('Spell Tables'!$AZ$168:$AZ$172,MATCH(O200,('Spell Tables'!$AX$168:$AX$172),0)),IF($T$224&gt;=O200,INDEX('Spell Tables'!$AZ$26:$AZ$29,MATCH(O200,('Spell Tables'!$AX$26:$AX$29),0)),IF($T$226&gt;=O200,INDEX('Spell Tables'!$AZ$2:$AZ$5,MATCH(O200,('Spell Tables'!$AX$2:$AX$5),0))," ")))))</f>
        <v xml:space="preserve"> </v>
      </c>
    </row>
    <row r="236" spans="2:20" x14ac:dyDescent="0.3">
      <c r="N236" s="72"/>
      <c r="O236" s="86">
        <v>9</v>
      </c>
      <c r="P236" s="65" t="str">
        <f ca="1">IF(AND($O$15="Otherworldly patron - great old one",P$210&gt;=O201),INDEX('Spell Tables'!$AJ$226:$AJ$231,MATCH(O201,('Spell Tables'!$AH$226:$AH$231),0)),IF(AND($O$15="Otherworldly patron - fiend",P$210&gt;=O201),INDEX('Spell Tables'!$AJ$210:$AJ$215,MATCH(O201,('Spell Tables'!$AH$210:$AH$215),0)),IF(AND($O$15="Otherworldly patron - archfey",P$210&gt;=O201),INDEX('Spell Tables'!$AJ$194:$AJ$199,MATCH(O201,('Spell Tables'!$AH$194:$AH$199),0)),IF($P$208&gt;=O201,INDEX($AL$92:$AL$101,MATCH(O201,($AJ$92:$AJ$101),0)),IF($P$212&gt;=O201,INDEX('Spell Tables'!$AJ$168:$AJ$178,MATCH(O201,('Spell Tables'!$AH$168:$AH$178),0)),IF($P$216&gt;=O201,INDEX('Spell Tables'!$AF$119:$AF$122,MATCH(O201,('Spell Tables'!$AD$119:$AD$122),0)),IF($P$218&gt;=O201,INDEX('Spell Tables'!$AF$97:$AF$102,MATCH(O201,('Spell Tables'!$AD$97:$AD$102),0)),IF($P$222&gt;=O201,INDEX('Spell Tables'!$AJ$48:$AJ$61,MATCH(O201,('Spell Tables'!$AH$48:$AH$61),0)),IF($P$224&gt;=O201,INDEX('Spell Tables'!$AJ$26:$AJ$38,MATCH(O201,('Spell Tables'!$AH$26:$AH$38),0)),IF($P$226&gt;=O201,INDEX('Spell Tables'!$AJ$2:$AJ$17,MATCH(O201,('Spell Tables'!$AH$2:$AH$17),0))," "))))))))))</f>
        <v xml:space="preserve"> </v>
      </c>
      <c r="Q236" s="65" t="str">
        <f ca="1">IF($Q$208&gt;=O201,INDEX($AL$104:$AL$113,MATCH(O201,($AJ$104:$AJ$113),0)),IF($Q$212&gt;=O201,INDEX('Spell Tables'!$AN$168:$AN$177,MATCH(O201,('Spell Tables'!$AL$168:$AL$177),0)),IF($Q$222&gt;=O201,INDEX('Spell Tables'!$AN$48:$AN$56,MATCH(O201,('Spell Tables'!$AL$48:$AL$56),0)),IF($Q$224&gt;=O201,INDEX('Spell Tables'!$AN$26:$AN$35,MATCH(O201,('Spell Tables'!$AL$26:$AL$35),0)),IF($Q$226&gt;=O201,INDEX('Spell Tables'!$AN$2:$AN$8,MATCH(O201,('Spell Tables'!$AL$2:$AL$8),0))," ")))))</f>
        <v xml:space="preserve"> </v>
      </c>
      <c r="R236" s="65" t="str">
        <f ca="1">IF($R$208&gt;=O201,INDEX($AL$116:$AL$125,MATCH(O201,($AJ$116:$AJ$125),0)),IF($R$212&gt;=O201,INDEX('Spell Tables'!$AR$168:$AR$175,MATCH(O201,('Spell Tables'!$AP$168:$AP$175),0)),IF($R$222&gt;=O201,INDEX('Spell Tables'!$AR$48:$AR$52,MATCH(O201,('Spell Tables'!$AP$48:$AP$52),0)),IF($R$224&gt;=O201,INDEX('Spell Tables'!$AR$26:$AR$33,MATCH(O201,('Spell Tables'!$AP$26:$AP$33),0)),IF($R$226&gt;=O201,INDEX('Spell Tables'!$AR$2:$AR$11,MATCH(O201,('Spell Tables'!$AL$2:$AL$11),0))," ")))))</f>
        <v xml:space="preserve"> </v>
      </c>
      <c r="S236" s="65" t="str">
        <f ca="1">IF($S$208&gt;=O201,INDEX($AL$128:$AL$137,MATCH(O201,($AJ$128:$AJ$137),0)),IF($S$212&gt;=O201,INDEX('Spell Tables'!$AV$168:$AV$172,MATCH(O201,('Spell Tables'!$AT$168:$AT$172),0)),IF($S$222&gt;=O201,INDEX('Spell Tables'!$AV$48:$AV$54,MATCH(O201,('Spell Tables'!$AT$48:$AT$54),0)),IF($S$224&gt;=O201,INDEX('Spell Tables'!$AV$26:$AV$29,MATCH(O201,('Spell Tables'!$AT$26:$AT$29),0)),IF($S$226&gt;=O201,INDEX('Spell Tables'!$AV$2:$AV$6,MATCH(O201,('Spell Tables'!$AT$2:$AT$6),0))," ")))))</f>
        <v xml:space="preserve"> </v>
      </c>
      <c r="T236" s="66" t="str">
        <f ca="1">IF($T$222&gt;=O201,INDEX('Spell Tables'!$AZ$48:$AZ$51,MATCH(O201,('Spell Tables'!$AX$48:$AX$51),0)),IF($T$208&gt;=O201,INDEX($AL$140:$AL$149,MATCH(O201,($AJ$140:$AJ$149),0)),IF($T$212&gt;=O201,INDEX('Spell Tables'!$AZ$168:$AZ$172,MATCH(O201,('Spell Tables'!$AX$168:$AX$172),0)),IF($T$224&gt;=O201,INDEX('Spell Tables'!$AZ$26:$AZ$29,MATCH(O201,('Spell Tables'!$AX$26:$AX$29),0)),IF($T$226&gt;=O201,INDEX('Spell Tables'!$AZ$2:$AZ$5,MATCH(O201,('Spell Tables'!$AX$2:$AX$5),0))," ")))))</f>
        <v xml:space="preserve"> </v>
      </c>
    </row>
    <row r="237" spans="2:20" ht="19.5" thickBot="1" x14ac:dyDescent="0.35">
      <c r="N237" s="72"/>
      <c r="O237" s="134">
        <v>10</v>
      </c>
      <c r="P237" s="67" t="str">
        <f ca="1">IF(AND($O$15="Otherworldly patron - great old one",P$210&gt;=O202),INDEX('Spell Tables'!$AJ$226:$AJ$231,MATCH(O202,('Spell Tables'!$AH$226:$AH$231),0)),IF(AND($O$15="Otherworldly patron - fiend",P$210&gt;=O202),INDEX('Spell Tables'!$AJ$210:$AJ$215,MATCH(O202,('Spell Tables'!$AH$210:$AH$215),0)),IF(AND($O$15="Otherworldly patron - archfey",P$210&gt;=O202),INDEX('Spell Tables'!$AJ$194:$AJ$199,MATCH(O202,('Spell Tables'!$AH$194:$AH$199),0)),IF($P$208&gt;=O202,INDEX($AL$92:$AL$101,MATCH(O202,($AJ$92:$AJ$101),0)),IF($P$212&gt;=O202,INDEX('Spell Tables'!$AJ$168:$AJ$178,MATCH(O202,('Spell Tables'!$AH$168:$AH$178),0)),IF($P$216&gt;=O202,INDEX('Spell Tables'!$AF$119:$AF$122,MATCH(O202,('Spell Tables'!$AD$119:$AD$122),0)),IF($P$218&gt;=O202,INDEX('Spell Tables'!$AF$97:$AF$102,MATCH(O202,('Spell Tables'!$AD$97:$AD$102),0)),IF($P$222&gt;=O202,INDEX('Spell Tables'!$AJ$48:$AJ$61,MATCH(O202,('Spell Tables'!$AH$48:$AH$61),0)),IF($P$224&gt;=O202,INDEX('Spell Tables'!$AJ$26:$AJ$38,MATCH(O202,('Spell Tables'!$AH$26:$AH$38),0)),IF($P$226&gt;=O202,INDEX('Spell Tables'!$AJ$2:$AJ$17,MATCH(O202,('Spell Tables'!$AH$2:$AH$17),0))," "))))))))))</f>
        <v xml:space="preserve"> </v>
      </c>
      <c r="Q237" s="67" t="str">
        <f ca="1">IF($Q$208&gt;=O202,INDEX($AL$104:$AL$113,MATCH(O202,($AJ$104:$AJ$113),0)),IF($Q$212&gt;=O202,INDEX('Spell Tables'!$AN$168:$AN$177,MATCH(O202,('Spell Tables'!$AL$168:$AL$177),0)),IF($Q$222&gt;=O202,INDEX('Spell Tables'!$AN$48:$AN$56,MATCH(O202,('Spell Tables'!$AL$48:$AL$56),0)),IF($Q$224&gt;=O202,INDEX('Spell Tables'!$AN$26:$AN$35,MATCH(O202,('Spell Tables'!$AL$26:$AL$35),0)),IF($Q$226&gt;=O202,INDEX('Spell Tables'!$AN$2:$AN$8,MATCH(O202,('Spell Tables'!$AL$2:$AL$8),0))," ")))))</f>
        <v xml:space="preserve"> </v>
      </c>
      <c r="R237" s="67" t="str">
        <f ca="1">IF($R$208&gt;=O202,INDEX($AL$116:$AL$125,MATCH(O202,($AJ$116:$AJ$125),0)),IF($R$212&gt;=O202,INDEX('Spell Tables'!$AR$168:$AR$175,MATCH(O202,('Spell Tables'!$AP$168:$AP$175),0)),IF($R$222&gt;=O202,INDEX('Spell Tables'!$AR$48:$AR$52,MATCH(O202,('Spell Tables'!$AP$48:$AP$52),0)),IF($R$224&gt;=O202,INDEX('Spell Tables'!$AR$26:$AR$33,MATCH(O202,('Spell Tables'!$AP$26:$AP$33),0)),IF($R$226&gt;=O202,INDEX('Spell Tables'!$AR$2:$AR$11,MATCH(O202,('Spell Tables'!$AL$2:$AL$11),0))," ")))))</f>
        <v xml:space="preserve"> </v>
      </c>
      <c r="S237" s="67" t="str">
        <f ca="1">IF($S$208&gt;=O202,INDEX($AL$128:$AL$137,MATCH(O202,($AJ$128:$AJ$137),0)),IF($S$212&gt;=O202,INDEX('Spell Tables'!$AV$168:$AV$172,MATCH(O202,('Spell Tables'!$AT$168:$AT$172),0)),IF($S$222&gt;=O202,INDEX('Spell Tables'!$AV$48:$AV$54,MATCH(O202,('Spell Tables'!$AT$48:$AT$54),0)),IF($S$224&gt;=O202,INDEX('Spell Tables'!$AV$26:$AV$29,MATCH(O202,('Spell Tables'!$AT$26:$AT$29),0)),IF($S$226&gt;=O202,INDEX('Spell Tables'!$AV$2:$AV$6,MATCH(O202,('Spell Tables'!$AT$2:$AT$6),0))," ")))))</f>
        <v xml:space="preserve"> </v>
      </c>
      <c r="T237" s="68" t="str">
        <f ca="1">IF($T$222&gt;=O202,INDEX('Spell Tables'!$AZ$48:$AZ$51,MATCH(O202,('Spell Tables'!$AX$48:$AX$51),0)),IF($T$208&gt;=O202,INDEX($AL$140:$AL$149,MATCH(O202,($AJ$140:$AJ$149),0)),IF($T$212&gt;=O202,INDEX('Spell Tables'!$AZ$168:$AZ$172,MATCH(O202,('Spell Tables'!$AX$168:$AX$172),0)),IF($T$224&gt;=O202,INDEX('Spell Tables'!$AZ$26:$AZ$29,MATCH(O202,('Spell Tables'!$AX$26:$AX$29),0)),IF($T$226&gt;=O202,INDEX('Spell Tables'!$AZ$2:$AZ$5,MATCH(O202,('Spell Tables'!$AX$2:$AX$5),0))," ")))))</f>
        <v xml:space="preserve"> </v>
      </c>
    </row>
    <row r="238" spans="2:20" ht="19.5" thickBot="1" x14ac:dyDescent="0.35"/>
    <row r="239" spans="2:20" ht="30.75" thickBot="1" x14ac:dyDescent="0.45">
      <c r="B239" s="105" t="s">
        <v>1323</v>
      </c>
      <c r="C239" s="57"/>
      <c r="D239" s="57"/>
      <c r="E239" s="57"/>
      <c r="F239" s="57"/>
      <c r="G239" s="57"/>
      <c r="H239" s="57"/>
      <c r="I239" s="57"/>
      <c r="J239" s="57"/>
      <c r="K239" s="57"/>
      <c r="L239" s="57"/>
      <c r="M239" s="57"/>
      <c r="N239" s="57"/>
      <c r="O239" s="57"/>
      <c r="P239" s="57"/>
      <c r="Q239" s="57"/>
      <c r="R239" s="57"/>
      <c r="S239" s="57"/>
    </row>
    <row r="240" spans="2:20" ht="19.5" thickBot="1" x14ac:dyDescent="0.35">
      <c r="B240" s="33"/>
      <c r="C240" s="27"/>
      <c r="D240" s="27"/>
      <c r="E240" s="27"/>
      <c r="F240" s="27"/>
      <c r="G240" s="27"/>
      <c r="H240" s="27"/>
      <c r="I240" s="27"/>
      <c r="J240" s="27"/>
      <c r="K240" s="27"/>
      <c r="L240" s="27"/>
      <c r="M240" s="27"/>
      <c r="O240" s="27"/>
      <c r="P240" s="87" t="s">
        <v>1341</v>
      </c>
      <c r="Q240" s="94" t="str">
        <f ca="1">IF($Q$11="warlock",INDEX('Spell Tables'!$D$194:$D$213,MATCH($Q$12,('Spell Tables'!$A$194:$A$213),0))," ")</f>
        <v xml:space="preserve"> </v>
      </c>
      <c r="R240" s="89" t="s">
        <v>1340</v>
      </c>
      <c r="S240" s="90" t="str">
        <f ca="1">IF($Q$11="warlock",INDEX('Spell Tables'!$E$194:$E$213,MATCH($Q$12,('Spell Tables'!$A$194:$A$213),0))," ")</f>
        <v xml:space="preserve"> </v>
      </c>
      <c r="T240" s="27"/>
    </row>
    <row r="241" spans="2:20" hidden="1" x14ac:dyDescent="0.3">
      <c r="B241" s="92" t="s">
        <v>1270</v>
      </c>
      <c r="C241" s="33"/>
      <c r="D241" s="33"/>
      <c r="E241" s="33"/>
      <c r="F241" s="33"/>
      <c r="G241" s="33"/>
      <c r="H241" s="33"/>
      <c r="I241" s="33"/>
      <c r="J241" s="33"/>
      <c r="K241" s="33"/>
      <c r="L241" s="33"/>
      <c r="M241" s="33"/>
      <c r="O241" s="33" t="s">
        <v>530</v>
      </c>
      <c r="P241" s="33" t="s">
        <v>530</v>
      </c>
      <c r="Q241" s="114" t="str">
        <f ca="1">IF(AND(Q11="wizard",Q12&gt;=3),"x",IF(Q11="wizard","xx"," "))</f>
        <v xml:space="preserve"> </v>
      </c>
      <c r="R241" s="114" t="str">
        <f ca="1">IF(AND(Q11="wizard",Q12&gt;=5),"x",IF(AND($Q$11="wizard",$Q$12&gt;=3),"xx"," "))</f>
        <v xml:space="preserve"> </v>
      </c>
      <c r="S241" s="114" t="str">
        <f ca="1">IF(AND(Q11="Wizard",Q12&gt;=7),"x",IF(AND($Q$11="wizard",$Q$12&gt;5),"xx",IF(AND(Q11="wizard",Q12=5),"xxx"," ")))</f>
        <v xml:space="preserve"> </v>
      </c>
      <c r="T241" s="114" t="str">
        <f ca="1">IF(AND(Q11="wizard",Q12&gt;=9),"x",IF(AND($Q$11="wizard",$Q$12&gt;7),"xx",IF(AND(Q11="wizard",Q12=7),"xxx"," ")))</f>
        <v xml:space="preserve"> </v>
      </c>
    </row>
    <row r="242" spans="2:20" hidden="1" x14ac:dyDescent="0.3">
      <c r="B242" s="92" t="s">
        <v>1272</v>
      </c>
      <c r="C242" s="33"/>
      <c r="D242" s="33"/>
      <c r="E242" s="33"/>
      <c r="F242" s="33"/>
      <c r="G242" s="33"/>
      <c r="H242" s="33"/>
      <c r="I242" s="33"/>
      <c r="J242" s="33"/>
      <c r="K242" s="33"/>
      <c r="L242" s="33"/>
      <c r="M242" s="33"/>
      <c r="O242" s="33" t="str">
        <f ca="1">IF(Q11="wizard",N41+Q12," ")</f>
        <v xml:space="preserve"> </v>
      </c>
      <c r="P242" s="33">
        <f ca="1">IF(Q11="wizard",INDEX('Spell Tables'!C242:C261,MATCH(Q12,('Spell Tables'!B242:B261),0)),0)</f>
        <v>0</v>
      </c>
      <c r="Q242" s="114">
        <f ca="1">IF($Q241="x",RANDBETWEEN(1,2),IF($Q241="xx",$O$242,0))</f>
        <v>0</v>
      </c>
      <c r="R242" s="114">
        <f ca="1">IF(R241="x",RANDBETWEEN(1,2),IF(R241="xx",$O$242-Q242,0))</f>
        <v>0</v>
      </c>
      <c r="S242" s="114">
        <f ca="1">IF(S241="x",O242-SUM(Q242:R242,U169:X169),IF(S241="xx",$O$242-SUM(Q242:R242),0))</f>
        <v>0</v>
      </c>
      <c r="T242" s="114">
        <f ca="1">IF(T241="x",RANDBETWEEN(1,2),IF(T241="xx",RANDBETWEEN(2,3),IF(T241="xxx",RANDBETWEEN(1,2),0)))</f>
        <v>0</v>
      </c>
    </row>
    <row r="243" spans="2:20" hidden="1" x14ac:dyDescent="0.3">
      <c r="B243" s="92" t="s">
        <v>1269</v>
      </c>
      <c r="C243" s="33"/>
      <c r="D243" s="33"/>
      <c r="E243" s="33"/>
      <c r="F243" s="33"/>
      <c r="G243" s="33"/>
      <c r="H243" s="33"/>
      <c r="I243" s="33"/>
      <c r="J243" s="33"/>
      <c r="K243" s="33"/>
      <c r="L243" s="33"/>
      <c r="M243" s="33"/>
      <c r="O243" s="33" t="s">
        <v>530</v>
      </c>
      <c r="P243" s="33" t="s">
        <v>530</v>
      </c>
      <c r="Q243" s="114" t="str">
        <f ca="1">IF(AND($Q$11="warlock",$Q$12&gt;=3),"x",IF(Q11="warlock","xx"," "))</f>
        <v xml:space="preserve"> </v>
      </c>
      <c r="R243" s="114" t="str">
        <f ca="1">IF(AND($Q$11="warlock",$Q$12&gt;=5),"x",IF(AND($Q$11="warlock",$Q$12&gt;=3),"xx"," "))</f>
        <v xml:space="preserve"> </v>
      </c>
      <c r="S243" s="114" t="str">
        <f ca="1">IF(AND($Q$11="warlock",$Q$12&gt;=7),"x",IF(AND($Q$11="warlock",$Q$12&gt;=5),"xx"," "))</f>
        <v xml:space="preserve"> </v>
      </c>
      <c r="T243" s="114" t="str">
        <f ca="1">IF(AND($Q$11="warlock",$Q$12&gt;=9),"x",IF(AND($Q$11="warlock",$Q$12&gt;=7),"xx"," "))</f>
        <v xml:space="preserve"> </v>
      </c>
    </row>
    <row r="244" spans="2:20" hidden="1" x14ac:dyDescent="0.3">
      <c r="B244" s="92" t="s">
        <v>1268</v>
      </c>
      <c r="C244" s="33"/>
      <c r="D244" s="33"/>
      <c r="E244" s="33"/>
      <c r="F244" s="33"/>
      <c r="G244" s="33"/>
      <c r="H244" s="33"/>
      <c r="I244" s="33"/>
      <c r="J244" s="33"/>
      <c r="K244" s="33"/>
      <c r="L244" s="33"/>
      <c r="M244" s="33"/>
      <c r="O244" s="33" t="str">
        <f ca="1">IF(Q11="warlock",INDEX('Spell Tables'!C194:C213,MATCH($Q$12,('Spell Tables'!A194:A213),0))," ")</f>
        <v xml:space="preserve"> </v>
      </c>
      <c r="P244" s="33">
        <f ca="1">IF($Q$11="warlock",INDEX('Spell Tables'!B194:B213,MATCH($Q$12,('Spell Tables'!A194:A213),0)),0)</f>
        <v>0</v>
      </c>
      <c r="Q244" s="114">
        <f ca="1">IF($Q243="x",RANDBETWEEN(1,2),IF($Q243="xx",$O$244,0))</f>
        <v>0</v>
      </c>
      <c r="R244" s="114">
        <f ca="1">IF(R243="x",RANDBETWEEN(1,2),IF(R243="xx",$O$244-Q244,0))</f>
        <v>0</v>
      </c>
      <c r="S244" s="114">
        <f ca="1">IF(S243="x",O244-SUM(Q244:R244,U171:X171),IF(S243="xx",$O$244-SUM(Q244:R244),0))</f>
        <v>0</v>
      </c>
      <c r="T244" s="114">
        <f ca="1">IF(T243="x",RANDBETWEEN(1,2),IF(T243="xx",RANDBETWEEN(2,3),0))</f>
        <v>0</v>
      </c>
    </row>
    <row r="245" spans="2:20" hidden="1" x14ac:dyDescent="0.3">
      <c r="B245" s="92" t="s">
        <v>1267</v>
      </c>
      <c r="C245" s="33"/>
      <c r="D245" s="33"/>
      <c r="E245" s="33"/>
      <c r="F245" s="33"/>
      <c r="G245" s="33"/>
      <c r="H245" s="33"/>
      <c r="I245" s="33"/>
      <c r="J245" s="33"/>
      <c r="K245" s="33"/>
      <c r="L245" s="33"/>
      <c r="M245" s="33"/>
      <c r="O245" s="33" t="s">
        <v>530</v>
      </c>
      <c r="P245" s="33" t="s">
        <v>530</v>
      </c>
      <c r="Q245" s="114" t="str">
        <f ca="1">IF(AND($Q$11="sorcerer",$Q$12&gt;=3),"x",IF($Q$11="sorcerer","xx"," "))</f>
        <v xml:space="preserve"> </v>
      </c>
      <c r="R245" s="114" t="str">
        <f ca="1">IF(AND($Q$11="sorcerer",$Q$12&gt;=5),"x",IF(AND($Q$11="sorcerer",$Q$12&gt;=3),"xx"," "))</f>
        <v xml:space="preserve"> </v>
      </c>
      <c r="S245" s="114" t="str">
        <f ca="1">IF(AND($Q$11="sorcerer",$Q$12&gt;=7),"x",IF(AND($Q$11="sorcerer",$Q$12&gt;=5),"xx"," "))</f>
        <v xml:space="preserve"> </v>
      </c>
      <c r="T245" s="114" t="str">
        <f ca="1">IF(AND($Q$11="sorcerer",$Q$12&gt;=9),"x",IF(AND($Q$11="sorcerer",$Q$12&gt;=7),"xx"," "))</f>
        <v xml:space="preserve"> </v>
      </c>
    </row>
    <row r="246" spans="2:20" hidden="1" x14ac:dyDescent="0.3">
      <c r="B246" s="92" t="s">
        <v>1266</v>
      </c>
      <c r="C246" s="33"/>
      <c r="D246" s="33"/>
      <c r="E246" s="33"/>
      <c r="F246" s="33"/>
      <c r="G246" s="33"/>
      <c r="H246" s="33"/>
      <c r="I246" s="33"/>
      <c r="J246" s="33"/>
      <c r="K246" s="33"/>
      <c r="L246" s="33"/>
      <c r="M246" s="33"/>
      <c r="O246" s="33" t="str">
        <f ca="1">IF(Q11="sorcerer",INDEX('Spell Tables'!C168:C187,MATCH($Q$12,('Spell Tables'!A168:A187),0))," ")</f>
        <v xml:space="preserve"> </v>
      </c>
      <c r="P246" s="33">
        <f ca="1">IF($Q$11="sorcerer",INDEX('Spell Tables'!B168:B187,MATCH($Q$12,('Spell Tables'!A168:A187),0)),0)</f>
        <v>0</v>
      </c>
      <c r="Q246" s="114">
        <f ca="1">IF($Q245="x",RANDBETWEEN(1,2),IF($Q245="xx",$O$246,0))</f>
        <v>0</v>
      </c>
      <c r="R246" s="114">
        <f ca="1">IF(R245="x",RANDBETWEEN(1,2),IF(R245="xx",$O$246-Q246,0))</f>
        <v>0</v>
      </c>
      <c r="S246" s="114">
        <f ca="1">IF(S245="x",O246-SUM(Q246:R246,U173:X173),IF(S245="xx",$O$246-SUM(Q246:R246),0))</f>
        <v>0</v>
      </c>
      <c r="T246" s="114">
        <f ca="1">IF(T245="x",RANDBETWEEN(1,2),IF(T245="xx",RANDBETWEEN(2,3),0))</f>
        <v>0</v>
      </c>
    </row>
    <row r="247" spans="2:20" hidden="1" x14ac:dyDescent="0.3">
      <c r="B247" s="92" t="s">
        <v>1254</v>
      </c>
      <c r="C247" s="33"/>
      <c r="D247" s="33"/>
      <c r="E247" s="33"/>
      <c r="F247" s="33"/>
      <c r="G247" s="33"/>
      <c r="H247" s="33"/>
      <c r="I247" s="33"/>
      <c r="J247" s="33"/>
      <c r="K247" s="33"/>
      <c r="L247" s="33"/>
      <c r="M247" s="33"/>
      <c r="O247" s="33" t="s">
        <v>530</v>
      </c>
      <c r="P247" s="33" t="s">
        <v>530</v>
      </c>
      <c r="Q247" s="114" t="str">
        <f ca="1">IF(AND(R15="arcane trickster",Q12&gt;=7),"x",IF(R15="arcane trickster","xx"," "))</f>
        <v xml:space="preserve"> </v>
      </c>
      <c r="R247" s="114" t="str">
        <f ca="1">IF(AND(R15="arcane trickster",Q12=13),"x",IF(AND(R15="arcane trickster",$Q$12&gt;=7),"xx"," "))</f>
        <v xml:space="preserve"> </v>
      </c>
      <c r="S247" s="114" t="str">
        <f ca="1">IF(AND(R15="arcane trickster",Q12&gt;=19),"x",IF(AND(R15="arcane trickster",$Q$12&gt;=13),"xx"," "))</f>
        <v xml:space="preserve"> </v>
      </c>
      <c r="T247" s="114" t="str">
        <f ca="1">IF(AND(R15="arcane trickster",$Q$12&gt;=19),"xx"," ")</f>
        <v xml:space="preserve"> </v>
      </c>
    </row>
    <row r="248" spans="2:20" hidden="1" x14ac:dyDescent="0.3">
      <c r="B248" s="92" t="s">
        <v>1253</v>
      </c>
      <c r="C248" s="33"/>
      <c r="D248" s="33"/>
      <c r="E248" s="33"/>
      <c r="F248" s="33"/>
      <c r="G248" s="33"/>
      <c r="H248" s="33"/>
      <c r="I248" s="33"/>
      <c r="J248" s="33"/>
      <c r="K248" s="33"/>
      <c r="L248" s="33"/>
      <c r="M248" s="33"/>
      <c r="O248" s="33" t="str">
        <f ca="1">IF(R15="arcane trickster",INDEX('Spell Tables'!C141:C160,MATCH($Q$12,('Spell Tables'!A141:A160),0))," ")</f>
        <v xml:space="preserve"> </v>
      </c>
      <c r="P248" s="33">
        <f ca="1">IF($R$15="arcane trickster",INDEX('Spell Tables'!B141:B160,MATCH($Q$12,('Spell Tables'!A141:A160),0)),0)</f>
        <v>0</v>
      </c>
      <c r="Q248" s="114">
        <f ca="1">IF($Q247="x",RANDBETWEEN(2,3),IF($Q247="xx",$O$248,0))</f>
        <v>0</v>
      </c>
      <c r="R248" s="114">
        <f ca="1">IF(R247="x",RANDBETWEEN(2,3),IF(R247="xx",$O$248-Q248,0))</f>
        <v>0</v>
      </c>
      <c r="S248" s="114">
        <f ca="1">IF(S247="x",O248-SUM(Q248:R248,U175:X175),IF(S247="xx",$O$248-SUM(Q248:R248),0))</f>
        <v>0</v>
      </c>
      <c r="T248" s="114">
        <f ca="1">IF(T247="x",RANDBETWEEN(1,2),IF(T247="xx",RANDBETWEEN(2,3),0))</f>
        <v>0</v>
      </c>
    </row>
    <row r="249" spans="2:20" hidden="1" x14ac:dyDescent="0.3">
      <c r="B249" s="92" t="s">
        <v>1247</v>
      </c>
      <c r="C249" s="33"/>
      <c r="D249" s="33"/>
      <c r="E249" s="33"/>
      <c r="F249" s="33"/>
      <c r="G249" s="33"/>
      <c r="H249" s="33"/>
      <c r="I249" s="33"/>
      <c r="J249" s="33"/>
      <c r="K249" s="33"/>
      <c r="L249" s="33"/>
      <c r="M249" s="33"/>
      <c r="O249" s="33" t="s">
        <v>530</v>
      </c>
      <c r="P249" s="33" t="s">
        <v>1324</v>
      </c>
      <c r="Q249" s="114" t="str">
        <f ca="1">IF(AND($Q$11="ranger",$Q$12&gt;=5),"x",IF(AND(Q11="ranger",Q12&gt;=2),"xx"," "))</f>
        <v xml:space="preserve"> </v>
      </c>
      <c r="R249" s="114" t="str">
        <f ca="1">IF(AND($Q$11="ranger",$Q$12&gt;=9),"x",IF(AND($Q$11="ranger",$Q$12&gt;=5),"xx"," "))</f>
        <v xml:space="preserve"> </v>
      </c>
      <c r="S249" s="114" t="str">
        <f ca="1">IF(AND($Q$11="ranger",$Q$12&gt;=13),"x",IF(AND($Q$11="ranger",$Q$12&gt;=9),"xx"," "))</f>
        <v xml:space="preserve"> </v>
      </c>
      <c r="T249" s="114" t="str">
        <f ca="1">IF(AND($Q$11="ranger",$Q$12&gt;=17),"x",IF(AND($Q$11="ranger",$Q$12&gt;=13),"xx"," "))</f>
        <v xml:space="preserve"> </v>
      </c>
    </row>
    <row r="250" spans="2:20" hidden="1" x14ac:dyDescent="0.3">
      <c r="B250" s="92" t="s">
        <v>1246</v>
      </c>
      <c r="C250" s="33"/>
      <c r="D250" s="33"/>
      <c r="E250" s="33"/>
      <c r="F250" s="33"/>
      <c r="G250" s="33"/>
      <c r="H250" s="33"/>
      <c r="I250" s="33"/>
      <c r="J250" s="33"/>
      <c r="K250" s="33"/>
      <c r="L250" s="33"/>
      <c r="M250" s="33"/>
      <c r="O250" s="33" t="str">
        <f ca="1">IF($Q$11="ranger",INDEX('Spell Tables'!C119:C138,MATCH($Q$12,('Spell Tables'!B119:B138),0))," ")</f>
        <v xml:space="preserve"> </v>
      </c>
      <c r="P250" s="33" t="s">
        <v>1324</v>
      </c>
      <c r="Q250" s="114">
        <f ca="1">IF($Q249="x",RANDBETWEEN(1,2),IF($Q249="xx",$O$250,0))</f>
        <v>0</v>
      </c>
      <c r="R250" s="114">
        <f ca="1">IF(R249="x",RANDBETWEEN(1,2),IF(R249="xx",$O$250-Q250,0))</f>
        <v>0</v>
      </c>
      <c r="S250" s="114">
        <f ca="1">IF(S249="x",O250-SUM(Q250:R250,U177:X177),IF(S249="xx",$O$250-SUM(Q250:R250),0))</f>
        <v>0</v>
      </c>
      <c r="T250" s="114">
        <f ca="1">IF(T249="x",RANDBETWEEN(1,2),IF(T249="xx",RANDBETWEEN(2,3),0))</f>
        <v>0</v>
      </c>
    </row>
    <row r="251" spans="2:20" hidden="1" x14ac:dyDescent="0.3">
      <c r="B251" s="92" t="s">
        <v>1245</v>
      </c>
      <c r="C251" s="33"/>
      <c r="D251" s="33"/>
      <c r="E251" s="33"/>
      <c r="F251" s="33"/>
      <c r="G251" s="33"/>
      <c r="H251" s="33"/>
      <c r="I251" s="33"/>
      <c r="J251" s="33"/>
      <c r="K251" s="33"/>
      <c r="L251" s="33"/>
      <c r="M251" s="33"/>
      <c r="O251" s="33" t="s">
        <v>530</v>
      </c>
      <c r="P251" s="33" t="s">
        <v>1324</v>
      </c>
      <c r="Q251" s="114" t="str">
        <f ca="1">IF(AND($Q$11="paladin",$Q$12&gt;=5),"x",IF($Q$11="paladin","xx"," "))</f>
        <v xml:space="preserve"> </v>
      </c>
      <c r="R251" s="114" t="str">
        <f ca="1">IF(AND(Q11="paladin",Q12&gt;=9),"x",IF(AND($Q$11="paladin",$Q$12&gt;=5),"xx"," "))</f>
        <v xml:space="preserve"> </v>
      </c>
      <c r="S251" s="114" t="str">
        <f ca="1">IF(AND(Q11="paladin",Q12&gt;=13),"x",IF(AND($Q$11="paladin",$Q$12&gt;=9),"xx"," "))</f>
        <v xml:space="preserve"> </v>
      </c>
      <c r="T251" s="114" t="str">
        <f ca="1">IF(AND(Q11="paladin",Q12&gt;=17),"x",IF(AND($Q$11="paladin",$Q$12&gt;=13),"xx"," "))</f>
        <v xml:space="preserve"> </v>
      </c>
    </row>
    <row r="252" spans="2:20" hidden="1" x14ac:dyDescent="0.3">
      <c r="B252" s="92" t="s">
        <v>1244</v>
      </c>
      <c r="C252" s="33"/>
      <c r="D252" s="33"/>
      <c r="E252" s="33"/>
      <c r="F252" s="33"/>
      <c r="G252" s="33"/>
      <c r="H252" s="33"/>
      <c r="I252" s="33"/>
      <c r="J252" s="33"/>
      <c r="K252" s="33"/>
      <c r="L252" s="33"/>
      <c r="M252" s="33"/>
      <c r="O252" s="33" t="str">
        <f ca="1">IF(Q11="paladin",ROUNDDOWN(N43+(Q12*0.5),0)," ")</f>
        <v xml:space="preserve"> </v>
      </c>
      <c r="P252" s="33" t="s">
        <v>1324</v>
      </c>
      <c r="Q252" s="114">
        <f ca="1">IF($Q251="x",RANDBETWEEN(1,2),IF($Q251="xx",$O$252,0))</f>
        <v>0</v>
      </c>
      <c r="R252" s="114">
        <f ca="1">IF(R251="x",RANDBETWEEN(1,2),IF(R251="xx",$O$252-Q252,0))</f>
        <v>0</v>
      </c>
      <c r="S252" s="114">
        <f ca="1">IF(S251="x",O252-SUM(Q252:R252,U179:X179),IF(S251="xx",$O$252-SUM(Q252:R252),0))</f>
        <v>0</v>
      </c>
      <c r="T252" s="114">
        <f ca="1">IF(T251="x",RANDBETWEEN(1,2),IF(T251="xx",RANDBETWEEN(2,3),0))</f>
        <v>0</v>
      </c>
    </row>
    <row r="253" spans="2:20" hidden="1" x14ac:dyDescent="0.3">
      <c r="B253" s="92" t="s">
        <v>1226</v>
      </c>
      <c r="C253" s="33"/>
      <c r="D253" s="33"/>
      <c r="E253" s="33"/>
      <c r="F253" s="33"/>
      <c r="G253" s="33"/>
      <c r="H253" s="33"/>
      <c r="I253" s="33"/>
      <c r="J253" s="33"/>
      <c r="K253" s="33"/>
      <c r="L253" s="33"/>
      <c r="M253" s="33"/>
      <c r="O253" s="33" t="s">
        <v>530</v>
      </c>
      <c r="P253" s="33" t="s">
        <v>530</v>
      </c>
      <c r="Q253" s="114" t="str">
        <f ca="1">IF(AND(R15="eldritch knight",Q12&gt;=7),"x",IF(R15="eldritch knight","xx"," "))</f>
        <v xml:space="preserve"> </v>
      </c>
      <c r="R253" s="114" t="str">
        <f ca="1">IF(AND(R15="eldritch knight",Q12&gt;=13),"x",IF(AND(R15="eldritch knight",$Q$12&gt;=7),"xx"," "))</f>
        <v xml:space="preserve"> </v>
      </c>
      <c r="S253" s="114" t="str">
        <f ca="1">IF(AND(R15="eldritch knight",Q12&gt;=19),"x",IF(AND(R15="eldritch knight",$Q$12&gt;=13),"xx"," "))</f>
        <v xml:space="preserve"> </v>
      </c>
      <c r="T253" s="114" t="str">
        <f ca="1">IF(AND(R15="eldritch knight",$Q$12&gt;=19),"xx"," ")</f>
        <v xml:space="preserve"> </v>
      </c>
    </row>
    <row r="254" spans="2:20" hidden="1" x14ac:dyDescent="0.3">
      <c r="B254" s="92" t="s">
        <v>1222</v>
      </c>
      <c r="C254" s="33"/>
      <c r="D254" s="33"/>
      <c r="E254" s="33"/>
      <c r="F254" s="33"/>
      <c r="G254" s="33"/>
      <c r="H254" s="33"/>
      <c r="I254" s="33"/>
      <c r="J254" s="33"/>
      <c r="K254" s="33"/>
      <c r="L254" s="33"/>
      <c r="M254" s="33"/>
      <c r="O254" s="33" t="str">
        <f ca="1">IF($R$15="eldritch knight",INDEX('Spell Tables'!C70:C89,MATCH($Q$12,('Spell Tables'!A70:A89),0))," ")</f>
        <v xml:space="preserve"> </v>
      </c>
      <c r="P254" s="33">
        <f ca="1">IF($R$15="eldritch knight",INDEX('Spell Tables'!B70:B89,MATCH($Q$12,('Spell Tables'!A70:A89),0)),0)</f>
        <v>0</v>
      </c>
      <c r="Q254" s="114">
        <f ca="1">IF($Q253="x",RANDBETWEEN(2,3),IF($Q253="xx",$O$254,0))</f>
        <v>0</v>
      </c>
      <c r="R254" s="114">
        <f ca="1">IF(R253="x",RANDBETWEEN(2,3),IF(R253="xx",$O$254-Q254,0))</f>
        <v>0</v>
      </c>
      <c r="S254" s="114">
        <f ca="1">IF(S253="x",O254-SUM(Q254:R254,U181:X181),IF(S253="xx",$O$254-SUM(Q254:R254),0))</f>
        <v>0</v>
      </c>
      <c r="T254" s="114">
        <f ca="1">IF(T253="x",RANDBETWEEN(1,2),IF(T253="xx",RANDBETWEEN(2,3),0))</f>
        <v>0</v>
      </c>
    </row>
    <row r="255" spans="2:20" hidden="1" x14ac:dyDescent="0.3">
      <c r="B255" s="92" t="s">
        <v>1219</v>
      </c>
      <c r="C255" s="33"/>
      <c r="D255" s="33"/>
      <c r="E255" s="33"/>
      <c r="F255" s="33"/>
      <c r="G255" s="33"/>
      <c r="H255" s="33"/>
      <c r="I255" s="33"/>
      <c r="J255" s="33"/>
      <c r="K255" s="33"/>
      <c r="L255" s="33"/>
      <c r="M255" s="33"/>
      <c r="O255" s="33" t="s">
        <v>530</v>
      </c>
      <c r="P255" s="33" t="s">
        <v>530</v>
      </c>
      <c r="Q255" s="114" t="str">
        <f ca="1">IF(AND($Q$11="druid",$Q$12&gt;=3),"x",IF($Q$11="druid","xx"," "))</f>
        <v xml:space="preserve"> </v>
      </c>
      <c r="R255" s="114" t="str">
        <f ca="1">IF(AND($Q$11="druid",$Q$12&gt;=5),"x",IF(AND($Q$11="druid",$Q$12&gt;=3),"xx"," "))</f>
        <v xml:space="preserve"> </v>
      </c>
      <c r="S255" s="114" t="str">
        <f ca="1">IF(AND($Q$11="druid",$Q$12&gt;=7),"x",IF(AND($Q$11="druid",$Q$12&gt;=5),"xx"," "))</f>
        <v xml:space="preserve"> </v>
      </c>
      <c r="T255" s="114" t="str">
        <f ca="1">IF(AND($Q$11="druid",$Q$12&gt;=9),"x",IF(AND($Q$11="druid",$Q$12&gt;=7),"xx"," "))</f>
        <v xml:space="preserve"> </v>
      </c>
    </row>
    <row r="256" spans="2:20" hidden="1" x14ac:dyDescent="0.3">
      <c r="B256" s="92" t="s">
        <v>1220</v>
      </c>
      <c r="C256" s="33"/>
      <c r="D256" s="33"/>
      <c r="E256" s="33"/>
      <c r="F256" s="33"/>
      <c r="G256" s="33"/>
      <c r="H256" s="33"/>
      <c r="I256" s="33"/>
      <c r="J256" s="95"/>
      <c r="K256" s="95"/>
      <c r="L256" s="95"/>
      <c r="M256" s="95"/>
      <c r="O256" s="33" t="str">
        <f ca="1">IF(Q11="druid",Q12+N42," ")</f>
        <v xml:space="preserve"> </v>
      </c>
      <c r="P256" s="33">
        <f ca="1">IF($Q$11="druid",INDEX('Spell Tables'!C48:C67,MATCH($Q$12,('Spell Tables'!B48:B67),0)),0)</f>
        <v>0</v>
      </c>
      <c r="Q256" s="114">
        <f ca="1">IF($Q255="x",RANDBETWEEN(1,2),IF($Q255="xx",$O$256,0))</f>
        <v>0</v>
      </c>
      <c r="R256" s="114">
        <f ca="1">IF(R255="x",RANDBETWEEN(1,2),IF(R255="xx",$O$256-Q256,0))</f>
        <v>0</v>
      </c>
      <c r="S256" s="114">
        <f ca="1">IF(S255="x",O256-SUM(Q256:R256,U183:X183),IF(S255="xx",$O$256-SUM(Q256:R256),0))</f>
        <v>0</v>
      </c>
      <c r="T256" s="114">
        <f ca="1">IF(T255="x",RANDBETWEEN(1,2),IF(T255="xx",RANDBETWEEN(2,3),0))</f>
        <v>0</v>
      </c>
    </row>
    <row r="257" spans="2:20" hidden="1" x14ac:dyDescent="0.3">
      <c r="B257" s="92" t="s">
        <v>1143</v>
      </c>
      <c r="C257" s="33"/>
      <c r="D257" s="33"/>
      <c r="E257" s="33"/>
      <c r="F257" s="33"/>
      <c r="G257" s="33"/>
      <c r="H257" s="33"/>
      <c r="I257" s="33"/>
      <c r="J257" s="33"/>
      <c r="K257" s="33"/>
      <c r="L257" s="33"/>
      <c r="M257" s="33"/>
      <c r="O257" s="33" t="s">
        <v>530</v>
      </c>
      <c r="P257" s="33" t="s">
        <v>530</v>
      </c>
      <c r="Q257" s="114" t="str">
        <f ca="1">IF(AND(Q11="cleric",Q12&gt;=3),"x",IF(Q11="cleric","xx"," "))</f>
        <v xml:space="preserve"> </v>
      </c>
      <c r="R257" s="114" t="str">
        <f ca="1">IF(AND(Q11="cleric",Q12&gt;=5),"x",IF(AND($Q$11="cleric",$Q$12&gt;=3),"xx"," "))</f>
        <v xml:space="preserve"> </v>
      </c>
      <c r="S257" s="114" t="str">
        <f ca="1">IF(AND(Q11="cleric",Q12&gt;=7),"x",IF(AND($Q$11="cleric",$Q$12&gt;=5),"xx"," "))</f>
        <v xml:space="preserve"> </v>
      </c>
      <c r="T257" s="114" t="str">
        <f ca="1">IF(AND(Q11="cleric",Q12&gt;=9),"x",IF(AND($Q$11="cleric",$Q$12&gt;=7),"xx"," "))</f>
        <v xml:space="preserve"> </v>
      </c>
    </row>
    <row r="258" spans="2:20" hidden="1" x14ac:dyDescent="0.3">
      <c r="B258" s="92" t="s">
        <v>1142</v>
      </c>
      <c r="C258" s="33"/>
      <c r="D258" s="33"/>
      <c r="E258" s="33"/>
      <c r="F258" s="33"/>
      <c r="G258" s="33"/>
      <c r="H258" s="33"/>
      <c r="I258" s="33"/>
      <c r="J258" s="33"/>
      <c r="K258" s="33"/>
      <c r="L258" s="33"/>
      <c r="M258" s="33"/>
      <c r="O258" s="33" t="str">
        <f ca="1">IF(Q11="cleric",Q12+N42," ")</f>
        <v xml:space="preserve"> </v>
      </c>
      <c r="P258" s="33">
        <f ca="1">IF($Q$11="cleric",INDEX('Spell Tables'!C26:C45,MATCH($Q$12,('Spell Tables'!B26:B45),0)),0)</f>
        <v>0</v>
      </c>
      <c r="Q258" s="114">
        <f ca="1">IF($Q257="x",RANDBETWEEN(1,2),IF($Q257="xx",$O$258,0))</f>
        <v>0</v>
      </c>
      <c r="R258" s="114">
        <f ca="1">IF(R257="x",RANDBETWEEN(1,2),IF(R257="xx",$O$258-Q258,0))</f>
        <v>0</v>
      </c>
      <c r="S258" s="114">
        <f ca="1">IF(S257="x",O258-SUM(Q258:R258,U185:X185),IF(S257="xx",$O$258-SUM(Q258:R258),0))</f>
        <v>0</v>
      </c>
      <c r="T258" s="114">
        <f ca="1">IF(T257="x",RANDBETWEEN(1,2),IF(T257="xx",RANDBETWEEN(2,3),0))</f>
        <v>0</v>
      </c>
    </row>
    <row r="259" spans="2:20" hidden="1" x14ac:dyDescent="0.3">
      <c r="B259" s="92" t="s">
        <v>1248</v>
      </c>
      <c r="C259" s="33"/>
      <c r="D259" s="33"/>
      <c r="E259" s="33"/>
      <c r="F259" s="33"/>
      <c r="G259" s="33"/>
      <c r="H259" s="33"/>
      <c r="I259" s="33"/>
      <c r="J259" s="33"/>
      <c r="K259" s="33"/>
      <c r="L259" s="33"/>
      <c r="M259" s="33"/>
      <c r="O259" s="33" t="s">
        <v>530</v>
      </c>
      <c r="P259" s="33" t="s">
        <v>530</v>
      </c>
      <c r="Q259" s="114" t="str">
        <f ca="1">IF(AND($Q$11="bard",$Q$12&gt;=3),"x",IF($Q$11="bard","xx"," "))</f>
        <v xml:space="preserve"> </v>
      </c>
      <c r="R259" s="114" t="str">
        <f ca="1">IF(AND($Q$11="bard",$Q$12&gt;=5),"x",IF(AND($Q$11="bard",$Q$12&gt;=3),"xx"," "))</f>
        <v xml:space="preserve"> </v>
      </c>
      <c r="S259" s="114" t="str">
        <f ca="1">IF(AND($Q$11="bard",$Q$12&gt;=7),"x",IF(AND($Q$11="bard",$Q$12&gt;=5),"xx"," "))</f>
        <v xml:space="preserve"> </v>
      </c>
      <c r="T259" s="114" t="str">
        <f ca="1">IF(AND($Q$11="bard",$Q$12&gt;=9),"x",IF(AND($Q$11="bard",$Q$12&gt;=7),"xx"," "))</f>
        <v xml:space="preserve"> </v>
      </c>
    </row>
    <row r="260" spans="2:20" hidden="1" x14ac:dyDescent="0.3">
      <c r="B260" s="92" t="s">
        <v>1141</v>
      </c>
      <c r="C260" s="33"/>
      <c r="D260" s="33"/>
      <c r="E260" s="33"/>
      <c r="F260" s="33"/>
      <c r="G260" s="33"/>
      <c r="H260" s="33"/>
      <c r="I260" s="33"/>
      <c r="J260" s="33"/>
      <c r="K260" s="33"/>
      <c r="L260" s="33"/>
      <c r="M260" s="33"/>
      <c r="O260" s="33" t="str">
        <f ca="1">IF($Q$11="bard",INDEX('Spell Tables'!C$2:C$21,MATCH($Q$12,('Spell Tables'!$A$2:$A$21),0))," ")</f>
        <v xml:space="preserve"> </v>
      </c>
      <c r="P260" s="33">
        <f ca="1">IF($Q$11="bard",INDEX('Spell Tables'!B2:B21,MATCH($Q$12,('Spell Tables'!A2:A21),0)),0)</f>
        <v>0</v>
      </c>
      <c r="Q260" s="114">
        <f ca="1">IF($Q259="x",RANDBETWEEN(1,2),IF($Q259="xx",$O$260,0))</f>
        <v>0</v>
      </c>
      <c r="R260" s="114">
        <f ca="1">IF(R259="x",RANDBETWEEN(1,2),IF(R259="xx",$O$260-Q260,0))</f>
        <v>0</v>
      </c>
      <c r="S260" s="114">
        <f ca="1">IF(S259="x",O260-SUM(Q260:R260,U187:X187),IF(S259="xx",$O$260-SUM(Q260:R260),0))</f>
        <v>0</v>
      </c>
      <c r="T260" s="114">
        <f ca="1">IF(T259="x",RANDBETWEEN(1,2),IF(T259="xx",RANDBETWEEN(2,3),0))</f>
        <v>0</v>
      </c>
    </row>
    <row r="261" spans="2:20" x14ac:dyDescent="0.3">
      <c r="B261" s="92" t="s">
        <v>1122</v>
      </c>
      <c r="C261" s="33"/>
      <c r="D261" s="33"/>
      <c r="E261" s="33"/>
      <c r="F261" s="33"/>
      <c r="G261" s="33"/>
      <c r="H261" s="33"/>
      <c r="I261" s="33"/>
      <c r="J261" s="33"/>
      <c r="K261" s="33"/>
      <c r="L261" s="33"/>
      <c r="M261" s="33"/>
      <c r="O261" s="33"/>
      <c r="P261" s="92" t="s">
        <v>1124</v>
      </c>
      <c r="Q261" s="92" t="s">
        <v>746</v>
      </c>
      <c r="R261" s="92" t="s">
        <v>747</v>
      </c>
      <c r="S261" s="92" t="s">
        <v>748</v>
      </c>
      <c r="T261" s="92" t="s">
        <v>749</v>
      </c>
    </row>
    <row r="262" spans="2:20" x14ac:dyDescent="0.3">
      <c r="B262" s="33" t="str">
        <f ca="1">IF(OR(Q11="bard",Q11="paladin",Q11="sorcerer",Q11="warlock"),8+$P$8+$N$43,IF(OR(Q11="druid",Q11="cleric",Q11="ranger"),8+P8+N42,IF(OR(R15="eldritch knight",R15="arcane trickster",Q11="wizard"),8+P8+N41," ")))</f>
        <v xml:space="preserve"> </v>
      </c>
      <c r="C262" s="33"/>
      <c r="D262" s="33"/>
      <c r="E262" s="33"/>
      <c r="F262" s="33"/>
      <c r="G262" s="33"/>
      <c r="H262" s="33"/>
      <c r="I262" s="33"/>
      <c r="J262" s="33"/>
      <c r="K262" s="33"/>
      <c r="L262" s="33"/>
      <c r="M262" s="33"/>
      <c r="O262" s="34">
        <v>1</v>
      </c>
      <c r="P262" s="33" t="str">
        <f ca="1">IF(P$242&gt;=O193,INDEX('Spell Tables'!$P$242:$P$257,MATCH(O193,('Spell Tables'!$N$242:$N$257),0)),IF(P$244&gt;=O193,INDEX('Spell Tables'!$P$194:$P$201,MATCH(O193,('Spell Tables'!$N$194:$N$201),0)),IF(P$246&gt;=O193,INDEX('Spell Tables'!$P$168:$P$183,MATCH(O193,('Spell Tables'!$N$168:$N$183),0)),IF(P$248&gt;=O193,INDEX('Spell Tables'!$P$141:$P$156,MATCH(O193,('Spell Tables'!$N$141:$N$157),0)),IF(P$254&gt;=O193,INDEX('Spell Tables'!$P$70:$P$83,MATCH(O193,('Spell Tables'!$N$70:$N$83),0)),IF(P$256&gt;=O193,INDEX('Spell Tables'!$P$48:$P$55,MATCH(O193,('Spell Tables'!$N$48:$N$55),0)),IF(P$258&gt;=O193,INDEX('Spell Tables'!$P$26:$P$32,MATCH(O193,('Spell Tables'!$N$26:$N$32),0)),IF(P$260&gt;=O193,INDEX('Spell Tables'!$P$2:$P$12,MATCH(O193,('Spell Tables'!$N$2:$N$12),0))," "))))))))</f>
        <v xml:space="preserve"> </v>
      </c>
      <c r="Q262" s="33" t="str">
        <f ca="1">IF(AND($Q$15="Otherworldly patron - great old one",Q$244&gt;=O193),INDEX('Spell Tables'!$T$226:$T$238,MATCH(O193,('Spell Tables'!$R$226:$R$238),0)),IF(AND($Q$15="Otherworldly patron - fiend",Q$244&gt;=O193),INDEX('Spell Tables'!$T$210:$T$222,MATCH(O193,('Spell Tables'!$R$210:$R$222),0)),IF(Q$242&gt;=O193,INDEX($AL$44:$AL$53,MATCH(O193,($AJ$44:$AJ$53),0)),IF(AND($Q$15="Otherworldly patron - archfey",Q$244&gt;=O193),INDEX('Spell Tables'!T$206:$T294,MATCH(O193,('Spell Tables'!$R$194:$R$206),0)),IF(Q$246&gt;=O193,INDEX('Spell Tables'!T268:T287,MATCH(O193,('Spell Tables'!$R$168:$R$187),0)),IF(Q$248&gt;=O193,INDEX('Spell Tables'!T241:T247,MATCH(O193,('Spell Tables'!$R$141:$R$147),0)),IF(Q$250&gt;=O193,INDEX('Spell Tables'!$P$119:$P$131,MATCH(O193,('Spell Tables'!$N$119:$N$131),0)),IF(Q$252&gt;=O193,INDEX('Spell Tables'!$P$97:$P$111,MATCH(O193,('Spell Tables'!$N$97:$N$111),0)),IF(Q$254&gt;=O193,INDEX('Spell Tables'!$T$70:$T$78,MATCH(O193,('Spell Tables'!$R$70:$R$78),0)),IF(Q$256&gt;=O193,INDEX('Spell Tables'!$T$48:$T$63,MATCH(O193,('Spell Tables'!$R$48:$R$63),0)),IF(Q$258&gt;=O193,INDEX('Spell Tables'!$T$26:$T$40,MATCH(O193,('Spell Tables'!$R$26:$R$40),0)),IF(Q$260&gt;=O193,INDEX('Spell Tables'!$T$2:$T$22,MATCH(O193,('Spell Tables'!$R$2:$R$22),0))," "))))))))))))</f>
        <v xml:space="preserve"> </v>
      </c>
      <c r="R262" s="33" t="str">
        <f ca="1">IF(AND($Q$15="Otherworldly patron - great old one",R$244&gt;=O193),INDEX('Spell Tables'!$X$226:$X$239,MATCH(O193,('Spell Tables'!$V$226:$V$239),0)),IF(AND($Q$15="Otherworldly patron - fiend",R$244&gt;=O193),INDEX('Spell Tables'!$X$210:$X$223,MATCH(O193,('Spell Tables'!$V$210:$V$223),0)),IF(AND($Q$15="Otherworldly patron - archfey",R$244&gt;=O193),INDEX('Spell Tables'!$X$194:$X$207,MATCH(O193,('Spell Tables'!$V$194:$V$207),0)),IF($R$242&gt;=O193,INDEX($AL$56:$AL$65,MATCH(O193,($AJ$56:$AJ$65),0)),IF($R$246&gt;=O193,INDEX('Spell Tables'!$X$168:$X$191,MATCH(O193,('Spell Tables'!$V$168:$V$191),0)),IF($R$248&gt;=O193,INDEX('Spell Tables'!$AB$141:$AB$149,MATCH(O193,('Spell Tables'!$Z$141:$Z$149),0)),IF($R$250&gt;=O193,INDEX('Spell Tables'!T219:T231,MATCH(O193,('Spell Tables'!$R$119:$R$131),0)),IF($R$252&gt;=O193,INDEX('Spell Tables'!$T$97:T204,MATCH(O193,('Spell Tables'!$R$97:$R$104),0)),IF($R$254&gt;=O193,INDEX('Spell Tables'!$AB$70:$AB$75,MATCH(O193,('Spell Tables'!$Z$70:$Z$75),0)),IF($R$256&gt;=O193,INDEX('Spell Tables'!$X$48:$X$65,MATCH(O193,('Spell Tables'!$V$48:$V$65),0)),IF($R$258&gt;=O193,INDEX('Spell Tables'!$X$26:$X$42,MATCH(O193,('Spell Tables'!$V$26:$V$42),0)),IF($R$260&gt;=O193,INDEX('Spell Tables'!$X$2:$X$23,MATCH(O193,('Spell Tables'!$V$2:$V$23),0))," "))))))))))))</f>
        <v xml:space="preserve"> </v>
      </c>
      <c r="S262" s="33" t="str">
        <f ca="1">IF(AND($Q$15="Otherworldly patron - great old one",S$244&gt;=O193),INDEX('Spell Tables'!$AB$226:$AB$238,MATCH(O193,('Spell Tables'!$Z$226:$Z$238),0)),IF(AND($Q$15="Otherworldly patron - fiend",S$244&gt;=O193),INDEX('Spell Tables'!$AB$210:$AB$222,MATCH(O193,('Spell Tables'!$Z$210:$Z$222),0)),IF(AND($Q$15="Otherworldly patron - archfey",S$244&gt;=O193),INDEX('Spell Tables'!$AB$194:$AB$206,MATCH(O193,('Spell Tables'!$Z$194:$Z$206),0)),IF($S$242&gt;=O193,INDEX($AL$68:$AL$77,MATCH(O193,($AJ$68:$AJ$77),0)),IF($S$246&gt;=O193,INDEX('Spell Tables'!$AB$168:$AB$187,MATCH(O193,('Spell Tables'!$Z$168:$Z$187),0)),IF($S$248&gt;=O193,INDEX('Spell Tables'!$AJ$141:$AJ$144,MATCH(O193,('Spell Tables'!$AH$141:$AH$144),0)),IF($S$250&gt;=O193,INDEX('Spell Tables'!$X$119:$X$129,MATCH(O193,('Spell Tables'!$V$119:$V$129),0)),IF($S$252&gt;=O193,INDEX('Spell Tables'!$X$97:$X$106,MATCH(O193,('Spell Tables'!$V$97:$V$106),0)),IF($S$254&gt;=O193,INDEX('Spell Tables'!$AJ$70:$AJ$79,MATCH(O193,('Spell Tables'!$AH$70:$AH$79),0)),IF($S$256&gt;=O193,INDEX('Spell Tables'!$AB$48:$AB$60,MATCH(O193,('Spell Tables'!$Z$48:$Z$60),0)),IF($S$258&gt;=O193,INDEX('Spell Tables'!$AB$26:$AB$45,MATCH(O193,('Spell Tables'!$Z$26:$Z$45),0)),IF($S$260&gt;=O193,INDEX('Spell Tables'!$AB$2:$AB$17,MATCH(O193,('Spell Tables'!$Z$2:$Z$17),0))," "))))))))))))</f>
        <v xml:space="preserve"> </v>
      </c>
      <c r="T262" s="33" t="str">
        <f ca="1">IF(AND($Q$15="Otherworldly patron - great old one",T$244&gt;=O193),INDEX('Spell Tables'!$AF$226:$AF$231,MATCH(O193,('Spell Tables'!$AD$226:$AD$231),0)),IF(AND($Q$15="Otherworldly patron - fiend",T$244&gt;=O193),INDEX('Spell Tables'!$AF$210:$AF$215,MATCH(O193,('Spell Tables'!$AD$210:$AD$215),0)),IF(AND($Q$15="Otherworldly patron - archfey",T$244&gt;=O193),INDEX('Spell Tables'!$AF$194:$AF$199,MATCH(O193,('Spell Tables'!$AD$194:$AD$199),0)),IF($T$242&gt;=O193,INDEX($AL$80:$AL$89,MATCH(O193,($AJ$80:$AJ$89),0)),IF($T$246&gt;=O193,INDEX('Spell Tables'!$AF$168:$AF$177,MATCH(O193,('Spell Tables'!$AD$168:$AD$177),0)),IF($T$248&gt;=O193,INDEX('Spell Tables'!$AR$141:$AR$144,MATCH(O193,('Spell Tables'!$AP$141:$AP$144),0)),IF($T$250&gt;=O193,INDEX('Spell Tables'!$AB$119:$AB$123,MATCH(O193,('Spell Tables'!$Z$119:$Z$123),0)),IF($T$252&gt;=O193,INDEX('Spell Tables'!$AB$97:$AB$102,MATCH(O193,('Spell Tables'!$Z$97:$Z$102),0)),IF($T$254&gt;=O193,INDEX('Spell Tables'!$AR$70:$AR$75,MATCH(O193,('Spell Tables'!$AP$70:$AP$75),0)),IF($T$256&gt;=O193,INDEX('Spell Tables'!$AF$48:$AF$63,MATCH(O193,('Spell Tables'!$AD$48:$AD$63),0)),IF($T$258&gt;=O193,INDEX('Spell Tables'!$AF$26:$AF$33,MATCH(O193,('Spell Tables'!$AD$26:$AD$33),0)),IF($T$260&gt;=O193,INDEX('Spell Tables'!$AF$2:$AF$9,MATCH(O193,('Spell Tables'!$AD$2:$AD$9),0))," "))))))))))))</f>
        <v xml:space="preserve"> </v>
      </c>
    </row>
    <row r="263" spans="2:20" x14ac:dyDescent="0.3">
      <c r="B263" s="92" t="s">
        <v>1123</v>
      </c>
      <c r="C263" s="33"/>
      <c r="D263" s="33"/>
      <c r="E263" s="33"/>
      <c r="F263" s="33"/>
      <c r="G263" s="33"/>
      <c r="H263" s="33"/>
      <c r="I263" s="33"/>
      <c r="J263" s="33"/>
      <c r="K263" s="33"/>
      <c r="L263" s="33"/>
      <c r="M263" s="33"/>
      <c r="O263" s="34">
        <v>2</v>
      </c>
      <c r="P263" s="33" t="str">
        <f ca="1">IF(P$242&gt;=O194,INDEX('Spell Tables'!$P$242:$P$257,MATCH(O194,('Spell Tables'!$N$242:$N$257),0)),IF(P$244&gt;=O194,INDEX('Spell Tables'!$P$194:$P$201,MATCH(O194,('Spell Tables'!$N$194:$N$201),0)),IF(P$246&gt;=O194,INDEX('Spell Tables'!$P$168:$P$183,MATCH(O194,('Spell Tables'!$N$168:$N$183),0)),IF(P$248&gt;=O194,INDEX('Spell Tables'!$P$141:$P$156,MATCH(O194,('Spell Tables'!$N$141:$N$157),0)),IF(P$254&gt;=O194,INDEX('Spell Tables'!$P$70:$P$83,MATCH(O194,('Spell Tables'!$N$70:$N$83),0)),IF(P$256&gt;=O194,INDEX('Spell Tables'!$P$48:$P$55,MATCH(O194,('Spell Tables'!$N$48:$N$55),0)),IF(P$258&gt;=O194,INDEX('Spell Tables'!$P$26:$P$32,MATCH(O194,('Spell Tables'!$N$26:$N$32),0)),IF(P$260&gt;=O194,INDEX('Spell Tables'!$P$2:$P$12,MATCH(O194,('Spell Tables'!$N$2:$N$12),0))," "))))))))</f>
        <v xml:space="preserve"> </v>
      </c>
      <c r="Q263" s="33" t="str">
        <f ca="1">IF(AND($Q$15="Otherworldly patron - great old one",Q$244&gt;=O194),INDEX('Spell Tables'!$T$226:$T$238,MATCH(O194,('Spell Tables'!$R$226:$R$238),0)),IF(AND($Q$15="Otherworldly patron - fiend",Q$244&gt;=O194),INDEX('Spell Tables'!$T$210:$T$222,MATCH(O194,('Spell Tables'!$R$210:$R$222),0)),IF(Q$242&gt;=O194,INDEX($AL$44:$AL$53,MATCH(O194,($AJ$44:$AJ$53),0)),IF(AND($Q$15="Otherworldly patron - archfey",Q$244&gt;=O194),INDEX('Spell Tables'!T$206:$T295,MATCH(O194,('Spell Tables'!$R$194:$R$206),0)),IF(Q$246&gt;=O194,INDEX('Spell Tables'!T269:T288,MATCH(O194,('Spell Tables'!$R$168:$R$187),0)),IF(Q$248&gt;=O194,INDEX('Spell Tables'!T242:T248,MATCH(O194,('Spell Tables'!$R$141:$R$147),0)),IF(Q$250&gt;=O194,INDEX('Spell Tables'!$P$119:$P$131,MATCH(O194,('Spell Tables'!$N$119:$N$131),0)),IF(Q$252&gt;=O194,INDEX('Spell Tables'!$P$97:$P$111,MATCH(O194,('Spell Tables'!$N$97:$N$111),0)),IF(Q$254&gt;=O194,INDEX('Spell Tables'!$T$70:$T$78,MATCH(O194,('Spell Tables'!$R$70:$R$78),0)),IF(Q$256&gt;=O194,INDEX('Spell Tables'!$T$48:$T$63,MATCH(O194,('Spell Tables'!$R$48:$R$63),0)),IF(Q$258&gt;=O194,INDEX('Spell Tables'!$T$26:$T$40,MATCH(O194,('Spell Tables'!$R$26:$R$40),0)),IF(Q$260&gt;=O194,INDEX('Spell Tables'!$T$2:$T$22,MATCH(O194,('Spell Tables'!$R$2:$R$22),0))," "))))))))))))</f>
        <v xml:space="preserve"> </v>
      </c>
      <c r="R263" s="33" t="str">
        <f ca="1">IF(AND($Q$15="Otherworldly patron - great old one",R$244&gt;=O194),INDEX('Spell Tables'!$X$226:$X$239,MATCH(O194,('Spell Tables'!$V$226:$V$239),0)),IF(AND($Q$15="Otherworldly patron - fiend",R$244&gt;=O194),INDEX('Spell Tables'!$X$210:$X$223,MATCH(O194,('Spell Tables'!$V$210:$V$223),0)),IF(AND($Q$15="Otherworldly patron - archfey",R$244&gt;=O194),INDEX('Spell Tables'!$X$194:$X$207,MATCH(O194,('Spell Tables'!$V$194:$V$207),0)),IF($R$242&gt;=O194,INDEX($AL$56:$AL$65,MATCH(O194,($AJ$56:$AJ$65),0)),IF($R$246&gt;=O194,INDEX('Spell Tables'!$X$168:$X$191,MATCH(O194,('Spell Tables'!$V$168:$V$191),0)),IF($R$248&gt;=O194,INDEX('Spell Tables'!$AB$141:$AB$149,MATCH(O194,('Spell Tables'!$Z$141:$Z$149),0)),IF($R$250&gt;=O194,INDEX('Spell Tables'!T220:T232,MATCH(O194,('Spell Tables'!$R$119:$R$131),0)),IF($R$252&gt;=O194,INDEX('Spell Tables'!$T$97:T205,MATCH(O194,('Spell Tables'!$R$97:$R$104),0)),IF($R$254&gt;=O194,INDEX('Spell Tables'!$AB$70:$AB$75,MATCH(O194,('Spell Tables'!$Z$70:$Z$75),0)),IF($R$256&gt;=O194,INDEX('Spell Tables'!$X$48:$X$65,MATCH(O194,('Spell Tables'!$V$48:$V$65),0)),IF($R$258&gt;=O194,INDEX('Spell Tables'!$X$26:$X$42,MATCH(O194,('Spell Tables'!$V$26:$V$42),0)),IF($R$260&gt;=O194,INDEX('Spell Tables'!$X$2:$X$23,MATCH(O194,('Spell Tables'!$V$2:$V$23),0))," "))))))))))))</f>
        <v xml:space="preserve"> </v>
      </c>
      <c r="S263" s="33" t="str">
        <f ca="1">IF(AND($Q$15="Otherworldly patron - great old one",S$244&gt;=O194),INDEX('Spell Tables'!$AB$226:$AB$238,MATCH(O194,('Spell Tables'!$Z$226:$Z$238),0)),IF(AND($Q$15="Otherworldly patron - fiend",S$244&gt;=O194),INDEX('Spell Tables'!$AB$210:$AB$222,MATCH(O194,('Spell Tables'!$Z$210:$Z$222),0)),IF(AND($Q$15="Otherworldly patron - archfey",S$244&gt;=O194),INDEX('Spell Tables'!$AB$194:$AB$206,MATCH(O194,('Spell Tables'!$Z$194:$Z$206),0)),IF($S$242&gt;=O194,INDEX($AL$68:$AL$77,MATCH(O194,($AJ$68:$AJ$77),0)),IF($S$246&gt;=O194,INDEX('Spell Tables'!$AB$168:$AB$187,MATCH(O194,('Spell Tables'!$Z$168:$Z$187),0)),IF($S$248&gt;=O194,INDEX('Spell Tables'!$AJ$141:$AJ$144,MATCH(O194,('Spell Tables'!$AH$141:$AH$144),0)),IF($S$250&gt;=O194,INDEX('Spell Tables'!$X$119:$X$129,MATCH(O194,('Spell Tables'!$V$119:$V$129),0)),IF($S$252&gt;=O194,INDEX('Spell Tables'!$X$97:$X$106,MATCH(O194,('Spell Tables'!$V$97:$V$106),0)),IF($S$254&gt;=O194,INDEX('Spell Tables'!$AJ$70:$AJ$79,MATCH(O194,('Spell Tables'!$AH$70:$AH$79),0)),IF($S$256&gt;=O194,INDEX('Spell Tables'!$AB$48:$AB$60,MATCH(O194,('Spell Tables'!$Z$48:$Z$60),0)),IF($S$258&gt;=O194,INDEX('Spell Tables'!$AB$26:$AB$45,MATCH(O194,('Spell Tables'!$Z$26:$Z$45),0)),IF($S$260&gt;=O194,INDEX('Spell Tables'!$AB$2:$AB$17,MATCH(O194,('Spell Tables'!$Z$2:$Z$17),0))," "))))))))))))</f>
        <v xml:space="preserve"> </v>
      </c>
      <c r="T263" s="33" t="str">
        <f ca="1">IF(AND($Q$15="Otherworldly patron - great old one",T$244&gt;=O194),INDEX('Spell Tables'!$AF$226:$AF$231,MATCH(O194,('Spell Tables'!$AD$226:$AD$231),0)),IF(AND($Q$15="Otherworldly patron - fiend",T$244&gt;=O194),INDEX('Spell Tables'!$AF$210:$AF$215,MATCH(O194,('Spell Tables'!$AD$210:$AD$215),0)),IF(AND($Q$15="Otherworldly patron - archfey",T$244&gt;=O194),INDEX('Spell Tables'!$AF$194:$AF$199,MATCH(O194,('Spell Tables'!$AD$194:$AD$199),0)),IF($T$242&gt;=O194,INDEX($AL$80:$AL$89,MATCH(O194,($AJ$80:$AJ$89),0)),IF($T$246&gt;=O194,INDEX('Spell Tables'!$AF$168:$AF$177,MATCH(O194,('Spell Tables'!$AD$168:$AD$177),0)),IF($T$248&gt;=O194,INDEX('Spell Tables'!$AR$141:$AR$144,MATCH(O194,('Spell Tables'!$AP$141:$AP$144),0)),IF($T$250&gt;=O194,INDEX('Spell Tables'!$AB$119:$AB$123,MATCH(O194,('Spell Tables'!$Z$119:$Z$123),0)),IF($T$252&gt;=O194,INDEX('Spell Tables'!$AB$97:$AB$102,MATCH(O194,('Spell Tables'!$Z$97:$Z$102),0)),IF($T$254&gt;=O194,INDEX('Spell Tables'!$AR$70:$AR$75,MATCH(O194,('Spell Tables'!$AP$70:$AP$75),0)),IF($T$256&gt;=O194,INDEX('Spell Tables'!$AF$48:$AF$63,MATCH(O194,('Spell Tables'!$AD$48:$AD$63),0)),IF($T$258&gt;=O194,INDEX('Spell Tables'!$AF$26:$AF$33,MATCH(O194,('Spell Tables'!$AD$26:$AD$33),0)),IF($T$260&gt;=O194,INDEX('Spell Tables'!$AF$2:$AF$9,MATCH(O194,('Spell Tables'!$AD$2:$AD$9),0))," "))))))))))))</f>
        <v xml:space="preserve"> </v>
      </c>
    </row>
    <row r="264" spans="2:20" x14ac:dyDescent="0.3">
      <c r="B264" s="33" t="str">
        <f ca="1">IF(OR(Q11="bard",Q11="paladin",Q11="sorcerer",Q11="warlock"),P8+$N$43,IF(OR(Q11="druid",Q11="cleric",Q11="ranger"),P8+N42,IF(OR(R15="eldritch knight",R15="arcane trickster",Q11="wizard"),P8+N41," ")))</f>
        <v xml:space="preserve"> </v>
      </c>
      <c r="C264" s="33"/>
      <c r="D264" s="33"/>
      <c r="E264" s="33"/>
      <c r="F264" s="33"/>
      <c r="G264" s="33"/>
      <c r="H264" s="33"/>
      <c r="I264" s="33"/>
      <c r="J264" s="33"/>
      <c r="K264" s="33"/>
      <c r="L264" s="33"/>
      <c r="M264" s="33"/>
      <c r="O264" s="34">
        <v>3</v>
      </c>
      <c r="P264" s="33" t="str">
        <f ca="1">IF(P$242&gt;=O195,INDEX('Spell Tables'!$P$242:$P$257,MATCH(O195,('Spell Tables'!$N$242:$N$257),0)),IF(P$244&gt;=O195,INDEX('Spell Tables'!$P$194:$P$201,MATCH(O195,('Spell Tables'!$N$194:$N$201),0)),IF(P$246&gt;=O195,INDEX('Spell Tables'!$P$168:$P$183,MATCH(O195,('Spell Tables'!$N$168:$N$183),0)),IF(P$248&gt;=O195,INDEX('Spell Tables'!$P$141:$P$156,MATCH(O195,('Spell Tables'!$N$141:$N$157),0)),IF(P$254&gt;=O195,INDEX('Spell Tables'!$P$70:$P$83,MATCH(O195,('Spell Tables'!$N$70:$N$83),0)),IF(P$256&gt;=O195,INDEX('Spell Tables'!$P$48:$P$55,MATCH(O195,('Spell Tables'!$N$48:$N$55),0)),IF(P$258&gt;=O195,INDEX('Spell Tables'!$P$26:$P$32,MATCH(O195,('Spell Tables'!$N$26:$N$32),0)),IF(P$260&gt;=O195,INDEX('Spell Tables'!$P$2:$P$12,MATCH(O195,('Spell Tables'!$N$2:$N$12),0))," "))))))))</f>
        <v xml:space="preserve"> </v>
      </c>
      <c r="Q264" s="33" t="str">
        <f ca="1">IF(AND($Q$15="Otherworldly patron - great old one",Q$244&gt;=O195),INDEX('Spell Tables'!$T$226:$T$238,MATCH(O195,('Spell Tables'!$R$226:$R$238),0)),IF(AND($Q$15="Otherworldly patron - fiend",Q$244&gt;=O195),INDEX('Spell Tables'!$T$210:$T$222,MATCH(O195,('Spell Tables'!$R$210:$R$222),0)),IF(Q$242&gt;=O195,INDEX($AL$44:$AL$53,MATCH(O195,($AJ$44:$AJ$53),0)),IF(AND($Q$15="Otherworldly patron - archfey",Q$244&gt;=O195),INDEX('Spell Tables'!T$206:$T296,MATCH(O195,('Spell Tables'!$R$194:$R$206),0)),IF(Q$246&gt;=O195,INDEX('Spell Tables'!T270:T289,MATCH(O195,('Spell Tables'!$R$168:$R$187),0)),IF(Q$248&gt;=O195,INDEX('Spell Tables'!T243:T249,MATCH(O195,('Spell Tables'!$R$141:$R$147),0)),IF(Q$250&gt;=O195,INDEX('Spell Tables'!$P$119:$P$131,MATCH(O195,('Spell Tables'!$N$119:$N$131),0)),IF(Q$252&gt;=O195,INDEX('Spell Tables'!$P$97:$P$111,MATCH(O195,('Spell Tables'!$N$97:$N$111),0)),IF(Q$254&gt;=O195,INDEX('Spell Tables'!$T$70:$T$78,MATCH(O195,('Spell Tables'!$R$70:$R$78),0)),IF(Q$256&gt;=O195,INDEX('Spell Tables'!$T$48:$T$63,MATCH(O195,('Spell Tables'!$R$48:$R$63),0)),IF(Q$258&gt;=O195,INDEX('Spell Tables'!$T$26:$T$40,MATCH(O195,('Spell Tables'!$R$26:$R$40),0)),IF(Q$260&gt;=O195,INDEX('Spell Tables'!$T$2:$T$22,MATCH(O195,('Spell Tables'!$R$2:$R$22),0))," "))))))))))))</f>
        <v xml:space="preserve"> </v>
      </c>
      <c r="R264" s="33" t="str">
        <f ca="1">IF(AND($Q$15="Otherworldly patron - great old one",R$244&gt;=O195),INDEX('Spell Tables'!$X$226:$X$239,MATCH(O195,('Spell Tables'!$V$226:$V$239),0)),IF(AND($Q$15="Otherworldly patron - fiend",R$244&gt;=O195),INDEX('Spell Tables'!$X$210:$X$223,MATCH(O195,('Spell Tables'!$V$210:$V$223),0)),IF(AND($Q$15="Otherworldly patron - archfey",R$244&gt;=O195),INDEX('Spell Tables'!$X$194:$X$207,MATCH(O195,('Spell Tables'!$V$194:$V$207),0)),IF($R$242&gt;=O195,INDEX($AL$56:$AL$65,MATCH(O195,($AJ$56:$AJ$65),0)),IF($R$246&gt;=O195,INDEX('Spell Tables'!$X$168:$X$191,MATCH(O195,('Spell Tables'!$V$168:$V$191),0)),IF($R$248&gt;=O195,INDEX('Spell Tables'!$AB$141:$AB$149,MATCH(O195,('Spell Tables'!$Z$141:$Z$149),0)),IF($R$250&gt;=O195,INDEX('Spell Tables'!T221:T233,MATCH(O195,('Spell Tables'!$R$119:$R$131),0)),IF($R$252&gt;=O195,INDEX('Spell Tables'!$T$97:T206,MATCH(O195,('Spell Tables'!$R$97:$R$104),0)),IF($R$254&gt;=O195,INDEX('Spell Tables'!$AB$70:$AB$75,MATCH(O195,('Spell Tables'!$Z$70:$Z$75),0)),IF($R$256&gt;=O195,INDEX('Spell Tables'!$X$48:$X$65,MATCH(O195,('Spell Tables'!$V$48:$V$65),0)),IF($R$258&gt;=O195,INDEX('Spell Tables'!$X$26:$X$42,MATCH(O195,('Spell Tables'!$V$26:$V$42),0)),IF($R$260&gt;=O195,INDEX('Spell Tables'!$X$2:$X$23,MATCH(O195,('Spell Tables'!$V$2:$V$23),0))," "))))))))))))</f>
        <v xml:space="preserve"> </v>
      </c>
      <c r="S264" s="33" t="str">
        <f ca="1">IF(AND($Q$15="Otherworldly patron - great old one",S$244&gt;=O195),INDEX('Spell Tables'!$AB$226:$AB$238,MATCH(O195,('Spell Tables'!$Z$226:$Z$238),0)),IF(AND($Q$15="Otherworldly patron - fiend",S$244&gt;=O195),INDEX('Spell Tables'!$AB$210:$AB$222,MATCH(O195,('Spell Tables'!$Z$210:$Z$222),0)),IF(AND($Q$15="Otherworldly patron - archfey",S$244&gt;=O195),INDEX('Spell Tables'!$AB$194:$AB$206,MATCH(O195,('Spell Tables'!$Z$194:$Z$206),0)),IF($S$242&gt;=O195,INDEX($AL$68:$AL$77,MATCH(O195,($AJ$68:$AJ$77),0)),IF($S$246&gt;=O195,INDEX('Spell Tables'!$AB$168:$AB$187,MATCH(O195,('Spell Tables'!$Z$168:$Z$187),0)),IF($S$248&gt;=O195,INDEX('Spell Tables'!$AJ$141:$AJ$144,MATCH(O195,('Spell Tables'!$AH$141:$AH$144),0)),IF($S$250&gt;=O195,INDEX('Spell Tables'!$X$119:$X$129,MATCH(O195,('Spell Tables'!$V$119:$V$129),0)),IF($S$252&gt;=O195,INDEX('Spell Tables'!$X$97:$X$106,MATCH(O195,('Spell Tables'!$V$97:$V$106),0)),IF($S$254&gt;=O195,INDEX('Spell Tables'!$AJ$70:$AJ$79,MATCH(O195,('Spell Tables'!$AH$70:$AH$79),0)),IF($S$256&gt;=O195,INDEX('Spell Tables'!$AB$48:$AB$60,MATCH(O195,('Spell Tables'!$Z$48:$Z$60),0)),IF($S$258&gt;=O195,INDEX('Spell Tables'!$AB$26:$AB$45,MATCH(O195,('Spell Tables'!$Z$26:$Z$45),0)),IF($S$260&gt;=O195,INDEX('Spell Tables'!$AB$2:$AB$17,MATCH(O195,('Spell Tables'!$Z$2:$Z$17),0))," "))))))))))))</f>
        <v xml:space="preserve"> </v>
      </c>
      <c r="T264" s="33" t="str">
        <f ca="1">IF(AND($Q$15="Otherworldly patron - great old one",T$244&gt;=O195),INDEX('Spell Tables'!$AF$226:$AF$231,MATCH(O195,('Spell Tables'!$AD$226:$AD$231),0)),IF(AND($Q$15="Otherworldly patron - fiend",T$244&gt;=O195),INDEX('Spell Tables'!$AF$210:$AF$215,MATCH(O195,('Spell Tables'!$AD$210:$AD$215),0)),IF(AND($Q$15="Otherworldly patron - archfey",T$244&gt;=O195),INDEX('Spell Tables'!$AF$194:$AF$199,MATCH(O195,('Spell Tables'!$AD$194:$AD$199),0)),IF($T$242&gt;=O195,INDEX($AL$80:$AL$89,MATCH(O195,($AJ$80:$AJ$89),0)),IF($T$246&gt;=O195,INDEX('Spell Tables'!$AF$168:$AF$177,MATCH(O195,('Spell Tables'!$AD$168:$AD$177),0)),IF($T$248&gt;=O195,INDEX('Spell Tables'!$AR$141:$AR$144,MATCH(O195,('Spell Tables'!$AP$141:$AP$144),0)),IF($T$250&gt;=O195,INDEX('Spell Tables'!$AB$119:$AB$123,MATCH(O195,('Spell Tables'!$Z$119:$Z$123),0)),IF($T$252&gt;=O195,INDEX('Spell Tables'!$AB$97:$AB$102,MATCH(O195,('Spell Tables'!$Z$97:$Z$102),0)),IF($T$254&gt;=O195,INDEX('Spell Tables'!$AR$70:$AR$75,MATCH(O195,('Spell Tables'!$AP$70:$AP$75),0)),IF($T$256&gt;=O195,INDEX('Spell Tables'!$AF$48:$AF$63,MATCH(O195,('Spell Tables'!$AD$48:$AD$63),0)),IF($T$258&gt;=O195,INDEX('Spell Tables'!$AF$26:$AF$33,MATCH(O195,('Spell Tables'!$AD$26:$AD$33),0)),IF($T$260&gt;=O195,INDEX('Spell Tables'!$AF$2:$AF$9,MATCH(O195,('Spell Tables'!$AD$2:$AD$9),0))," "))))))))))))</f>
        <v xml:space="preserve"> </v>
      </c>
    </row>
    <row r="265" spans="2:20" x14ac:dyDescent="0.3">
      <c r="C265" s="33"/>
      <c r="D265" s="33"/>
      <c r="E265" s="33"/>
      <c r="F265" s="33"/>
      <c r="G265" s="33"/>
      <c r="H265" s="33"/>
      <c r="I265" s="33"/>
      <c r="J265" s="33"/>
      <c r="K265" s="33"/>
      <c r="L265" s="33"/>
      <c r="M265" s="33"/>
      <c r="O265" s="34">
        <v>4</v>
      </c>
      <c r="P265" s="33" t="str">
        <f ca="1">IF(P$242&gt;=O196,INDEX('Spell Tables'!$P$242:$P$257,MATCH(O196,('Spell Tables'!$N$242:$N$257),0)),IF(P$244&gt;=O196,INDEX('Spell Tables'!$P$194:$P$201,MATCH(O196,('Spell Tables'!$N$194:$N$201),0)),IF(P$246&gt;=O196,INDEX('Spell Tables'!$P$168:$P$183,MATCH(O196,('Spell Tables'!$N$168:$N$183),0)),IF(P$248&gt;=O196,INDEX('Spell Tables'!$P$141:$P$156,MATCH(O196,('Spell Tables'!$N$141:$N$157),0)),IF(P$254&gt;=O196,INDEX('Spell Tables'!$P$70:$P$83,MATCH(O196,('Spell Tables'!$N$70:$N$83),0)),IF(P$256&gt;=O196,INDEX('Spell Tables'!$P$48:$P$55,MATCH(O196,('Spell Tables'!$N$48:$N$55),0)),IF(P$258&gt;=O196,INDEX('Spell Tables'!$P$26:$P$32,MATCH(O196,('Spell Tables'!$N$26:$N$32),0)),IF(P$260&gt;=O196,INDEX('Spell Tables'!$P$2:$P$12,MATCH(O196,('Spell Tables'!$N$2:$N$12),0))," "))))))))</f>
        <v xml:space="preserve"> </v>
      </c>
      <c r="Q265" s="33" t="str">
        <f ca="1">IF(AND($Q$15="Otherworldly patron - great old one",Q$244&gt;=O196),INDEX('Spell Tables'!$T$226:$T$238,MATCH(O196,('Spell Tables'!$R$226:$R$238),0)),IF(AND($Q$15="Otherworldly patron - fiend",Q$244&gt;=O196),INDEX('Spell Tables'!$T$210:$T$222,MATCH(O196,('Spell Tables'!$R$210:$R$222),0)),IF(Q$242&gt;=O196,INDEX($AL$44:$AL$53,MATCH(O196,($AJ$44:$AJ$53),0)),IF(AND($Q$15="Otherworldly patron - archfey",Q$244&gt;=O196),INDEX('Spell Tables'!T$206:$T297,MATCH(O196,('Spell Tables'!$R$194:$R$206),0)),IF(Q$246&gt;=O196,INDEX('Spell Tables'!T271:T290,MATCH(O196,('Spell Tables'!$R$168:$R$187),0)),IF(Q$248&gt;=O196,INDEX('Spell Tables'!T244:T250,MATCH(O196,('Spell Tables'!$R$141:$R$147),0)),IF(Q$250&gt;=O196,INDEX('Spell Tables'!$P$119:$P$131,MATCH(O196,('Spell Tables'!$N$119:$N$131),0)),IF(Q$252&gt;=O196,INDEX('Spell Tables'!$P$97:$P$111,MATCH(O196,('Spell Tables'!$N$97:$N$111),0)),IF(Q$254&gt;=O196,INDEX('Spell Tables'!$T$70:$T$78,MATCH(O196,('Spell Tables'!$R$70:$R$78),0)),IF(Q$256&gt;=O196,INDEX('Spell Tables'!$T$48:$T$63,MATCH(O196,('Spell Tables'!$R$48:$R$63),0)),IF(Q$258&gt;=O196,INDEX('Spell Tables'!$T$26:$T$40,MATCH(O196,('Spell Tables'!$R$26:$R$40),0)),IF(Q$260&gt;=O196,INDEX('Spell Tables'!$T$2:$T$22,MATCH(O196,('Spell Tables'!$R$2:$R$22),0))," "))))))))))))</f>
        <v xml:space="preserve"> </v>
      </c>
      <c r="R265" s="33" t="str">
        <f ca="1">IF(AND($Q$15="Otherworldly patron - great old one",R$244&gt;=O196),INDEX('Spell Tables'!$X$226:$X$239,MATCH(O196,('Spell Tables'!$V$226:$V$239),0)),IF(AND($Q$15="Otherworldly patron - fiend",R$244&gt;=O196),INDEX('Spell Tables'!$X$210:$X$223,MATCH(O196,('Spell Tables'!$V$210:$V$223),0)),IF(AND($Q$15="Otherworldly patron - archfey",R$244&gt;=O196),INDEX('Spell Tables'!$X$194:$X$207,MATCH(O196,('Spell Tables'!$V$194:$V$207),0)),IF($R$242&gt;=O196,INDEX($AL$56:$AL$65,MATCH(O196,($AJ$56:$AJ$65),0)),IF($R$246&gt;=O196,INDEX('Spell Tables'!$X$168:$X$191,MATCH(O196,('Spell Tables'!$V$168:$V$191),0)),IF($R$248&gt;=O196,INDEX('Spell Tables'!$AB$141:$AB$149,MATCH(O196,('Spell Tables'!$Z$141:$Z$149),0)),IF($R$250&gt;=O196,INDEX('Spell Tables'!T222:T234,MATCH(O196,('Spell Tables'!$R$119:$R$131),0)),IF($R$252&gt;=O196,INDEX('Spell Tables'!$T$97:T207,MATCH(O196,('Spell Tables'!$R$97:$R$104),0)),IF($R$254&gt;=O196,INDEX('Spell Tables'!$AB$70:$AB$75,MATCH(O196,('Spell Tables'!$Z$70:$Z$75),0)),IF($R$256&gt;=O196,INDEX('Spell Tables'!$X$48:$X$65,MATCH(O196,('Spell Tables'!$V$48:$V$65),0)),IF($R$258&gt;=O196,INDEX('Spell Tables'!$X$26:$X$42,MATCH(O196,('Spell Tables'!$V$26:$V$42),0)),IF($R$260&gt;=O196,INDEX('Spell Tables'!$X$2:$X$23,MATCH(O196,('Spell Tables'!$V$2:$V$23),0))," "))))))))))))</f>
        <v xml:space="preserve"> </v>
      </c>
      <c r="S265" s="33" t="str">
        <f ca="1">IF(AND($Q$15="Otherworldly patron - great old one",S$244&gt;=O196),INDEX('Spell Tables'!$AB$226:$AB$238,MATCH(O196,('Spell Tables'!$Z$226:$Z$238),0)),IF(AND($Q$15="Otherworldly patron - fiend",S$244&gt;=O196),INDEX('Spell Tables'!$AB$210:$AB$222,MATCH(O196,('Spell Tables'!$Z$210:$Z$222),0)),IF(AND($Q$15="Otherworldly patron - archfey",S$244&gt;=O196),INDEX('Spell Tables'!$AB$194:$AB$206,MATCH(O196,('Spell Tables'!$Z$194:$Z$206),0)),IF($S$242&gt;=O196,INDEX($AL$68:$AL$77,MATCH(O196,($AJ$68:$AJ$77),0)),IF($S$246&gt;=O196,INDEX('Spell Tables'!$AB$168:$AB$187,MATCH(O196,('Spell Tables'!$Z$168:$Z$187),0)),IF($S$248&gt;=O196,INDEX('Spell Tables'!$AJ$141:$AJ$144,MATCH(O196,('Spell Tables'!$AH$141:$AH$144),0)),IF($S$250&gt;=O196,INDEX('Spell Tables'!$X$119:$X$129,MATCH(O196,('Spell Tables'!$V$119:$V$129),0)),IF($S$252&gt;=O196,INDEX('Spell Tables'!$X$97:$X$106,MATCH(O196,('Spell Tables'!$V$97:$V$106),0)),IF($S$254&gt;=O196,INDEX('Spell Tables'!$AJ$70:$AJ$79,MATCH(O196,('Spell Tables'!$AH$70:$AH$79),0)),IF($S$256&gt;=O196,INDEX('Spell Tables'!$AB$48:$AB$60,MATCH(O196,('Spell Tables'!$Z$48:$Z$60),0)),IF($S$258&gt;=O196,INDEX('Spell Tables'!$AB$26:$AB$45,MATCH(O196,('Spell Tables'!$Z$26:$Z$45),0)),IF($S$260&gt;=O196,INDEX('Spell Tables'!$AB$2:$AB$17,MATCH(O196,('Spell Tables'!$Z$2:$Z$17),0))," "))))))))))))</f>
        <v xml:space="preserve"> </v>
      </c>
      <c r="T265" s="33" t="str">
        <f ca="1">IF(AND($Q$15="Otherworldly patron - great old one",T$244&gt;=O196),INDEX('Spell Tables'!$AF$226:$AF$231,MATCH(O196,('Spell Tables'!$AD$226:$AD$231),0)),IF(AND($Q$15="Otherworldly patron - fiend",T$244&gt;=O196),INDEX('Spell Tables'!$AF$210:$AF$215,MATCH(O196,('Spell Tables'!$AD$210:$AD$215),0)),IF(AND($Q$15="Otherworldly patron - archfey",T$244&gt;=O196),INDEX('Spell Tables'!$AF$194:$AF$199,MATCH(O196,('Spell Tables'!$AD$194:$AD$199),0)),IF($T$242&gt;=O196,INDEX($AL$80:$AL$89,MATCH(O196,($AJ$80:$AJ$89),0)),IF($T$246&gt;=O196,INDEX('Spell Tables'!$AF$168:$AF$177,MATCH(O196,('Spell Tables'!$AD$168:$AD$177),0)),IF($T$248&gt;=O196,INDEX('Spell Tables'!$AR$141:$AR$144,MATCH(O196,('Spell Tables'!$AP$141:$AP$144),0)),IF($T$250&gt;=O196,INDEX('Spell Tables'!$AB$119:$AB$123,MATCH(O196,('Spell Tables'!$Z$119:$Z$123),0)),IF($T$252&gt;=O196,INDEX('Spell Tables'!$AB$97:$AB$102,MATCH(O196,('Spell Tables'!$Z$97:$Z$102),0)),IF($T$254&gt;=O196,INDEX('Spell Tables'!$AR$70:$AR$75,MATCH(O196,('Spell Tables'!$AP$70:$AP$75),0)),IF($T$256&gt;=O196,INDEX('Spell Tables'!$AF$48:$AF$63,MATCH(O196,('Spell Tables'!$AD$48:$AD$63),0)),IF($T$258&gt;=O196,INDEX('Spell Tables'!$AF$26:$AF$33,MATCH(O196,('Spell Tables'!$AD$26:$AD$33),0)),IF($T$260&gt;=O196,INDEX('Spell Tables'!$AF$2:$AF$9,MATCH(O196,('Spell Tables'!$AD$2:$AD$9),0))," "))))))))))))</f>
        <v xml:space="preserve"> </v>
      </c>
    </row>
    <row r="266" spans="2:20" x14ac:dyDescent="0.3">
      <c r="C266" s="33"/>
      <c r="D266" s="33"/>
      <c r="E266" s="33"/>
      <c r="F266" s="33"/>
      <c r="G266" s="33"/>
      <c r="H266" s="33"/>
      <c r="I266" s="33"/>
      <c r="J266" s="33"/>
      <c r="K266" s="33"/>
      <c r="L266" s="33"/>
      <c r="M266" s="33"/>
      <c r="O266" s="34">
        <v>5</v>
      </c>
      <c r="P266" s="33" t="str">
        <f ca="1">IF(P$242&gt;=O197,INDEX('Spell Tables'!$P$242:$P$257,MATCH(O197,('Spell Tables'!$N$242:$N$257),0)),IF(P$244&gt;=O197,INDEX('Spell Tables'!$P$194:$P$201,MATCH(O197,('Spell Tables'!$N$194:$N$201),0)),IF(P$246&gt;=O197,INDEX('Spell Tables'!$P$168:$P$183,MATCH(O197,('Spell Tables'!$N$168:$N$183),0)),IF(P$248&gt;=O197,INDEX('Spell Tables'!$P$141:$P$156,MATCH(O197,('Spell Tables'!$N$141:$N$157),0)),IF(P$254&gt;=O197,INDEX('Spell Tables'!$P$70:$P$83,MATCH(O197,('Spell Tables'!$N$70:$N$83),0)),IF(P$256&gt;=O197,INDEX('Spell Tables'!$P$48:$P$55,MATCH(O197,('Spell Tables'!$N$48:$N$55),0)),IF(P$258&gt;=O197,INDEX('Spell Tables'!$P$26:$P$32,MATCH(O197,('Spell Tables'!$N$26:$N$32),0)),IF(P$260&gt;=O197,INDEX('Spell Tables'!$P$2:$P$12,MATCH(O197,('Spell Tables'!$N$2:$N$12),0))," "))))))))</f>
        <v xml:space="preserve"> </v>
      </c>
      <c r="Q266" s="33" t="str">
        <f ca="1">IF(AND($Q$15="Otherworldly patron - great old one",Q$244&gt;=O197),INDEX('Spell Tables'!$T$226:$T$238,MATCH(O197,('Spell Tables'!$R$226:$R$238),0)),IF(AND($Q$15="Otherworldly patron - fiend",Q$244&gt;=O197),INDEX('Spell Tables'!$T$210:$T$222,MATCH(O197,('Spell Tables'!$R$210:$R$222),0)),IF(Q$242&gt;=O197,INDEX($AL$44:$AL$53,MATCH(O197,($AJ$44:$AJ$53),0)),IF(AND($Q$15="Otherworldly patron - archfey",Q$244&gt;=O197),INDEX('Spell Tables'!T$206:$T298,MATCH(O197,('Spell Tables'!$R$194:$R$206),0)),IF(Q$246&gt;=O197,INDEX('Spell Tables'!T272:T291,MATCH(O197,('Spell Tables'!$R$168:$R$187),0)),IF(Q$248&gt;=O197,INDEX('Spell Tables'!T245:T251,MATCH(O197,('Spell Tables'!$R$141:$R$147),0)),IF(Q$250&gt;=O197,INDEX('Spell Tables'!$P$119:$P$131,MATCH(O197,('Spell Tables'!$N$119:$N$131),0)),IF(Q$252&gt;=O197,INDEX('Spell Tables'!$P$97:$P$111,MATCH(O197,('Spell Tables'!$N$97:$N$111),0)),IF(Q$254&gt;=O197,INDEX('Spell Tables'!$T$70:$T$78,MATCH(O197,('Spell Tables'!$R$70:$R$78),0)),IF(Q$256&gt;=O197,INDEX('Spell Tables'!$T$48:$T$63,MATCH(O197,('Spell Tables'!$R$48:$R$63),0)),IF(Q$258&gt;=O197,INDEX('Spell Tables'!$T$26:$T$40,MATCH(O197,('Spell Tables'!$R$26:$R$40),0)),IF(Q$260&gt;=O197,INDEX('Spell Tables'!$T$2:$T$22,MATCH(O197,('Spell Tables'!$R$2:$R$22),0))," "))))))))))))</f>
        <v xml:space="preserve"> </v>
      </c>
      <c r="R266" s="33" t="str">
        <f ca="1">IF(AND($Q$15="Otherworldly patron - great old one",R$244&gt;=O197),INDEX('Spell Tables'!$X$226:$X$239,MATCH(O197,('Spell Tables'!$V$226:$V$239),0)),IF(AND($Q$15="Otherworldly patron - fiend",R$244&gt;=O197),INDEX('Spell Tables'!$X$210:$X$223,MATCH(O197,('Spell Tables'!$V$210:$V$223),0)),IF(AND($Q$15="Otherworldly patron - archfey",R$244&gt;=O197),INDEX('Spell Tables'!$X$194:$X$207,MATCH(O197,('Spell Tables'!$V$194:$V$207),0)),IF($R$242&gt;=O197,INDEX($AL$56:$AL$65,MATCH(O197,($AJ$56:$AJ$65),0)),IF($R$246&gt;=O197,INDEX('Spell Tables'!$X$168:$X$191,MATCH(O197,('Spell Tables'!$V$168:$V$191),0)),IF($R$248&gt;=O197,INDEX('Spell Tables'!$AB$141:$AB$149,MATCH(O197,('Spell Tables'!$Z$141:$Z$149),0)),IF($R$250&gt;=O197,INDEX('Spell Tables'!T223:T235,MATCH(O197,('Spell Tables'!$R$119:$R$131),0)),IF($R$252&gt;=O197,INDEX('Spell Tables'!$T$97:T208,MATCH(O197,('Spell Tables'!$R$97:$R$104),0)),IF($R$254&gt;=O197,INDEX('Spell Tables'!$AB$70:$AB$75,MATCH(O197,('Spell Tables'!$Z$70:$Z$75),0)),IF($R$256&gt;=O197,INDEX('Spell Tables'!$X$48:$X$65,MATCH(O197,('Spell Tables'!$V$48:$V$65),0)),IF($R$258&gt;=O197,INDEX('Spell Tables'!$X$26:$X$42,MATCH(O197,('Spell Tables'!$V$26:$V$42),0)),IF($R$260&gt;=O197,INDEX('Spell Tables'!$X$2:$X$23,MATCH(O197,('Spell Tables'!$V$2:$V$23),0))," "))))))))))))</f>
        <v xml:space="preserve"> </v>
      </c>
      <c r="S266" s="33" t="str">
        <f ca="1">IF(AND($Q$15="Otherworldly patron - great old one",S$244&gt;=O197),INDEX('Spell Tables'!$AB$226:$AB$238,MATCH(O197,('Spell Tables'!$Z$226:$Z$238),0)),IF(AND($Q$15="Otherworldly patron - fiend",S$244&gt;=O197),INDEX('Spell Tables'!$AB$210:$AB$222,MATCH(O197,('Spell Tables'!$Z$210:$Z$222),0)),IF(AND($Q$15="Otherworldly patron - archfey",S$244&gt;=O197),INDEX('Spell Tables'!$AB$194:$AB$206,MATCH(O197,('Spell Tables'!$Z$194:$Z$206),0)),IF($S$242&gt;=O197,INDEX($AL$68:$AL$77,MATCH(O197,($AJ$68:$AJ$77),0)),IF($S$246&gt;=O197,INDEX('Spell Tables'!$AB$168:$AB$187,MATCH(O197,('Spell Tables'!$Z$168:$Z$187),0)),IF($S$248&gt;=O197,INDEX('Spell Tables'!$AJ$141:$AJ$144,MATCH(O197,('Spell Tables'!$AH$141:$AH$144),0)),IF($S$250&gt;=O197,INDEX('Spell Tables'!$X$119:$X$129,MATCH(O197,('Spell Tables'!$V$119:$V$129),0)),IF($S$252&gt;=O197,INDEX('Spell Tables'!$X$97:$X$106,MATCH(O197,('Spell Tables'!$V$97:$V$106),0)),IF($S$254&gt;=O197,INDEX('Spell Tables'!$AJ$70:$AJ$79,MATCH(O197,('Spell Tables'!$AH$70:$AH$79),0)),IF($S$256&gt;=O197,INDEX('Spell Tables'!$AB$48:$AB$60,MATCH(O197,('Spell Tables'!$Z$48:$Z$60),0)),IF($S$258&gt;=O197,INDEX('Spell Tables'!$AB$26:$AB$45,MATCH(O197,('Spell Tables'!$Z$26:$Z$45),0)),IF($S$260&gt;=O197,INDEX('Spell Tables'!$AB$2:$AB$17,MATCH(O197,('Spell Tables'!$Z$2:$Z$17),0))," "))))))))))))</f>
        <v xml:space="preserve"> </v>
      </c>
      <c r="T266" s="33" t="str">
        <f ca="1">IF(AND($Q$15="Otherworldly patron - great old one",T$244&gt;=O197),INDEX('Spell Tables'!$AF$226:$AF$231,MATCH(O197,('Spell Tables'!$AD$226:$AD$231),0)),IF(AND($Q$15="Otherworldly patron - fiend",T$244&gt;=O197),INDEX('Spell Tables'!$AF$210:$AF$215,MATCH(O197,('Spell Tables'!$AD$210:$AD$215),0)),IF(AND($Q$15="Otherworldly patron - archfey",T$244&gt;=O197),INDEX('Spell Tables'!$AF$194:$AF$199,MATCH(O197,('Spell Tables'!$AD$194:$AD$199),0)),IF($T$242&gt;=O197,INDEX($AL$80:$AL$89,MATCH(O197,($AJ$80:$AJ$89),0)),IF($T$246&gt;=O197,INDEX('Spell Tables'!$AF$168:$AF$177,MATCH(O197,('Spell Tables'!$AD$168:$AD$177),0)),IF($T$248&gt;=O197,INDEX('Spell Tables'!$AR$141:$AR$144,MATCH(O197,('Spell Tables'!$AP$141:$AP$144),0)),IF($T$250&gt;=O197,INDEX('Spell Tables'!$AB$119:$AB$123,MATCH(O197,('Spell Tables'!$Z$119:$Z$123),0)),IF($T$252&gt;=O197,INDEX('Spell Tables'!$AB$97:$AB$102,MATCH(O197,('Spell Tables'!$Z$97:$Z$102),0)),IF($T$254&gt;=O197,INDEX('Spell Tables'!$AR$70:$AR$75,MATCH(O197,('Spell Tables'!$AP$70:$AP$75),0)),IF($T$256&gt;=O197,INDEX('Spell Tables'!$AF$48:$AF$63,MATCH(O197,('Spell Tables'!$AD$48:$AD$63),0)),IF($T$258&gt;=O197,INDEX('Spell Tables'!$AF$26:$AF$33,MATCH(O197,('Spell Tables'!$AD$26:$AD$33),0)),IF($T$260&gt;=O197,INDEX('Spell Tables'!$AF$2:$AF$9,MATCH(O197,('Spell Tables'!$AD$2:$AD$9),0))," "))))))))))))</f>
        <v xml:space="preserve"> </v>
      </c>
    </row>
    <row r="267" spans="2:20" x14ac:dyDescent="0.3">
      <c r="B267" s="33"/>
      <c r="C267" s="33"/>
      <c r="D267" s="33"/>
      <c r="E267" s="33"/>
      <c r="F267" s="33"/>
      <c r="G267" s="33"/>
      <c r="H267" s="33"/>
      <c r="I267" s="33"/>
      <c r="J267" s="33"/>
      <c r="K267" s="33"/>
      <c r="L267" s="33"/>
      <c r="M267" s="33"/>
      <c r="O267" s="34">
        <v>6</v>
      </c>
      <c r="P267" s="33" t="str">
        <f ca="1">IF(P$242&gt;=O198,INDEX('Spell Tables'!$P$242:$P$257,MATCH(O198,('Spell Tables'!$N$242:$N$257),0)),IF(P$244&gt;=O198,INDEX('Spell Tables'!$P$194:$P$201,MATCH(O198,('Spell Tables'!$N$194:$N$201),0)),IF(P$246&gt;=O198,INDEX('Spell Tables'!$P$168:$P$183,MATCH(O198,('Spell Tables'!$N$168:$N$183),0)),IF(P$248&gt;=O198,INDEX('Spell Tables'!$P$141:$P$156,MATCH(O198,('Spell Tables'!$N$141:$N$157),0)),IF(P$254&gt;=O198,INDEX('Spell Tables'!$P$70:$P$83,MATCH(O198,('Spell Tables'!$N$70:$N$83),0)),IF(P$256&gt;=O198,INDEX('Spell Tables'!$P$48:$P$55,MATCH(O198,('Spell Tables'!$N$48:$N$55),0)),IF(P$258&gt;=O198,INDEX('Spell Tables'!$P$26:$P$32,MATCH(O198,('Spell Tables'!$N$26:$N$32),0)),IF(P$260&gt;=O198,INDEX('Spell Tables'!$P$2:$P$12,MATCH(O198,('Spell Tables'!$N$2:$N$12),0))," "))))))))</f>
        <v xml:space="preserve"> </v>
      </c>
      <c r="Q267" s="33" t="str">
        <f ca="1">IF(AND($Q$15="Otherworldly patron - great old one",Q$244&gt;=O198),INDEX('Spell Tables'!$T$226:$T$238,MATCH(O198,('Spell Tables'!$R$226:$R$238),0)),IF(AND($Q$15="Otherworldly patron - fiend",Q$244&gt;=O198),INDEX('Spell Tables'!$T$210:$T$222,MATCH(O198,('Spell Tables'!$R$210:$R$222),0)),IF(Q$242&gt;=O198,INDEX($AL$44:$AL$53,MATCH(O198,($AJ$44:$AJ$53),0)),IF(AND($Q$15="Otherworldly patron - archfey",Q$244&gt;=O198),INDEX('Spell Tables'!T$206:$T299,MATCH(O198,('Spell Tables'!$R$194:$R$206),0)),IF(Q$246&gt;=O198,INDEX('Spell Tables'!T273:T292,MATCH(O198,('Spell Tables'!$R$168:$R$187),0)),IF(Q$248&gt;=O198,INDEX('Spell Tables'!T246:T252,MATCH(O198,('Spell Tables'!$R$141:$R$147),0)),IF(Q$250&gt;=O198,INDEX('Spell Tables'!$P$119:$P$131,MATCH(O198,('Spell Tables'!$N$119:$N$131),0)),IF(Q$252&gt;=O198,INDEX('Spell Tables'!$P$97:$P$111,MATCH(O198,('Spell Tables'!$N$97:$N$111),0)),IF(Q$254&gt;=O198,INDEX('Spell Tables'!$T$70:$T$78,MATCH(O198,('Spell Tables'!$R$70:$R$78),0)),IF(Q$256&gt;=O198,INDEX('Spell Tables'!$T$48:$T$63,MATCH(O198,('Spell Tables'!$R$48:$R$63),0)),IF(Q$258&gt;=O198,INDEX('Spell Tables'!$T$26:$T$40,MATCH(O198,('Spell Tables'!$R$26:$R$40),0)),IF(Q$260&gt;=O198,INDEX('Spell Tables'!$T$2:$T$22,MATCH(O198,('Spell Tables'!$R$2:$R$22),0))," "))))))))))))</f>
        <v xml:space="preserve"> </v>
      </c>
      <c r="R267" s="33" t="str">
        <f ca="1">IF(AND($Q$15="Otherworldly patron - great old one",R$244&gt;=O198),INDEX('Spell Tables'!$X$226:$X$239,MATCH(O198,('Spell Tables'!$V$226:$V$239),0)),IF(AND($Q$15="Otherworldly patron - fiend",R$244&gt;=O198),INDEX('Spell Tables'!$X$210:$X$223,MATCH(O198,('Spell Tables'!$V$210:$V$223),0)),IF(AND($Q$15="Otherworldly patron - archfey",R$244&gt;=O198),INDEX('Spell Tables'!$X$194:$X$207,MATCH(O198,('Spell Tables'!$V$194:$V$207),0)),IF($R$242&gt;=O198,INDEX($AL$56:$AL$65,MATCH(O198,($AJ$56:$AJ$65),0)),IF($R$246&gt;=O198,INDEX('Spell Tables'!$X$168:$X$191,MATCH(O198,('Spell Tables'!$V$168:$V$191),0)),IF($R$248&gt;=O198,INDEX('Spell Tables'!$AB$141:$AB$149,MATCH(O198,('Spell Tables'!$Z$141:$Z$149),0)),IF($R$250&gt;=O198,INDEX('Spell Tables'!T224:T236,MATCH(O198,('Spell Tables'!$R$119:$R$131),0)),IF($R$252&gt;=O198,INDEX('Spell Tables'!$T$97:T209,MATCH(O198,('Spell Tables'!$R$97:$R$104),0)),IF($R$254&gt;=O198,INDEX('Spell Tables'!$AB$70:$AB$75,MATCH(O198,('Spell Tables'!$Z$70:$Z$75),0)),IF($R$256&gt;=O198,INDEX('Spell Tables'!$X$48:$X$65,MATCH(O198,('Spell Tables'!$V$48:$V$65),0)),IF($R$258&gt;=O198,INDEX('Spell Tables'!$X$26:$X$42,MATCH(O198,('Spell Tables'!$V$26:$V$42),0)),IF($R$260&gt;=O198,INDEX('Spell Tables'!$X$2:$X$23,MATCH(O198,('Spell Tables'!$V$2:$V$23),0))," "))))))))))))</f>
        <v xml:space="preserve"> </v>
      </c>
      <c r="S267" s="33" t="str">
        <f ca="1">IF(AND($Q$15="Otherworldly patron - great old one",S$244&gt;=O198),INDEX('Spell Tables'!$AB$226:$AB$238,MATCH(O198,('Spell Tables'!$Z$226:$Z$238),0)),IF(AND($Q$15="Otherworldly patron - fiend",S$244&gt;=O198),INDEX('Spell Tables'!$AB$210:$AB$222,MATCH(O198,('Spell Tables'!$Z$210:$Z$222),0)),IF(AND($Q$15="Otherworldly patron - archfey",S$244&gt;=O198),INDEX('Spell Tables'!$AB$194:$AB$206,MATCH(O198,('Spell Tables'!$Z$194:$Z$206),0)),IF($S$242&gt;=O198,INDEX($AL$68:$AL$77,MATCH(O198,($AJ$68:$AJ$77),0)),IF($S$246&gt;=O198,INDEX('Spell Tables'!$AB$168:$AB$187,MATCH(O198,('Spell Tables'!$Z$168:$Z$187),0)),IF($S$248&gt;=O198,INDEX('Spell Tables'!$AJ$141:$AJ$144,MATCH(O198,('Spell Tables'!$AH$141:$AH$144),0)),IF($S$250&gt;=O198,INDEX('Spell Tables'!$X$119:$X$129,MATCH(O198,('Spell Tables'!$V$119:$V$129),0)),IF($S$252&gt;=O198,INDEX('Spell Tables'!$X$97:$X$106,MATCH(O198,('Spell Tables'!$V$97:$V$106),0)),IF($S$254&gt;=O198,INDEX('Spell Tables'!$AJ$70:$AJ$79,MATCH(O198,('Spell Tables'!$AH$70:$AH$79),0)),IF($S$256&gt;=O198,INDEX('Spell Tables'!$AB$48:$AB$60,MATCH(O198,('Spell Tables'!$Z$48:$Z$60),0)),IF($S$258&gt;=O198,INDEX('Spell Tables'!$AB$26:$AB$45,MATCH(O198,('Spell Tables'!$Z$26:$Z$45),0)),IF($S$260&gt;=O198,INDEX('Spell Tables'!$AB$2:$AB$17,MATCH(O198,('Spell Tables'!$Z$2:$Z$17),0))," "))))))))))))</f>
        <v xml:space="preserve"> </v>
      </c>
      <c r="T267" s="33" t="str">
        <f ca="1">IF(AND($Q$15="Otherworldly patron - great old one",T$244&gt;=O198),INDEX('Spell Tables'!$AF$226:$AF$231,MATCH(O198,('Spell Tables'!$AD$226:$AD$231),0)),IF(AND($Q$15="Otherworldly patron - fiend",T$244&gt;=O198),INDEX('Spell Tables'!$AF$210:$AF$215,MATCH(O198,('Spell Tables'!$AD$210:$AD$215),0)),IF(AND($Q$15="Otherworldly patron - archfey",T$244&gt;=O198),INDEX('Spell Tables'!$AF$194:$AF$199,MATCH(O198,('Spell Tables'!$AD$194:$AD$199),0)),IF($T$242&gt;=O198,INDEX($AL$80:$AL$89,MATCH(O198,($AJ$80:$AJ$89),0)),IF($T$246&gt;=O198,INDEX('Spell Tables'!$AF$168:$AF$177,MATCH(O198,('Spell Tables'!$AD$168:$AD$177),0)),IF($T$248&gt;=O198,INDEX('Spell Tables'!$AR$141:$AR$144,MATCH(O198,('Spell Tables'!$AP$141:$AP$144),0)),IF($T$250&gt;=O198,INDEX('Spell Tables'!$AB$119:$AB$123,MATCH(O198,('Spell Tables'!$Z$119:$Z$123),0)),IF($T$252&gt;=O198,INDEX('Spell Tables'!$AB$97:$AB$102,MATCH(O198,('Spell Tables'!$Z$97:$Z$102),0)),IF($T$254&gt;=O198,INDEX('Spell Tables'!$AR$70:$AR$75,MATCH(O198,('Spell Tables'!$AP$70:$AP$75),0)),IF($T$256&gt;=O198,INDEX('Spell Tables'!$AF$48:$AF$63,MATCH(O198,('Spell Tables'!$AD$48:$AD$63),0)),IF($T$258&gt;=O198,INDEX('Spell Tables'!$AF$26:$AF$33,MATCH(O198,('Spell Tables'!$AD$26:$AD$33),0)),IF($T$260&gt;=O198,INDEX('Spell Tables'!$AF$2:$AF$9,MATCH(O198,('Spell Tables'!$AD$2:$AD$9),0))," "))))))))))))</f>
        <v xml:space="preserve"> </v>
      </c>
    </row>
    <row r="268" spans="2:20" x14ac:dyDescent="0.3">
      <c r="B268" s="33"/>
      <c r="C268" s="33"/>
      <c r="D268" s="33"/>
      <c r="E268" s="33"/>
      <c r="F268" s="33"/>
      <c r="G268" s="33"/>
      <c r="H268" s="33"/>
      <c r="I268" s="33"/>
      <c r="J268" s="33"/>
      <c r="K268" s="33"/>
      <c r="L268" s="33"/>
      <c r="M268" s="33"/>
      <c r="O268" s="34">
        <v>7</v>
      </c>
      <c r="P268" s="33" t="str">
        <f ca="1">IF(P$242&gt;=O199,INDEX('Spell Tables'!$P$242:$P$257,MATCH(O199,('Spell Tables'!$N$242:$N$257),0)),IF(P$244&gt;=O199,INDEX('Spell Tables'!$P$194:$P$201,MATCH(O199,('Spell Tables'!$N$194:$N$201),0)),IF(P$246&gt;=O199,INDEX('Spell Tables'!$P$168:$P$183,MATCH(O199,('Spell Tables'!$N$168:$N$183),0)),IF(P$248&gt;=O199,INDEX('Spell Tables'!$P$141:$P$156,MATCH(O199,('Spell Tables'!$N$141:$N$157),0)),IF(P$254&gt;=O199,INDEX('Spell Tables'!$P$70:$P$83,MATCH(O199,('Spell Tables'!$N$70:$N$83),0)),IF(P$256&gt;=O199,INDEX('Spell Tables'!$P$48:$P$55,MATCH(O199,('Spell Tables'!$N$48:$N$55),0)),IF(P$258&gt;=O199,INDEX('Spell Tables'!$P$26:$P$32,MATCH(O199,('Spell Tables'!$N$26:$N$32),0)),IF(P$260&gt;=O199,INDEX('Spell Tables'!$P$2:$P$12,MATCH(O199,('Spell Tables'!$N$2:$N$12),0))," "))))))))</f>
        <v xml:space="preserve"> </v>
      </c>
      <c r="Q268" s="33" t="str">
        <f ca="1">IF(AND($Q$15="Otherworldly patron - great old one",Q$244&gt;=O199),INDEX('Spell Tables'!$T$226:$T$238,MATCH(O199,('Spell Tables'!$R$226:$R$238),0)),IF(AND($Q$15="Otherworldly patron - fiend",Q$244&gt;=O199),INDEX('Spell Tables'!$T$210:$T$222,MATCH(O199,('Spell Tables'!$R$210:$R$222),0)),IF(Q$242&gt;=O199,INDEX($AL$44:$AL$53,MATCH(O199,($AJ$44:$AJ$53),0)),IF(AND($Q$15="Otherworldly patron - archfey",Q$244&gt;=O199),INDEX('Spell Tables'!T$206:$T300,MATCH(O199,('Spell Tables'!$R$194:$R$206),0)),IF(Q$246&gt;=O199,INDEX('Spell Tables'!T274:T293,MATCH(O199,('Spell Tables'!$R$168:$R$187),0)),IF(Q$248&gt;=O199,INDEX('Spell Tables'!T247:T253,MATCH(O199,('Spell Tables'!$R$141:$R$147),0)),IF(Q$250&gt;=O199,INDEX('Spell Tables'!$P$119:$P$131,MATCH(O199,('Spell Tables'!$N$119:$N$131),0)),IF(Q$252&gt;=O199,INDEX('Spell Tables'!$P$97:$P$111,MATCH(O199,('Spell Tables'!$N$97:$N$111),0)),IF(Q$254&gt;=O199,INDEX('Spell Tables'!$T$70:$T$78,MATCH(O199,('Spell Tables'!$R$70:$R$78),0)),IF(Q$256&gt;=O199,INDEX('Spell Tables'!$T$48:$T$63,MATCH(O199,('Spell Tables'!$R$48:$R$63),0)),IF(Q$258&gt;=O199,INDEX('Spell Tables'!$T$26:$T$40,MATCH(O199,('Spell Tables'!$R$26:$R$40),0)),IF(Q$260&gt;=O199,INDEX('Spell Tables'!$T$2:$T$22,MATCH(O199,('Spell Tables'!$R$2:$R$22),0))," "))))))))))))</f>
        <v xml:space="preserve"> </v>
      </c>
      <c r="R268" s="33" t="str">
        <f ca="1">IF(AND($Q$15="Otherworldly patron - great old one",R$244&gt;=O199),INDEX('Spell Tables'!$X$226:$X$239,MATCH(O199,('Spell Tables'!$V$226:$V$239),0)),IF(AND($Q$15="Otherworldly patron - fiend",R$244&gt;=O199),INDEX('Spell Tables'!$X$210:$X$223,MATCH(O199,('Spell Tables'!$V$210:$V$223),0)),IF(AND($Q$15="Otherworldly patron - archfey",R$244&gt;=O199),INDEX('Spell Tables'!$X$194:$X$207,MATCH(O199,('Spell Tables'!$V$194:$V$207),0)),IF($R$242&gt;=O199,INDEX($AL$56:$AL$65,MATCH(O199,($AJ$56:$AJ$65),0)),IF($R$246&gt;=O199,INDEX('Spell Tables'!$X$168:$X$191,MATCH(O199,('Spell Tables'!$V$168:$V$191),0)),IF($R$248&gt;=O199,INDEX('Spell Tables'!$AB$141:$AB$149,MATCH(O199,('Spell Tables'!$Z$141:$Z$149),0)),IF($R$250&gt;=O199,INDEX('Spell Tables'!T225:T237,MATCH(O199,('Spell Tables'!$R$119:$R$131),0)),IF($R$252&gt;=O199,INDEX('Spell Tables'!$T$97:T210,MATCH(O199,('Spell Tables'!$R$97:$R$104),0)),IF($R$254&gt;=O199,INDEX('Spell Tables'!$AB$70:$AB$75,MATCH(O199,('Spell Tables'!$Z$70:$Z$75),0)),IF($R$256&gt;=O199,INDEX('Spell Tables'!$X$48:$X$65,MATCH(O199,('Spell Tables'!$V$48:$V$65),0)),IF($R$258&gt;=O199,INDEX('Spell Tables'!$X$26:$X$42,MATCH(O199,('Spell Tables'!$V$26:$V$42),0)),IF($R$260&gt;=O199,INDEX('Spell Tables'!$X$2:$X$23,MATCH(O199,('Spell Tables'!$V$2:$V$23),0))," "))))))))))))</f>
        <v xml:space="preserve"> </v>
      </c>
      <c r="S268" s="33" t="str">
        <f ca="1">IF(AND($Q$15="Otherworldly patron - great old one",S$244&gt;=O199),INDEX('Spell Tables'!$AB$226:$AB$238,MATCH(O199,('Spell Tables'!$Z$226:$Z$238),0)),IF(AND($Q$15="Otherworldly patron - fiend",S$244&gt;=O199),INDEX('Spell Tables'!$AB$210:$AB$222,MATCH(O199,('Spell Tables'!$Z$210:$Z$222),0)),IF(AND($Q$15="Otherworldly patron - archfey",S$244&gt;=O199),INDEX('Spell Tables'!$AB$194:$AB$206,MATCH(O199,('Spell Tables'!$Z$194:$Z$206),0)),IF($S$242&gt;=O199,INDEX($AL$68:$AL$77,MATCH(O199,($AJ$68:$AJ$77),0)),IF($S$246&gt;=O199,INDEX('Spell Tables'!$AB$168:$AB$187,MATCH(O199,('Spell Tables'!$Z$168:$Z$187),0)),IF($S$248&gt;=O199,INDEX('Spell Tables'!$AJ$141:$AJ$144,MATCH(O199,('Spell Tables'!$AH$141:$AH$144),0)),IF($S$250&gt;=O199,INDEX('Spell Tables'!$X$119:$X$129,MATCH(O199,('Spell Tables'!$V$119:$V$129),0)),IF($S$252&gt;=O199,INDEX('Spell Tables'!$X$97:$X$106,MATCH(O199,('Spell Tables'!$V$97:$V$106),0)),IF($S$254&gt;=O199,INDEX('Spell Tables'!$AJ$70:$AJ$79,MATCH(O199,('Spell Tables'!$AH$70:$AH$79),0)),IF($S$256&gt;=O199,INDEX('Spell Tables'!$AB$48:$AB$60,MATCH(O199,('Spell Tables'!$Z$48:$Z$60),0)),IF($S$258&gt;=O199,INDEX('Spell Tables'!$AB$26:$AB$45,MATCH(O199,('Spell Tables'!$Z$26:$Z$45),0)),IF($S$260&gt;=O199,INDEX('Spell Tables'!$AB$2:$AB$17,MATCH(O199,('Spell Tables'!$Z$2:$Z$17),0))," "))))))))))))</f>
        <v xml:space="preserve"> </v>
      </c>
      <c r="T268" s="33" t="str">
        <f ca="1">IF(AND($Q$15="Otherworldly patron - great old one",T$244&gt;=O199),INDEX('Spell Tables'!$AF$226:$AF$231,MATCH(O199,('Spell Tables'!$AD$226:$AD$231),0)),IF(AND($Q$15="Otherworldly patron - fiend",T$244&gt;=O199),INDEX('Spell Tables'!$AF$210:$AF$215,MATCH(O199,('Spell Tables'!$AD$210:$AD$215),0)),IF(AND($Q$15="Otherworldly patron - archfey",T$244&gt;=O199),INDEX('Spell Tables'!$AF$194:$AF$199,MATCH(O199,('Spell Tables'!$AD$194:$AD$199),0)),IF($T$242&gt;=O199,INDEX($AL$80:$AL$89,MATCH(O199,($AJ$80:$AJ$89),0)),IF($T$246&gt;=O199,INDEX('Spell Tables'!$AF$168:$AF$177,MATCH(O199,('Spell Tables'!$AD$168:$AD$177),0)),IF($T$248&gt;=O199,INDEX('Spell Tables'!$AR$141:$AR$144,MATCH(O199,('Spell Tables'!$AP$141:$AP$144),0)),IF($T$250&gt;=O199,INDEX('Spell Tables'!$AB$119:$AB$123,MATCH(O199,('Spell Tables'!$Z$119:$Z$123),0)),IF($T$252&gt;=O199,INDEX('Spell Tables'!$AB$97:$AB$102,MATCH(O199,('Spell Tables'!$Z$97:$Z$102),0)),IF($T$254&gt;=O199,INDEX('Spell Tables'!$AR$70:$AR$75,MATCH(O199,('Spell Tables'!$AP$70:$AP$75),0)),IF($T$256&gt;=O199,INDEX('Spell Tables'!$AF$48:$AF$63,MATCH(O199,('Spell Tables'!$AD$48:$AD$63),0)),IF($T$258&gt;=O199,INDEX('Spell Tables'!$AF$26:$AF$33,MATCH(O199,('Spell Tables'!$AD$26:$AD$33),0)),IF($T$260&gt;=O199,INDEX('Spell Tables'!$AF$2:$AF$9,MATCH(O199,('Spell Tables'!$AD$2:$AD$9),0))," "))))))))))))</f>
        <v xml:space="preserve"> </v>
      </c>
    </row>
    <row r="269" spans="2:20" x14ac:dyDescent="0.3">
      <c r="B269" s="33"/>
      <c r="C269" s="33"/>
      <c r="D269" s="33"/>
      <c r="E269" s="33"/>
      <c r="F269" s="33"/>
      <c r="G269" s="33"/>
      <c r="H269" s="33"/>
      <c r="I269" s="33"/>
      <c r="J269" s="33"/>
      <c r="K269" s="33"/>
      <c r="L269" s="33"/>
      <c r="M269" s="33"/>
      <c r="O269" s="34">
        <v>8</v>
      </c>
      <c r="P269" s="33" t="str">
        <f ca="1">IF(P$242&gt;=O200,INDEX('Spell Tables'!$P$242:$P$257,MATCH(O200,('Spell Tables'!$N$242:$N$257),0)),IF(P$244&gt;=O200,INDEX('Spell Tables'!$P$194:$P$201,MATCH(O200,('Spell Tables'!$N$194:$N$201),0)),IF(P$246&gt;=O200,INDEX('Spell Tables'!$P$168:$P$183,MATCH(O200,('Spell Tables'!$N$168:$N$183),0)),IF(P$248&gt;=O200,INDEX('Spell Tables'!$P$141:$P$156,MATCH(O200,('Spell Tables'!$N$141:$N$157),0)),IF(P$254&gt;=O200,INDEX('Spell Tables'!$P$70:$P$83,MATCH(O200,('Spell Tables'!$N$70:$N$83),0)),IF(P$256&gt;=O200,INDEX('Spell Tables'!$P$48:$P$55,MATCH(O200,('Spell Tables'!$N$48:$N$55),0)),IF(P$258&gt;=O200,INDEX('Spell Tables'!$P$26:$P$32,MATCH(O200,('Spell Tables'!$N$26:$N$32),0)),IF(P$260&gt;=O200,INDEX('Spell Tables'!$P$2:$P$12,MATCH(O200,('Spell Tables'!$N$2:$N$12),0))," "))))))))</f>
        <v xml:space="preserve"> </v>
      </c>
      <c r="Q269" s="33" t="str">
        <f ca="1">IF(AND($Q$15="Otherworldly patron - great old one",Q$244&gt;=O200),INDEX('Spell Tables'!$T$226:$T$238,MATCH(O200,('Spell Tables'!$R$226:$R$238),0)),IF(AND($Q$15="Otherworldly patron - fiend",Q$244&gt;=O200),INDEX('Spell Tables'!$T$210:$T$222,MATCH(O200,('Spell Tables'!$R$210:$R$222),0)),IF(Q$242&gt;=O200,INDEX($AL$44:$AL$53,MATCH(O200,($AJ$44:$AJ$53),0)),IF(AND($Q$15="Otherworldly patron - archfey",Q$244&gt;=O200),INDEX('Spell Tables'!T$206:$T301,MATCH(O200,('Spell Tables'!$R$194:$R$206),0)),IF(Q$246&gt;=O200,INDEX('Spell Tables'!T275:T294,MATCH(O200,('Spell Tables'!$R$168:$R$187),0)),IF(Q$248&gt;=O200,INDEX('Spell Tables'!T248:T254,MATCH(O200,('Spell Tables'!$R$141:$R$147),0)),IF(Q$250&gt;=O200,INDEX('Spell Tables'!$P$119:$P$131,MATCH(O200,('Spell Tables'!$N$119:$N$131),0)),IF(Q$252&gt;=O200,INDEX('Spell Tables'!$P$97:$P$111,MATCH(O200,('Spell Tables'!$N$97:$N$111),0)),IF(Q$254&gt;=O200,INDEX('Spell Tables'!$T$70:$T$78,MATCH(O200,('Spell Tables'!$R$70:$R$78),0)),IF(Q$256&gt;=O200,INDEX('Spell Tables'!$T$48:$T$63,MATCH(O200,('Spell Tables'!$R$48:$R$63),0)),IF(Q$258&gt;=O200,INDEX('Spell Tables'!$T$26:$T$40,MATCH(O200,('Spell Tables'!$R$26:$R$40),0)),IF(Q$260&gt;=O200,INDEX('Spell Tables'!$T$2:$T$22,MATCH(O200,('Spell Tables'!$R$2:$R$22),0))," "))))))))))))</f>
        <v xml:space="preserve"> </v>
      </c>
      <c r="R269" s="33" t="str">
        <f ca="1">IF(AND($Q$15="Otherworldly patron - great old one",R$244&gt;=O200),INDEX('Spell Tables'!$X$226:$X$239,MATCH(O200,('Spell Tables'!$V$226:$V$239),0)),IF(AND($Q$15="Otherworldly patron - fiend",R$244&gt;=O200),INDEX('Spell Tables'!$X$210:$X$223,MATCH(O200,('Spell Tables'!$V$210:$V$223),0)),IF(AND($Q$15="Otherworldly patron - archfey",R$244&gt;=O200),INDEX('Spell Tables'!$X$194:$X$207,MATCH(O200,('Spell Tables'!$V$194:$V$207),0)),IF($R$242&gt;=O200,INDEX($AL$56:$AL$65,MATCH(O200,($AJ$56:$AJ$65),0)),IF($R$246&gt;=O200,INDEX('Spell Tables'!$X$168:$X$191,MATCH(O200,('Spell Tables'!$V$168:$V$191),0)),IF($R$248&gt;=O200,INDEX('Spell Tables'!$AB$141:$AB$149,MATCH(O200,('Spell Tables'!$Z$141:$Z$149),0)),IF($R$250&gt;=O200,INDEX('Spell Tables'!T226:T238,MATCH(O200,('Spell Tables'!$R$119:$R$131),0)),IF($R$252&gt;=O200,INDEX('Spell Tables'!$T$97:T211,MATCH(O200,('Spell Tables'!$R$97:$R$104),0)),IF($R$254&gt;=O200,INDEX('Spell Tables'!$AB$70:$AB$75,MATCH(O200,('Spell Tables'!$Z$70:$Z$75),0)),IF($R$256&gt;=O200,INDEX('Spell Tables'!$X$48:$X$65,MATCH(O200,('Spell Tables'!$V$48:$V$65),0)),IF($R$258&gt;=O200,INDEX('Spell Tables'!$X$26:$X$42,MATCH(O200,('Spell Tables'!$V$26:$V$42),0)),IF($R$260&gt;=O200,INDEX('Spell Tables'!$X$2:$X$23,MATCH(O200,('Spell Tables'!$V$2:$V$23),0))," "))))))))))))</f>
        <v xml:space="preserve"> </v>
      </c>
      <c r="S269" s="33" t="str">
        <f ca="1">IF(AND($Q$15="Otherworldly patron - great old one",S$244&gt;=O200),INDEX('Spell Tables'!$AB$226:$AB$238,MATCH(O200,('Spell Tables'!$Z$226:$Z$238),0)),IF(AND($Q$15="Otherworldly patron - fiend",S$244&gt;=O200),INDEX('Spell Tables'!$AB$210:$AB$222,MATCH(O200,('Spell Tables'!$Z$210:$Z$222),0)),IF(AND($Q$15="Otherworldly patron - archfey",S$244&gt;=O200),INDEX('Spell Tables'!$AB$194:$AB$206,MATCH(O200,('Spell Tables'!$Z$194:$Z$206),0)),IF($S$242&gt;=O200,INDEX($AL$68:$AL$77,MATCH(O200,($AJ$68:$AJ$77),0)),IF($S$246&gt;=O200,INDEX('Spell Tables'!$AB$168:$AB$187,MATCH(O200,('Spell Tables'!$Z$168:$Z$187),0)),IF($S$248&gt;=O200,INDEX('Spell Tables'!$AJ$141:$AJ$144,MATCH(O200,('Spell Tables'!$AH$141:$AH$144),0)),IF($S$250&gt;=O200,INDEX('Spell Tables'!$X$119:$X$129,MATCH(O200,('Spell Tables'!$V$119:$V$129),0)),IF($S$252&gt;=O200,INDEX('Spell Tables'!$X$97:$X$106,MATCH(O200,('Spell Tables'!$V$97:$V$106),0)),IF($S$254&gt;=O200,INDEX('Spell Tables'!$AJ$70:$AJ$79,MATCH(O200,('Spell Tables'!$AH$70:$AH$79),0)),IF($S$256&gt;=O200,INDEX('Spell Tables'!$AB$48:$AB$60,MATCH(O200,('Spell Tables'!$Z$48:$Z$60),0)),IF($S$258&gt;=O200,INDEX('Spell Tables'!$AB$26:$AB$45,MATCH(O200,('Spell Tables'!$Z$26:$Z$45),0)),IF($S$260&gt;=O200,INDEX('Spell Tables'!$AB$2:$AB$17,MATCH(O200,('Spell Tables'!$Z$2:$Z$17),0))," "))))))))))))</f>
        <v xml:space="preserve"> </v>
      </c>
      <c r="T269" s="33" t="str">
        <f ca="1">IF(AND($Q$15="Otherworldly patron - great old one",T$244&gt;=O200),INDEX('Spell Tables'!$AF$226:$AF$231,MATCH(O200,('Spell Tables'!$AD$226:$AD$231),0)),IF(AND($Q$15="Otherworldly patron - fiend",T$244&gt;=O200),INDEX('Spell Tables'!$AF$210:$AF$215,MATCH(O200,('Spell Tables'!$AD$210:$AD$215),0)),IF(AND($Q$15="Otherworldly patron - archfey",T$244&gt;=O200),INDEX('Spell Tables'!$AF$194:$AF$199,MATCH(O200,('Spell Tables'!$AD$194:$AD$199),0)),IF($T$242&gt;=O200,INDEX($AL$80:$AL$89,MATCH(O200,($AJ$80:$AJ$89),0)),IF($T$246&gt;=O200,INDEX('Spell Tables'!$AF$168:$AF$177,MATCH(O200,('Spell Tables'!$AD$168:$AD$177),0)),IF($T$248&gt;=O200,INDEX('Spell Tables'!$AR$141:$AR$144,MATCH(O200,('Spell Tables'!$AP$141:$AP$144),0)),IF($T$250&gt;=O200,INDEX('Spell Tables'!$AB$119:$AB$123,MATCH(O200,('Spell Tables'!$Z$119:$Z$123),0)),IF($T$252&gt;=O200,INDEX('Spell Tables'!$AB$97:$AB$102,MATCH(O200,('Spell Tables'!$Z$97:$Z$102),0)),IF($T$254&gt;=O200,INDEX('Spell Tables'!$AR$70:$AR$75,MATCH(O200,('Spell Tables'!$AP$70:$AP$75),0)),IF($T$256&gt;=O200,INDEX('Spell Tables'!$AF$48:$AF$63,MATCH(O200,('Spell Tables'!$AD$48:$AD$63),0)),IF($T$258&gt;=O200,INDEX('Spell Tables'!$AF$26:$AF$33,MATCH(O200,('Spell Tables'!$AD$26:$AD$33),0)),IF($T$260&gt;=O200,INDEX('Spell Tables'!$AF$2:$AF$9,MATCH(O200,('Spell Tables'!$AD$2:$AD$9),0))," "))))))))))))</f>
        <v xml:space="preserve"> </v>
      </c>
    </row>
    <row r="270" spans="2:20" x14ac:dyDescent="0.3">
      <c r="B270" s="33"/>
      <c r="C270" s="33"/>
      <c r="D270" s="33"/>
      <c r="E270" s="33"/>
      <c r="F270" s="33"/>
      <c r="G270" s="33"/>
      <c r="H270" s="33"/>
      <c r="I270" s="33"/>
      <c r="J270" s="33"/>
      <c r="K270" s="33"/>
      <c r="L270" s="33"/>
      <c r="M270" s="33"/>
      <c r="O270" s="34">
        <v>9</v>
      </c>
      <c r="P270" s="33" t="str">
        <f ca="1">IF(P$242&gt;=O201,INDEX('Spell Tables'!$P$242:$P$257,MATCH(O201,('Spell Tables'!$N$242:$N$257),0)),IF(P$244&gt;=O201,INDEX('Spell Tables'!$P$194:$P$201,MATCH(O201,('Spell Tables'!$N$194:$N$201),0)),IF(P$246&gt;=O201,INDEX('Spell Tables'!$P$168:$P$183,MATCH(O201,('Spell Tables'!$N$168:$N$183),0)),IF(P$248&gt;=O201,INDEX('Spell Tables'!$P$141:$P$156,MATCH(O201,('Spell Tables'!$N$141:$N$157),0)),IF(P$254&gt;=O201,INDEX('Spell Tables'!$P$70:$P$83,MATCH(O201,('Spell Tables'!$N$70:$N$83),0)),IF(P$256&gt;=O201,INDEX('Spell Tables'!$P$48:$P$55,MATCH(O201,('Spell Tables'!$N$48:$N$55),0)),IF(P$258&gt;=O201,INDEX('Spell Tables'!$P$26:$P$32,MATCH(O201,('Spell Tables'!$N$26:$N$32),0)),IF(P$260&gt;=O201,INDEX('Spell Tables'!$P$2:$P$12,MATCH(O201,('Spell Tables'!$N$2:$N$12),0))," "))))))))</f>
        <v xml:space="preserve"> </v>
      </c>
      <c r="Q270" s="33" t="str">
        <f ca="1">IF(AND($Q$15="Otherworldly patron - great old one",Q$244&gt;=O201),INDEX('Spell Tables'!$T$226:$T$238,MATCH(O201,('Spell Tables'!$R$226:$R$238),0)),IF(AND($Q$15="Otherworldly patron - fiend",Q$244&gt;=O201),INDEX('Spell Tables'!$T$210:$T$222,MATCH(O201,('Spell Tables'!$R$210:$R$222),0)),IF(Q$242&gt;=O201,INDEX($AL$44:$AL$53,MATCH(O201,($AJ$44:$AJ$53),0)),IF(AND($Q$15="Otherworldly patron - archfey",Q$244&gt;=O201),INDEX('Spell Tables'!T$206:$T302,MATCH(O201,('Spell Tables'!$R$194:$R$206),0)),IF(Q$246&gt;=O201,INDEX('Spell Tables'!T276:T295,MATCH(O201,('Spell Tables'!$R$168:$R$187),0)),IF(Q$248&gt;=O201,INDEX('Spell Tables'!T249:T255,MATCH(O201,('Spell Tables'!$R$141:$R$147),0)),IF(Q$250&gt;=O201,INDEX('Spell Tables'!$P$119:$P$131,MATCH(O201,('Spell Tables'!$N$119:$N$131),0)),IF(Q$252&gt;=O201,INDEX('Spell Tables'!$P$97:$P$111,MATCH(O201,('Spell Tables'!$N$97:$N$111),0)),IF(Q$254&gt;=O201,INDEX('Spell Tables'!$T$70:$T$78,MATCH(O201,('Spell Tables'!$R$70:$R$78),0)),IF(Q$256&gt;=O201,INDEX('Spell Tables'!$T$48:$T$63,MATCH(O201,('Spell Tables'!$R$48:$R$63),0)),IF(Q$258&gt;=O201,INDEX('Spell Tables'!$T$26:$T$40,MATCH(O201,('Spell Tables'!$R$26:$R$40),0)),IF(Q$260&gt;=O201,INDEX('Spell Tables'!$T$2:$T$22,MATCH(O201,('Spell Tables'!$R$2:$R$22),0))," "))))))))))))</f>
        <v xml:space="preserve"> </v>
      </c>
      <c r="R270" s="33" t="str">
        <f ca="1">IF(AND($Q$15="Otherworldly patron - great old one",R$244&gt;=O201),INDEX('Spell Tables'!$X$226:$X$239,MATCH(O201,('Spell Tables'!$V$226:$V$239),0)),IF(AND($Q$15="Otherworldly patron - fiend",R$244&gt;=O201),INDEX('Spell Tables'!$X$210:$X$223,MATCH(O201,('Spell Tables'!$V$210:$V$223),0)),IF(AND($Q$15="Otherworldly patron - archfey",R$244&gt;=O201),INDEX('Spell Tables'!$X$194:$X$207,MATCH(O201,('Spell Tables'!$V$194:$V$207),0)),IF($R$242&gt;=O201,INDEX($AL$56:$AL$65,MATCH(O201,($AJ$56:$AJ$65),0)),IF($R$246&gt;=O201,INDEX('Spell Tables'!$X$168:$X$191,MATCH(O201,('Spell Tables'!$V$168:$V$191),0)),IF($R$248&gt;=O201,INDEX('Spell Tables'!$AB$141:$AB$149,MATCH(O201,('Spell Tables'!$Z$141:$Z$149),0)),IF($R$250&gt;=O201,INDEX('Spell Tables'!T227:T239,MATCH(O201,('Spell Tables'!$R$119:$R$131),0)),IF($R$252&gt;=O201,INDEX('Spell Tables'!$T$97:T212,MATCH(O201,('Spell Tables'!$R$97:$R$104),0)),IF($R$254&gt;=O201,INDEX('Spell Tables'!$AB$70:$AB$75,MATCH(O201,('Spell Tables'!$Z$70:$Z$75),0)),IF($R$256&gt;=O201,INDEX('Spell Tables'!$X$48:$X$65,MATCH(O201,('Spell Tables'!$V$48:$V$65),0)),IF($R$258&gt;=O201,INDEX('Spell Tables'!$X$26:$X$42,MATCH(O201,('Spell Tables'!$V$26:$V$42),0)),IF($R$260&gt;=O201,INDEX('Spell Tables'!$X$2:$X$23,MATCH(O201,('Spell Tables'!$V$2:$V$23),0))," "))))))))))))</f>
        <v xml:space="preserve"> </v>
      </c>
      <c r="S270" s="33" t="str">
        <f ca="1">IF(AND($Q$15="Otherworldly patron - great old one",S$244&gt;=O201),INDEX('Spell Tables'!$AB$226:$AB$238,MATCH(O201,('Spell Tables'!$Z$226:$Z$238),0)),IF(AND($Q$15="Otherworldly patron - fiend",S$244&gt;=O201),INDEX('Spell Tables'!$AB$210:$AB$222,MATCH(O201,('Spell Tables'!$Z$210:$Z$222),0)),IF(AND($Q$15="Otherworldly patron - archfey",S$244&gt;=O201),INDEX('Spell Tables'!$AB$194:$AB$206,MATCH(O201,('Spell Tables'!$Z$194:$Z$206),0)),IF($S$242&gt;=O201,INDEX($AL$68:$AL$77,MATCH(O201,($AJ$68:$AJ$77),0)),IF($S$246&gt;=O201,INDEX('Spell Tables'!$AB$168:$AB$187,MATCH(O201,('Spell Tables'!$Z$168:$Z$187),0)),IF($S$248&gt;=O201,INDEX('Spell Tables'!$AJ$141:$AJ$144,MATCH(O201,('Spell Tables'!$AH$141:$AH$144),0)),IF($S$250&gt;=O201,INDEX('Spell Tables'!$X$119:$X$129,MATCH(O201,('Spell Tables'!$V$119:$V$129),0)),IF($S$252&gt;=O201,INDEX('Spell Tables'!$X$97:$X$106,MATCH(O201,('Spell Tables'!$V$97:$V$106),0)),IF($S$254&gt;=O201,INDEX('Spell Tables'!$AJ$70:$AJ$79,MATCH(O201,('Spell Tables'!$AH$70:$AH$79),0)),IF($S$256&gt;=O201,INDEX('Spell Tables'!$AB$48:$AB$60,MATCH(O201,('Spell Tables'!$Z$48:$Z$60),0)),IF($S$258&gt;=O201,INDEX('Spell Tables'!$AB$26:$AB$45,MATCH(O201,('Spell Tables'!$Z$26:$Z$45),0)),IF($S$260&gt;=O201,INDEX('Spell Tables'!$AB$2:$AB$17,MATCH(O201,('Spell Tables'!$Z$2:$Z$17),0))," "))))))))))))</f>
        <v xml:space="preserve"> </v>
      </c>
      <c r="T270" s="33" t="str">
        <f ca="1">IF(AND($Q$15="Otherworldly patron - great old one",T$244&gt;=O201),INDEX('Spell Tables'!$AF$226:$AF$231,MATCH(O201,('Spell Tables'!$AD$226:$AD$231),0)),IF(AND($Q$15="Otherworldly patron - fiend",T$244&gt;=O201),INDEX('Spell Tables'!$AF$210:$AF$215,MATCH(O201,('Spell Tables'!$AD$210:$AD$215),0)),IF(AND($Q$15="Otherworldly patron - archfey",T$244&gt;=O201),INDEX('Spell Tables'!$AF$194:$AF$199,MATCH(O201,('Spell Tables'!$AD$194:$AD$199),0)),IF($T$242&gt;=O201,INDEX($AL$80:$AL$89,MATCH(O201,($AJ$80:$AJ$89),0)),IF($T$246&gt;=O201,INDEX('Spell Tables'!$AF$168:$AF$177,MATCH(O201,('Spell Tables'!$AD$168:$AD$177),0)),IF($T$248&gt;=O201,INDEX('Spell Tables'!$AR$141:$AR$144,MATCH(O201,('Spell Tables'!$AP$141:$AP$144),0)),IF($T$250&gt;=O201,INDEX('Spell Tables'!$AB$119:$AB$123,MATCH(O201,('Spell Tables'!$Z$119:$Z$123),0)),IF($T$252&gt;=O201,INDEX('Spell Tables'!$AB$97:$AB$102,MATCH(O201,('Spell Tables'!$Z$97:$Z$102),0)),IF($T$254&gt;=O201,INDEX('Spell Tables'!$AR$70:$AR$75,MATCH(O201,('Spell Tables'!$AP$70:$AP$75),0)),IF($T$256&gt;=O201,INDEX('Spell Tables'!$AF$48:$AF$63,MATCH(O201,('Spell Tables'!$AD$48:$AD$63),0)),IF($T$258&gt;=O201,INDEX('Spell Tables'!$AF$26:$AF$33,MATCH(O201,('Spell Tables'!$AD$26:$AD$33),0)),IF($T$260&gt;=O201,INDEX('Spell Tables'!$AF$2:$AF$9,MATCH(O201,('Spell Tables'!$AD$2:$AD$9),0))," "))))))))))))</f>
        <v xml:space="preserve"> </v>
      </c>
    </row>
    <row r="271" spans="2:20" x14ac:dyDescent="0.3">
      <c r="B271" s="33"/>
      <c r="C271" s="33"/>
      <c r="D271" s="33"/>
      <c r="E271" s="33"/>
      <c r="F271" s="33"/>
      <c r="G271" s="33"/>
      <c r="H271" s="33"/>
      <c r="I271" s="33"/>
      <c r="J271" s="33"/>
      <c r="K271" s="33"/>
      <c r="L271" s="33"/>
      <c r="M271" s="33"/>
      <c r="O271" s="34">
        <v>10</v>
      </c>
      <c r="P271" s="33" t="str">
        <f ca="1">IF(P$242&gt;=O202,INDEX('Spell Tables'!$P$242:$P$257,MATCH(O202,('Spell Tables'!$N$242:$N$257),0)),IF(P$244&gt;=O202,INDEX('Spell Tables'!$P$194:$P$201,MATCH(O202,('Spell Tables'!$N$194:$N$201),0)),IF(P$246&gt;=O202,INDEX('Spell Tables'!$P$168:$P$183,MATCH(O202,('Spell Tables'!$N$168:$N$183),0)),IF(P$248&gt;=O202,INDEX('Spell Tables'!$P$141:$P$156,MATCH(O202,('Spell Tables'!$N$141:$N$157),0)),IF(P$254&gt;=O202,INDEX('Spell Tables'!$P$70:$P$83,MATCH(O202,('Spell Tables'!$N$70:$N$83),0)),IF(P$256&gt;=O202,INDEX('Spell Tables'!$P$48:$P$55,MATCH(O202,('Spell Tables'!$N$48:$N$55),0)),IF(P$258&gt;=O202,INDEX('Spell Tables'!$P$26:$P$32,MATCH(O202,('Spell Tables'!$N$26:$N$32),0)),IF(P$260&gt;=O202,INDEX('Spell Tables'!$P$2:$P$12,MATCH(O202,('Spell Tables'!$N$2:$N$12),0))," "))))))))</f>
        <v xml:space="preserve"> </v>
      </c>
      <c r="Q271" s="33" t="str">
        <f ca="1">IF(AND($Q$15="Otherworldly patron - great old one",Q$244&gt;=O202),INDEX('Spell Tables'!$T$226:$T$238,MATCH(O202,('Spell Tables'!$R$226:$R$238),0)),IF(AND($Q$15="Otherworldly patron - fiend",Q$244&gt;=O202),INDEX('Spell Tables'!$T$210:$T$222,MATCH(O202,('Spell Tables'!$R$210:$R$222),0)),IF(Q$242&gt;=O202,INDEX($AL$44:$AL$53,MATCH(O202,($AJ$44:$AJ$53),0)),IF(AND($Q$15="Otherworldly patron - archfey",Q$244&gt;=O202),INDEX('Spell Tables'!T$206:$T303,MATCH(O202,('Spell Tables'!$R$194:$R$206),0)),IF(Q$246&gt;=O202,INDEX('Spell Tables'!T277:T296,MATCH(O202,('Spell Tables'!$R$168:$R$187),0)),IF(Q$248&gt;=O202,INDEX('Spell Tables'!T250:T256,MATCH(O202,('Spell Tables'!$R$141:$R$147),0)),IF(Q$250&gt;=O202,INDEX('Spell Tables'!$P$119:$P$131,MATCH(O202,('Spell Tables'!$N$119:$N$131),0)),IF(Q$252&gt;=O202,INDEX('Spell Tables'!$P$97:$P$111,MATCH(O202,('Spell Tables'!$N$97:$N$111),0)),IF(Q$254&gt;=O202,INDEX('Spell Tables'!$T$70:$T$78,MATCH(O202,('Spell Tables'!$R$70:$R$78),0)),IF(Q$256&gt;=O202,INDEX('Spell Tables'!$T$48:$T$63,MATCH(O202,('Spell Tables'!$R$48:$R$63),0)),IF(Q$258&gt;=O202,INDEX('Spell Tables'!$T$26:$T$40,MATCH(O202,('Spell Tables'!$R$26:$R$40),0)),IF(Q$260&gt;=O202,INDEX('Spell Tables'!$T$2:$T$22,MATCH(O202,('Spell Tables'!$R$2:$R$22),0))," "))))))))))))</f>
        <v xml:space="preserve"> </v>
      </c>
      <c r="R271" s="33" t="str">
        <f ca="1">IF(AND($Q$15="Otherworldly patron - great old one",R$244&gt;=O202),INDEX('Spell Tables'!$X$226:$X$239,MATCH(O202,('Spell Tables'!$V$226:$V$239),0)),IF(AND($Q$15="Otherworldly patron - fiend",R$244&gt;=O202),INDEX('Spell Tables'!$X$210:$X$223,MATCH(O202,('Spell Tables'!$V$210:$V$223),0)),IF(AND($Q$15="Otherworldly patron - archfey",R$244&gt;=O202),INDEX('Spell Tables'!$X$194:$X$207,MATCH(O202,('Spell Tables'!$V$194:$V$207),0)),IF($R$242&gt;=O202,INDEX($AL$56:$AL$65,MATCH(O202,($AJ$56:$AJ$65),0)),IF($R$246&gt;=O202,INDEX('Spell Tables'!$X$168:$X$191,MATCH(O202,('Spell Tables'!$V$168:$V$191),0)),IF($R$248&gt;=O202,INDEX('Spell Tables'!$AB$141:$AB$149,MATCH(O202,('Spell Tables'!$Z$141:$Z$149),0)),IF($R$250&gt;=O202,INDEX('Spell Tables'!T228:T240,MATCH(O202,('Spell Tables'!$R$119:$R$131),0)),IF($R$252&gt;=O202,INDEX('Spell Tables'!$T$97:T213,MATCH(O202,('Spell Tables'!$R$97:$R$104),0)),IF($R$254&gt;=O202,INDEX('Spell Tables'!$AB$70:$AB$75,MATCH(O202,('Spell Tables'!$Z$70:$Z$75),0)),IF($R$256&gt;=O202,INDEX('Spell Tables'!$X$48:$X$65,MATCH(O202,('Spell Tables'!$V$48:$V$65),0)),IF($R$258&gt;=O202,INDEX('Spell Tables'!$X$26:$X$42,MATCH(O202,('Spell Tables'!$V$26:$V$42),0)),IF($R$260&gt;=O202,INDEX('Spell Tables'!$X$2:$X$23,MATCH(O202,('Spell Tables'!$V$2:$V$23),0))," "))))))))))))</f>
        <v xml:space="preserve"> </v>
      </c>
      <c r="S271" s="33" t="str">
        <f ca="1">IF(AND($Q$15="Otherworldly patron - great old one",S$244&gt;=O202),INDEX('Spell Tables'!$AB$226:$AB$238,MATCH(O202,('Spell Tables'!$Z$226:$Z$238),0)),IF(AND($Q$15="Otherworldly patron - fiend",S$244&gt;=O202),INDEX('Spell Tables'!$AB$210:$AB$222,MATCH(O202,('Spell Tables'!$Z$210:$Z$222),0)),IF(AND($Q$15="Otherworldly patron - archfey",S$244&gt;=O202),INDEX('Spell Tables'!$AB$194:$AB$206,MATCH(O202,('Spell Tables'!$Z$194:$Z$206),0)),IF($S$242&gt;=O202,INDEX($AL$68:$AL$77,MATCH(O202,($AJ$68:$AJ$77),0)),IF($S$246&gt;=O202,INDEX('Spell Tables'!$AB$168:$AB$187,MATCH(O202,('Spell Tables'!$Z$168:$Z$187),0)),IF($S$248&gt;=O202,INDEX('Spell Tables'!$AJ$141:$AJ$144,MATCH(O202,('Spell Tables'!$AH$141:$AH$144),0)),IF($S$250&gt;=O202,INDEX('Spell Tables'!$X$119:$X$129,MATCH(O202,('Spell Tables'!$V$119:$V$129),0)),IF($S$252&gt;=O202,INDEX('Spell Tables'!$X$97:$X$106,MATCH(O202,('Spell Tables'!$V$97:$V$106),0)),IF($S$254&gt;=O202,INDEX('Spell Tables'!$AJ$70:$AJ$79,MATCH(O202,('Spell Tables'!$AH$70:$AH$79),0)),IF($S$256&gt;=O202,INDEX('Spell Tables'!$AB$48:$AB$60,MATCH(O202,('Spell Tables'!$Z$48:$Z$60),0)),IF($S$258&gt;=O202,INDEX('Spell Tables'!$AB$26:$AB$45,MATCH(O202,('Spell Tables'!$Z$26:$Z$45),0)),IF($S$260&gt;=O202,INDEX('Spell Tables'!$AB$2:$AB$17,MATCH(O202,('Spell Tables'!$Z$2:$Z$17),0))," "))))))))))))</f>
        <v xml:space="preserve"> </v>
      </c>
      <c r="T271" s="33" t="str">
        <f ca="1">IF(AND($Q$15="Otherworldly patron - great old one",T$244&gt;=O202),INDEX('Spell Tables'!$AF$226:$AF$231,MATCH(O202,('Spell Tables'!$AD$226:$AD$231),0)),IF(AND($Q$15="Otherworldly patron - fiend",T$244&gt;=O202),INDEX('Spell Tables'!$AF$210:$AF$215,MATCH(O202,('Spell Tables'!$AD$210:$AD$215),0)),IF(AND($Q$15="Otherworldly patron - archfey",T$244&gt;=O202),INDEX('Spell Tables'!$AF$194:$AF$199,MATCH(O202,('Spell Tables'!$AD$194:$AD$199),0)),IF($T$242&gt;=O202,INDEX($AL$80:$AL$89,MATCH(O202,($AJ$80:$AJ$89),0)),IF($T$246&gt;=O202,INDEX('Spell Tables'!$AF$168:$AF$177,MATCH(O202,('Spell Tables'!$AD$168:$AD$177),0)),IF($T$248&gt;=O202,INDEX('Spell Tables'!$AR$141:$AR$144,MATCH(O202,('Spell Tables'!$AP$141:$AP$144),0)),IF($T$250&gt;=O202,INDEX('Spell Tables'!$AB$119:$AB$123,MATCH(O202,('Spell Tables'!$Z$119:$Z$123),0)),IF($T$252&gt;=O202,INDEX('Spell Tables'!$AB$97:$AB$102,MATCH(O202,('Spell Tables'!$Z$97:$Z$102),0)),IF($T$254&gt;=O202,INDEX('Spell Tables'!$AR$70:$AR$75,MATCH(O202,('Spell Tables'!$AP$70:$AP$75),0)),IF($T$256&gt;=O202,INDEX('Spell Tables'!$AF$48:$AF$63,MATCH(O202,('Spell Tables'!$AD$48:$AD$63),0)),IF($T$258&gt;=O202,INDEX('Spell Tables'!$AF$26:$AF$33,MATCH(O202,('Spell Tables'!$AD$26:$AD$33),0)),IF($T$260&gt;=O202,INDEX('Spell Tables'!$AF$2:$AF$9,MATCH(O202,('Spell Tables'!$AD$2:$AD$9),0))," "))))))))))))</f>
        <v xml:space="preserve"> </v>
      </c>
    </row>
    <row r="272" spans="2:20" ht="19.5" thickBot="1" x14ac:dyDescent="0.35">
      <c r="B272" s="33"/>
      <c r="C272" s="38"/>
      <c r="D272" s="38"/>
      <c r="E272" s="38"/>
      <c r="F272" s="38"/>
      <c r="G272" s="38"/>
      <c r="H272" s="38"/>
      <c r="I272" s="38"/>
      <c r="J272" s="38"/>
      <c r="K272" s="38"/>
      <c r="L272" s="38"/>
      <c r="M272" s="38"/>
      <c r="N272" s="38"/>
      <c r="O272" s="38"/>
      <c r="P272" s="38"/>
      <c r="Q272" s="38"/>
      <c r="R272" s="38"/>
      <c r="S272" s="38"/>
      <c r="T272" s="38"/>
    </row>
    <row r="273" spans="15:19" hidden="1" x14ac:dyDescent="0.3">
      <c r="O273" s="108"/>
      <c r="P273" s="108"/>
      <c r="Q273" s="108"/>
      <c r="R273" s="108"/>
      <c r="S273" s="109"/>
    </row>
    <row r="274" spans="15:19" hidden="1" x14ac:dyDescent="0.3">
      <c r="O274" s="60" t="str">
        <f ca="1">IF(AND(Q11="wizard",Q12&gt;=11),"x",IF(AND($Q$11="wizard",$Q$12&gt;9),"xx",IF(AND(Q11="wizard",Q12=9),"xxx"," ")))</f>
        <v xml:space="preserve"> </v>
      </c>
      <c r="P274" s="60" t="str">
        <f ca="1">IF(AND(Q11="wizard",Q12&gt;=13),"x",IF(AND($Q$11="wizard",$Q$12&gt;11),"xx",IF(AND(Q11="wizard",Q12=11),"xxx"," ")))</f>
        <v xml:space="preserve"> </v>
      </c>
      <c r="Q274" s="60" t="str">
        <f ca="1">IF(AND(Q11="wizard",Q12&gt;=15),"x",IF(AND($Q$11="wizard",$Q$12&gt;13),"xx",IF(AND(Q11="wizard",Q12=13),"xxx"," ")))</f>
        <v xml:space="preserve"> </v>
      </c>
      <c r="R274" s="60" t="str">
        <f ca="1">IF(AND(Q11="wizard",Q12&gt;=17),"x",IF(AND($Q$11="wizard",$Q$12&gt;15),"xx",IF(AND(Q11="wizard",Q12=15),"xxx"," ")))</f>
        <v xml:space="preserve"> </v>
      </c>
      <c r="S274" s="63" t="str">
        <f ca="1">IF(AND($Q$11="wizard",$Q$12&gt;17),"xx",IF(AND(Q11="wizard",Q12=17),"xxx"," "))</f>
        <v xml:space="preserve"> </v>
      </c>
    </row>
    <row r="275" spans="15:19" hidden="1" x14ac:dyDescent="0.3">
      <c r="O275" s="65">
        <f ca="1">IF(O274="x",RANDBETWEEN(2,3),IF(O274="xx",RANDBETWEEN(2,3),IF(O274="xxx",RANDBETWEEN(1,2),0)))</f>
        <v>0</v>
      </c>
      <c r="P275" s="65">
        <f ca="1">IF(P274="x",RANDBETWEEN(2,3),IF(P274="xx",RANDBETWEEN(2,3),IF(P274="xxx",RANDBETWEEN(1,2),0)))</f>
        <v>0</v>
      </c>
      <c r="Q275" s="65">
        <f ca="1">IF(Q274="x",RANDBETWEEN(1,2),IF(Q274="xx",RANDBETWEEN(1,2),IF(Q274="xxx",RANDBETWEEN(1,2),0)))</f>
        <v>0</v>
      </c>
      <c r="R275" s="65">
        <f ca="1">IF(OR(R274="x",R274="xx"),RANDBETWEEN(1,2),IF(R274="xxx",RANDBETWEEN(1,2),0))</f>
        <v>0</v>
      </c>
      <c r="S275" s="66">
        <f ca="1">IF(S274="xx",RANDBETWEEN(1,2),IF(S274="xxx",RANDBETWEEN(1,2),0))</f>
        <v>0</v>
      </c>
    </row>
    <row r="276" spans="15:19" hidden="1" x14ac:dyDescent="0.3">
      <c r="O276" s="60" t="str">
        <f ca="1">IF(AND($Q$11="warlock",$Q$12&gt;=9),"xx"," ")</f>
        <v xml:space="preserve"> </v>
      </c>
      <c r="P276" s="60"/>
      <c r="Q276" s="60"/>
      <c r="R276" s="60"/>
      <c r="S276" s="63"/>
    </row>
    <row r="277" spans="15:19" hidden="1" x14ac:dyDescent="0.3">
      <c r="O277" s="65">
        <f ca="1">IF(O276="x",RANDBETWEEN(2,3),IF(O276="xx",RANDBETWEEN(2,3),0))</f>
        <v>0</v>
      </c>
      <c r="P277" s="65"/>
      <c r="Q277" s="65"/>
      <c r="R277" s="65"/>
      <c r="S277" s="66"/>
    </row>
    <row r="278" spans="15:19" hidden="1" x14ac:dyDescent="0.3">
      <c r="O278" s="60" t="str">
        <f ca="1">IF(AND($Q$11="sorcerer",$Q$12&gt;=11),"x",IF(AND($Q$11="sorcerer",$Q$12&gt;=9),"xx"," "))</f>
        <v xml:space="preserve"> </v>
      </c>
      <c r="P278" s="60" t="str">
        <f ca="1">IF(AND($Q$11="sorcerer",$Q$12&gt;=13),"x",IF(AND($Q$11="sorcerer",$Q$12&gt;=11),"xx"," "))</f>
        <v xml:space="preserve"> </v>
      </c>
      <c r="Q278" s="60" t="str">
        <f ca="1">IF(AND($Q$11="sorcerer",$Q$12&gt;=15),"x",IF(AND($Q$11="sorcerer",$Q$12&gt;=13),"xx"," "))</f>
        <v xml:space="preserve"> </v>
      </c>
      <c r="R278" s="60" t="str">
        <f ca="1">IF(AND($Q$11="sorcerer",$Q$12&gt;=17),"x",IF(AND($Q$11="sorcerer",$Q$12&gt;15),"xx"," "))</f>
        <v xml:space="preserve"> </v>
      </c>
      <c r="S278" s="63" t="str">
        <f ca="1">IF(AND($Q$11="sorcerer",$Q$12&gt;=17),"xx"," ")</f>
        <v xml:space="preserve"> </v>
      </c>
    </row>
    <row r="279" spans="15:19" hidden="1" x14ac:dyDescent="0.3">
      <c r="O279" s="65">
        <f ca="1">IF(O278="x",RANDBETWEEN(2,3),IF(O278="xx",RANDBETWEEN(2,3),0))</f>
        <v>0</v>
      </c>
      <c r="P279" s="65">
        <f ca="1">IF(P278="x",RANDBETWEEN(2,3),IF(P278="xx",RANDBETWEEN(2,3),0))</f>
        <v>0</v>
      </c>
      <c r="Q279" s="65">
        <f ca="1">IF(Q278="x",RANDBETWEEN(1,2),IF(Q278="xx",RANDBETWEEN(1,2),0))</f>
        <v>0</v>
      </c>
      <c r="R279" s="65">
        <f ca="1">IF(OR(R278="x",R278="xx"),RANDBETWEEN(1,2),0)</f>
        <v>0</v>
      </c>
      <c r="S279" s="66">
        <f ca="1">IF(S278="xx",RANDBETWEEN(1,2),0)</f>
        <v>0</v>
      </c>
    </row>
    <row r="280" spans="15:19" hidden="1" x14ac:dyDescent="0.3">
      <c r="O280" s="60"/>
      <c r="P280" s="60"/>
      <c r="Q280" s="60"/>
      <c r="R280" s="60"/>
      <c r="S280" s="63"/>
    </row>
    <row r="281" spans="15:19" hidden="1" x14ac:dyDescent="0.3">
      <c r="O281" s="65"/>
      <c r="P281" s="65"/>
      <c r="Q281" s="65"/>
      <c r="R281" s="65"/>
      <c r="S281" s="66"/>
    </row>
    <row r="282" spans="15:19" hidden="1" x14ac:dyDescent="0.3">
      <c r="O282" s="60" t="str">
        <f ca="1">IF(AND($Q$11="ranger",$Q$12&gt;=17),"xx"," ")</f>
        <v xml:space="preserve"> </v>
      </c>
      <c r="P282" s="60"/>
      <c r="Q282" s="60"/>
      <c r="R282" s="60"/>
      <c r="S282" s="63"/>
    </row>
    <row r="283" spans="15:19" hidden="1" x14ac:dyDescent="0.3">
      <c r="O283" s="65">
        <f ca="1">IF(O282="x",RANDBETWEEN(2,3),IF(O282="xx",RANDBETWEEN(2,3),0))</f>
        <v>0</v>
      </c>
      <c r="P283" s="65"/>
      <c r="Q283" s="65"/>
      <c r="R283" s="65"/>
      <c r="S283" s="66"/>
    </row>
    <row r="284" spans="15:19" hidden="1" x14ac:dyDescent="0.3">
      <c r="O284" s="60" t="str">
        <f ca="1">IF(AND(Q11="paladin",Q12&gt;=17),"xx"," ")</f>
        <v xml:space="preserve"> </v>
      </c>
      <c r="P284" s="60"/>
      <c r="Q284" s="60"/>
      <c r="R284" s="60"/>
      <c r="S284" s="63"/>
    </row>
    <row r="285" spans="15:19" hidden="1" x14ac:dyDescent="0.3">
      <c r="O285" s="65">
        <f ca="1">IF(O284="x",RANDBETWEEN(2,3),IF(O284="xx",RANDBETWEEN(2,3),0))</f>
        <v>0</v>
      </c>
      <c r="P285" s="65"/>
      <c r="Q285" s="65"/>
      <c r="R285" s="65"/>
      <c r="S285" s="66"/>
    </row>
    <row r="286" spans="15:19" hidden="1" x14ac:dyDescent="0.3">
      <c r="O286" s="60"/>
      <c r="P286" s="60"/>
      <c r="Q286" s="60"/>
      <c r="R286" s="60"/>
      <c r="S286" s="63"/>
    </row>
    <row r="287" spans="15:19" hidden="1" x14ac:dyDescent="0.3">
      <c r="O287" s="65"/>
      <c r="P287" s="65"/>
      <c r="Q287" s="65"/>
      <c r="R287" s="65"/>
      <c r="S287" s="66"/>
    </row>
    <row r="288" spans="15:19" hidden="1" x14ac:dyDescent="0.3">
      <c r="O288" s="60" t="str">
        <f ca="1">IF(AND($Q$11="druid",$Q$12&gt;=11),"x",IF(AND($Q$11="druid",$Q$12&gt;=9),"xx"," "))</f>
        <v xml:space="preserve"> </v>
      </c>
      <c r="P288" s="60" t="str">
        <f ca="1">IF(AND($Q$11="druid",$Q$12&gt;=13),"x",IF(AND($Q$11="druid",$Q$12&gt;=11),"xx"," "))</f>
        <v xml:space="preserve"> </v>
      </c>
      <c r="Q288" s="60" t="str">
        <f ca="1">IF(AND($Q$11="druid",$Q$12&gt;=15),"x",IF(AND($Q$11="druid",$Q$12&gt;=13),"xx"," "))</f>
        <v xml:space="preserve"> </v>
      </c>
      <c r="R288" s="60" t="str">
        <f ca="1">IF(AND($Q$11="druid",$Q$12&gt;=17),"x",IF(AND($Q$11="druid",$Q$12&gt;15),"xx"," "))</f>
        <v xml:space="preserve"> </v>
      </c>
      <c r="S288" s="63" t="str">
        <f ca="1">IF(AND($Q$11="druid",$Q$12&gt;=17),"xx"," ")</f>
        <v xml:space="preserve"> </v>
      </c>
    </row>
    <row r="289" spans="14:20" hidden="1" x14ac:dyDescent="0.3">
      <c r="O289" s="65">
        <f ca="1">IF(O288="x",RANDBETWEEN(2,3),IF(O288="xx",RANDBETWEEN(2,3),0))</f>
        <v>0</v>
      </c>
      <c r="P289" s="65">
        <f ca="1">IF(P288="x",RANDBETWEEN(2,3),IF(P288="xx",RANDBETWEEN(2,3),0))</f>
        <v>0</v>
      </c>
      <c r="Q289" s="65">
        <f ca="1">IF(Q288="x",RANDBETWEEN(1,2),IF(Q288="xx",RANDBETWEEN(1,2),0))</f>
        <v>0</v>
      </c>
      <c r="R289" s="65">
        <f ca="1">IF(OR(R288="x",R288="xx"),RANDBETWEEN(1,2),0)</f>
        <v>0</v>
      </c>
      <c r="S289" s="66">
        <f ca="1">IF(S288="xx",RANDBETWEEN(1,2),0)</f>
        <v>0</v>
      </c>
    </row>
    <row r="290" spans="14:20" hidden="1" x14ac:dyDescent="0.3">
      <c r="O290" s="60" t="str">
        <f ca="1">IF(AND(Q11="cleric",Q12&gt;=11),"x",IF(AND($Q$11="cleric",$Q$12&gt;=9),"xx"," "))</f>
        <v xml:space="preserve"> </v>
      </c>
      <c r="P290" s="60" t="str">
        <f ca="1">IF(AND(Q11="cleric",Q12&gt;=13),"x",IF(AND($Q$11="cleric",$Q$12&gt;=11),"xx"," "))</f>
        <v xml:space="preserve"> </v>
      </c>
      <c r="Q290" s="60" t="str">
        <f ca="1">IF(AND(Q11="cleric",Q12&gt;=15),"x",IF(AND($Q$11="cleric",$Q$12&gt;=13),"xx"," "))</f>
        <v xml:space="preserve"> </v>
      </c>
      <c r="R290" s="60" t="str">
        <f ca="1">IF(AND(Q11="cleric",Q12&gt;=17),"x",IF(AND($Q$11="cleric",$Q$12&gt;15),"xx"," "))</f>
        <v xml:space="preserve"> </v>
      </c>
      <c r="S290" s="63" t="str">
        <f ca="1">IF(AND($Q$11="cleric",$Q$12&gt;=17),"xx"," ")</f>
        <v xml:space="preserve"> </v>
      </c>
    </row>
    <row r="291" spans="14:20" hidden="1" x14ac:dyDescent="0.3">
      <c r="O291" s="65">
        <f ca="1">IF(O290="x",RANDBETWEEN(2,3),IF(O290="xx",RANDBETWEEN(2,3),0))</f>
        <v>0</v>
      </c>
      <c r="P291" s="65">
        <f ca="1">IF(P290="x",RANDBETWEEN(2,3),IF(P290="xx",RANDBETWEEN(2,3),0))</f>
        <v>0</v>
      </c>
      <c r="Q291" s="65">
        <f ca="1">IF(Q290="x",RANDBETWEEN(1,2),IF(Q290="xx",RANDBETWEEN(1,2),0))</f>
        <v>0</v>
      </c>
      <c r="R291" s="65">
        <f ca="1">IF(OR(R290="x",R290="xx"),RANDBETWEEN(1,2),0)</f>
        <v>0</v>
      </c>
      <c r="S291" s="66">
        <f ca="1">IF(S290="xx",RANDBETWEEN(1,2),0)</f>
        <v>0</v>
      </c>
    </row>
    <row r="292" spans="14:20" hidden="1" x14ac:dyDescent="0.3">
      <c r="O292" s="60" t="str">
        <f ca="1">IF(AND($Q$11="bard",$Q$12&gt;=11),"x",IF(AND($Q$11="bard",$Q$12&gt;=9),"xx"," "))</f>
        <v xml:space="preserve"> </v>
      </c>
      <c r="P292" s="60" t="str">
        <f ca="1">IF(AND($Q$11="bard",$Q$12&gt;=13),"x",IF(AND($Q$11="bard",$Q$12&gt;=11),"xx"," "))</f>
        <v xml:space="preserve"> </v>
      </c>
      <c r="Q292" s="60" t="str">
        <f ca="1">IF(AND($Q$11="bard",$Q$12&gt;=15),"x",IF(AND($Q$11="bard",$Q$12&gt;=13),"xx"," "))</f>
        <v xml:space="preserve"> </v>
      </c>
      <c r="R292" s="60" t="str">
        <f ca="1">IF(AND($Q$11="bard",$Q$12&gt;=17),"x",IF(AND($Q$11="bard",$Q$12&gt;15),"xx"," "))</f>
        <v xml:space="preserve"> </v>
      </c>
      <c r="S292" s="63" t="str">
        <f ca="1">IF(AND($Q$11="bard",$Q$12&gt;=17),"xx"," ")</f>
        <v xml:space="preserve"> </v>
      </c>
    </row>
    <row r="293" spans="14:20" hidden="1" x14ac:dyDescent="0.3">
      <c r="O293" s="65">
        <f ca="1">IF(O292="x",RANDBETWEEN(2,3),IF(O292="xx",RANDBETWEEN(2,3),0))</f>
        <v>0</v>
      </c>
      <c r="P293" s="65">
        <f ca="1">IF(P292="x",RANDBETWEEN(2,3),IF(P292="xx",RANDBETWEEN(2,3),0))</f>
        <v>0</v>
      </c>
      <c r="Q293" s="65">
        <f ca="1">IF(Q292="x",RANDBETWEEN(1,2),IF(Q292="xx",RANDBETWEEN(1,2),0))</f>
        <v>0</v>
      </c>
      <c r="R293" s="65">
        <f ca="1">IF(OR(R292="x",R292="xx"),RANDBETWEEN(1,2),0)</f>
        <v>0</v>
      </c>
      <c r="S293" s="66">
        <f ca="1">IF(S292="xx",RANDBETWEEN(1,2),0)</f>
        <v>0</v>
      </c>
    </row>
    <row r="294" spans="14:20" x14ac:dyDescent="0.3">
      <c r="N294" s="72"/>
      <c r="O294" s="136"/>
      <c r="P294" s="96" t="s">
        <v>750</v>
      </c>
      <c r="Q294" s="96" t="s">
        <v>1125</v>
      </c>
      <c r="R294" s="96" t="s">
        <v>1126</v>
      </c>
      <c r="S294" s="96" t="s">
        <v>1127</v>
      </c>
      <c r="T294" s="97" t="s">
        <v>751</v>
      </c>
    </row>
    <row r="295" spans="14:20" x14ac:dyDescent="0.3">
      <c r="N295" s="72"/>
      <c r="O295" s="86">
        <v>1</v>
      </c>
      <c r="P295" s="65" t="str">
        <f ca="1">IF(AND($Q$15="Otherworldly patron - great old one",O$277&gt;=O193),INDEX('Spell Tables'!$AJ$226:$AJ$231,MATCH(O193,('Spell Tables'!$AH$226:$AH$231),0)),IF(AND($Q$15="Otherworldly patron - fiend",O$277&gt;=O193),INDEX('Spell Tables'!$AJ$210:$AJ$215,MATCH(O193,('Spell Tables'!$AH$210:$AH$215),0)),IF(AND($Q$15="Otherworldly patron - archfey",O$277&gt;=O193),INDEX('Spell Tables'!$AJ$194:$AJ$199,MATCH(O193,('Spell Tables'!$AH$194:$AH$199),0)),IF($O$275&gt;=O193,INDEX($AL$92:$AL$101,MATCH(O193,($AJ$92:$AJ$101),0)),IF($O$279&gt;=O193,INDEX('Spell Tables'!$AJ$168:$AJ$178,MATCH(O193,('Spell Tables'!$AH$168:$AH$178),0)),IF($O$283&gt;=O193,INDEX('Spell Tables'!$AF$119:$AF$122,MATCH(O193,('Spell Tables'!$AD$119:$AD$122),0)),IF($O$285&gt;=O193,INDEX('Spell Tables'!$AF$97:$AF$102,MATCH(O193,('Spell Tables'!$AD$97:$AD$102),0)),IF($O$289&gt;=O193,INDEX('Spell Tables'!$AJ$48:$AJ$61,MATCH(O193,('Spell Tables'!$AH$48:$AH$61),0)),IF($O$291&gt;=O193,INDEX('Spell Tables'!$AJ$26:$AJ$38,MATCH(O193,('Spell Tables'!$AH$26:$AH$38),0)),IF($O$293&gt;=O193,INDEX('Spell Tables'!$AJ$2:$AJ$17,MATCH(O193,('Spell Tables'!$AH$2:$AH$17),0))," "))))))))))</f>
        <v xml:space="preserve"> </v>
      </c>
      <c r="Q295" s="65" t="str">
        <f ca="1">IF($P$275&gt;=O262,INDEX($AL$104:$AL$113,MATCH(O262,($AJ$104:$AJ$113),0)),IF($P$279&gt;=O262,INDEX('Spell Tables'!$AN$168:$AN$177,MATCH(O262,('Spell Tables'!$AL$168:$AL$177),0)),IF($P$289&gt;=O262,INDEX('Spell Tables'!$AN$48:$AN$56,MATCH(O262,('Spell Tables'!$AL$48:$AL$56),0)),IF($P$291&gt;=O262,INDEX('Spell Tables'!$AN$26:$AN$35,MATCH(O262,('Spell Tables'!$AL$26:$AL$35),0)),IF($P$293&gt;=O262,INDEX('Spell Tables'!$AN$2:$AN$8,MATCH(O262,('Spell Tables'!$AL$2:$AL$8),0))," ")))))</f>
        <v xml:space="preserve"> </v>
      </c>
      <c r="R295" s="65" t="str">
        <f ca="1">IF($Q$275&gt;=O262,INDEX($AL$116:$AL$125,MATCH(O262,($AJ$116:$AJ$125),0)),IF($Q$279&gt;=O262,INDEX('Spell Tables'!$AR$168:$AR$175,MATCH(O262,('Spell Tables'!$AP$168:$AP$175),0)),IF($Q$289&gt;=O262,INDEX('Spell Tables'!$AR$48:$AR$52,MATCH(O262,('Spell Tables'!$AP$48:$AP$52),0)),IF($Q$291&gt;=O262,INDEX('Spell Tables'!$AR$26:$AR$33,MATCH(O262,('Spell Tables'!$AP$26:$AP$33),0)),IF($Q$293&gt;=O262,INDEX('Spell Tables'!$AR$2:$AR$11,MATCH(O262,('Spell Tables'!$AL$2:$AL$11),0))," ")))))</f>
        <v xml:space="preserve"> </v>
      </c>
      <c r="S295" s="65" t="str">
        <f ca="1">IF($R$275&gt;=O262,INDEX($AL$128:$AL$137,MATCH(O262,($AJ$128:$AJ$137),0)),IF($R$279&gt;=O262,INDEX('Spell Tables'!$AV$168:$AV$172,MATCH(O262,('Spell Tables'!$AT$168:$AT$172),0)),IF($R$289&gt;=O262,INDEX('Spell Tables'!$AV$48:$AV$54,MATCH(O262,('Spell Tables'!$AT$48:$AT$54),0)),IF($R$291&gt;=O262,INDEX('Spell Tables'!$AV$26:$AV$29,MATCH(O262,('Spell Tables'!$AT$26:$AT$29),0)),IF($R$293&gt;=O262,INDEX('Spell Tables'!$AV$2:$AV$6,MATCH(O262,('Spell Tables'!$AT$2:$AT$6),0))," ")))))</f>
        <v xml:space="preserve"> </v>
      </c>
      <c r="T295" s="66" t="str">
        <f ca="1">IF($S$289&gt;=O262,INDEX($AL$140:$AL$149,MATCH(O262,($AJ$140:$AJ$149),0)),IF($S$275&gt;=O262,INDEX('Spell Tables'!$AZ$242:$AZ$253,MATCH(O262,('Spell Tables'!$AX$242:$AX$253),0)),IF($S$279&gt;=O262,INDEX('Spell Tables'!$AZ$168:$AZ$172,MATCH(O262,('Spell Tables'!$AX$168:$AX$172),0)),IF($S$291&gt;=O262,INDEX('Spell Tables'!$AZ$26:$AZ$29,MATCH(O262,('Spell Tables'!$AX$26:$AX$29),0)),IF($S$293&gt;=O262,INDEX('Spell Tables'!$AZ$2:$AZ$5,MATCH(O262,('Spell Tables'!$AX$2:$AX$5),0))," ")))))</f>
        <v xml:space="preserve"> </v>
      </c>
    </row>
    <row r="296" spans="14:20" x14ac:dyDescent="0.3">
      <c r="N296" s="72"/>
      <c r="O296" s="133">
        <v>2</v>
      </c>
      <c r="P296" s="60" t="str">
        <f ca="1">IF(AND($Q$15="Otherworldly patron - great old one",O$277&gt;=O194),INDEX('Spell Tables'!$AJ$226:$AJ$231,MATCH(O194,('Spell Tables'!$AH$226:$AH$231),0)),IF(AND($Q$15="Otherworldly patron - fiend",O$277&gt;=O194),INDEX('Spell Tables'!$AJ$210:$AJ$215,MATCH(O194,('Spell Tables'!$AH$210:$AH$215),0)),IF(AND($Q$15="Otherworldly patron - archfey",O$277&gt;=O194),INDEX('Spell Tables'!$AJ$194:$AJ$199,MATCH(O194,('Spell Tables'!$AH$194:$AH$199),0)),IF($O$275&gt;=O194,INDEX($AL$92:$AL$101,MATCH(O194,($AJ$92:$AJ$101),0)),IF($O$279&gt;=O194,INDEX('Spell Tables'!$AJ$168:$AJ$178,MATCH(O194,('Spell Tables'!$AH$168:$AH$178),0)),IF($O$283&gt;=O194,INDEX('Spell Tables'!$AF$119:$AF$122,MATCH(O194,('Spell Tables'!$AD$119:$AD$122),0)),IF($O$285&gt;=O194,INDEX('Spell Tables'!$AF$97:$AF$102,MATCH(O194,('Spell Tables'!$AD$97:$AD$102),0)),IF($O$289&gt;=O194,INDEX('Spell Tables'!$AJ$48:$AJ$61,MATCH(O194,('Spell Tables'!$AH$48:$AH$61),0)),IF($O$291&gt;=O194,INDEX('Spell Tables'!$AJ$26:$AJ$38,MATCH(O194,('Spell Tables'!$AH$26:$AH$38),0)),IF($O$293&gt;=O194,INDEX('Spell Tables'!$AJ$2:$AJ$17,MATCH(O194,('Spell Tables'!$AH$2:$AH$17),0))," "))))))))))</f>
        <v xml:space="preserve"> </v>
      </c>
      <c r="Q296" s="60" t="str">
        <f ca="1">IF($P$275&gt;=O263,INDEX($AL$104:$AL$113,MATCH(O263,($AJ$104:$AJ$113),0)),IF($P$279&gt;=O263,INDEX('Spell Tables'!$AN$168:$AN$177,MATCH(O263,('Spell Tables'!$AL$168:$AL$177),0)),IF($P$289&gt;=O263,INDEX('Spell Tables'!$AN$48:$AN$56,MATCH(O263,('Spell Tables'!$AL$48:$AL$56),0)),IF($P$291&gt;=O263,INDEX('Spell Tables'!$AN$26:$AN$35,MATCH(O263,('Spell Tables'!$AL$26:$AL$35),0)),IF($P$293&gt;=O263,INDEX('Spell Tables'!$AN$2:$AN$8,MATCH(O263,('Spell Tables'!$AL$2:$AL$8),0))," ")))))</f>
        <v xml:space="preserve"> </v>
      </c>
      <c r="R296" s="60" t="str">
        <f ca="1">IF($Q$275&gt;=O263,INDEX($AL$116:$AL$125,MATCH(O263,($AJ$116:$AJ$125),0)),IF($Q$279&gt;=O263,INDEX('Spell Tables'!$AR$168:$AR$175,MATCH(O263,('Spell Tables'!$AP$168:$AP$175),0)),IF($Q$289&gt;=O263,INDEX('Spell Tables'!$AR$48:$AR$52,MATCH(O263,('Spell Tables'!$AP$48:$AP$52),0)),IF($Q$291&gt;=O263,INDEX('Spell Tables'!$AR$26:$AR$33,MATCH(O263,('Spell Tables'!$AP$26:$AP$33),0)),IF($Q$293&gt;=O263,INDEX('Spell Tables'!$AR$2:$AR$11,MATCH(O263,('Spell Tables'!$AL$2:$AL$11),0))," ")))))</f>
        <v xml:space="preserve"> </v>
      </c>
      <c r="S296" s="60" t="str">
        <f ca="1">IF($R$275&gt;=O263,INDEX($AL$128:$AL$137,MATCH(O263,($AJ$128:$AJ$137),0)),IF($R$279&gt;=O263,INDEX('Spell Tables'!$AV$168:$AV$172,MATCH(O263,('Spell Tables'!$AT$168:$AT$172),0)),IF($R$289&gt;=O263,INDEX('Spell Tables'!$AV$48:$AV$54,MATCH(O263,('Spell Tables'!$AT$48:$AT$54),0)),IF($R$291&gt;=O263,INDEX('Spell Tables'!$AV$26:$AV$29,MATCH(O263,('Spell Tables'!$AT$26:$AT$29),0)),IF($R$293&gt;=O263,INDEX('Spell Tables'!$AV$2:$AV$6,MATCH(O263,('Spell Tables'!$AT$2:$AT$6),0))," ")))))</f>
        <v xml:space="preserve"> </v>
      </c>
      <c r="T296" s="63" t="str">
        <f ca="1">IF($S$289&gt;=O263,INDEX($AL$140:$AL$149,MATCH(O263,($AJ$140:$AJ$149),0)),IF($S$275&gt;=O263,INDEX('Spell Tables'!$AZ$242:$AZ$253,MATCH(O263,('Spell Tables'!$AX$242:$AX$253),0)),IF($S$279&gt;=O263,INDEX('Spell Tables'!$AZ$168:$AZ$172,MATCH(O263,('Spell Tables'!$AX$168:$AX$172),0)),IF($S$291&gt;=O263,INDEX('Spell Tables'!$AZ$26:$AZ$29,MATCH(O263,('Spell Tables'!$AX$26:$AX$29),0)),IF($S$293&gt;=O263,INDEX('Spell Tables'!$AZ$2:$AZ$5,MATCH(O263,('Spell Tables'!$AX$2:$AX$5),0))," ")))))</f>
        <v xml:space="preserve"> </v>
      </c>
    </row>
    <row r="297" spans="14:20" x14ac:dyDescent="0.3">
      <c r="N297" s="72"/>
      <c r="O297" s="86">
        <v>3</v>
      </c>
      <c r="P297" s="65" t="str">
        <f ca="1">IF(AND($Q$15="Otherworldly patron - great old one",O$277&gt;=O195),INDEX('Spell Tables'!$AJ$226:$AJ$231,MATCH(O195,('Spell Tables'!$AH$226:$AH$231),0)),IF(AND($Q$15="Otherworldly patron - fiend",O$277&gt;=O195),INDEX('Spell Tables'!$AJ$210:$AJ$215,MATCH(O195,('Spell Tables'!$AH$210:$AH$215),0)),IF(AND($Q$15="Otherworldly patron - archfey",O$277&gt;=O195),INDEX('Spell Tables'!$AJ$194:$AJ$199,MATCH(O195,('Spell Tables'!$AH$194:$AH$199),0)),IF($O$275&gt;=O195,INDEX($AL$92:$AL$101,MATCH(O195,($AJ$92:$AJ$101),0)),IF($O$279&gt;=O195,INDEX('Spell Tables'!$AJ$168:$AJ$178,MATCH(O195,('Spell Tables'!$AH$168:$AH$178),0)),IF($O$283&gt;=O195,INDEX('Spell Tables'!$AF$119:$AF$122,MATCH(O195,('Spell Tables'!$AD$119:$AD$122),0)),IF($O$285&gt;=O195,INDEX('Spell Tables'!$AF$97:$AF$102,MATCH(O195,('Spell Tables'!$AD$97:$AD$102),0)),IF($O$289&gt;=O195,INDEX('Spell Tables'!$AJ$48:$AJ$61,MATCH(O195,('Spell Tables'!$AH$48:$AH$61),0)),IF($O$291&gt;=O195,INDEX('Spell Tables'!$AJ$26:$AJ$38,MATCH(O195,('Spell Tables'!$AH$26:$AH$38),0)),IF($O$293&gt;=O195,INDEX('Spell Tables'!$AJ$2:$AJ$17,MATCH(O195,('Spell Tables'!$AH$2:$AH$17),0))," "))))))))))</f>
        <v xml:space="preserve"> </v>
      </c>
      <c r="Q297" s="65" t="str">
        <f ca="1">IF($P$275&gt;=O264,INDEX($AL$104:$AL$113,MATCH(O264,($AJ$104:$AJ$113),0)),IF($P$279&gt;=O264,INDEX('Spell Tables'!$AN$168:$AN$177,MATCH(O264,('Spell Tables'!$AL$168:$AL$177),0)),IF($P$289&gt;=O264,INDEX('Spell Tables'!$AN$48:$AN$56,MATCH(O264,('Spell Tables'!$AL$48:$AL$56),0)),IF($P$291&gt;=O264,INDEX('Spell Tables'!$AN$26:$AN$35,MATCH(O264,('Spell Tables'!$AL$26:$AL$35),0)),IF($P$293&gt;=O264,INDEX('Spell Tables'!$AN$2:$AN$8,MATCH(O264,('Spell Tables'!$AL$2:$AL$8),0))," ")))))</f>
        <v xml:space="preserve"> </v>
      </c>
      <c r="R297" s="65" t="str">
        <f ca="1">IF($Q$275&gt;=O264,INDEX($AL$116:$AL$125,MATCH(O264,($AJ$116:$AJ$125),0)),IF($Q$279&gt;=O264,INDEX('Spell Tables'!$AR$168:$AR$175,MATCH(O264,('Spell Tables'!$AP$168:$AP$175),0)),IF($Q$289&gt;=O264,INDEX('Spell Tables'!$AR$48:$AR$52,MATCH(O264,('Spell Tables'!$AP$48:$AP$52),0)),IF($Q$291&gt;=O264,INDEX('Spell Tables'!$AR$26:$AR$33,MATCH(O264,('Spell Tables'!$AP$26:$AP$33),0)),IF($Q$293&gt;=O264,INDEX('Spell Tables'!$AR$2:$AR$11,MATCH(O264,('Spell Tables'!$AL$2:$AL$11),0))," ")))))</f>
        <v xml:space="preserve"> </v>
      </c>
      <c r="S297" s="65" t="str">
        <f ca="1">IF($R$275&gt;=O264,INDEX($AL$128:$AL$137,MATCH(O264,($AJ$128:$AJ$137),0)),IF($R$279&gt;=O264,INDEX('Spell Tables'!$AV$168:$AV$172,MATCH(O264,('Spell Tables'!$AT$168:$AT$172),0)),IF($R$289&gt;=O264,INDEX('Spell Tables'!$AV$48:$AV$54,MATCH(O264,('Spell Tables'!$AT$48:$AT$54),0)),IF($R$291&gt;=O264,INDEX('Spell Tables'!$AV$26:$AV$29,MATCH(O264,('Spell Tables'!$AT$26:$AT$29),0)),IF($R$293&gt;=O264,INDEX('Spell Tables'!$AV$2:$AV$6,MATCH(O264,('Spell Tables'!$AT$2:$AT$6),0))," ")))))</f>
        <v xml:space="preserve"> </v>
      </c>
      <c r="T297" s="66" t="str">
        <f ca="1">IF($S$289&gt;=O264,INDEX($AL$140:$AL$149,MATCH(O264,($AJ$140:$AJ$149),0)),IF($S$275&gt;=O264,INDEX('Spell Tables'!$AZ$242:$AZ$253,MATCH(O264,('Spell Tables'!$AX$242:$AX$253),0)),IF($S$279&gt;=O264,INDEX('Spell Tables'!$AZ$168:$AZ$172,MATCH(O264,('Spell Tables'!$AX$168:$AX$172),0)),IF($S$291&gt;=O264,INDEX('Spell Tables'!$AZ$26:$AZ$29,MATCH(O264,('Spell Tables'!$AX$26:$AX$29),0)),IF($S$293&gt;=O264,INDEX('Spell Tables'!$AZ$2:$AZ$5,MATCH(O264,('Spell Tables'!$AX$2:$AX$5),0))," ")))))</f>
        <v xml:space="preserve"> </v>
      </c>
    </row>
    <row r="298" spans="14:20" x14ac:dyDescent="0.3">
      <c r="N298" s="72"/>
      <c r="O298" s="133">
        <v>4</v>
      </c>
      <c r="P298" s="60" t="str">
        <f ca="1">IF(AND($Q$15="Otherworldly patron - great old one",O$277&gt;=O196),INDEX('Spell Tables'!$AJ$226:$AJ$231,MATCH(O196,('Spell Tables'!$AH$226:$AH$231),0)),IF(AND($Q$15="Otherworldly patron - fiend",O$277&gt;=O196),INDEX('Spell Tables'!$AJ$210:$AJ$215,MATCH(O196,('Spell Tables'!$AH$210:$AH$215),0)),IF(AND($Q$15="Otherworldly patron - archfey",O$277&gt;=O196),INDEX('Spell Tables'!$AJ$194:$AJ$199,MATCH(O196,('Spell Tables'!$AH$194:$AH$199),0)),IF($O$275&gt;=O196,INDEX($AL$92:$AL$101,MATCH(O196,($AJ$92:$AJ$101),0)),IF($O$279&gt;=O196,INDEX('Spell Tables'!$AJ$168:$AJ$178,MATCH(O196,('Spell Tables'!$AH$168:$AH$178),0)),IF($O$283&gt;=O196,INDEX('Spell Tables'!$AF$119:$AF$122,MATCH(O196,('Spell Tables'!$AD$119:$AD$122),0)),IF($O$285&gt;=O196,INDEX('Spell Tables'!$AF$97:$AF$102,MATCH(O196,('Spell Tables'!$AD$97:$AD$102),0)),IF($O$289&gt;=O196,INDEX('Spell Tables'!$AJ$48:$AJ$61,MATCH(O196,('Spell Tables'!$AH$48:$AH$61),0)),IF($O$291&gt;=O196,INDEX('Spell Tables'!$AJ$26:$AJ$38,MATCH(O196,('Spell Tables'!$AH$26:$AH$38),0)),IF($O$293&gt;=O196,INDEX('Spell Tables'!$AJ$2:$AJ$17,MATCH(O196,('Spell Tables'!$AH$2:$AH$17),0))," "))))))))))</f>
        <v xml:space="preserve"> </v>
      </c>
      <c r="Q298" s="60" t="str">
        <f ca="1">IF($P$275&gt;=O265,INDEX($AL$104:$AL$113,MATCH(O265,($AJ$104:$AJ$113),0)),IF($P$279&gt;=O265,INDEX('Spell Tables'!$AN$168:$AN$177,MATCH(O265,('Spell Tables'!$AL$168:$AL$177),0)),IF($P$289&gt;=O265,INDEX('Spell Tables'!$AN$48:$AN$56,MATCH(O265,('Spell Tables'!$AL$48:$AL$56),0)),IF($P$291&gt;=O265,INDEX('Spell Tables'!$AN$26:$AN$35,MATCH(O265,('Spell Tables'!$AL$26:$AL$35),0)),IF($P$293&gt;=O265,INDEX('Spell Tables'!$AN$2:$AN$8,MATCH(O265,('Spell Tables'!$AL$2:$AL$8),0))," ")))))</f>
        <v xml:space="preserve"> </v>
      </c>
      <c r="R298" s="60" t="str">
        <f ca="1">IF($Q$275&gt;=O265,INDEX($AL$116:$AL$125,MATCH(O265,($AJ$116:$AJ$125),0)),IF($Q$279&gt;=O265,INDEX('Spell Tables'!$AR$168:$AR$175,MATCH(O265,('Spell Tables'!$AP$168:$AP$175),0)),IF($Q$289&gt;=O265,INDEX('Spell Tables'!$AR$48:$AR$52,MATCH(O265,('Spell Tables'!$AP$48:$AP$52),0)),IF($Q$291&gt;=O265,INDEX('Spell Tables'!$AR$26:$AR$33,MATCH(O265,('Spell Tables'!$AP$26:$AP$33),0)),IF($Q$293&gt;=O265,INDEX('Spell Tables'!$AR$2:$AR$11,MATCH(O265,('Spell Tables'!$AL$2:$AL$11),0))," ")))))</f>
        <v xml:space="preserve"> </v>
      </c>
      <c r="S298" s="60" t="str">
        <f ca="1">IF($R$275&gt;=O265,INDEX($AL$128:$AL$137,MATCH(O265,($AJ$128:$AJ$137),0)),IF($R$279&gt;=O265,INDEX('Spell Tables'!$AV$168:$AV$172,MATCH(O265,('Spell Tables'!$AT$168:$AT$172),0)),IF($R$289&gt;=O265,INDEX('Spell Tables'!$AV$48:$AV$54,MATCH(O265,('Spell Tables'!$AT$48:$AT$54),0)),IF($R$291&gt;=O265,INDEX('Spell Tables'!$AV$26:$AV$29,MATCH(O265,('Spell Tables'!$AT$26:$AT$29),0)),IF($R$293&gt;=O265,INDEX('Spell Tables'!$AV$2:$AV$6,MATCH(O265,('Spell Tables'!$AT$2:$AT$6),0))," ")))))</f>
        <v xml:space="preserve"> </v>
      </c>
      <c r="T298" s="63" t="str">
        <f ca="1">IF($S$289&gt;=O265,INDEX($AL$140:$AL$149,MATCH(O265,($AJ$140:$AJ$149),0)),IF($S$275&gt;=O265,INDEX('Spell Tables'!$AZ$242:$AZ$253,MATCH(O265,('Spell Tables'!$AX$242:$AX$253),0)),IF($S$279&gt;=O265,INDEX('Spell Tables'!$AZ$168:$AZ$172,MATCH(O265,('Spell Tables'!$AX$168:$AX$172),0)),IF($S$291&gt;=O265,INDEX('Spell Tables'!$AZ$26:$AZ$29,MATCH(O265,('Spell Tables'!$AX$26:$AX$29),0)),IF($S$293&gt;=O265,INDEX('Spell Tables'!$AZ$2:$AZ$5,MATCH(O265,('Spell Tables'!$AX$2:$AX$5),0))," ")))))</f>
        <v xml:space="preserve"> </v>
      </c>
    </row>
    <row r="299" spans="14:20" x14ac:dyDescent="0.3">
      <c r="N299" s="72"/>
      <c r="O299" s="86">
        <v>5</v>
      </c>
      <c r="P299" s="65" t="str">
        <f ca="1">IF(AND($Q$15="Otherworldly patron - great old one",O$277&gt;=O197),INDEX('Spell Tables'!$AJ$226:$AJ$231,MATCH(O197,('Spell Tables'!$AH$226:$AH$231),0)),IF(AND($Q$15="Otherworldly patron - fiend",O$277&gt;=O197),INDEX('Spell Tables'!$AJ$210:$AJ$215,MATCH(O197,('Spell Tables'!$AH$210:$AH$215),0)),IF(AND($Q$15="Otherworldly patron - archfey",O$277&gt;=O197),INDEX('Spell Tables'!$AJ$194:$AJ$199,MATCH(O197,('Spell Tables'!$AH$194:$AH$199),0)),IF($O$275&gt;=O197,INDEX($AL$92:$AL$101,MATCH(O197,($AJ$92:$AJ$101),0)),IF($O$279&gt;=O197,INDEX('Spell Tables'!$AJ$168:$AJ$178,MATCH(O197,('Spell Tables'!$AH$168:$AH$178),0)),IF($O$283&gt;=O197,INDEX('Spell Tables'!$AF$119:$AF$122,MATCH(O197,('Spell Tables'!$AD$119:$AD$122),0)),IF($O$285&gt;=O197,INDEX('Spell Tables'!$AF$97:$AF$102,MATCH(O197,('Spell Tables'!$AD$97:$AD$102),0)),IF($O$289&gt;=O197,INDEX('Spell Tables'!$AJ$48:$AJ$61,MATCH(O197,('Spell Tables'!$AH$48:$AH$61),0)),IF($O$291&gt;=O197,INDEX('Spell Tables'!$AJ$26:$AJ$38,MATCH(O197,('Spell Tables'!$AH$26:$AH$38),0)),IF($O$293&gt;=O197,INDEX('Spell Tables'!$AJ$2:$AJ$17,MATCH(O197,('Spell Tables'!$AH$2:$AH$17),0))," "))))))))))</f>
        <v xml:space="preserve"> </v>
      </c>
      <c r="Q299" s="65" t="str">
        <f ca="1">IF($P$275&gt;=O266,INDEX($AL$104:$AL$113,MATCH(O266,($AJ$104:$AJ$113),0)),IF($P$279&gt;=O266,INDEX('Spell Tables'!$AN$168:$AN$177,MATCH(O266,('Spell Tables'!$AL$168:$AL$177),0)),IF($P$289&gt;=O266,INDEX('Spell Tables'!$AN$48:$AN$56,MATCH(O266,('Spell Tables'!$AL$48:$AL$56),0)),IF($P$291&gt;=O266,INDEX('Spell Tables'!$AN$26:$AN$35,MATCH(O266,('Spell Tables'!$AL$26:$AL$35),0)),IF($P$293&gt;=O266,INDEX('Spell Tables'!$AN$2:$AN$8,MATCH(O266,('Spell Tables'!$AL$2:$AL$8),0))," ")))))</f>
        <v xml:space="preserve"> </v>
      </c>
      <c r="R299" s="65" t="str">
        <f ca="1">IF($Q$275&gt;=O266,INDEX($AL$116:$AL$125,MATCH(O266,($AJ$116:$AJ$125),0)),IF($Q$279&gt;=O266,INDEX('Spell Tables'!$AR$168:$AR$175,MATCH(O266,('Spell Tables'!$AP$168:$AP$175),0)),IF($Q$289&gt;=O266,INDEX('Spell Tables'!$AR$48:$AR$52,MATCH(O266,('Spell Tables'!$AP$48:$AP$52),0)),IF($Q$291&gt;=O266,INDEX('Spell Tables'!$AR$26:$AR$33,MATCH(O266,('Spell Tables'!$AP$26:$AP$33),0)),IF($Q$293&gt;=O266,INDEX('Spell Tables'!$AR$2:$AR$11,MATCH(O266,('Spell Tables'!$AL$2:$AL$11),0))," ")))))</f>
        <v xml:space="preserve"> </v>
      </c>
      <c r="S299" s="65" t="str">
        <f ca="1">IF($R$275&gt;=O266,INDEX($AL$128:$AL$137,MATCH(O266,($AJ$128:$AJ$137),0)),IF($R$279&gt;=O266,INDEX('Spell Tables'!$AV$168:$AV$172,MATCH(O266,('Spell Tables'!$AT$168:$AT$172),0)),IF($R$289&gt;=O266,INDEX('Spell Tables'!$AV$48:$AV$54,MATCH(O266,('Spell Tables'!$AT$48:$AT$54),0)),IF($R$291&gt;=O266,INDEX('Spell Tables'!$AV$26:$AV$29,MATCH(O266,('Spell Tables'!$AT$26:$AT$29),0)),IF($R$293&gt;=O266,INDEX('Spell Tables'!$AV$2:$AV$6,MATCH(O266,('Spell Tables'!$AT$2:$AT$6),0))," ")))))</f>
        <v xml:space="preserve"> </v>
      </c>
      <c r="T299" s="66" t="str">
        <f ca="1">IF($S$289&gt;=O266,INDEX($AL$140:$AL$149,MATCH(O266,($AJ$140:$AJ$149),0)),IF($S$275&gt;=O266,INDEX('Spell Tables'!$AZ$242:$AZ$253,MATCH(O266,('Spell Tables'!$AX$242:$AX$253),0)),IF($S$279&gt;=O266,INDEX('Spell Tables'!$AZ$168:$AZ$172,MATCH(O266,('Spell Tables'!$AX$168:$AX$172),0)),IF($S$291&gt;=O266,INDEX('Spell Tables'!$AZ$26:$AZ$29,MATCH(O266,('Spell Tables'!$AX$26:$AX$29),0)),IF($S$293&gt;=O266,INDEX('Spell Tables'!$AZ$2:$AZ$5,MATCH(O266,('Spell Tables'!$AX$2:$AX$5),0))," ")))))</f>
        <v xml:space="preserve"> </v>
      </c>
    </row>
    <row r="300" spans="14:20" x14ac:dyDescent="0.3">
      <c r="N300" s="72"/>
      <c r="O300" s="133">
        <v>6</v>
      </c>
      <c r="P300" s="60" t="str">
        <f ca="1">IF(AND($Q$15="Otherworldly patron - great old one",O$277&gt;=O198),INDEX('Spell Tables'!$AJ$226:$AJ$231,MATCH(O198,('Spell Tables'!$AH$226:$AH$231),0)),IF(AND($Q$15="Otherworldly patron - fiend",O$277&gt;=O198),INDEX('Spell Tables'!$AJ$210:$AJ$215,MATCH(O198,('Spell Tables'!$AH$210:$AH$215),0)),IF(AND($Q$15="Otherworldly patron - archfey",O$277&gt;=O198),INDEX('Spell Tables'!$AJ$194:$AJ$199,MATCH(O198,('Spell Tables'!$AH$194:$AH$199),0)),IF($O$275&gt;=O198,INDEX($AL$92:$AL$101,MATCH(O198,($AJ$92:$AJ$101),0)),IF($O$279&gt;=O198,INDEX('Spell Tables'!$AJ$168:$AJ$178,MATCH(O198,('Spell Tables'!$AH$168:$AH$178),0)),IF($O$283&gt;=O198,INDEX('Spell Tables'!$AF$119:$AF$122,MATCH(O198,('Spell Tables'!$AD$119:$AD$122),0)),IF($O$285&gt;=O198,INDEX('Spell Tables'!$AF$97:$AF$102,MATCH(O198,('Spell Tables'!$AD$97:$AD$102),0)),IF($O$289&gt;=O198,INDEX('Spell Tables'!$AJ$48:$AJ$61,MATCH(O198,('Spell Tables'!$AH$48:$AH$61),0)),IF($O$291&gt;=O198,INDEX('Spell Tables'!$AJ$26:$AJ$38,MATCH(O198,('Spell Tables'!$AH$26:$AH$38),0)),IF($O$293&gt;=O198,INDEX('Spell Tables'!$AJ$2:$AJ$17,MATCH(O198,('Spell Tables'!$AH$2:$AH$17),0))," "))))))))))</f>
        <v xml:space="preserve"> </v>
      </c>
      <c r="Q300" s="60" t="str">
        <f ca="1">IF($P$275&gt;=O267,INDEX($AL$104:$AL$113,MATCH(O267,($AJ$104:$AJ$113),0)),IF($P$279&gt;=O267,INDEX('Spell Tables'!$AN$168:$AN$177,MATCH(O267,('Spell Tables'!$AL$168:$AL$177),0)),IF($P$289&gt;=O267,INDEX('Spell Tables'!$AN$48:$AN$56,MATCH(O267,('Spell Tables'!$AL$48:$AL$56),0)),IF($P$291&gt;=O267,INDEX('Spell Tables'!$AN$26:$AN$35,MATCH(O267,('Spell Tables'!$AL$26:$AL$35),0)),IF($P$293&gt;=O267,INDEX('Spell Tables'!$AN$2:$AN$8,MATCH(O267,('Spell Tables'!$AL$2:$AL$8),0))," ")))))</f>
        <v xml:space="preserve"> </v>
      </c>
      <c r="R300" s="60" t="str">
        <f ca="1">IF($Q$275&gt;=O267,INDEX($AL$116:$AL$125,MATCH(O267,($AJ$116:$AJ$125),0)),IF($Q$279&gt;=O267,INDEX('Spell Tables'!$AR$168:$AR$175,MATCH(O267,('Spell Tables'!$AP$168:$AP$175),0)),IF($Q$289&gt;=O267,INDEX('Spell Tables'!$AR$48:$AR$52,MATCH(O267,('Spell Tables'!$AP$48:$AP$52),0)),IF($Q$291&gt;=O267,INDEX('Spell Tables'!$AR$26:$AR$33,MATCH(O267,('Spell Tables'!$AP$26:$AP$33),0)),IF($Q$293&gt;=O267,INDEX('Spell Tables'!$AR$2:$AR$11,MATCH(O267,('Spell Tables'!$AL$2:$AL$11),0))," ")))))</f>
        <v xml:space="preserve"> </v>
      </c>
      <c r="S300" s="60" t="str">
        <f ca="1">IF($R$275&gt;=O267,INDEX($AL$128:$AL$137,MATCH(O267,($AJ$128:$AJ$137),0)),IF($R$279&gt;=O267,INDEX('Spell Tables'!$AV$168:$AV$172,MATCH(O267,('Spell Tables'!$AT$168:$AT$172),0)),IF($R$289&gt;=O267,INDEX('Spell Tables'!$AV$48:$AV$54,MATCH(O267,('Spell Tables'!$AT$48:$AT$54),0)),IF($R$291&gt;=O267,INDEX('Spell Tables'!$AV$26:$AV$29,MATCH(O267,('Spell Tables'!$AT$26:$AT$29),0)),IF($R$293&gt;=O267,INDEX('Spell Tables'!$AV$2:$AV$6,MATCH(O267,('Spell Tables'!$AT$2:$AT$6),0))," ")))))</f>
        <v xml:space="preserve"> </v>
      </c>
      <c r="T300" s="63" t="str">
        <f ca="1">IF($S$289&gt;=O267,INDEX($AL$140:$AL$149,MATCH(O267,($AJ$140:$AJ$149),0)),IF($S$275&gt;=O267,INDEX('Spell Tables'!$AZ$242:$AZ$253,MATCH(O267,('Spell Tables'!$AX$242:$AX$253),0)),IF($S$279&gt;=O267,INDEX('Spell Tables'!$AZ$168:$AZ$172,MATCH(O267,('Spell Tables'!$AX$168:$AX$172),0)),IF($S$291&gt;=O267,INDEX('Spell Tables'!$AZ$26:$AZ$29,MATCH(O267,('Spell Tables'!$AX$26:$AX$29),0)),IF($S$293&gt;=O267,INDEX('Spell Tables'!$AZ$2:$AZ$5,MATCH(O267,('Spell Tables'!$AX$2:$AX$5),0))," ")))))</f>
        <v xml:space="preserve"> </v>
      </c>
    </row>
    <row r="301" spans="14:20" x14ac:dyDescent="0.3">
      <c r="N301" s="72"/>
      <c r="O301" s="86">
        <v>7</v>
      </c>
      <c r="P301" s="65" t="str">
        <f ca="1">IF(AND($Q$15="Otherworldly patron - great old one",O$277&gt;=O199),INDEX('Spell Tables'!$AJ$226:$AJ$231,MATCH(O199,('Spell Tables'!$AH$226:$AH$231),0)),IF(AND($Q$15="Otherworldly patron - fiend",O$277&gt;=O199),INDEX('Spell Tables'!$AJ$210:$AJ$215,MATCH(O199,('Spell Tables'!$AH$210:$AH$215),0)),IF(AND($Q$15="Otherworldly patron - archfey",O$277&gt;=O199),INDEX('Spell Tables'!$AJ$194:$AJ$199,MATCH(O199,('Spell Tables'!$AH$194:$AH$199),0)),IF($O$275&gt;=O199,INDEX($AL$92:$AL$101,MATCH(O199,($AJ$92:$AJ$101),0)),IF($O$279&gt;=O199,INDEX('Spell Tables'!$AJ$168:$AJ$178,MATCH(O199,('Spell Tables'!$AH$168:$AH$178),0)),IF($O$283&gt;=O199,INDEX('Spell Tables'!$AF$119:$AF$122,MATCH(O199,('Spell Tables'!$AD$119:$AD$122),0)),IF($O$285&gt;=O199,INDEX('Spell Tables'!$AF$97:$AF$102,MATCH(O199,('Spell Tables'!$AD$97:$AD$102),0)),IF($O$289&gt;=O199,INDEX('Spell Tables'!$AJ$48:$AJ$61,MATCH(O199,('Spell Tables'!$AH$48:$AH$61),0)),IF($O$291&gt;=O199,INDEX('Spell Tables'!$AJ$26:$AJ$38,MATCH(O199,('Spell Tables'!$AH$26:$AH$38),0)),IF($O$293&gt;=O199,INDEX('Spell Tables'!$AJ$2:$AJ$17,MATCH(O199,('Spell Tables'!$AH$2:$AH$17),0))," "))))))))))</f>
        <v xml:space="preserve"> </v>
      </c>
      <c r="Q301" s="65" t="str">
        <f ca="1">IF($P$275&gt;=O268,INDEX($AL$104:$AL$113,MATCH(O268,($AJ$104:$AJ$113),0)),IF($P$279&gt;=O268,INDEX('Spell Tables'!$AN$168:$AN$177,MATCH(O268,('Spell Tables'!$AL$168:$AL$177),0)),IF($P$289&gt;=O268,INDEX('Spell Tables'!$AN$48:$AN$56,MATCH(O268,('Spell Tables'!$AL$48:$AL$56),0)),IF($P$291&gt;=O268,INDEX('Spell Tables'!$AN$26:$AN$35,MATCH(O268,('Spell Tables'!$AL$26:$AL$35),0)),IF($P$293&gt;=O268,INDEX('Spell Tables'!$AN$2:$AN$8,MATCH(O268,('Spell Tables'!$AL$2:$AL$8),0))," ")))))</f>
        <v xml:space="preserve"> </v>
      </c>
      <c r="R301" s="65" t="str">
        <f ca="1">IF($Q$275&gt;=O268,INDEX($AL$116:$AL$125,MATCH(O268,($AJ$116:$AJ$125),0)),IF($Q$279&gt;=O268,INDEX('Spell Tables'!$AR$168:$AR$175,MATCH(O268,('Spell Tables'!$AP$168:$AP$175),0)),IF($Q$289&gt;=O268,INDEX('Spell Tables'!$AR$48:$AR$52,MATCH(O268,('Spell Tables'!$AP$48:$AP$52),0)),IF($Q$291&gt;=O268,INDEX('Spell Tables'!$AR$26:$AR$33,MATCH(O268,('Spell Tables'!$AP$26:$AP$33),0)),IF($Q$293&gt;=O268,INDEX('Spell Tables'!$AR$2:$AR$11,MATCH(O268,('Spell Tables'!$AL$2:$AL$11),0))," ")))))</f>
        <v xml:space="preserve"> </v>
      </c>
      <c r="S301" s="65" t="str">
        <f ca="1">IF($R$275&gt;=O268,INDEX($AL$128:$AL$137,MATCH(O268,($AJ$128:$AJ$137),0)),IF($R$279&gt;=O268,INDEX('Spell Tables'!$AV$168:$AV$172,MATCH(O268,('Spell Tables'!$AT$168:$AT$172),0)),IF($R$289&gt;=O268,INDEX('Spell Tables'!$AV$48:$AV$54,MATCH(O268,('Spell Tables'!$AT$48:$AT$54),0)),IF($R$291&gt;=O268,INDEX('Spell Tables'!$AV$26:$AV$29,MATCH(O268,('Spell Tables'!$AT$26:$AT$29),0)),IF($R$293&gt;=O268,INDEX('Spell Tables'!$AV$2:$AV$6,MATCH(O268,('Spell Tables'!$AT$2:$AT$6),0))," ")))))</f>
        <v xml:space="preserve"> </v>
      </c>
      <c r="T301" s="66" t="str">
        <f ca="1">IF($S$289&gt;=O268,INDEX($AL$140:$AL$149,MATCH(O268,($AJ$140:$AJ$149),0)),IF($S$275&gt;=O268,INDEX('Spell Tables'!$AZ$242:$AZ$253,MATCH(O268,('Spell Tables'!$AX$242:$AX$253),0)),IF($S$279&gt;=O268,INDEX('Spell Tables'!$AZ$168:$AZ$172,MATCH(O268,('Spell Tables'!$AX$168:$AX$172),0)),IF($S$291&gt;=O268,INDEX('Spell Tables'!$AZ$26:$AZ$29,MATCH(O268,('Spell Tables'!$AX$26:$AX$29),0)),IF($S$293&gt;=O268,INDEX('Spell Tables'!$AZ$2:$AZ$5,MATCH(O268,('Spell Tables'!$AX$2:$AX$5),0))," ")))))</f>
        <v xml:space="preserve"> </v>
      </c>
    </row>
    <row r="302" spans="14:20" x14ac:dyDescent="0.3">
      <c r="N302" s="72"/>
      <c r="O302" s="133">
        <v>8</v>
      </c>
      <c r="P302" s="60" t="str">
        <f ca="1">IF(AND($Q$15="Otherworldly patron - great old one",O$277&gt;=O200),INDEX('Spell Tables'!$AJ$226:$AJ$231,MATCH(O200,('Spell Tables'!$AH$226:$AH$231),0)),IF(AND($Q$15="Otherworldly patron - fiend",O$277&gt;=O200),INDEX('Spell Tables'!$AJ$210:$AJ$215,MATCH(O200,('Spell Tables'!$AH$210:$AH$215),0)),IF(AND($Q$15="Otherworldly patron - archfey",O$277&gt;=O200),INDEX('Spell Tables'!$AJ$194:$AJ$199,MATCH(O200,('Spell Tables'!$AH$194:$AH$199),0)),IF($O$275&gt;=O200,INDEX($AL$92:$AL$101,MATCH(O200,($AJ$92:$AJ$101),0)),IF($O$279&gt;=O200,INDEX('Spell Tables'!$AJ$168:$AJ$178,MATCH(O200,('Spell Tables'!$AH$168:$AH$178),0)),IF($O$283&gt;=O200,INDEX('Spell Tables'!$AF$119:$AF$122,MATCH(O200,('Spell Tables'!$AD$119:$AD$122),0)),IF($O$285&gt;=O200,INDEX('Spell Tables'!$AF$97:$AF$102,MATCH(O200,('Spell Tables'!$AD$97:$AD$102),0)),IF($O$289&gt;=O200,INDEX('Spell Tables'!$AJ$48:$AJ$61,MATCH(O200,('Spell Tables'!$AH$48:$AH$61),0)),IF($O$291&gt;=O200,INDEX('Spell Tables'!$AJ$26:$AJ$38,MATCH(O200,('Spell Tables'!$AH$26:$AH$38),0)),IF($O$293&gt;=O200,INDEX('Spell Tables'!$AJ$2:$AJ$17,MATCH(O200,('Spell Tables'!$AH$2:$AH$17),0))," "))))))))))</f>
        <v xml:space="preserve"> </v>
      </c>
      <c r="Q302" s="60" t="str">
        <f ca="1">IF($P$275&gt;=O269,INDEX($AL$104:$AL$113,MATCH(O269,($AJ$104:$AJ$113),0)),IF($P$279&gt;=O269,INDEX('Spell Tables'!$AN$168:$AN$177,MATCH(O269,('Spell Tables'!$AL$168:$AL$177),0)),IF($P$289&gt;=O269,INDEX('Spell Tables'!$AN$48:$AN$56,MATCH(O269,('Spell Tables'!$AL$48:$AL$56),0)),IF($P$291&gt;=O269,INDEX('Spell Tables'!$AN$26:$AN$35,MATCH(O269,('Spell Tables'!$AL$26:$AL$35),0)),IF($P$293&gt;=O269,INDEX('Spell Tables'!$AN$2:$AN$8,MATCH(O269,('Spell Tables'!$AL$2:$AL$8),0))," ")))))</f>
        <v xml:space="preserve"> </v>
      </c>
      <c r="R302" s="60" t="str">
        <f ca="1">IF($Q$275&gt;=O269,INDEX($AL$116:$AL$125,MATCH(O269,($AJ$116:$AJ$125),0)),IF($Q$279&gt;=O269,INDEX('Spell Tables'!$AR$168:$AR$175,MATCH(O269,('Spell Tables'!$AP$168:$AP$175),0)),IF($Q$289&gt;=O269,INDEX('Spell Tables'!$AR$48:$AR$52,MATCH(O269,('Spell Tables'!$AP$48:$AP$52),0)),IF($Q$291&gt;=O269,INDEX('Spell Tables'!$AR$26:$AR$33,MATCH(O269,('Spell Tables'!$AP$26:$AP$33),0)),IF($Q$293&gt;=O269,INDEX('Spell Tables'!$AR$2:$AR$11,MATCH(O269,('Spell Tables'!$AL$2:$AL$11),0))," ")))))</f>
        <v xml:space="preserve"> </v>
      </c>
      <c r="S302" s="60" t="str">
        <f ca="1">IF($R$275&gt;=O269,INDEX($AL$128:$AL$137,MATCH(O269,($AJ$128:$AJ$137),0)),IF($R$279&gt;=O269,INDEX('Spell Tables'!$AV$168:$AV$172,MATCH(O269,('Spell Tables'!$AT$168:$AT$172),0)),IF($R$289&gt;=O269,INDEX('Spell Tables'!$AV$48:$AV$54,MATCH(O269,('Spell Tables'!$AT$48:$AT$54),0)),IF($R$291&gt;=O269,INDEX('Spell Tables'!$AV$26:$AV$29,MATCH(O269,('Spell Tables'!$AT$26:$AT$29),0)),IF($R$293&gt;=O269,INDEX('Spell Tables'!$AV$2:$AV$6,MATCH(O269,('Spell Tables'!$AT$2:$AT$6),0))," ")))))</f>
        <v xml:space="preserve"> </v>
      </c>
      <c r="T302" s="63" t="str">
        <f ca="1">IF($S$289&gt;=O269,INDEX($AL$140:$AL$149,MATCH(O269,($AJ$140:$AJ$149),0)),IF($S$275&gt;=O269,INDEX('Spell Tables'!$AZ$242:$AZ$253,MATCH(O269,('Spell Tables'!$AX$242:$AX$253),0)),IF($S$279&gt;=O269,INDEX('Spell Tables'!$AZ$168:$AZ$172,MATCH(O269,('Spell Tables'!$AX$168:$AX$172),0)),IF($S$291&gt;=O269,INDEX('Spell Tables'!$AZ$26:$AZ$29,MATCH(O269,('Spell Tables'!$AX$26:$AX$29),0)),IF($S$293&gt;=O269,INDEX('Spell Tables'!$AZ$2:$AZ$5,MATCH(O269,('Spell Tables'!$AX$2:$AX$5),0))," ")))))</f>
        <v xml:space="preserve"> </v>
      </c>
    </row>
    <row r="303" spans="14:20" x14ac:dyDescent="0.3">
      <c r="N303" s="72"/>
      <c r="O303" s="86">
        <v>9</v>
      </c>
      <c r="P303" s="65" t="str">
        <f ca="1">IF(AND($Q$15="Otherworldly patron - great old one",O$277&gt;=O201),INDEX('Spell Tables'!$AJ$226:$AJ$231,MATCH(O201,('Spell Tables'!$AH$226:$AH$231),0)),IF(AND($Q$15="Otherworldly patron - fiend",O$277&gt;=O201),INDEX('Spell Tables'!$AJ$210:$AJ$215,MATCH(O201,('Spell Tables'!$AH$210:$AH$215),0)),IF(AND($Q$15="Otherworldly patron - archfey",O$277&gt;=O201),INDEX('Spell Tables'!$AJ$194:$AJ$199,MATCH(O201,('Spell Tables'!$AH$194:$AH$199),0)),IF($O$275&gt;=O201,INDEX($AL$92:$AL$101,MATCH(O201,($AJ$92:$AJ$101),0)),IF($O$279&gt;=O201,INDEX('Spell Tables'!$AJ$168:$AJ$178,MATCH(O201,('Spell Tables'!$AH$168:$AH$178),0)),IF($O$283&gt;=O201,INDEX('Spell Tables'!$AF$119:$AF$122,MATCH(O201,('Spell Tables'!$AD$119:$AD$122),0)),IF($O$285&gt;=O201,INDEX('Spell Tables'!$AF$97:$AF$102,MATCH(O201,('Spell Tables'!$AD$97:$AD$102),0)),IF($O$289&gt;=O201,INDEX('Spell Tables'!$AJ$48:$AJ$61,MATCH(O201,('Spell Tables'!$AH$48:$AH$61),0)),IF($O$291&gt;=O201,INDEX('Spell Tables'!$AJ$26:$AJ$38,MATCH(O201,('Spell Tables'!$AH$26:$AH$38),0)),IF($O$293&gt;=O201,INDEX('Spell Tables'!$AJ$2:$AJ$17,MATCH(O201,('Spell Tables'!$AH$2:$AH$17),0))," "))))))))))</f>
        <v xml:space="preserve"> </v>
      </c>
      <c r="Q303" s="65" t="str">
        <f ca="1">IF($P$275&gt;=O270,INDEX($AL$104:$AL$113,MATCH(O270,($AJ$104:$AJ$113),0)),IF($P$279&gt;=O270,INDEX('Spell Tables'!$AN$168:$AN$177,MATCH(O270,('Spell Tables'!$AL$168:$AL$177),0)),IF($P$289&gt;=O270,INDEX('Spell Tables'!$AN$48:$AN$56,MATCH(O270,('Spell Tables'!$AL$48:$AL$56),0)),IF($P$291&gt;=O270,INDEX('Spell Tables'!$AN$26:$AN$35,MATCH(O270,('Spell Tables'!$AL$26:$AL$35),0)),IF($P$293&gt;=O270,INDEX('Spell Tables'!$AN$2:$AN$8,MATCH(O270,('Spell Tables'!$AL$2:$AL$8),0))," ")))))</f>
        <v xml:space="preserve"> </v>
      </c>
      <c r="R303" s="65" t="str">
        <f ca="1">IF($Q$275&gt;=O270,INDEX($AL$116:$AL$125,MATCH(O270,($AJ$116:$AJ$125),0)),IF($Q$279&gt;=O270,INDEX('Spell Tables'!$AR$168:$AR$175,MATCH(O270,('Spell Tables'!$AP$168:$AP$175),0)),IF($Q$289&gt;=O270,INDEX('Spell Tables'!$AR$48:$AR$52,MATCH(O270,('Spell Tables'!$AP$48:$AP$52),0)),IF($Q$291&gt;=O270,INDEX('Spell Tables'!$AR$26:$AR$33,MATCH(O270,('Spell Tables'!$AP$26:$AP$33),0)),IF($Q$293&gt;=O270,INDEX('Spell Tables'!$AR$2:$AR$11,MATCH(O270,('Spell Tables'!$AL$2:$AL$11),0))," ")))))</f>
        <v xml:space="preserve"> </v>
      </c>
      <c r="S303" s="65" t="str">
        <f ca="1">IF($R$275&gt;=O270,INDEX($AL$128:$AL$137,MATCH(O270,($AJ$128:$AJ$137),0)),IF($R$279&gt;=O270,INDEX('Spell Tables'!$AV$168:$AV$172,MATCH(O270,('Spell Tables'!$AT$168:$AT$172),0)),IF($R$289&gt;=O270,INDEX('Spell Tables'!$AV$48:$AV$54,MATCH(O270,('Spell Tables'!$AT$48:$AT$54),0)),IF($R$291&gt;=O270,INDEX('Spell Tables'!$AV$26:$AV$29,MATCH(O270,('Spell Tables'!$AT$26:$AT$29),0)),IF($R$293&gt;=O270,INDEX('Spell Tables'!$AV$2:$AV$6,MATCH(O270,('Spell Tables'!$AT$2:$AT$6),0))," ")))))</f>
        <v xml:space="preserve"> </v>
      </c>
      <c r="T303" s="66" t="str">
        <f ca="1">IF($S$289&gt;=O270,INDEX($AL$140:$AL$149,MATCH(O270,($AJ$140:$AJ$149),0)),IF($S$275&gt;=O270,INDEX('Spell Tables'!$AZ$242:$AZ$253,MATCH(O270,('Spell Tables'!$AX$242:$AX$253),0)),IF($S$279&gt;=O270,INDEX('Spell Tables'!$AZ$168:$AZ$172,MATCH(O270,('Spell Tables'!$AX$168:$AX$172),0)),IF($S$291&gt;=O270,INDEX('Spell Tables'!$AZ$26:$AZ$29,MATCH(O270,('Spell Tables'!$AX$26:$AX$29),0)),IF($S$293&gt;=O270,INDEX('Spell Tables'!$AZ$2:$AZ$5,MATCH(O270,('Spell Tables'!$AX$2:$AX$5),0))," ")))))</f>
        <v xml:space="preserve"> </v>
      </c>
    </row>
    <row r="304" spans="14:20" ht="19.5" thickBot="1" x14ac:dyDescent="0.35">
      <c r="N304" s="72"/>
      <c r="O304" s="134">
        <v>10</v>
      </c>
      <c r="P304" s="67" t="str">
        <f ca="1">IF(AND($Q$15="Otherworldly patron - great old one",O$277&gt;=O202),INDEX('Spell Tables'!$AJ$226:$AJ$231,MATCH(O202,('Spell Tables'!$AH$226:$AH$231),0)),IF(AND($Q$15="Otherworldly patron - fiend",O$277&gt;=O202),INDEX('Spell Tables'!$AJ$210:$AJ$215,MATCH(O202,('Spell Tables'!$AH$210:$AH$215),0)),IF(AND($Q$15="Otherworldly patron - archfey",O$277&gt;=O202),INDEX('Spell Tables'!$AJ$194:$AJ$199,MATCH(O202,('Spell Tables'!$AH$194:$AH$199),0)),IF($O$275&gt;=O202,INDEX($AL$92:$AL$101,MATCH(O202,($AJ$92:$AJ$101),0)),IF($O$279&gt;=O202,INDEX('Spell Tables'!$AJ$168:$AJ$178,MATCH(O202,('Spell Tables'!$AH$168:$AH$178),0)),IF($O$283&gt;=O202,INDEX('Spell Tables'!$AF$119:$AF$122,MATCH(O202,('Spell Tables'!$AD$119:$AD$122),0)),IF($O$285&gt;=O202,INDEX('Spell Tables'!$AF$97:$AF$102,MATCH(O202,('Spell Tables'!$AD$97:$AD$102),0)),IF($O$289&gt;=O202,INDEX('Spell Tables'!$AJ$48:$AJ$61,MATCH(O202,('Spell Tables'!$AH$48:$AH$61),0)),IF($O$291&gt;=O202,INDEX('Spell Tables'!$AJ$26:$AJ$38,MATCH(O202,('Spell Tables'!$AH$26:$AH$38),0)),IF($O$293&gt;=O202,INDEX('Spell Tables'!$AJ$2:$AJ$17,MATCH(O202,('Spell Tables'!$AH$2:$AH$17),0))," "))))))))))</f>
        <v xml:space="preserve"> </v>
      </c>
      <c r="Q304" s="67" t="str">
        <f ca="1">IF($P$275&gt;=O271,INDEX($AL$104:$AL$113,MATCH(O271,($AJ$104:$AJ$113),0)),IF($P$279&gt;=O271,INDEX('Spell Tables'!$AN$168:$AN$177,MATCH(O271,('Spell Tables'!$AL$168:$AL$177),0)),IF($P$289&gt;=O271,INDEX('Spell Tables'!$AN$48:$AN$56,MATCH(O271,('Spell Tables'!$AL$48:$AL$56),0)),IF($P$291&gt;=O271,INDEX('Spell Tables'!$AN$26:$AN$35,MATCH(O271,('Spell Tables'!$AL$26:$AL$35),0)),IF($P$293&gt;=O271,INDEX('Spell Tables'!$AN$2:$AN$8,MATCH(O271,('Spell Tables'!$AL$2:$AL$8),0))," ")))))</f>
        <v xml:space="preserve"> </v>
      </c>
      <c r="R304" s="67" t="str">
        <f ca="1">IF($Q$275&gt;=O271,INDEX($AL$116:$AL$125,MATCH(O271,($AJ$116:$AJ$125),0)),IF($Q$279&gt;=O271,INDEX('Spell Tables'!$AR$168:$AR$175,MATCH(O271,('Spell Tables'!$AP$168:$AP$175),0)),IF($Q$289&gt;=O271,INDEX('Spell Tables'!$AR$48:$AR$52,MATCH(O271,('Spell Tables'!$AP$48:$AP$52),0)),IF($Q$291&gt;=O271,INDEX('Spell Tables'!$AR$26:$AR$33,MATCH(O271,('Spell Tables'!$AP$26:$AP$33),0)),IF($Q$293&gt;=O271,INDEX('Spell Tables'!$AR$2:$AR$11,MATCH(O271,('Spell Tables'!$AL$2:$AL$11),0))," ")))))</f>
        <v xml:space="preserve"> </v>
      </c>
      <c r="S304" s="67" t="str">
        <f ca="1">IF($R$275&gt;=O271,INDEX($AL$128:$AL$137,MATCH(O271,($AJ$128:$AJ$137),0)),IF($R$279&gt;=O271,INDEX('Spell Tables'!$AV$168:$AV$172,MATCH(O271,('Spell Tables'!$AT$168:$AT$172),0)),IF($R$289&gt;=O271,INDEX('Spell Tables'!$AV$48:$AV$54,MATCH(O271,('Spell Tables'!$AT$48:$AT$54),0)),IF($R$291&gt;=O271,INDEX('Spell Tables'!$AV$26:$AV$29,MATCH(O271,('Spell Tables'!$AT$26:$AT$29),0)),IF($R$293&gt;=O271,INDEX('Spell Tables'!$AV$2:$AV$6,MATCH(O271,('Spell Tables'!$AT$2:$AT$6),0))," ")))))</f>
        <v xml:space="preserve"> </v>
      </c>
      <c r="T304" s="68" t="str">
        <f ca="1">IF($S$289&gt;=O271,INDEX($AL$140:$AL$149,MATCH(O271,($AJ$140:$AJ$149),0)),IF($S$275&gt;=O271,INDEX('Spell Tables'!$AZ$242:$AZ$253,MATCH(O271,('Spell Tables'!$AX$242:$AX$253),0)),IF($S$279&gt;=O271,INDEX('Spell Tables'!$AZ$168:$AZ$172,MATCH(O271,('Spell Tables'!$AX$168:$AX$172),0)),IF($S$291&gt;=O271,INDEX('Spell Tables'!$AZ$26:$AZ$29,MATCH(O271,('Spell Tables'!$AX$26:$AX$29),0)),IF($S$293&gt;=O271,INDEX('Spell Tables'!$AZ$2:$AZ$5,MATCH(O271,('Spell Tables'!$AX$2:$AX$5),0))," ")))))</f>
        <v xml:space="preserve"> </v>
      </c>
    </row>
    <row r="305" spans="2:20" ht="19.5" thickBot="1" x14ac:dyDescent="0.35"/>
    <row r="306" spans="2:20" ht="30.75" thickBot="1" x14ac:dyDescent="0.45">
      <c r="B306" s="105" t="s">
        <v>1271</v>
      </c>
    </row>
    <row r="307" spans="2:20" ht="19.5" hidden="1" thickBot="1" x14ac:dyDescent="0.35">
      <c r="P307" s="29" t="s">
        <v>1166</v>
      </c>
      <c r="Q307" s="29" t="s">
        <v>1167</v>
      </c>
      <c r="R307" s="29" t="s">
        <v>1168</v>
      </c>
      <c r="S307" s="29" t="s">
        <v>676</v>
      </c>
    </row>
    <row r="308" spans="2:20" ht="19.5" hidden="1" thickBot="1" x14ac:dyDescent="0.35">
      <c r="B308" s="29" t="s">
        <v>1270</v>
      </c>
      <c r="O308" s="29" t="s">
        <v>530</v>
      </c>
      <c r="P308" s="29" t="str">
        <f ca="1">IF(AND(O11="wizard",O12&gt;=3),"x",IF(O11="wizard","xx"," "))</f>
        <v xml:space="preserve"> </v>
      </c>
      <c r="Q308" s="29" t="str">
        <f ca="1">IF(AND(O11="wizard",O12&gt;=9),"xxxx",IF(AND(O11="wizard",O12&gt;=5),"x",IF(AND($O$11="wizard",$O$12&gt;3),"xx",IF(AND(O11="wizard",O12=3),"xxx"," "))))</f>
        <v xml:space="preserve"> </v>
      </c>
      <c r="R308" s="29" t="str">
        <f ca="1">IF(AND(O11="wizard",O12&gt;=11),"xxxx",IF(AND(O11="wizard",O12&gt;=7),"x",IF(AND($O$11="wizard",$O$12&gt;5),"xx",IF(AND(O11="wizard",O12=5),"xxx"," "))))</f>
        <v xml:space="preserve"> </v>
      </c>
      <c r="S308" s="29" t="str">
        <f ca="1">IF(AND(O11="wizard",O12&gt;=13),"xxxx",IF(AND(O11="wizard",O12&gt;=9),"x",IF(AND($O$11="wizard",$O$12&gt;7),"xx",IF(AND(O11="wizard",O12=7),"xxx"," "))))</f>
        <v xml:space="preserve"> </v>
      </c>
    </row>
    <row r="309" spans="2:20" ht="19.5" hidden="1" thickBot="1" x14ac:dyDescent="0.35">
      <c r="B309" s="29" t="s">
        <v>1271</v>
      </c>
      <c r="O309" s="29" t="str">
        <f ca="1">IF(O11="wizard",((O12-1)*2)+6," ")</f>
        <v xml:space="preserve"> </v>
      </c>
      <c r="P309" s="29">
        <f ca="1">IF(AND(O11="wizard",O12=2),O309,IF(AND(O11="wizard",O12=1),$O$309,IF(AND(O11="wizard",O12&gt;=3),MAX(8,O309-SUM(U216:X216)),0)))</f>
        <v>0</v>
      </c>
      <c r="Q309" s="29">
        <f ca="1">IF(Q$308="xxxx",MAX(R173,(RANDBETWEEN(5,6))),IF(Q308="x",MAX(R173,(RANDBETWEEN(3,6))),IF(Q308="xx",MAX(R173,(RANDBETWEEN(2,4))),IF(Q308="xxx",MAX(R173,(2)),0))))</f>
        <v>0</v>
      </c>
      <c r="R309" s="29">
        <f ca="1">IF($R308="xxxx",MAX(S173,(RANDBETWEEN(5,6))),IF(R308="x",MAX(S173,(RANDBETWEEN(3,6))),IF(R308="xx",MAX(S173,(RANDBETWEEN(2,4))),IF(R308="xxx",MAX(S173,(2)),0))))</f>
        <v>0</v>
      </c>
      <c r="S309" s="29">
        <f ca="1">IF(S$308="xxxx",MAX(T173,(RANDBETWEEN(5,6))),IF(S308="x",MAX(T173,(RANDBETWEEN(3,6))),IF(S308="xx",MAX(T173,(RANDBETWEEN(2,4))),IF(S308="xxx",MAX(T173,(2)),0))))</f>
        <v>0</v>
      </c>
    </row>
    <row r="310" spans="2:20" ht="19.5" hidden="1" thickBot="1" x14ac:dyDescent="0.35">
      <c r="P310" s="98" t="s">
        <v>1166</v>
      </c>
      <c r="Q310" s="98" t="s">
        <v>1167</v>
      </c>
      <c r="R310" s="98" t="s">
        <v>1168</v>
      </c>
      <c r="S310" s="98" t="s">
        <v>676</v>
      </c>
    </row>
    <row r="311" spans="2:20" ht="19.5" hidden="1" thickBot="1" x14ac:dyDescent="0.35">
      <c r="P311" s="98" t="str">
        <f ca="1">IF(AND(Q11="wizard",Q12&gt;=3),"x",IF(Q11="wizard","xx"," "))</f>
        <v xml:space="preserve"> </v>
      </c>
      <c r="Q311" s="98" t="str">
        <f ca="1">IF(AND(Q11="wizard",Q12&gt;=9),"xxxx",IF(AND(Q11="wizard",Q12&gt;=5),"x",IF(AND($Q$11="wizard",$Q$12&gt;3),"xx",IF(AND(Q11="wizard",Q12=3),"xxx"," "))))</f>
        <v xml:space="preserve"> </v>
      </c>
      <c r="R311" s="98" t="str">
        <f ca="1">IF(AND(Q11="wizard",Q12&gt;=11),"xxxx",IF(AND(Q11="wizard",Q12&gt;=7),"x",IF(AND($Q$11="wizard",$Q$12&gt;5),"xx",IF(AND(Q11="wizard",Q12=5),"xxx"," "))))</f>
        <v xml:space="preserve"> </v>
      </c>
      <c r="S311" s="98" t="str">
        <f ca="1">IF(AND(Q11="wizard",Q12&gt;=13),"xxxx",IF(AND(Q11="wizard",Q12&gt;=9),"x",IF(AND($Q$11="wizard",$Q$12&gt;7),"xx",IF(AND(Q11="wizard",Q12=7),"xxx"," "))))</f>
        <v xml:space="preserve"> </v>
      </c>
    </row>
    <row r="312" spans="2:20" ht="19.5" hidden="1" thickBot="1" x14ac:dyDescent="0.35">
      <c r="P312" s="98">
        <f ca="1">IF(AND(Q11="wizard",Q12=2),AK41,IF(AND(Q11="wizard",Q12=1),$AK$41,IF(AND(Q11="wizard",Q12&gt;=3),MAX(8,AK41-SUM(U219:X219)),0)))</f>
        <v>0</v>
      </c>
      <c r="Q312" s="98">
        <f ca="1">IF(Q$311="xxxx",MAX(R242,(RANDBETWEEN(5,6))),IF(Q311="x",MAX(R242,(RANDBETWEEN(3,6))),IF(Q311="xx",MAX(R242,(RANDBETWEEN(2,4))),IF(Q311="xxx",MAX(R242,(2)),0))))</f>
        <v>0</v>
      </c>
      <c r="R312" s="98">
        <f ca="1">IF($R311="xxxx",MAX(S242,(RANDBETWEEN(5,6))),IF(R311="x",MAX(S242,(RANDBETWEEN(3,6))),IF(R311="xx",MAX(S242,(RANDBETWEEN(2,4))),IF(R311="xxx",MAX(S242,(2)),0))))</f>
        <v>0</v>
      </c>
      <c r="S312" s="98">
        <f ca="1">IF(S$311="xxxx",MAX(T242,(RANDBETWEEN(5,6))),IF(S311="x",MAX(T242,(RANDBETWEEN(3,6))),IF(S311="xx",MAX(T242,(RANDBETWEEN(2,4))),IF(S311="xxx",MAX(T242,(2)),0))))</f>
        <v>0</v>
      </c>
    </row>
    <row r="313" spans="2:20" ht="19.5" hidden="1" thickBot="1" x14ac:dyDescent="0.35"/>
    <row r="314" spans="2:20" x14ac:dyDescent="0.3">
      <c r="B314" s="79"/>
      <c r="C314" s="27"/>
      <c r="D314" s="27"/>
      <c r="E314" s="27"/>
      <c r="F314" s="27"/>
      <c r="G314" s="27"/>
      <c r="H314" s="27"/>
      <c r="I314" s="27"/>
      <c r="J314" s="27"/>
      <c r="K314" s="27"/>
      <c r="L314" s="27"/>
      <c r="M314" s="27"/>
      <c r="N314" s="27"/>
      <c r="O314" s="27"/>
      <c r="P314" s="76" t="s">
        <v>1124</v>
      </c>
      <c r="Q314" s="76" t="s">
        <v>1166</v>
      </c>
      <c r="R314" s="76" t="s">
        <v>1167</v>
      </c>
      <c r="S314" s="76" t="s">
        <v>1168</v>
      </c>
      <c r="T314" s="77" t="s">
        <v>676</v>
      </c>
    </row>
    <row r="315" spans="2:20" x14ac:dyDescent="0.3">
      <c r="B315" s="79"/>
      <c r="C315" s="33"/>
      <c r="D315" s="33"/>
      <c r="E315" s="33"/>
      <c r="F315" s="33"/>
      <c r="G315" s="33"/>
      <c r="H315" s="33"/>
      <c r="I315" s="33"/>
      <c r="J315" s="33"/>
      <c r="K315" s="33"/>
      <c r="L315" s="33"/>
      <c r="M315" s="33"/>
      <c r="N315" s="33"/>
      <c r="O315" s="34">
        <v>1</v>
      </c>
      <c r="P315" s="33" t="str">
        <f t="shared" ref="P315:P324" ca="1" si="67">IF($O$11="wizard",P193,IF($Q$11="wizard",P262," "))</f>
        <v xml:space="preserve"> </v>
      </c>
      <c r="Q315" s="33" t="str">
        <f ca="1">IF(AND($O$11="wizard",$P$309&gt;=O315),INDEX('Spell Tables'!$T$242:$T$271,MATCH(1,(O315:O324),0)),IF(AND($Q$11="wizard",$P$312&gt;=O315),INDEX('Spell Tables'!$T$242:$T$271,MATCH(O315,('Spell Tables'!$R$242:$R$271),0))," "))</f>
        <v xml:space="preserve"> </v>
      </c>
      <c r="R315" s="33" t="str">
        <f ca="1">IF($Q$309&gt;=O315,INDEX('Spell Tables'!$X$242:$X$275,MATCH(O315,('Spell Tables'!$V$242:$V$275),0)),IF(AND($Q$11="wizard",$Q$312&gt;=O315),INDEX('Spell Tables'!$X$242:$X$275,MATCH(O315,('Spell Tables'!$V$242:$V$275),0))," "))</f>
        <v xml:space="preserve"> </v>
      </c>
      <c r="S315" s="33" t="str">
        <f ca="1">IF($R$309&gt;=O315,INDEX('Spell Tables'!$AB$242:$AB$270,MATCH(O315,('Spell Tables'!$Z$242:$Z$270),0)),IF(AND($Q$11="wizard",$R$312&gt;=O315),INDEX('Spell Tables'!$AB$242:$AB$270,MATCH(O315,('Spell Tables'!$Z$242:$Z$270),0))," "))</f>
        <v xml:space="preserve"> </v>
      </c>
      <c r="T315" s="72" t="str">
        <f ca="1">IF($S$309&gt;=O315,INDEX('Spell Tables'!$AF$242:$AF$264,MATCH(O315,('Spell Tables'!$AD$242:$AD$264),0)),IF(AND($Q$11="wizard",$S$312&gt;=O315),INDEX('Spell Tables'!$AF$242:$AF$264,MATCH(O315,('Spell Tables'!$AD$242:$AD$264),0))," "))</f>
        <v xml:space="preserve"> </v>
      </c>
    </row>
    <row r="316" spans="2:20" x14ac:dyDescent="0.3">
      <c r="B316" s="79"/>
      <c r="C316" s="33"/>
      <c r="D316" s="33"/>
      <c r="E316" s="33"/>
      <c r="F316" s="33"/>
      <c r="G316" s="33"/>
      <c r="H316" s="33"/>
      <c r="I316" s="33"/>
      <c r="J316" s="33"/>
      <c r="K316" s="33"/>
      <c r="L316" s="33"/>
      <c r="M316" s="33"/>
      <c r="N316" s="33"/>
      <c r="O316" s="34">
        <v>2</v>
      </c>
      <c r="P316" s="33" t="str">
        <f t="shared" ca="1" si="67"/>
        <v xml:space="preserve"> </v>
      </c>
      <c r="Q316" s="33" t="str">
        <f ca="1">IF(AND($O$11="wizard",$P$309&gt;=O316),INDEX('Spell Tables'!$T$242:$T$271,MATCH(O316,('Spell Tables'!$R$242:$R$271),0)),IF(AND($Q$11="wizard",$P$312&gt;=O316),INDEX('Spell Tables'!$T$242:$T$271,MATCH(O316,('Spell Tables'!$R$242:$R$271),0))," "))</f>
        <v xml:space="preserve"> </v>
      </c>
      <c r="R316" s="33" t="str">
        <f ca="1">IF($Q$309&gt;=O316,INDEX('Spell Tables'!$X$242:$X$275,MATCH(O316,('Spell Tables'!$V$242:$V$275),0)),IF(AND($Q$11="wizard",$Q$312&gt;=O316),INDEX('Spell Tables'!$X$242:$X$275,MATCH(O316,('Spell Tables'!$V$242:$V$275),0))," "))</f>
        <v xml:space="preserve"> </v>
      </c>
      <c r="S316" s="33" t="str">
        <f ca="1">IF($R$309&gt;=O316,INDEX('Spell Tables'!$AB$242:$AB$270,MATCH(O316,('Spell Tables'!$Z$242:$Z$270),0)),IF(AND($Q$11="wizard",$R$312&gt;=O316),INDEX('Spell Tables'!$AB$242:$AB$270,MATCH(O316,('Spell Tables'!$Z$242:$Z$270),0))," "))</f>
        <v xml:space="preserve"> </v>
      </c>
      <c r="T316" s="72" t="str">
        <f ca="1">IF($S$309&gt;=O316,INDEX('Spell Tables'!$AF$242:$AF$264,MATCH(O316,('Spell Tables'!$AD$242:$AD$264),0)),IF(AND($Q$11="wizard",$S$312&gt;=O316),INDEX('Spell Tables'!$AF$242:$AF$264,MATCH(O316,('Spell Tables'!$AD$242:$AD$264),0))," "))</f>
        <v xml:space="preserve"> </v>
      </c>
    </row>
    <row r="317" spans="2:20" x14ac:dyDescent="0.3">
      <c r="B317" s="79"/>
      <c r="C317" s="33"/>
      <c r="D317" s="33"/>
      <c r="E317" s="33"/>
      <c r="F317" s="33"/>
      <c r="G317" s="33"/>
      <c r="H317" s="33"/>
      <c r="I317" s="33"/>
      <c r="J317" s="33"/>
      <c r="K317" s="33"/>
      <c r="L317" s="33"/>
      <c r="M317" s="33"/>
      <c r="N317" s="33"/>
      <c r="O317" s="34">
        <v>3</v>
      </c>
      <c r="P317" s="33" t="str">
        <f t="shared" ca="1" si="67"/>
        <v xml:space="preserve"> </v>
      </c>
      <c r="Q317" s="33" t="str">
        <f ca="1">IF(AND($O$11="wizard",$P$309&gt;=O317),INDEX('Spell Tables'!$T$242:$T$271,MATCH(O317,('Spell Tables'!$R$242:$R$271),0)),IF(AND($Q$11="wizard",$P$312&gt;=O317),INDEX('Spell Tables'!$T$242:$T$271,MATCH(O317,('Spell Tables'!$R$242:$R$271),0))," "))</f>
        <v xml:space="preserve"> </v>
      </c>
      <c r="R317" s="33" t="str">
        <f ca="1">IF($Q$309&gt;=O317,INDEX('Spell Tables'!$X$242:$X$275,MATCH(O317,('Spell Tables'!$V$242:$V$275),0)),IF(AND($Q$11="wizard",$Q$312&gt;=O317),INDEX('Spell Tables'!$X$242:$X$275,MATCH(O317,('Spell Tables'!$V$242:$V$275),0))," "))</f>
        <v xml:space="preserve"> </v>
      </c>
      <c r="S317" s="33" t="str">
        <f ca="1">IF($R$309&gt;=O317,INDEX('Spell Tables'!$AB$242:$AB$270,MATCH(O317,('Spell Tables'!$Z$242:$Z$270),0)),IF(AND($Q$11="wizard",$R$312&gt;=O317),INDEX('Spell Tables'!$AB$242:$AB$270,MATCH(O317,('Spell Tables'!$Z$242:$Z$270),0))," "))</f>
        <v xml:space="preserve"> </v>
      </c>
      <c r="T317" s="72" t="str">
        <f ca="1">IF($S$309&gt;=O317,INDEX('Spell Tables'!$AF$242:$AF$264,MATCH(O317,('Spell Tables'!$AD$242:$AD$264),0)),IF(AND($Q$11="wizard",$S$312&gt;=O317),INDEX('Spell Tables'!$AF$242:$AF$264,MATCH(O317,('Spell Tables'!$AD$242:$AD$264),0))," "))</f>
        <v xml:space="preserve"> </v>
      </c>
    </row>
    <row r="318" spans="2:20" x14ac:dyDescent="0.3">
      <c r="B318" s="79"/>
      <c r="C318" s="33"/>
      <c r="D318" s="33"/>
      <c r="E318" s="33"/>
      <c r="F318" s="33"/>
      <c r="G318" s="33"/>
      <c r="H318" s="33"/>
      <c r="I318" s="33"/>
      <c r="J318" s="33"/>
      <c r="K318" s="33"/>
      <c r="L318" s="33"/>
      <c r="M318" s="33"/>
      <c r="N318" s="33"/>
      <c r="O318" s="34">
        <v>4</v>
      </c>
      <c r="P318" s="33" t="str">
        <f t="shared" ca="1" si="67"/>
        <v xml:space="preserve"> </v>
      </c>
      <c r="Q318" s="33" t="str">
        <f ca="1">IF(AND($O$11="wizard",$P$309&gt;=O318),INDEX('Spell Tables'!$T$242:$T$271,MATCH(O318,('Spell Tables'!$R$242:$R$271),0)),IF(AND($Q$11="wizard",$P$312&gt;=O318),INDEX('Spell Tables'!$T$242:$T$271,MATCH(O318,('Spell Tables'!$R$242:$R$271),0))," "))</f>
        <v xml:space="preserve"> </v>
      </c>
      <c r="R318" s="33" t="str">
        <f ca="1">IF($Q$309&gt;=O318,INDEX('Spell Tables'!$X$242:$X$275,MATCH(O318,('Spell Tables'!$V$242:$V$275),0)),IF(AND($Q$11="wizard",$Q$312&gt;=O318),INDEX('Spell Tables'!$X$242:$X$275,MATCH(O318,('Spell Tables'!$V$242:$V$275),0))," "))</f>
        <v xml:space="preserve"> </v>
      </c>
      <c r="S318" s="33" t="str">
        <f ca="1">IF($R$309&gt;=O318,INDEX('Spell Tables'!$AB$242:$AB$270,MATCH(O318,('Spell Tables'!$Z$242:$Z$270),0)),IF(AND($Q$11="wizard",$R$312&gt;=O318),INDEX('Spell Tables'!$AB$242:$AB$270,MATCH(O318,('Spell Tables'!$Z$242:$Z$270),0))," "))</f>
        <v xml:space="preserve"> </v>
      </c>
      <c r="T318" s="72" t="str">
        <f ca="1">IF($S$309&gt;=O318,INDEX('Spell Tables'!$AF$242:$AF$264,MATCH(O318,('Spell Tables'!$AD$242:$AD$264),0)),IF(AND($Q$11="wizard",$S$312&gt;=O318),INDEX('Spell Tables'!$AF$242:$AF$264,MATCH(O318,('Spell Tables'!$AD$242:$AD$264),0))," "))</f>
        <v xml:space="preserve"> </v>
      </c>
    </row>
    <row r="319" spans="2:20" x14ac:dyDescent="0.3">
      <c r="B319" s="79"/>
      <c r="C319" s="33"/>
      <c r="D319" s="33"/>
      <c r="E319" s="33"/>
      <c r="F319" s="33"/>
      <c r="G319" s="33"/>
      <c r="H319" s="33"/>
      <c r="I319" s="33"/>
      <c r="J319" s="33"/>
      <c r="K319" s="33"/>
      <c r="L319" s="33"/>
      <c r="M319" s="33"/>
      <c r="N319" s="33"/>
      <c r="O319" s="34">
        <v>5</v>
      </c>
      <c r="P319" s="33" t="str">
        <f t="shared" ca="1" si="67"/>
        <v xml:space="preserve"> </v>
      </c>
      <c r="Q319" s="33" t="str">
        <f ca="1">IF(AND($O$11="wizard",$P$309&gt;=O319),INDEX('Spell Tables'!$T$242:$T$271,MATCH(O319,('Spell Tables'!$R$242:$R$271),0)),IF(AND($Q$11="wizard",$P$312&gt;=O319),INDEX('Spell Tables'!$T$242:$T$271,MATCH(O319,('Spell Tables'!$R$242:$R$271),0))," "))</f>
        <v xml:space="preserve"> </v>
      </c>
      <c r="R319" s="33" t="str">
        <f ca="1">IF($Q$309&gt;=O319,INDEX('Spell Tables'!$X$242:$X$275,MATCH(O319,('Spell Tables'!$V$242:$V$275),0)),IF(AND($Q$11="wizard",$Q$312&gt;=O319),INDEX('Spell Tables'!$X$242:$X$275,MATCH(O319,('Spell Tables'!$V$242:$V$275),0))," "))</f>
        <v xml:space="preserve"> </v>
      </c>
      <c r="S319" s="33" t="str">
        <f ca="1">IF($R$309&gt;=O319,INDEX('Spell Tables'!$AB$242:$AB$270,MATCH(O319,('Spell Tables'!$Z$242:$Z$270),0)),IF(AND($Q$11="wizard",$R$312&gt;=O319),INDEX('Spell Tables'!$AB$242:$AB$270,MATCH(O319,('Spell Tables'!$Z$242:$Z$270),0))," "))</f>
        <v xml:space="preserve"> </v>
      </c>
      <c r="T319" s="72" t="str">
        <f ca="1">IF($S$309&gt;=O319,INDEX('Spell Tables'!$AF$242:$AF$264,MATCH(O319,('Spell Tables'!$AD$242:$AD$264),0)),IF(AND($Q$11="wizard",$S$312&gt;=O319),INDEX('Spell Tables'!$AF$242:$AF$264,MATCH(O319,('Spell Tables'!$AD$242:$AD$264),0))," "))</f>
        <v xml:space="preserve"> </v>
      </c>
    </row>
    <row r="320" spans="2:20" x14ac:dyDescent="0.3">
      <c r="B320" s="79"/>
      <c r="C320" s="33"/>
      <c r="D320" s="33"/>
      <c r="E320" s="33"/>
      <c r="F320" s="33"/>
      <c r="G320" s="33"/>
      <c r="H320" s="33"/>
      <c r="I320" s="33"/>
      <c r="J320" s="33"/>
      <c r="K320" s="33"/>
      <c r="L320" s="33"/>
      <c r="M320" s="33"/>
      <c r="N320" s="33"/>
      <c r="O320" s="34">
        <v>6</v>
      </c>
      <c r="P320" s="33" t="str">
        <f t="shared" ca="1" si="67"/>
        <v xml:space="preserve"> </v>
      </c>
      <c r="Q320" s="33" t="str">
        <f ca="1">IF(AND($O$11="wizard",$P$309&gt;=O320),INDEX('Spell Tables'!$T$242:$T$271,MATCH(O320,('Spell Tables'!$R$242:$R$271),0)),IF(AND($Q$11="wizard",$P$312&gt;=O320),INDEX('Spell Tables'!$T$242:$T$271,MATCH(O320,('Spell Tables'!$R$242:$R$271),0))," "))</f>
        <v xml:space="preserve"> </v>
      </c>
      <c r="R320" s="33" t="str">
        <f ca="1">IF($Q$309&gt;=O320,INDEX('Spell Tables'!$X$242:$X$275,MATCH(O320,('Spell Tables'!$V$242:$V$275),0)),IF(AND($Q$11="wizard",$Q$312&gt;=O320),INDEX('Spell Tables'!$X$242:$X$275,MATCH(O320,('Spell Tables'!$V$242:$V$275),0))," "))</f>
        <v xml:space="preserve"> </v>
      </c>
      <c r="S320" s="33" t="str">
        <f ca="1">IF($R$309&gt;=O320,INDEX('Spell Tables'!$AB$242:$AB$270,MATCH(O320,('Spell Tables'!$Z$242:$Z$270),0)),IF(AND($Q$11="wizard",$R$312&gt;=O320),INDEX('Spell Tables'!$AB$242:$AB$270,MATCH(O320,('Spell Tables'!$Z$242:$Z$270),0))," "))</f>
        <v xml:space="preserve"> </v>
      </c>
      <c r="T320" s="72" t="str">
        <f ca="1">IF($S$309&gt;=O320,INDEX('Spell Tables'!$AF$242:$AF$264,MATCH(O320,('Spell Tables'!$AD$242:$AD$264),0)),IF(AND($Q$11="wizard",$S$312&gt;=O320),INDEX('Spell Tables'!$AF$242:$AF$264,MATCH(O320,('Spell Tables'!$AD$242:$AD$264),0))," "))</f>
        <v xml:space="preserve"> </v>
      </c>
    </row>
    <row r="321" spans="1:20" x14ac:dyDescent="0.3">
      <c r="B321" s="79"/>
      <c r="C321" s="33"/>
      <c r="D321" s="33"/>
      <c r="E321" s="33"/>
      <c r="F321" s="33"/>
      <c r="G321" s="33"/>
      <c r="H321" s="33"/>
      <c r="I321" s="33"/>
      <c r="J321" s="33"/>
      <c r="K321" s="33"/>
      <c r="L321" s="33"/>
      <c r="M321" s="33"/>
      <c r="N321" s="33"/>
      <c r="O321" s="34">
        <v>7</v>
      </c>
      <c r="P321" s="33" t="str">
        <f t="shared" ca="1" si="67"/>
        <v xml:space="preserve"> </v>
      </c>
      <c r="Q321" s="33" t="str">
        <f ca="1">IF(AND($O$11="wizard",$P$309&gt;=O321),INDEX('Spell Tables'!$T$242:$T$271,MATCH(O321,('Spell Tables'!$R$242:$R$271),0)),IF(AND($Q$11="wizard",$P$312&gt;=O321),INDEX('Spell Tables'!$T$242:$T$271,MATCH(O321,('Spell Tables'!$R$242:$R$271),0))," "))</f>
        <v xml:space="preserve"> </v>
      </c>
      <c r="R321" s="33" t="str">
        <f ca="1">IF($Q$309&gt;=O321,INDEX('Spell Tables'!$X$242:$X$275,MATCH(O321,('Spell Tables'!$V$242:$V$275),0)),IF(AND($Q$11="wizard",$Q$312&gt;=O321),INDEX('Spell Tables'!$X$242:$X$275,MATCH(O321,('Spell Tables'!$V$242:$V$275),0))," "))</f>
        <v xml:space="preserve"> </v>
      </c>
      <c r="S321" s="33" t="str">
        <f ca="1">IF($R$309&gt;=O321,INDEX('Spell Tables'!$AB$242:$AB$270,MATCH(O321,('Spell Tables'!$Z$242:$Z$270),0)),IF(AND($Q$11="wizard",$R$312&gt;=O321),INDEX('Spell Tables'!$AB$242:$AB$270,MATCH(O321,('Spell Tables'!$Z$242:$Z$270),0))," "))</f>
        <v xml:space="preserve"> </v>
      </c>
      <c r="T321" s="72" t="str">
        <f ca="1">IF($S$309&gt;=O321,INDEX('Spell Tables'!$AF$242:$AF$264,MATCH(O321,('Spell Tables'!$AD$242:$AD$264),0)),IF(AND($Q$11="wizard",$S$312&gt;=O321),INDEX('Spell Tables'!$AF$242:$AF$264,MATCH(O321,('Spell Tables'!$AD$242:$AD$264),0))," "))</f>
        <v xml:space="preserve"> </v>
      </c>
    </row>
    <row r="322" spans="1:20" x14ac:dyDescent="0.3">
      <c r="B322" s="79"/>
      <c r="C322" s="33"/>
      <c r="D322" s="33"/>
      <c r="E322" s="33"/>
      <c r="F322" s="33"/>
      <c r="G322" s="33"/>
      <c r="H322" s="33"/>
      <c r="I322" s="33"/>
      <c r="J322" s="33"/>
      <c r="K322" s="33"/>
      <c r="L322" s="33"/>
      <c r="M322" s="33"/>
      <c r="N322" s="33"/>
      <c r="O322" s="34">
        <v>8</v>
      </c>
      <c r="P322" s="33" t="str">
        <f t="shared" ca="1" si="67"/>
        <v xml:space="preserve"> </v>
      </c>
      <c r="Q322" s="33" t="str">
        <f ca="1">IF(AND($O$11="wizard",$P$309&gt;=O322),INDEX('Spell Tables'!$T$242:$T$271,MATCH(O322,('Spell Tables'!$R$242:$R$271),0)),IF(AND($Q$11="wizard",$P$312&gt;=O322),INDEX('Spell Tables'!$T$242:$T$271,MATCH(O322,('Spell Tables'!$R$242:$R$271),0))," "))</f>
        <v xml:space="preserve"> </v>
      </c>
      <c r="R322" s="33" t="str">
        <f ca="1">IF($Q$309&gt;=O322,INDEX('Spell Tables'!$X$242:$X$275,MATCH(O322,('Spell Tables'!$V$242:$V$275),0)),IF(AND($Q$11="wizard",$Q$312&gt;=O322),INDEX('Spell Tables'!$X$242:$X$275,MATCH(O322,('Spell Tables'!$V$242:$V$275),0))," "))</f>
        <v xml:space="preserve"> </v>
      </c>
      <c r="S322" s="33" t="str">
        <f ca="1">IF($R$309&gt;=O322,INDEX('Spell Tables'!$AB$242:$AB$270,MATCH(O322,('Spell Tables'!$Z$242:$Z$270),0)),IF(AND($Q$11="wizard",$R$312&gt;=O322),INDEX('Spell Tables'!$AB$242:$AB$270,MATCH(O322,('Spell Tables'!$Z$242:$Z$270),0))," "))</f>
        <v xml:space="preserve"> </v>
      </c>
      <c r="T322" s="72" t="str">
        <f ca="1">IF($S$309&gt;=O322,INDEX('Spell Tables'!$AF$242:$AF$264,MATCH(O322,('Spell Tables'!$AD$242:$AD$264),0)),IF(AND($Q$11="wizard",$S$312&gt;=O322),INDEX('Spell Tables'!$AF$242:$AF$264,MATCH(O322,('Spell Tables'!$AD$242:$AD$264),0))," "))</f>
        <v xml:space="preserve"> </v>
      </c>
    </row>
    <row r="323" spans="1:20" x14ac:dyDescent="0.3">
      <c r="B323" s="79"/>
      <c r="C323" s="33"/>
      <c r="D323" s="33"/>
      <c r="E323" s="33"/>
      <c r="F323" s="33"/>
      <c r="G323" s="33"/>
      <c r="H323" s="33"/>
      <c r="I323" s="33"/>
      <c r="J323" s="33"/>
      <c r="K323" s="33"/>
      <c r="L323" s="33"/>
      <c r="M323" s="33"/>
      <c r="N323" s="33"/>
      <c r="O323" s="34">
        <v>9</v>
      </c>
      <c r="P323" s="33" t="str">
        <f t="shared" ca="1" si="67"/>
        <v xml:space="preserve"> </v>
      </c>
      <c r="Q323" s="33" t="str">
        <f ca="1">IF(AND($O$11="wizard",$P$309&gt;=O323),INDEX('Spell Tables'!$T$242:$T$271,MATCH(O323,('Spell Tables'!$R$242:$R$271),0)),IF(AND($Q$11="wizard",$P$312&gt;=O323),INDEX('Spell Tables'!$T$242:$T$271,MATCH(O323,('Spell Tables'!$R$242:$R$271),0))," "))</f>
        <v xml:space="preserve"> </v>
      </c>
      <c r="R323" s="33" t="str">
        <f ca="1">IF($Q$309&gt;=O323,INDEX('Spell Tables'!$X$242:$X$275,MATCH(O323,('Spell Tables'!$V$242:$V$275),0)),IF(AND($Q$11="wizard",$Q$312&gt;=O323),INDEX('Spell Tables'!$X$242:$X$275,MATCH(O323,('Spell Tables'!$V$242:$V$275),0))," "))</f>
        <v xml:space="preserve"> </v>
      </c>
      <c r="S323" s="33" t="str">
        <f ca="1">IF($R$309&gt;=O323,INDEX('Spell Tables'!$AB$242:$AB$270,MATCH(O323,('Spell Tables'!$Z$242:$Z$270),0)),IF(AND($Q$11="wizard",$R$312&gt;=O323),INDEX('Spell Tables'!$AB$242:$AB$270,MATCH(O323,('Spell Tables'!$Z$242:$Z$270),0))," "))</f>
        <v xml:space="preserve"> </v>
      </c>
      <c r="T323" s="72" t="str">
        <f ca="1">IF($S$309&gt;=O323,INDEX('Spell Tables'!$AF$242:$AF$264,MATCH(O323,('Spell Tables'!$AD$242:$AD$264),0)),IF(AND($Q$11="wizard",$S$312&gt;=O323),INDEX('Spell Tables'!$AF$242:$AF$264,MATCH(O323,('Spell Tables'!$AD$242:$AD$264),0))," "))</f>
        <v xml:space="preserve"> </v>
      </c>
    </row>
    <row r="324" spans="1:20" ht="19.5" thickBot="1" x14ac:dyDescent="0.35">
      <c r="B324" s="80"/>
      <c r="C324" s="38"/>
      <c r="D324" s="38"/>
      <c r="E324" s="38"/>
      <c r="F324" s="38"/>
      <c r="G324" s="38"/>
      <c r="H324" s="38"/>
      <c r="I324" s="38"/>
      <c r="J324" s="38"/>
      <c r="K324" s="38"/>
      <c r="L324" s="38"/>
      <c r="M324" s="38"/>
      <c r="N324" s="38"/>
      <c r="O324" s="82">
        <v>10</v>
      </c>
      <c r="P324" s="38" t="str">
        <f t="shared" ca="1" si="67"/>
        <v xml:space="preserve"> </v>
      </c>
      <c r="Q324" s="38" t="str">
        <f ca="1">IF(AND($O$11="wizard",$P$309&gt;=O324),INDEX('Spell Tables'!$T$242:$T$271,MATCH(O324,('Spell Tables'!$R$242:$R$271),0)),IF(AND($Q$11="wizard",$P$312&gt;=O324),INDEX('Spell Tables'!$T$242:$T$271,MATCH(O324,('Spell Tables'!$R$242:$R$271),0))," "))</f>
        <v xml:space="preserve"> </v>
      </c>
      <c r="R324" s="38" t="str">
        <f ca="1">IF($Q$309&gt;=O324,INDEX('Spell Tables'!$X$242:$X$275,MATCH(O324,('Spell Tables'!$V$242:$V$275),0)),IF(AND($Q$11="wizard",$Q$312&gt;=O324),INDEX('Spell Tables'!$X$242:$X$275,MATCH(O324,('Spell Tables'!$V$242:$V$275),0))," "))</f>
        <v xml:space="preserve"> </v>
      </c>
      <c r="S324" s="38" t="str">
        <f ca="1">IF($R$309&gt;=O324,INDEX('Spell Tables'!$AB$242:$AB$270,MATCH(O324,('Spell Tables'!$Z$242:$Z$270),0)),IF(AND($Q$11="wizard",$R$312&gt;=O324),INDEX('Spell Tables'!$AB$242:$AB$270,MATCH(O324,('Spell Tables'!$Z$242:$Z$270),0))," "))</f>
        <v xml:space="preserve"> </v>
      </c>
      <c r="T324" s="73" t="str">
        <f ca="1">IF($S$309&gt;=O324,INDEX('Spell Tables'!$AF$242:$AF$264,MATCH(O324,('Spell Tables'!$AD$242:$AD$264),0)),IF(AND($Q$11="wizard",$S$312&gt;=O324),INDEX('Spell Tables'!$AF$242:$AF$264,MATCH(O324,('Spell Tables'!$AD$242:$AD$264),0))," "))</f>
        <v xml:space="preserve"> </v>
      </c>
    </row>
    <row r="325" spans="1:20" ht="19.5" thickBot="1" x14ac:dyDescent="0.35">
      <c r="K325" s="100"/>
      <c r="L325" s="60"/>
      <c r="O325" s="99"/>
    </row>
    <row r="326" spans="1:20" ht="19.5" hidden="1" thickBot="1" x14ac:dyDescent="0.35">
      <c r="K326" s="100"/>
      <c r="L326" s="60"/>
      <c r="O326" s="65" t="s">
        <v>1169</v>
      </c>
      <c r="P326" s="65" t="s">
        <v>1170</v>
      </c>
      <c r="Q326" s="65" t="s">
        <v>1171</v>
      </c>
      <c r="R326" s="65" t="s">
        <v>677</v>
      </c>
      <c r="S326" s="101" t="s">
        <v>1172</v>
      </c>
    </row>
    <row r="327" spans="1:20" ht="19.5" hidden="1" thickBot="1" x14ac:dyDescent="0.35">
      <c r="K327" s="100"/>
      <c r="L327" s="60"/>
      <c r="O327" s="60" t="str">
        <f ca="1">IF(AND(O11="wizard",O12&gt;=15),"xxxx",IF(AND(O11="wizard",O12&gt;=11),"x",IF(AND($O$11="wizard",$O$12&gt;9),"xx",IF(AND(O11="wizard",O12=9),"xxx"," "))))</f>
        <v xml:space="preserve"> </v>
      </c>
      <c r="P327" s="60" t="str">
        <f ca="1">IF(AND(O11="wizard",O12&gt;=17),"xxxx",IF(AND(O11="wizard",O12&gt;=13),"x",IF(AND($O$11="wizard",$O$12&gt;11),"xx",IF(AND(O11="wizard",O12=11),"xxx"," "))))</f>
        <v xml:space="preserve"> </v>
      </c>
      <c r="Q327" s="60" t="str">
        <f ca="1">IF(AND(O11="wizard",O12&gt;=19),"xxxx",IF(AND(O11="wizard",O12&gt;=15),"x",IF(AND($O$11="wizard",$O$12&gt;13),"xx",IF(AND(O11="wizard",O12=13),"xxx"," "))))</f>
        <v xml:space="preserve"> </v>
      </c>
      <c r="R327" s="60" t="str">
        <f ca="1">IF(AND(O11="wizard",O12&gt;=17),"x",IF(AND($O$11="wizard",$O$12&gt;15),"xx",IF(AND(O11="wizard",O12=15),"xxx"," ")))</f>
        <v xml:space="preserve"> </v>
      </c>
      <c r="S327" s="102" t="str">
        <f ca="1">IF(AND($O$11="wizard",$O$12&gt;17),"xx",IF(AND(O11="wizard",O12=17),"xxx"," "))</f>
        <v xml:space="preserve"> </v>
      </c>
    </row>
    <row r="328" spans="1:20" ht="19.5" hidden="1" thickBot="1" x14ac:dyDescent="0.35">
      <c r="K328" s="100"/>
      <c r="L328" s="60"/>
      <c r="O328" s="65">
        <f ca="1">IF($O327="xxxx",MAX(P208,(RANDBETWEEN(5,6))),IF(O327="x",MAX(P208,(RANDBETWEEN(3,6))),IF(O327="xx",MAX(P208,(RANDBETWEEN(2,4))),IF(O327="xxx",MAX(P208,(2)),0))))</f>
        <v>0</v>
      </c>
      <c r="P328" s="65">
        <f ca="1">IF($P327="xxxx",RANDBETWEEN(5,6),IF(P327="x",RANDBETWEEN(3,6),IF(P327="xx",RANDBETWEEN(2,4),IF(P327="xxx",2,0))))</f>
        <v>0</v>
      </c>
      <c r="Q328" s="65">
        <f ca="1">IF($Q327="xxxx",RANDBETWEEN(5,6),IF(Q327="x",RANDBETWEEN(3,6),IF(Q327="xx",RANDBETWEEN(2,4),IF(Q327="xxx",2,0))))</f>
        <v>0</v>
      </c>
      <c r="R328" s="65">
        <f ca="1">IF(OR(R327="x",R327="xx"),RANDBETWEEN(2,4),IF(R327="xxx",2,0))</f>
        <v>0</v>
      </c>
      <c r="S328" s="101">
        <f ca="1">IF(S327="xx",RANDBETWEEN(2,4),IF(S327="xxx",2,0))</f>
        <v>0</v>
      </c>
    </row>
    <row r="329" spans="1:20" ht="19.5" hidden="1" thickBot="1" x14ac:dyDescent="0.35">
      <c r="K329" s="100"/>
      <c r="L329" s="60"/>
      <c r="O329" s="60" t="s">
        <v>1169</v>
      </c>
      <c r="P329" s="60" t="s">
        <v>1170</v>
      </c>
      <c r="Q329" s="60" t="s">
        <v>1171</v>
      </c>
      <c r="R329" s="60" t="s">
        <v>677</v>
      </c>
      <c r="S329" s="102" t="s">
        <v>1172</v>
      </c>
    </row>
    <row r="330" spans="1:20" ht="19.5" hidden="1" thickBot="1" x14ac:dyDescent="0.35">
      <c r="K330" s="100"/>
      <c r="L330" s="60"/>
      <c r="O330" s="65" t="str">
        <f ca="1">IF(AND(Q11="wizard",Q12&gt;=15),"xxxx",IF(AND(Q11="wizard",Q12&gt;=11),"x",IF(AND($Q$11="wizard",$Q$12&gt;9),"xx",IF(AND(Q11="wizard",Q12=9),"xxx"," "))))</f>
        <v xml:space="preserve"> </v>
      </c>
      <c r="P330" s="65" t="str">
        <f ca="1">IF(AND(Q11="wizard",Q12&gt;=17),"xxxx",IF(AND(Q11="wizard",Q12&gt;=13),"x",IF(AND($Q$11="wizard",$Q$12&gt;11),"xx",IF(AND(Q11="wizard",Q12=11),"xxx"," "))))</f>
        <v xml:space="preserve"> </v>
      </c>
      <c r="Q330" s="65" t="str">
        <f ca="1">IF(AND(Q11="wizard",Q12&gt;=19),"xxxx",IF(AND(Q11="wizard",Q12&gt;=15),"x",IF(AND($Q$11="wizard",$Q$12&gt;13),"xx",IF(AND(Q11="wizard",Q12=13),"xxx"," "))))</f>
        <v xml:space="preserve"> </v>
      </c>
      <c r="R330" s="65" t="str">
        <f ca="1">IF(AND(Q11="wizard",Q12&gt;=17),"x",IF(AND($Q$11="wizard",$Q$12&gt;15),"xx",IF(AND(Q11="wizard",Q12=15),"xxx"," ")))</f>
        <v xml:space="preserve"> </v>
      </c>
      <c r="S330" s="101" t="str">
        <f ca="1">IF(AND($Q$11="wizard",$Q$12&gt;17),"xx",IF(AND(Q11="wizard",Q12=17),"xxx"," "))</f>
        <v xml:space="preserve"> </v>
      </c>
    </row>
    <row r="331" spans="1:20" ht="19.5" hidden="1" thickBot="1" x14ac:dyDescent="0.35">
      <c r="K331" s="100"/>
      <c r="L331" s="60"/>
      <c r="O331" s="60">
        <f ca="1">IF($O330="xxxx",MAX(O275,(RANDBETWEEN(5,6))),IF(O330="x",MAX(O275,(RANDBETWEEN(3,6))),IF(O330="xx",MAX(O275,(RANDBETWEEN(2,4))),IF(O330="xxx",MAX(O275,(2)),0))))</f>
        <v>0</v>
      </c>
      <c r="P331" s="60">
        <f ca="1">IF($P330="xxxx",RANDBETWEEN(5,6),IF(P330="x",RANDBETWEEN(3,6),IF(P330="xx",RANDBETWEEN(2,4),IF(P330="xxx",2,0))))</f>
        <v>0</v>
      </c>
      <c r="Q331" s="60">
        <f ca="1">IF($Q330="xxxx",RANDBETWEEN(5,6),IF(Q330="x",RANDBETWEEN(3,6),IF(Q330="xx",RANDBETWEEN(2,4),IF(Q330="xxx",2,0))))</f>
        <v>0</v>
      </c>
      <c r="R331" s="60">
        <f ca="1">IF(OR(R330="x",R330="xx"),RANDBETWEEN(2,4),IF(R330="xxx",2,0))</f>
        <v>0</v>
      </c>
      <c r="S331" s="102">
        <f ca="1">IF(S330="xx",RANDBETWEEN(2,4),IF(S330="xxx",2,0))</f>
        <v>0</v>
      </c>
    </row>
    <row r="332" spans="1:20" ht="19.5" hidden="1" thickBot="1" x14ac:dyDescent="0.35">
      <c r="K332" s="100"/>
      <c r="L332" s="60"/>
      <c r="O332" s="65"/>
      <c r="P332" s="65"/>
      <c r="Q332" s="65"/>
      <c r="R332" s="65"/>
      <c r="S332" s="101"/>
    </row>
    <row r="333" spans="1:20" x14ac:dyDescent="0.3">
      <c r="A333" s="33"/>
      <c r="B333" s="72"/>
      <c r="K333" s="100"/>
      <c r="L333" s="60"/>
      <c r="P333" s="103" t="s">
        <v>1169</v>
      </c>
      <c r="Q333" s="103" t="s">
        <v>1170</v>
      </c>
      <c r="R333" s="103" t="s">
        <v>1171</v>
      </c>
      <c r="S333" s="103" t="s">
        <v>677</v>
      </c>
      <c r="T333" s="104" t="s">
        <v>1172</v>
      </c>
    </row>
    <row r="334" spans="1:20" x14ac:dyDescent="0.3">
      <c r="A334" s="33"/>
      <c r="B334" s="72"/>
      <c r="K334" s="100"/>
      <c r="L334" s="60"/>
      <c r="O334" s="83">
        <v>1</v>
      </c>
      <c r="P334" s="65" t="str">
        <f ca="1">IF($O$328&gt;=O315,INDEX('Spell Tables'!$AJ$242:$AJ$264,MATCH(O315,('Spell Tables'!$AH$242:$AH$264),0)),IF(AND($Q$11="wizard",$O$331&gt;=O315),INDEX('Spell Tables'!$AJ$242:$AJ$264,MATCH(O315,('Spell Tables'!$AH$242:$AH$264),0))," "))</f>
        <v xml:space="preserve"> </v>
      </c>
      <c r="Q334" s="65" t="str">
        <f ca="1">IF($P$328&gt;=O$315,INDEX('Spell Tables'!$AN$242:$AN$260,MATCH(O$315,('Spell Tables'!$AL$242:$AL$260),0))," ")</f>
        <v xml:space="preserve"> </v>
      </c>
      <c r="R334" s="65" t="str">
        <f ca="1">IF($Q$328&gt;=O$315,INDEX('Spell Tables'!$AR$242:$AR$256,MATCH(O$315,('Spell Tables'!$AP$242:$AP$256),0))," ")</f>
        <v xml:space="preserve"> </v>
      </c>
      <c r="S334" s="65" t="str">
        <f ca="1">IF($R$328&gt;=O$315,INDEX('Spell Tables'!$AV$242:$AV$255,MATCH(O$315,('Spell Tables'!$AT$242:$AT$255),0))," ")</f>
        <v xml:space="preserve"> </v>
      </c>
      <c r="T334" s="66" t="str">
        <f ca="1">IF($S$328&gt;=O$315,INDEX('Spell Tables'!$AZ$242:$AZ$253,MATCH(O$315,('Spell Tables'!$AX$242:$AX$253),0))," ")</f>
        <v xml:space="preserve"> </v>
      </c>
    </row>
    <row r="335" spans="1:20" x14ac:dyDescent="0.3">
      <c r="A335" s="33"/>
      <c r="B335" s="72"/>
      <c r="O335" s="84">
        <v>2</v>
      </c>
      <c r="P335" s="60" t="str">
        <f ca="1">IF($O$328&gt;=O316,INDEX('Spell Tables'!$AJ$242:$AJ$264,MATCH(O316,('Spell Tables'!$AH$242:$AH$264),0)),IF(AND($Q$11="wizard",$O$331&gt;=O316),INDEX('Spell Tables'!$AJ$242:$AJ$264,MATCH(O316,('Spell Tables'!$AH$242:$AH$264),0))," "))</f>
        <v xml:space="preserve"> </v>
      </c>
      <c r="Q335" s="60" t="str">
        <f ca="1">IF($P$328&gt;=O$316,INDEX('Spell Tables'!$AN$242:$AN$260,MATCH(O$316,('Spell Tables'!$AL$242:$AL$260),0))," ")</f>
        <v xml:space="preserve"> </v>
      </c>
      <c r="R335" s="60" t="str">
        <f ca="1">IF($Q$328&gt;=O$316,INDEX('Spell Tables'!$AR$242:$AR$256,MATCH(O$316,('Spell Tables'!$AP$242:$AP$256),0))," ")</f>
        <v xml:space="preserve"> </v>
      </c>
      <c r="S335" s="60" t="str">
        <f ca="1">IF($R$328&gt;=O$316,INDEX('Spell Tables'!$AV$242:$AV$255,MATCH(O$316,('Spell Tables'!$AT$242:$AT$255),0))," ")</f>
        <v xml:space="preserve"> </v>
      </c>
      <c r="T335" s="63" t="str">
        <f ca="1">IF($S$328&gt;=O$316,INDEX('Spell Tables'!$AZ$242:$AZ$253,MATCH(O$316,('Spell Tables'!$AX$242:$AX$253),0))," ")</f>
        <v xml:space="preserve"> </v>
      </c>
    </row>
    <row r="336" spans="1:20" x14ac:dyDescent="0.3">
      <c r="A336" s="33"/>
      <c r="B336" s="72"/>
      <c r="O336" s="83">
        <v>3</v>
      </c>
      <c r="P336" s="65" t="str">
        <f ca="1">IF($O$328&gt;=O317,INDEX('Spell Tables'!$AJ$242:$AJ$264,MATCH(O317,('Spell Tables'!$AH$242:$AH$264),0)),IF(AND($Q$11="wizard",$O$331&gt;=O317),INDEX('Spell Tables'!$AJ$242:$AJ$264,MATCH(O317,('Spell Tables'!$AH$242:$AH$264),0))," "))</f>
        <v xml:space="preserve"> </v>
      </c>
      <c r="Q336" s="65" t="str">
        <f ca="1">IF($P$328&gt;=O$317,INDEX('Spell Tables'!$AN$242:$AN$260,MATCH(O$317,('Spell Tables'!$AL$242:$AL$260),0))," ")</f>
        <v xml:space="preserve"> </v>
      </c>
      <c r="R336" s="65" t="str">
        <f ca="1">IF($Q$328&gt;=O$317,INDEX('Spell Tables'!$AR$242:$AR$256,MATCH(O$317,('Spell Tables'!$AP$242:$AP$256),0))," ")</f>
        <v xml:space="preserve"> </v>
      </c>
      <c r="S336" s="65" t="str">
        <f ca="1">IF($R$328&gt;=O$317,INDEX('Spell Tables'!$AV$242:$AV$255,MATCH(O$317,('Spell Tables'!$AT$242:$AT$255),0))," ")</f>
        <v xml:space="preserve"> </v>
      </c>
      <c r="T336" s="66" t="str">
        <f ca="1">IF($S$328&gt;=O$317,INDEX('Spell Tables'!$AZ$242:$AZ$253,MATCH(O$317,('Spell Tables'!$AX$242:$AX$253),0))," ")</f>
        <v xml:space="preserve"> </v>
      </c>
    </row>
    <row r="337" spans="1:20" x14ac:dyDescent="0.3">
      <c r="A337" s="33"/>
      <c r="B337" s="72"/>
      <c r="O337" s="84">
        <v>4</v>
      </c>
      <c r="P337" s="60" t="str">
        <f ca="1">IF($O$328&gt;=O318,INDEX('Spell Tables'!$AJ$242:$AJ$264,MATCH(O318,('Spell Tables'!$AH$242:$AH$264),0)),IF(AND($Q$11="wizard",$O$331&gt;=O318),INDEX('Spell Tables'!$AJ$242:$AJ$264,MATCH(O318,('Spell Tables'!$AH$242:$AH$264),0))," "))</f>
        <v xml:space="preserve"> </v>
      </c>
      <c r="Q337" s="60" t="str">
        <f ca="1">IF($P$328&gt;=O$318,INDEX('Spell Tables'!$AN$242:$AN$260,MATCH(O$318,('Spell Tables'!$AL$242:$AL$260),0))," ")</f>
        <v xml:space="preserve"> </v>
      </c>
      <c r="R337" s="60" t="str">
        <f ca="1">IF($Q$328&gt;=O$318,INDEX('Spell Tables'!$AR$242:$AR$256,MATCH(O$318,('Spell Tables'!$AP$242:$AP$256),0))," ")</f>
        <v xml:space="preserve"> </v>
      </c>
      <c r="S337" s="60" t="str">
        <f ca="1">IF($R$328&gt;=O$318,INDEX('Spell Tables'!$AV$242:$AV$255,MATCH(O$318,('Spell Tables'!$AT$242:$AT$255),0))," ")</f>
        <v xml:space="preserve"> </v>
      </c>
      <c r="T337" s="63" t="str">
        <f ca="1">IF($S$328&gt;=O$318,INDEX('Spell Tables'!$AZ$242:$AZ$253,MATCH(O$318,('Spell Tables'!$AX$242:$AX$253),0))," ")</f>
        <v xml:space="preserve"> </v>
      </c>
    </row>
    <row r="338" spans="1:20" x14ac:dyDescent="0.3">
      <c r="A338" s="33"/>
      <c r="B338" s="72"/>
      <c r="O338" s="83">
        <v>5</v>
      </c>
      <c r="P338" s="65" t="str">
        <f ca="1">IF($O$328&gt;=O319,INDEX('Spell Tables'!$AJ$242:$AJ$264,MATCH(O319,('Spell Tables'!$AH$242:$AH$264),0)),IF(AND($Q$11="wizard",$O$331&gt;=O319),INDEX('Spell Tables'!$AJ$242:$AJ$264,MATCH(O319,('Spell Tables'!$AH$242:$AH$264),0))," "))</f>
        <v xml:space="preserve"> </v>
      </c>
      <c r="Q338" s="65" t="str">
        <f ca="1">IF($P$328&gt;=O$319,INDEX('Spell Tables'!$AN$242:$AN$260,MATCH(O$319,('Spell Tables'!$AL$242:$AL$260),0))," ")</f>
        <v xml:space="preserve"> </v>
      </c>
      <c r="R338" s="65" t="str">
        <f ca="1">IF($Q$328&gt;=O$319,INDEX('Spell Tables'!$AR$242:$AR$256,MATCH(O$319,('Spell Tables'!$AP$242:$AP$256),0))," ")</f>
        <v xml:space="preserve"> </v>
      </c>
      <c r="S338" s="65" t="str">
        <f ca="1">IF($R$328&gt;=O$319,INDEX('Spell Tables'!$AV$242:$AV$255,MATCH(O$319,('Spell Tables'!$AT$242:$AT$255),0))," ")</f>
        <v xml:space="preserve"> </v>
      </c>
      <c r="T338" s="66" t="str">
        <f ca="1">IF($S$328&gt;=O$319,INDEX('Spell Tables'!$AZ$242:$AZ$253,MATCH(O$319,('Spell Tables'!$AX$242:$AX$253),0))," ")</f>
        <v xml:space="preserve"> </v>
      </c>
    </row>
    <row r="339" spans="1:20" x14ac:dyDescent="0.3">
      <c r="A339" s="33"/>
      <c r="B339" s="72"/>
      <c r="K339" s="100"/>
      <c r="L339" s="60"/>
      <c r="O339" s="84">
        <v>6</v>
      </c>
      <c r="P339" s="60" t="str">
        <f ca="1">IF($O$328&gt;=O320,INDEX('Spell Tables'!$AJ$242:$AJ$264,MATCH(O320,('Spell Tables'!$AH$242:$AH$264),0)),IF(AND($Q$11="wizard",$O$331&gt;=O320),INDEX('Spell Tables'!$AJ$242:$AJ$264,MATCH(O320,('Spell Tables'!$AH$242:$AH$264),0))," "))</f>
        <v xml:space="preserve"> </v>
      </c>
      <c r="Q339" s="60" t="str">
        <f ca="1">IF($P$328&gt;=O$320,INDEX('Spell Tables'!$AN$242:$AN$260,MATCH(O$320,('Spell Tables'!$AL$242:$AL$260),0))," ")</f>
        <v xml:space="preserve"> </v>
      </c>
      <c r="R339" s="60" t="str">
        <f ca="1">IF($Q$328&gt;=O$320,INDEX('Spell Tables'!$AR$242:$AR$256,MATCH(O$320,('Spell Tables'!$AP$242:$AP$256),0))," ")</f>
        <v xml:space="preserve"> </v>
      </c>
      <c r="S339" s="60" t="str">
        <f ca="1">IF($R$328&gt;=O$320,INDEX('Spell Tables'!$AV$242:$AV$255,MATCH(O$320,('Spell Tables'!$AT$242:$AT$255),0))," ")</f>
        <v xml:space="preserve"> </v>
      </c>
      <c r="T339" s="63" t="str">
        <f ca="1">IF($S$328&gt;=O$320,INDEX('Spell Tables'!$AZ$242:$AZ$253,MATCH(O$320,('Spell Tables'!$AX$242:$AX$253),0))," ")</f>
        <v xml:space="preserve"> </v>
      </c>
    </row>
    <row r="340" spans="1:20" x14ac:dyDescent="0.3">
      <c r="A340" s="33"/>
      <c r="B340" s="72"/>
      <c r="K340" s="100"/>
      <c r="L340" s="60"/>
      <c r="O340" s="83">
        <v>7</v>
      </c>
      <c r="P340" s="65" t="str">
        <f ca="1">IF($O$328&gt;=O321,INDEX('Spell Tables'!$AJ$242:$AJ$264,MATCH(O321,('Spell Tables'!$AH$242:$AH$264),0)),IF(AND($Q$11="wizard",$O$331&gt;=O321),INDEX('Spell Tables'!$AJ$242:$AJ$264,MATCH(O321,('Spell Tables'!$AH$242:$AH$264),0))," "))</f>
        <v xml:space="preserve"> </v>
      </c>
      <c r="Q340" s="65" t="str">
        <f ca="1">IF($P$328&gt;=O$321,INDEX('Spell Tables'!$AN$242:$AN$260,MATCH(O$321,('Spell Tables'!$AL$242:$AL$260),0))," ")</f>
        <v xml:space="preserve"> </v>
      </c>
      <c r="R340" s="65" t="str">
        <f ca="1">IF($Q$328&gt;=O$321,INDEX('Spell Tables'!$AR$242:$AR$256,MATCH(O$321,('Spell Tables'!$AP$242:$AP$256),0))," ")</f>
        <v xml:space="preserve"> </v>
      </c>
      <c r="S340" s="65" t="str">
        <f ca="1">IF($R$328&gt;=O$321,INDEX('Spell Tables'!$AV$242:$AV$255,MATCH(O$321,('Spell Tables'!$AT$242:$AT$255),0))," ")</f>
        <v xml:space="preserve"> </v>
      </c>
      <c r="T340" s="66" t="str">
        <f ca="1">IF($S$328&gt;=O$321,INDEX('Spell Tables'!$AZ$242:$AZ$253,MATCH(O$321,('Spell Tables'!$AX$242:$AX$253),0))," ")</f>
        <v xml:space="preserve"> </v>
      </c>
    </row>
    <row r="341" spans="1:20" x14ac:dyDescent="0.3">
      <c r="A341" s="33"/>
      <c r="B341" s="72"/>
      <c r="K341" s="100"/>
      <c r="L341" s="60"/>
      <c r="O341" s="84">
        <v>8</v>
      </c>
      <c r="P341" s="60" t="str">
        <f ca="1">IF($O$328&gt;=O322,INDEX('Spell Tables'!$AJ$242:$AJ$264,MATCH(O322,('Spell Tables'!$AH$242:$AH$264),0)),IF(AND($Q$11="wizard",$O$331&gt;=O322),INDEX('Spell Tables'!$AJ$242:$AJ$264,MATCH(O322,('Spell Tables'!$AH$242:$AH$264),0))," "))</f>
        <v xml:space="preserve"> </v>
      </c>
      <c r="Q341" s="60" t="str">
        <f ca="1">IF($P$328&gt;=O$322,INDEX('Spell Tables'!$AN$242:$AN$260,MATCH(O$322,('Spell Tables'!$AL$242:$AL$260),0))," ")</f>
        <v xml:space="preserve"> </v>
      </c>
      <c r="R341" s="60" t="str">
        <f ca="1">IF($Q$328&gt;=O$322,INDEX('Spell Tables'!$AR$242:$AR$256,MATCH(O$322,('Spell Tables'!$AP$242:$AP$256),0))," ")</f>
        <v xml:space="preserve"> </v>
      </c>
      <c r="S341" s="60" t="str">
        <f ca="1">IF($R$328&gt;=O$322,INDEX('Spell Tables'!$AV$242:$AV$255,MATCH(O$322,('Spell Tables'!$AT$242:$AT$255),0))," ")</f>
        <v xml:space="preserve"> </v>
      </c>
      <c r="T341" s="63" t="str">
        <f ca="1">IF($S$328&gt;=O$322,INDEX('Spell Tables'!$AZ$242:$AZ$253,MATCH(O$322,('Spell Tables'!$AX$242:$AX$253),0))," ")</f>
        <v xml:space="preserve"> </v>
      </c>
    </row>
    <row r="342" spans="1:20" x14ac:dyDescent="0.3">
      <c r="A342" s="33"/>
      <c r="B342" s="72"/>
      <c r="O342" s="83">
        <v>9</v>
      </c>
      <c r="P342" s="65" t="str">
        <f ca="1">IF($O$328&gt;=O323,INDEX('Spell Tables'!$AJ$242:$AJ$264,MATCH(O323,('Spell Tables'!$AH$242:$AH$264),0)),IF(AND($Q$11="wizard",$O$331&gt;=O323),INDEX('Spell Tables'!$AJ$242:$AJ$264,MATCH(O323,('Spell Tables'!$AH$242:$AH$264),0))," "))</f>
        <v xml:space="preserve"> </v>
      </c>
      <c r="Q342" s="65" t="str">
        <f ca="1">IF($P$328&gt;=O$323,INDEX('Spell Tables'!$AN$242:$AN$260,MATCH(O$323,('Spell Tables'!$AL$242:$AL$260),0))," ")</f>
        <v xml:space="preserve"> </v>
      </c>
      <c r="R342" s="65" t="str">
        <f ca="1">IF($Q$328&gt;=O$323,INDEX('Spell Tables'!$AR$242:$AR$256,MATCH(O$323,('Spell Tables'!$AP$242:$AP$256),0))," ")</f>
        <v xml:space="preserve"> </v>
      </c>
      <c r="S342" s="65" t="str">
        <f ca="1">IF($R$328&gt;=O$323,INDEX('Spell Tables'!$AV$242:$AV$255,MATCH(O$323,('Spell Tables'!$AT$242:$AT$255),0))," ")</f>
        <v xml:space="preserve"> </v>
      </c>
      <c r="T342" s="66" t="str">
        <f ca="1">IF($S$328&gt;=O$323,INDEX('Spell Tables'!$AZ$242:$AZ$253,MATCH(O$323,('Spell Tables'!$AX$242:$AX$253),0))," ")</f>
        <v xml:space="preserve"> </v>
      </c>
    </row>
    <row r="343" spans="1:20" ht="19.5" thickBot="1" x14ac:dyDescent="0.35">
      <c r="A343" s="33"/>
      <c r="B343" s="72"/>
      <c r="K343" s="31"/>
      <c r="O343" s="85">
        <v>10</v>
      </c>
      <c r="P343" s="67" t="str">
        <f ca="1">IF($O$328&gt;=O324,INDEX('Spell Tables'!$AJ$242:$AJ$264,MATCH(O324,('Spell Tables'!$AH$242:$AH$264),0)),IF(AND($Q$11="wizard",$O$331&gt;=O324),INDEX('Spell Tables'!$AJ$242:$AJ$264,MATCH(O324,('Spell Tables'!$AH$242:$AH$264),0))," "))</f>
        <v xml:space="preserve"> </v>
      </c>
      <c r="Q343" s="67" t="str">
        <f ca="1">IF($P$328&gt;=O$324,INDEX('Spell Tables'!$AN$242:$AN$260,MATCH(O$324,('Spell Tables'!$AL$242:$AL$260),0))," ")</f>
        <v xml:space="preserve"> </v>
      </c>
      <c r="R343" s="67" t="str">
        <f ca="1">IF($Q$328&gt;=O$324,INDEX('Spell Tables'!$AR$242:$AR$256,MATCH(O$324,('Spell Tables'!$AP$242:$AP$256),0))," ")</f>
        <v xml:space="preserve"> </v>
      </c>
      <c r="S343" s="67" t="str">
        <f ca="1">IF($R$328&gt;=O$324,INDEX('Spell Tables'!$AV$242:$AV$255,MATCH(O$324,('Spell Tables'!$AT$242:$AT$255),0))," ")</f>
        <v xml:space="preserve"> </v>
      </c>
      <c r="T343" s="68" t="str">
        <f ca="1">IF($S$328&gt;=O$324,INDEX('Spell Tables'!$AZ$242:$AZ$253,MATCH(O$324,('Spell Tables'!$AX$242:$AX$253),0))," ")</f>
        <v xml:space="preserve"> </v>
      </c>
    </row>
  </sheetData>
  <sheetProtection sheet="1" objects="1" scenarios="1"/>
  <hyperlinks>
    <hyperlink ref="A1" location="'Character Overview'!A1" display="Back to Overview" xr:uid="{F5F5C683-1A0F-4ECC-9BF5-E98EC61E5A7E}"/>
  </hyperlinks>
  <pageMargins left="0.25" right="0.25" top="0.75" bottom="0.75" header="0.3" footer="0.3"/>
  <pageSetup scale="34" orientation="landscape" horizontalDpi="4294967293" r:id="rId1"/>
  <drawing r:id="rId2"/>
  <tableParts count="56">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 r:id="rId50"/>
    <tablePart r:id="rId51"/>
    <tablePart r:id="rId52"/>
    <tablePart r:id="rId53"/>
    <tablePart r:id="rId54"/>
    <tablePart r:id="rId55"/>
    <tablePart r:id="rId56"/>
    <tablePart r:id="rId57"/>
    <tablePart r:id="rId58"/>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14535-21AF-4081-A7E9-6493AAE5A379}">
  <sheetPr codeName="Аркуш13">
    <pageSetUpPr fitToPage="1"/>
  </sheetPr>
  <dimension ref="A1:CJ343"/>
  <sheetViews>
    <sheetView showGridLines="0" showRowColHeaders="0" zoomScale="54" zoomScaleNormal="54" workbookViewId="0">
      <selection activeCell="Q11" sqref="Q11"/>
    </sheetView>
  </sheetViews>
  <sheetFormatPr defaultColWidth="8.85546875" defaultRowHeight="18.75" x14ac:dyDescent="0.3"/>
  <cols>
    <col min="1" max="1" width="23.140625" style="29" customWidth="1"/>
    <col min="2" max="2" width="62.7109375" style="29" customWidth="1"/>
    <col min="3" max="3" width="13.7109375" style="29" hidden="1" customWidth="1"/>
    <col min="4" max="5" width="3.85546875" style="29" hidden="1" customWidth="1"/>
    <col min="6" max="8" width="5" style="29" hidden="1" customWidth="1"/>
    <col min="9" max="9" width="11.7109375" style="29" hidden="1" customWidth="1"/>
    <col min="10" max="10" width="2.28515625" style="29" hidden="1" customWidth="1"/>
    <col min="11" max="11" width="14.7109375" style="29" hidden="1" customWidth="1"/>
    <col min="12" max="12" width="13.28515625" style="29" hidden="1" customWidth="1"/>
    <col min="13" max="13" width="7.28515625" style="29" hidden="1" customWidth="1"/>
    <col min="14" max="14" width="2.140625" style="29" hidden="1" customWidth="1"/>
    <col min="15" max="19" width="50.7109375" style="29" customWidth="1"/>
    <col min="20" max="20" width="34" style="29" customWidth="1"/>
    <col min="21" max="21" width="34.28515625" style="29" customWidth="1"/>
    <col min="22" max="22" width="34.140625" style="29" customWidth="1"/>
    <col min="23" max="23" width="29.85546875" style="29" customWidth="1"/>
    <col min="24" max="24" width="18.5703125" style="29" customWidth="1"/>
    <col min="25" max="25" width="34.28515625" style="29" bestFit="1" customWidth="1"/>
    <col min="26" max="26" width="32.7109375" style="29" customWidth="1"/>
    <col min="27" max="27" width="9.7109375" style="29" bestFit="1" customWidth="1"/>
    <col min="28" max="28" width="12.140625" style="29" bestFit="1" customWidth="1"/>
    <col min="29" max="29" width="8.85546875" style="29"/>
    <col min="30" max="30" width="0" style="29" hidden="1" customWidth="1"/>
    <col min="31" max="31" width="10.28515625" style="29" hidden="1" customWidth="1"/>
    <col min="32" max="32" width="23.5703125" style="29" hidden="1" customWidth="1"/>
    <col min="33" max="33" width="8.85546875" style="29" hidden="1" customWidth="1"/>
    <col min="34" max="34" width="17.85546875" style="29" hidden="1" customWidth="1"/>
    <col min="35" max="35" width="3.5703125" style="29" hidden="1" customWidth="1"/>
    <col min="36" max="36" width="21.85546875" style="29" hidden="1" customWidth="1"/>
    <col min="37" max="37" width="14.140625" style="29" hidden="1" customWidth="1"/>
    <col min="38" max="38" width="21.85546875" style="29" hidden="1" customWidth="1"/>
    <col min="39" max="39" width="5.7109375" style="29" hidden="1" customWidth="1"/>
    <col min="40" max="40" width="27.7109375" style="29" hidden="1" customWidth="1"/>
    <col min="41" max="41" width="10.7109375" style="29" hidden="1" customWidth="1"/>
    <col min="42" max="42" width="13.28515625" style="29" hidden="1" customWidth="1"/>
    <col min="43" max="43" width="13" style="29" hidden="1" customWidth="1"/>
    <col min="44" max="44" width="8.85546875" style="29" hidden="1" customWidth="1"/>
    <col min="45" max="45" width="11.7109375" style="29" hidden="1" customWidth="1"/>
    <col min="46" max="47" width="8.85546875" style="29" hidden="1" customWidth="1"/>
    <col min="48" max="49" width="15.28515625" style="29" hidden="1" customWidth="1"/>
    <col min="50" max="50" width="14.140625" style="29" hidden="1" customWidth="1"/>
    <col min="51" max="51" width="9.85546875" style="29" hidden="1" customWidth="1"/>
    <col min="52" max="52" width="12.140625" style="29" hidden="1" customWidth="1"/>
    <col min="53" max="53" width="15.28515625" style="29" hidden="1" customWidth="1"/>
    <col min="54" max="54" width="12.140625" style="29" hidden="1" customWidth="1"/>
    <col min="55" max="55" width="9" style="29" hidden="1" customWidth="1"/>
    <col min="56" max="57" width="10.42578125" style="29" hidden="1" customWidth="1"/>
    <col min="58" max="58" width="9.7109375" style="29" hidden="1" customWidth="1"/>
    <col min="59" max="59" width="10.42578125" style="29" hidden="1" customWidth="1"/>
    <col min="60" max="60" width="7.140625" style="29" hidden="1" customWidth="1"/>
    <col min="61" max="61" width="10.42578125" style="29" hidden="1" customWidth="1"/>
    <col min="62" max="62" width="11.7109375" style="29" hidden="1" customWidth="1"/>
    <col min="63" max="63" width="14.140625" style="29" hidden="1" customWidth="1"/>
    <col min="64" max="64" width="8.85546875" style="29" hidden="1" customWidth="1"/>
    <col min="65" max="65" width="15.7109375" style="29" hidden="1" customWidth="1"/>
    <col min="66" max="66" width="10" style="29" hidden="1" customWidth="1"/>
    <col min="67" max="67" width="13.42578125" style="29" hidden="1" customWidth="1"/>
    <col min="68" max="68" width="15.28515625" style="29" hidden="1" customWidth="1"/>
    <col min="69" max="69" width="15" style="29" hidden="1" customWidth="1"/>
    <col min="70" max="70" width="7.28515625" style="29" hidden="1" customWidth="1"/>
    <col min="71" max="71" width="17.85546875" style="29" hidden="1" customWidth="1"/>
    <col min="72" max="72" width="14.140625" style="29" hidden="1" customWidth="1"/>
    <col min="73" max="73" width="8.28515625" style="29" hidden="1" customWidth="1"/>
    <col min="74" max="74" width="15.28515625" style="29" hidden="1" customWidth="1"/>
    <col min="75" max="79" width="8.85546875" style="29" hidden="1" customWidth="1"/>
    <col min="80" max="80" width="21.140625" style="29" hidden="1" customWidth="1"/>
    <col min="81" max="81" width="12" style="29" hidden="1" customWidth="1"/>
    <col min="82" max="82" width="15.28515625" style="29" hidden="1" customWidth="1"/>
    <col min="83" max="88" width="8.85546875" style="29" hidden="1" customWidth="1"/>
    <col min="89" max="115" width="8.85546875" style="29" customWidth="1"/>
    <col min="116" max="16384" width="8.85546875" style="29"/>
  </cols>
  <sheetData>
    <row r="1" spans="1:83" ht="26.25" thickBot="1" x14ac:dyDescent="0.4">
      <c r="A1" s="153" t="s">
        <v>2755</v>
      </c>
      <c r="B1" s="30"/>
      <c r="C1" s="99"/>
      <c r="D1" s="99"/>
      <c r="E1" s="99"/>
      <c r="F1" s="99"/>
      <c r="G1" s="99"/>
      <c r="H1" s="99"/>
      <c r="I1" s="99"/>
      <c r="J1" s="99"/>
      <c r="K1" s="99"/>
      <c r="L1" s="99"/>
      <c r="M1" s="99"/>
      <c r="N1" s="99"/>
      <c r="O1" s="125" t="s">
        <v>0</v>
      </c>
      <c r="P1" s="126" t="str">
        <f ca="1">IF(AND(Q2="dwarf",O2="male"),VLOOKUP(RANDBETWEEN(1,30),Table4[],2),IF(AND(Q2="dwarf",O2="female"),VLOOKUP(RANDBETWEEN(1,23),Table13[],2),IF(AND(Q2="elf",O2="male"),VLOOKUP(RANDBETWEEN(1,38),Table6[],2),IF(AND(Q2="elf",O2="female"),VLOOKUP(RANDBETWEEN(1,36),Table15[],2),IF(AND(Q2="halfling",O2="male"),VLOOKUP(RANDBETWEEN(1,17),Table10[],2),IF(AND(Q2="halfling",O2="female"),VLOOKUP(RANDBETWEEN(1,18),Table16[],2),IF(AND(Q2="human",O2="male"),VLOOKUP(RANDBETWEEN(1,70),Table17[],2),IF(AND(Q2="human",O2="female"),VLOOKUP(RANDBETWEEN(1,67),Table19[],2),IF(AND(Q2="dragonborn",O2="male"),VLOOKUP(RANDBETWEEN(1,17),Table21[],2),IF(AND(Q2="dragonborn",O2="female"),VLOOKUP(RANDBETWEEN(1,17),Table22[],2),IF(AND(Q2="gnome",O2="male"),VLOOKUP(RANDBETWEEN(1,23),Table28[],2),IF(AND(Q2="gnome",O2="female"),VLOOKUP(RANDBETWEEN(1,22),Table29[],2),IF(AND(Q2="half-elf",O2="male"),VLOOKUP(RANDBETWEEN(1,108),Table31[],2),IF(AND(Q2="half-elf",O2="female"),VLOOKUP(RANDBETWEEN(1,103),Table32[],2),IF(AND(Q2="half-orc",O2="male"),VLOOKUP(RANDBETWEEN(1,10),Table35[],2),IF(AND(Q2="half-orc",O2="female"),VLOOKUP(RANDBETWEEN(1,13),Table36[],2),IF(AND(Q2="tiefling",O2="male"),VLOOKUP(RANDBETWEEN(1,33),Table37[],2),IF(AND(Q2="tiefling",O2="female"),VLOOKUP(RANDBETWEEN(1,34),Table38[],2)," "))))))))))))))))))</f>
        <v>Balama</v>
      </c>
      <c r="Q1" s="127" t="str">
        <f ca="1">IF(Q2="dwarf",VLOOKUP(RANDBETWEEN(1,53),Table5[],2),IF(Q2="elf",VLOOKUP(RANDBETWEEN(1,73),Table7[],2),IF(Q2="halfling",VLOOKUP(RANDBETWEEN(1,20),Table11[],2),IF(Q2="human",VLOOKUP(RANDBETWEEN(1,52),Table18[],2),IF(Q2="dragonborn",VLOOKUP(RANDBETWEEN(1,18),Table24[],2),IF(Q2="gnome",VLOOKUP(RANDBETWEEN(1,13),Table27[],2),IF(Q2="half-elf",VLOOKUP(RANDBETWEEN(1,62),Table33[],2)," ")))))))</f>
        <v>Pisacar</v>
      </c>
      <c r="R1" s="30"/>
      <c r="S1" s="30"/>
      <c r="AF1" s="29" t="s">
        <v>674</v>
      </c>
      <c r="AH1" s="29" t="s">
        <v>711</v>
      </c>
      <c r="AI1" s="29">
        <f ca="1">IF(O11="non-classed",RANDBETWEEN(1,10),IF(O11="wizard",SUM(6,4*O12,-4),IF(O11="warlock",SUM(8,5*O12,-5),IF(O11="sorcerer",SUM(6,4*O12,-6),IF(O11="rogue",SUM(8,5*O12,-5),IF(O11="ranger",SUM(10,6*O12,-6),IF(O11="paladin",SUM(10,6*O12,-6),IF(O11="barbarian",SUM(12,7*O12,-7),IF(O11="bard",SUM(8,5*O12,-5),IF(O11="cleric",SUM(8,5*O12,-5),IF(O11="druid",SUM(8,5*O12,-5),IF(O11="fighter",SUM(10,6*O12,-6),IF(O11="monk",SUM(8,5*O12,-5)," ")))))))))))))</f>
        <v>10</v>
      </c>
      <c r="AJ1" s="29" t="s">
        <v>714</v>
      </c>
      <c r="AK1" s="29">
        <f ca="1">(P40*P6)</f>
        <v>64</v>
      </c>
      <c r="CB1" s="31" t="s">
        <v>670</v>
      </c>
      <c r="CE1" s="31"/>
    </row>
    <row r="2" spans="1:83" x14ac:dyDescent="0.3">
      <c r="A2" s="30"/>
      <c r="B2" s="30"/>
      <c r="C2" s="33"/>
      <c r="D2" s="33"/>
      <c r="E2" s="33"/>
      <c r="F2" s="33"/>
      <c r="G2" s="33"/>
      <c r="H2" s="33"/>
      <c r="I2" s="33"/>
      <c r="J2" s="33"/>
      <c r="K2" s="33"/>
      <c r="L2" s="33"/>
      <c r="M2" s="33"/>
      <c r="N2" s="33"/>
      <c r="O2" s="110" t="str">
        <f ca="1">VLOOKUP(RANDBETWEEN(1,2),Table14[],2)</f>
        <v>Female</v>
      </c>
      <c r="P2" s="33" t="str">
        <f ca="1">IF(Q2="dwarf",VLOOKUP(RANDBETWEEN(1,2),Table8[],2),IF(Q2="elf",VLOOKUP(RANDBETWEEN(1,3),Table9[],2),IF(Q2="halfling",VLOOKUP(RANDBETWEEN(1,2),Table12[],2),IF(Q2="Dragonborn",VLOOKUP(RANDBETWEEN(1,10),Table25[],2),IF(Q2="Gnome",VLOOKUP(RANDBETWEEN(1,2),Table30[],2)," ")))))</f>
        <v xml:space="preserve"> </v>
      </c>
      <c r="Q2" s="72" t="str">
        <f ca="1">VLOOKUP(RANDBETWEEN(1,9),Table2[],2)</f>
        <v>Half-Elf</v>
      </c>
      <c r="R2" s="30"/>
      <c r="S2" s="30"/>
      <c r="AE2" s="29" t="s">
        <v>676</v>
      </c>
      <c r="AF2" s="29" t="str">
        <f ca="1">IF($P$6&gt;=4,VLOOKUP(RANDBETWEEN(1,6),Table41[],2)," ")</f>
        <v>Constitution</v>
      </c>
      <c r="AH2" s="29" t="s">
        <v>712</v>
      </c>
      <c r="AI2" s="29" t="str">
        <f ca="1">IF(Q11="wizard",4*Q12,IF(Q11="warlock",5*Q12,IF(Q11="sorcerer",4*Q12,IF(Q11="rogue",5*Q12,IF(Q11="ranger",6*Q12,IF(Q11="paladin",6*Q12,IF(Q11="barbarian",7*Q12,IF(Q11="bard",5*Q12,IF(Q11="cleric",5*Q12,IF(Q11="druid",5*Q12,IF(Q11="fighter",6*Q12,IF(Q11="monk",5*Q12," "))))))))))))</f>
        <v xml:space="preserve"> </v>
      </c>
      <c r="CB2" s="35">
        <f t="shared" ref="CB2:CB7" ca="1" si="0">_xlfn.RANK.EQ(CC2,$CC$2:$CC$7)</f>
        <v>2</v>
      </c>
      <c r="CC2" s="36">
        <f ca="1">IF(BM7&gt;0,0,RAND())</f>
        <v>0.78155464185483026</v>
      </c>
      <c r="CD2" s="29" t="s">
        <v>29</v>
      </c>
    </row>
    <row r="3" spans="1:83" ht="19.5" thickBot="1" x14ac:dyDescent="0.35">
      <c r="A3" s="30"/>
      <c r="B3" s="30"/>
      <c r="C3" s="38"/>
      <c r="D3" s="38"/>
      <c r="E3" s="38"/>
      <c r="F3" s="38"/>
      <c r="G3" s="38"/>
      <c r="H3" s="38"/>
      <c r="I3" s="38"/>
      <c r="J3" s="38"/>
      <c r="K3" s="38"/>
      <c r="L3" s="38"/>
      <c r="M3" s="38"/>
      <c r="N3" s="38"/>
      <c r="O3" s="37" t="str">
        <f ca="1">VLOOKUP(RANDBETWEEN(1,20),Table253[],2)</f>
        <v>Young Adult</v>
      </c>
      <c r="P3" s="38" t="str">
        <f ca="1">IF(AND(Q2="tiefling",O3="young adult"),SUM(17,RANDBETWEEN(1,23))&amp;" years old",IF(AND(Q2="tiefling",O3="adult"),SUM(40,RANDBETWEEN(1,30))&amp;" years old",IF(AND(Q2="tiefling",O3="elderly"),SUM(70,RANDBETWEEN(1,30))&amp;" years old",IF(AND(Q2="half-orc",O3="young adult"),SUM(13,RANDBETWEEN(1,32))&amp;" years old",IF(AND(Q2="half-orc",O3="adult"),SUM(45,RANDBETWEEN(1,15))&amp;" years old",IF(AND(Q2="half-orc",O3="elderly"),SUM(60,RANDBETWEEN(1,15))&amp;" years old",IF(AND(Q2="half-elf",O3="young adult"),SUM(19,RANDBETWEEN(1,30))&amp;" years old",IF(AND(Q2="half-elf",O3="adult"),SUM(50,RANDBETWEEN(1,100))&amp;" years old",IF(AND(Q2="half-elf",O3="elderly"),SUM(150,RANDBETWEEN(1,30))&amp;" years old",IF(AND(Q2="gnome",O3="young adult"),SUM(19,RANDBETWEEN(1,20))&amp;" years old",IF(AND(Q2="gnome",O3="adult"),SUM(40,RANDBETWEEN(1,160))&amp;" years old",IF(AND(Q2="gnome",O3="elderly"),SUM(200,RANDBETWEEN(1,200))&amp;" years old",IF(AND(Q2="dragonborn",O3="young adult"),SUM(14,RANDBETWEEN(1,5))&amp;" years old",IF(AND(Q2="dragonborn",O3="adult"),SUM(20,RANDBETWEEN(1,30))&amp;" years old",IF(AND(Q2="dragonborn",O3="elderly"),SUM(50,RANDBETWEEN(1,30))&amp;" years old",IF(AND(Q2="halfling",O3="young adult"),SUM(19,RANDBETWEEN(1,20))&amp;" years old",IF(AND(Q2="halfling",O3="adult"),SUM(40,RANDBETWEEN(1,110))&amp;" years old",IF(AND(Q2="halfling",O3="elderly"),SUM(150,RANDBETWEEN(1,100))&amp;" years old",IF(AND(Q2="elf",O3="young adult"),SUM(99,RANDBETWEEN(1,350))&amp;" years old",IF(AND(Q2="elf",O3="adult"),SUM(450,RANDBETWEEN(1,200))&amp;" years old",IF(AND(Q2="elf",O3="elderly"),SUM(650,RANDBETWEEN(1,100))&amp;" years old",IF(AND(Q2="dwarf",O3="young adult"),SUM(17,RANDBETWEEN(1,32))&amp;" years old",IF(AND(Q2="dwarf",O3="adult"),SUM(50,RANDBETWEEN(1,150))&amp;" years old",IF(AND(Q2="dwarf",O3="elderly"),SUM(200,RANDBETWEEN(1,150))&amp;" years old",IF(AND(Q2="human",O3="young adult"),SUM(17,RANDBETWEEN(1,12))&amp;" years old",IF(AND(Q2="human",O3="adult"),SUM(30,RANDBETWEEN(1,35))&amp;" years old",IF(AND(Q2="human",O3="elderly"),SUM(65,RANDBETWEEN(1,25))&amp;" years old"," ")))))))))))))))))))))))))))</f>
        <v>23 years old</v>
      </c>
      <c r="Q3" s="113"/>
      <c r="R3" s="30"/>
      <c r="AE3" s="29" t="s">
        <v>676</v>
      </c>
      <c r="AF3" s="29" t="str">
        <f ca="1">IF($P$6&gt;=4,VLOOKUP(RANDBETWEEN(1,6),Table41[],2)," ")</f>
        <v>Strength</v>
      </c>
      <c r="AH3" s="29" t="s">
        <v>713</v>
      </c>
      <c r="AI3" s="29" t="str">
        <f ca="1">IF(P2="hill",(P6)," ")</f>
        <v xml:space="preserve"> </v>
      </c>
      <c r="CB3" s="35">
        <f t="shared" ca="1" si="0"/>
        <v>4</v>
      </c>
      <c r="CC3" s="36">
        <f ca="1">IF(BM9&gt;0,0,RAND())</f>
        <v>0.27210663934839319</v>
      </c>
      <c r="CD3" s="29" t="s">
        <v>14</v>
      </c>
    </row>
    <row r="4" spans="1:83" ht="19.5" thickBot="1" x14ac:dyDescent="0.35">
      <c r="A4" s="33"/>
      <c r="B4" s="30"/>
      <c r="C4" s="39"/>
      <c r="D4" s="39"/>
      <c r="E4" s="39"/>
      <c r="F4" s="39"/>
      <c r="G4" s="39"/>
      <c r="H4" s="39"/>
      <c r="I4" s="39"/>
      <c r="J4" s="39"/>
      <c r="K4" s="39"/>
      <c r="L4" s="39"/>
      <c r="M4" s="39"/>
      <c r="N4" s="39"/>
      <c r="O4" s="40"/>
      <c r="Q4" s="41"/>
      <c r="R4" s="41"/>
      <c r="AE4" s="29" t="s">
        <v>677</v>
      </c>
      <c r="AF4" s="29" t="str">
        <f ca="1">IF($P$6&gt;=8,VLOOKUP(RANDBETWEEN(1,6),Table41[],2)," ")</f>
        <v>Charisma</v>
      </c>
      <c r="AH4" s="29" t="s">
        <v>1592</v>
      </c>
      <c r="AI4" s="29" t="str">
        <f ca="1">IF(OR(P15="draconic bloodline",R15="draconic bloodline"),O12," ")</f>
        <v xml:space="preserve"> </v>
      </c>
      <c r="CB4" s="35">
        <f t="shared" ca="1" si="0"/>
        <v>5</v>
      </c>
      <c r="CC4" s="36">
        <f ca="1">IF(BM13&gt;0,0,RAND())</f>
        <v>3.8935300191682232E-2</v>
      </c>
      <c r="CD4" s="29" t="s">
        <v>18</v>
      </c>
    </row>
    <row r="5" spans="1:83" ht="19.5" thickBot="1" x14ac:dyDescent="0.35">
      <c r="B5" s="42" t="s">
        <v>35</v>
      </c>
      <c r="O5" s="43" t="s">
        <v>41</v>
      </c>
      <c r="P5" s="43" t="s">
        <v>1881</v>
      </c>
      <c r="Q5" s="44" t="str">
        <f ca="1">"Max. HP: "&amp;SUM(AI1,AI2,AI3,AK1,AI4)</f>
        <v>Max. HP: 74</v>
      </c>
      <c r="R5" s="45" t="s">
        <v>33</v>
      </c>
      <c r="AE5" s="29" t="s">
        <v>677</v>
      </c>
      <c r="AF5" s="29" t="str">
        <f ca="1">IF($P$6&gt;=8,VLOOKUP(RANDBETWEEN(1,6),Table41[],2)," ")</f>
        <v>Constitution</v>
      </c>
      <c r="AV5" s="29" t="s">
        <v>744</v>
      </c>
      <c r="BM5" s="29" t="s">
        <v>1825</v>
      </c>
      <c r="BN5" s="29" t="s">
        <v>744</v>
      </c>
      <c r="BO5" s="29" t="s">
        <v>728</v>
      </c>
      <c r="BP5" s="29" t="s">
        <v>745</v>
      </c>
      <c r="BQ5" s="29" t="s">
        <v>1569</v>
      </c>
      <c r="BR5" s="29" t="s">
        <v>211</v>
      </c>
      <c r="BS5" s="29" t="s">
        <v>1343</v>
      </c>
      <c r="BT5" s="29" t="s">
        <v>1344</v>
      </c>
      <c r="BU5" s="29" t="s">
        <v>739</v>
      </c>
      <c r="CB5" s="35">
        <f t="shared" ca="1" si="0"/>
        <v>1</v>
      </c>
      <c r="CC5" s="36">
        <f ca="1">IF(BM16&gt;0,0,RAND())</f>
        <v>0.80504867287734361</v>
      </c>
      <c r="CD5" s="29" t="s">
        <v>21</v>
      </c>
    </row>
    <row r="6" spans="1:83" ht="20.25" thickTop="1" thickBot="1" x14ac:dyDescent="0.35">
      <c r="B6" s="32">
        <f ca="1">P39</f>
        <v>2</v>
      </c>
      <c r="O6" s="46" t="str">
        <f ca="1">IF(OR(Q2="dwarf",Q2="elf",Q2="human",Q2="dragonborn",Q2="half-elf",Q2="half-orc",Q2="tiefling"),"Medium",IF(OR(Q2="gnome",Q2="halfling"),"Small"," "))</f>
        <v>Medium</v>
      </c>
      <c r="P6" s="47">
        <f ca="1">IF(AF14=1,O12,IF(AF14=2,SUM(O12,Q12)))</f>
        <v>16</v>
      </c>
      <c r="Q6" s="48" t="s">
        <v>1882</v>
      </c>
      <c r="R6" s="47" t="str">
        <f ca="1">VLOOKUP(RANDBETWEEN(1,100),Table92[],2)</f>
        <v>Lawful good</v>
      </c>
      <c r="U6" s="49"/>
      <c r="AE6" s="29" t="s">
        <v>678</v>
      </c>
      <c r="AF6" s="29" t="str">
        <f ca="1">IF($P$6&gt;=12,VLOOKUP(RANDBETWEEN(1,6),Table41[],2)," ")</f>
        <v>Dexterity</v>
      </c>
      <c r="AH6" s="29" t="s">
        <v>12</v>
      </c>
      <c r="AI6" s="29">
        <f ca="1">$P$39</f>
        <v>2</v>
      </c>
      <c r="AJ6" s="29" t="str">
        <f t="shared" ref="AJ6:AU6" ca="1" si="1">IF(COUNTIF(AJ$27:AJ$33,$AH$6),$P$8," ")</f>
        <v xml:space="preserve"> </v>
      </c>
      <c r="AK6" s="29" t="str">
        <f t="shared" ca="1" si="1"/>
        <v xml:space="preserve"> </v>
      </c>
      <c r="AL6" s="29" t="str">
        <f t="shared" ca="1" si="1"/>
        <v xml:space="preserve"> </v>
      </c>
      <c r="AM6" s="29" t="str">
        <f t="shared" ca="1" si="1"/>
        <v xml:space="preserve"> </v>
      </c>
      <c r="AN6" s="29" t="str">
        <f t="shared" ca="1" si="1"/>
        <v xml:space="preserve"> </v>
      </c>
      <c r="AO6" s="29" t="str">
        <f t="shared" ca="1" si="1"/>
        <v xml:space="preserve"> </v>
      </c>
      <c r="AP6" s="29" t="str">
        <f t="shared" ca="1" si="1"/>
        <v xml:space="preserve"> </v>
      </c>
      <c r="AQ6" s="29" t="str">
        <f t="shared" ca="1" si="1"/>
        <v xml:space="preserve"> </v>
      </c>
      <c r="AR6" s="29" t="str">
        <f t="shared" ca="1" si="1"/>
        <v xml:space="preserve"> </v>
      </c>
      <c r="AS6" s="29" t="str">
        <f t="shared" ca="1" si="1"/>
        <v xml:space="preserve"> </v>
      </c>
      <c r="AT6" s="29" t="str">
        <f t="shared" ca="1" si="1"/>
        <v xml:space="preserve"> </v>
      </c>
      <c r="AU6" s="29" t="str">
        <f t="shared" ca="1" si="1"/>
        <v xml:space="preserve"> </v>
      </c>
      <c r="AV6" s="29">
        <f ca="1">SUM(AJ6:AU6)</f>
        <v>0</v>
      </c>
      <c r="AW6" s="29" t="s">
        <v>12</v>
      </c>
      <c r="BA6" s="29" t="str">
        <f ca="1">IF(S11="Entertainer",P8," ")</f>
        <v xml:space="preserve"> </v>
      </c>
      <c r="BM6" s="29">
        <f t="shared" ref="BM6:BM23" ca="1" si="2">SUM(AX6:BL6)</f>
        <v>0</v>
      </c>
      <c r="BN6" s="29">
        <f ca="1">AV6</f>
        <v>0</v>
      </c>
      <c r="BO6" s="29" t="str">
        <f t="shared" ref="BO6:BO23" ca="1" si="3">IF(AND($O$11="bard",$O$12&gt;=3,BN26=1),$P$8,IF(AND($O$11="bard",$O$12&gt;=3,BN26=2),$P$8,IF(AND($O$11="bard",$O$12&gt;=10,BN26=3,$P$15="college of lore"),$P$8,IF(AND($O$11="bard",$O$12&gt;=10,BN26=4,$P$15="college of lore"),$P$8,IF(AND($Q$11="bard",$Q$12&gt;=3,BN26=1),$P$8,IF(AND($Q$11="bard",$Q$12&gt;=3,BN26=2),$P$8,IF(AND($Q$11="bard",$Q$12&gt;=10,BN26=3,$P$15="college of lore"),$P$8,IF(AND($Q$11="bard",$Q$12&gt;=10,BN26=4,$P$15="college of lore"),$P$8," "))))))))</f>
        <v xml:space="preserve"> </v>
      </c>
      <c r="BP6" s="29" t="str">
        <f t="shared" ref="BP6:BP23" ca="1" si="4">IF(AND($O$11="bard",$O$12&gt;=2,AV6&lt;=0),ROUNDDOWN($P$8*0.5,0),IF(AND($Q$11="bard",$Q$12&gt;=2,AV6&lt;=0),ROUNDDOWN($P$8*0.5,0)," "))</f>
        <v xml:space="preserve"> </v>
      </c>
      <c r="BQ6" s="29" t="str">
        <f t="shared" ref="BQ6:BQ23" ca="1" si="5">IF(AND($O$11="rogue",BN26=1),$P$8,IF(AND($O$11="rogue",BN26=2,$AF$25=1),$P$8,IF(AND($O$11="rogue",$O$12&gt;6,BN26=3),$P$8,IF(AND($O$11="rogue",$O$12&gt;6,BN26=4),$P$8," "))))</f>
        <v xml:space="preserve"> </v>
      </c>
      <c r="BR6" s="29">
        <f t="shared" ref="BR6:BR23" ca="1" si="6">IF(AND($Q$2="half-elf",BR26=1),$P$8,IF(AND($Q$2="half-elf",BR26=2),$P$8,0))</f>
        <v>5</v>
      </c>
      <c r="BU6" s="29">
        <f ca="1">SUM(BM6:BT6,AI6)</f>
        <v>7</v>
      </c>
      <c r="BV6" s="29" t="s">
        <v>12</v>
      </c>
      <c r="CB6" s="35">
        <f t="shared" ca="1" si="0"/>
        <v>3</v>
      </c>
      <c r="CC6" s="36">
        <f ca="1">IF(BM17&gt;0,0,RAND())</f>
        <v>0.69151422697403009</v>
      </c>
      <c r="CD6" s="29" t="s">
        <v>22</v>
      </c>
      <c r="CE6" s="31"/>
    </row>
    <row r="7" spans="1:83" ht="19.5" thickBot="1" x14ac:dyDescent="0.35">
      <c r="B7" s="42" t="s">
        <v>36</v>
      </c>
      <c r="O7" s="50" t="str">
        <f ca="1">IF(Q2="Tiefling","Height: "&amp;SUM(57,AE31)&amp;" inches",IF(Q2="half-orc","Height: "&amp;SUM(58,AE32)&amp;" inches",IF(Q2="Half-elf","Height: "&amp;SUM(57,AE31)&amp;" inches",IF(Q2="Gnome","Height: "&amp;SUM(35,AE29)&amp;" inches",IF(Q2="Dragonborn","Height: "&amp;SUM(66,AE31)&amp;" inches",IF(Q2="Halfling","Height: "&amp;SUM(31,AE29)&amp;" inches",IF(P2="dark","Height: "&amp;SUM(53,AE30)&amp;" inches",IF(P2="wood","Height: "&amp;SUM(54,AE32)&amp;" inches",IF(P2="high","Height: "&amp;SUM(54,AE32)&amp;" inches",IF(P2="mountain","Height: "&amp;SUM(48,AE29)&amp;" inches",IF(P2="hill","Height: "&amp;SUM(44,AE29)&amp;" inches",IF(Q2="human","Height: "&amp;SUM(56,AE32)&amp;" inches"," "))))))))))))</f>
        <v>Height: 62 inches</v>
      </c>
      <c r="P7" s="43" t="s">
        <v>34</v>
      </c>
      <c r="AE7" s="29" t="s">
        <v>678</v>
      </c>
      <c r="AF7" s="29" t="str">
        <f ca="1">IF($P$6&gt;=12,VLOOKUP(RANDBETWEEN(1,6),Table41[],2)," ")</f>
        <v>Charisma</v>
      </c>
      <c r="AH7" s="29" t="s">
        <v>29</v>
      </c>
      <c r="AI7" s="29">
        <f ca="1">$P$42</f>
        <v>2</v>
      </c>
      <c r="AJ7" s="29" t="str">
        <f t="shared" ref="AJ7:AU7" ca="1" si="7">IF(COUNTIF(AJ$27:AJ$33,$AH$7),$P$8," ")</f>
        <v xml:space="preserve"> </v>
      </c>
      <c r="AK7" s="29" t="str">
        <f t="shared" ca="1" si="7"/>
        <v xml:space="preserve"> </v>
      </c>
      <c r="AL7" s="29" t="str">
        <f t="shared" ca="1" si="7"/>
        <v xml:space="preserve"> </v>
      </c>
      <c r="AM7" s="29" t="str">
        <f t="shared" ca="1" si="7"/>
        <v xml:space="preserve"> </v>
      </c>
      <c r="AN7" s="29" t="str">
        <f t="shared" ca="1" si="7"/>
        <v xml:space="preserve"> </v>
      </c>
      <c r="AO7" s="29" t="str">
        <f t="shared" ca="1" si="7"/>
        <v xml:space="preserve"> </v>
      </c>
      <c r="AP7" s="29" t="str">
        <f t="shared" ca="1" si="7"/>
        <v xml:space="preserve"> </v>
      </c>
      <c r="AQ7" s="29" t="str">
        <f t="shared" ca="1" si="7"/>
        <v xml:space="preserve"> </v>
      </c>
      <c r="AR7" s="29" t="str">
        <f t="shared" ca="1" si="7"/>
        <v xml:space="preserve"> </v>
      </c>
      <c r="AS7" s="29" t="str">
        <f t="shared" ca="1" si="7"/>
        <v xml:space="preserve"> </v>
      </c>
      <c r="AT7" s="29" t="str">
        <f t="shared" ca="1" si="7"/>
        <v xml:space="preserve"> </v>
      </c>
      <c r="AU7" s="29" t="str">
        <f t="shared" ca="1" si="7"/>
        <v xml:space="preserve"> </v>
      </c>
      <c r="AV7" s="29">
        <f t="shared" ref="AV7:AV23" ca="1" si="8">SUM(AJ7:AU7)</f>
        <v>0</v>
      </c>
      <c r="AW7" s="29" t="s">
        <v>29</v>
      </c>
      <c r="BB7" s="29" t="str">
        <f ca="1">IF(S11="Folk Hero",P8," ")</f>
        <v xml:space="preserve"> </v>
      </c>
      <c r="BM7" s="29">
        <f t="shared" ca="1" si="2"/>
        <v>0</v>
      </c>
      <c r="BN7" s="29">
        <f t="shared" ref="BN7:BN23" ca="1" si="9">AV7</f>
        <v>0</v>
      </c>
      <c r="BO7" s="29" t="str">
        <f t="shared" ca="1" si="3"/>
        <v xml:space="preserve"> </v>
      </c>
      <c r="BP7" s="29" t="str">
        <f t="shared" ca="1" si="4"/>
        <v xml:space="preserve"> </v>
      </c>
      <c r="BQ7" s="29" t="str">
        <f t="shared" ca="1" si="5"/>
        <v xml:space="preserve"> </v>
      </c>
      <c r="BR7" s="29">
        <f t="shared" ca="1" si="6"/>
        <v>0</v>
      </c>
      <c r="BT7" s="29">
        <f ca="1">IF(AND(BY30=1,OR($P$15="nature",$R$15="nature")),$P$8,0)</f>
        <v>0</v>
      </c>
      <c r="BU7" s="29">
        <f t="shared" ref="BU7:BU23" ca="1" si="10">SUM(BM7:BT7)</f>
        <v>0</v>
      </c>
      <c r="BV7" s="29" t="s">
        <v>29</v>
      </c>
      <c r="CB7" s="35">
        <f t="shared" ca="1" si="0"/>
        <v>6</v>
      </c>
      <c r="CC7" s="36">
        <f ca="1">IF(BM23&gt;0,0,RAND())</f>
        <v>3.5334519351796767E-2</v>
      </c>
      <c r="CD7" s="29" t="s">
        <v>28</v>
      </c>
    </row>
    <row r="8" spans="1:83" ht="20.25" thickTop="1" thickBot="1" x14ac:dyDescent="0.35">
      <c r="B8" s="51" t="str">
        <f ca="1">IF(AND(B89="unarmored defense",B90&lt;&gt;"shield",Q12&gt;=2,Q11="monk",OR(Q2="dwarf",Q2="halfling",Q2="gnome")),SUM(15,INDEX('Class Tables'!L98:L117,MATCH(O12,('Class Tables'!I98:I117),0)))&amp;" ft.",IF(AND(B89="unarmored defense",B90&lt;&gt;"Shield",Q12&gt;=2,Q11="monk",P2="wood"),SUM(25,INDEX('Class Tables'!L98:L117,MATCH(O12,('Class Tables'!I98:I117),0)))&amp;" ft.",IF(AND(B89="unarmored defense",B90&lt;&gt;"shield",Q12&gt;=2,Q11="monk",OR(Q2="human",Q2="elf",Q2="dragonborn",Q2="half-elf",Q2="half-orc",Q2="tiefling")),SUM(20,INDEX('Class Tables'!L98:L117,MATCH(O12,('Class Tables'!I98:I117),0)))&amp;" ft.",IF(AND(B89="unarmored defense",B90&lt;&gt;"shield",O12&gt;=2,O11="monk",OR(Q2="dwarf",Q2="halfling",Q2="gnome")),SUM(25,INDEX('Class Tables'!L98:L117,MATCH(O12,('Class Tables'!I98:I117),0)))&amp;" ft.",IF(AND(B89="unarmored defense",B90&lt;&gt;"Shield",O12&gt;=2,O11="monk",P2="wood"),SUM(35,INDEX('Class Tables'!L98:L117,MATCH(O12,('Class Tables'!I98:I117),0)))&amp;" ft.",IF(AND(B89="unarmored defense",B90&lt;&gt;"shield",O12&gt;=2,O11="monk",OR(Q2="human",Q2="elf",Q2="dragonborn",Q2="half-elf",Q2="half-orc",Q2="tiefling")),SUM(30,INDEX('Class Tables'!L98:L117,MATCH(O12,('Class Tables'!I98:I117),0)))&amp;" ft.",IF(AND(B89="unarmored defense",Q12&gt;=5,Q11="barbarian",OR(Q2="dwarf",Q2="halfling",Q2="gnome")),"35 ft.",IF(AND(B89="unarmored defense",Q12&gt;=5,Q11="barbarian",P2="wood"),"45 ft.",IF(AND(B89="unarmored defense",Q12&gt;=5,Q11="barbarian",OR(Q2="human",Q2="elf",Q2="dragonborn",Q2="half-elf",Q2="half-orc",Q2="tiefling")),"40 ft.",IF(AND(B89="unarmored defense",O12&gt;=5,O11="barbarian",OR(Q2="dwarf",Q2="halfling",Q2="gnome")),"35 ft.",IF(AND(B89="unarmored defense",O12&gt;=O11="barbarian",P2="wood"),"45 ft.",IF(AND(B89="unarmored defense",O12&gt;=5,O11="barbarian",OR(Q2="human",Q2="elf",Q2="dragonborn",Q2="half-elf",Q2="half-orc",Q2="tiefling")),"40 ft.",IF(OR(Q2="dwarf",Q2="halfling",Q2="gnome"),"25 ft.",IF(P2="wood","35 ft.",IF(OR(Q2="human",Q2="elf",Q2="dragonborn",Q2="half-elf",Q2="half-orc",Q2="tiefling"),"30 ft."," ")))))))))))))))</f>
        <v>30 ft.</v>
      </c>
      <c r="O8" s="47" t="str">
        <f ca="1">IF(P2="dark","Weight: "&amp;SUM(AE30*RANDBETWEEN(1,6),75)&amp;" lbs.",IF(P2="wood","Weight: "&amp;SUM(AE32*RANDBETWEEN(1,4),100)&amp;" lbs.",IF(P2="high","Weight: "&amp;SUM(AE32*RANDBETWEEN(1,4),90)&amp;" lbs.",IF(P2="mountain","Weight: "&amp;SUM(AE29*RANDBETWEEN(2,12),130)&amp;" lbs.",IF(P2="hill","Weight: "&amp;SUM(AE29*RANDBETWEEN(2,12),115)&amp;" lbs.",IF(Q2="tiefling","Weight: "&amp;SUM(AE31*RANDBETWEEN(2,8),110)&amp;" lbs.",IF(Q2="Half-orc","Weight: "&amp;SUM(AE32*RANDBETWEEN(2,12),140),IF(Q2="Half-elf","Weight: "&amp;SUM(AE31*RANDBETWEEN(2,8),110),IF(Q2="Gnome","Weight: "&amp;SUM(AE29,35),IF(Q2="Dragonborn","Weight: "&amp;SUM(AE31*RANDBETWEEN(2,12),175)&amp;" lbs.",IF(Q2="Halfling","Weight: "&amp;SUM(AE29,35)&amp;" lbs.",IF(Q2="Human","Weight: "&amp;SUM(AE32*RANDBETWEEN(2,8),110)&amp;" lbs."," "))))))))))))</f>
        <v>Weight: 150</v>
      </c>
      <c r="P8" s="111">
        <f ca="1">VLOOKUP(P6,Table26[],2)</f>
        <v>5</v>
      </c>
      <c r="Q8" s="33"/>
      <c r="R8" s="33"/>
      <c r="AE8" s="29" t="s">
        <v>679</v>
      </c>
      <c r="AF8" s="29" t="str">
        <f ca="1">IF($P$6&gt;=16,VLOOKUP(RANDBETWEEN(1,6),Table41[],2)," ")</f>
        <v>Wisdom</v>
      </c>
      <c r="AH8" s="29" t="s">
        <v>13</v>
      </c>
      <c r="AI8" s="29">
        <f ca="1">$P$41</f>
        <v>1</v>
      </c>
      <c r="AJ8" s="29" t="str">
        <f t="shared" ref="AJ8:AU8" ca="1" si="11">IF(COUNTIF(AJ$27:AJ$33,$AH$8),$P$8," ")</f>
        <v xml:space="preserve"> </v>
      </c>
      <c r="AK8" s="29" t="str">
        <f t="shared" ca="1" si="11"/>
        <v xml:space="preserve"> </v>
      </c>
      <c r="AL8" s="29" t="str">
        <f t="shared" ca="1" si="11"/>
        <v xml:space="preserve"> </v>
      </c>
      <c r="AM8" s="29" t="str">
        <f t="shared" ca="1" si="11"/>
        <v xml:space="preserve"> </v>
      </c>
      <c r="AN8" s="29" t="str">
        <f t="shared" ca="1" si="11"/>
        <v xml:space="preserve"> </v>
      </c>
      <c r="AO8" s="29" t="str">
        <f t="shared" ca="1" si="11"/>
        <v xml:space="preserve"> </v>
      </c>
      <c r="AP8" s="29" t="str">
        <f t="shared" ca="1" si="11"/>
        <v xml:space="preserve"> </v>
      </c>
      <c r="AQ8" s="29" t="str">
        <f t="shared" ca="1" si="11"/>
        <v xml:space="preserve"> </v>
      </c>
      <c r="AR8" s="29" t="str">
        <f t="shared" ca="1" si="11"/>
        <v xml:space="preserve"> </v>
      </c>
      <c r="AS8" s="29" t="str">
        <f t="shared" ca="1" si="11"/>
        <v xml:space="preserve"> </v>
      </c>
      <c r="AT8" s="29" t="str">
        <f t="shared" ca="1" si="11"/>
        <v xml:space="preserve"> </v>
      </c>
      <c r="AU8" s="29" t="str">
        <f t="shared" ca="1" si="11"/>
        <v xml:space="preserve"> </v>
      </c>
      <c r="AV8" s="29">
        <f t="shared" ca="1" si="8"/>
        <v>0</v>
      </c>
      <c r="AW8" s="29" t="s">
        <v>13</v>
      </c>
      <c r="BI8" s="29" t="str">
        <f ca="1">IF(S11="Sage",P8," ")</f>
        <v xml:space="preserve"> </v>
      </c>
      <c r="BM8" s="29">
        <f t="shared" ca="1" si="2"/>
        <v>0</v>
      </c>
      <c r="BN8" s="29">
        <f t="shared" ca="1" si="9"/>
        <v>0</v>
      </c>
      <c r="BO8" s="29" t="str">
        <f t="shared" ca="1" si="3"/>
        <v xml:space="preserve"> </v>
      </c>
      <c r="BP8" s="29" t="str">
        <f t="shared" ca="1" si="4"/>
        <v xml:space="preserve"> </v>
      </c>
      <c r="BQ8" s="29" t="str">
        <f t="shared" ca="1" si="5"/>
        <v xml:space="preserve"> </v>
      </c>
      <c r="BR8" s="29">
        <f t="shared" ca="1" si="6"/>
        <v>0</v>
      </c>
      <c r="BS8" s="29">
        <f ca="1">IF(AND($BY$26=1,OR($P$15="knowledge",$R$15="knowledge")),$P$8*2,IF(AND($BY$26=2,OR($P$15="knowledge",$R$15="knowledge")),$P$8*2,0))</f>
        <v>0</v>
      </c>
      <c r="BU8" s="29">
        <f t="shared" ca="1" si="10"/>
        <v>0</v>
      </c>
      <c r="BV8" s="29" t="s">
        <v>13</v>
      </c>
      <c r="CB8" s="52"/>
      <c r="CC8" s="52"/>
    </row>
    <row r="9" spans="1:83" ht="19.5" thickBot="1" x14ac:dyDescent="0.35">
      <c r="AE9" s="29" t="s">
        <v>679</v>
      </c>
      <c r="AF9" s="29" t="str">
        <f ca="1">IF($P$6&gt;=16,VLOOKUP(RANDBETWEEN(1,6),Table41[],2)," ")</f>
        <v>Intelligence</v>
      </c>
      <c r="AH9" s="29" t="s">
        <v>14</v>
      </c>
      <c r="AI9" s="29">
        <f ca="1">$P$38</f>
        <v>1</v>
      </c>
      <c r="AJ9" s="29" t="str">
        <f t="shared" ref="AJ9:AU9" ca="1" si="12">IF(COUNTIF(AJ$27:AJ$33,$AH$9),$P$8," ")</f>
        <v xml:space="preserve"> </v>
      </c>
      <c r="AK9" s="29" t="str">
        <f t="shared" ca="1" si="12"/>
        <v xml:space="preserve"> </v>
      </c>
      <c r="AL9" s="29" t="str">
        <f t="shared" ca="1" si="12"/>
        <v xml:space="preserve"> </v>
      </c>
      <c r="AM9" s="29" t="str">
        <f t="shared" ca="1" si="12"/>
        <v xml:space="preserve"> </v>
      </c>
      <c r="AN9" s="29" t="str">
        <f t="shared" ca="1" si="12"/>
        <v xml:space="preserve"> </v>
      </c>
      <c r="AO9" s="29" t="str">
        <f t="shared" ca="1" si="12"/>
        <v xml:space="preserve"> </v>
      </c>
      <c r="AP9" s="29" t="str">
        <f t="shared" ca="1" si="12"/>
        <v xml:space="preserve"> </v>
      </c>
      <c r="AQ9" s="29" t="str">
        <f t="shared" ca="1" si="12"/>
        <v xml:space="preserve"> </v>
      </c>
      <c r="AR9" s="29" t="str">
        <f t="shared" ca="1" si="12"/>
        <v xml:space="preserve"> </v>
      </c>
      <c r="AS9" s="29" t="str">
        <f t="shared" ca="1" si="12"/>
        <v xml:space="preserve"> </v>
      </c>
      <c r="AT9" s="29" t="str">
        <f t="shared" ca="1" si="12"/>
        <v xml:space="preserve"> </v>
      </c>
      <c r="AU9" s="29" t="str">
        <f t="shared" ca="1" si="12"/>
        <v xml:space="preserve"> </v>
      </c>
      <c r="AV9" s="29">
        <f t="shared" ca="1" si="8"/>
        <v>0</v>
      </c>
      <c r="AW9" s="29" t="s">
        <v>14</v>
      </c>
      <c r="BG9" s="29" t="str">
        <f ca="1">IF(S11="Outlander",P8," ")</f>
        <v xml:space="preserve"> </v>
      </c>
      <c r="BH9" s="29" t="str">
        <f ca="1">IF(S11="Pirate",P8," ")</f>
        <v xml:space="preserve"> </v>
      </c>
      <c r="BJ9" s="29" t="str">
        <f ca="1">IF(S11="Sailor",P8," ")</f>
        <v xml:space="preserve"> </v>
      </c>
      <c r="BK9" s="29" t="str">
        <f ca="1">IF(S11="Soldier",P8," ")</f>
        <v xml:space="preserve"> </v>
      </c>
      <c r="BM9" s="29">
        <f t="shared" ca="1" si="2"/>
        <v>0</v>
      </c>
      <c r="BN9" s="29">
        <f t="shared" ca="1" si="9"/>
        <v>0</v>
      </c>
      <c r="BO9" s="29" t="str">
        <f t="shared" ca="1" si="3"/>
        <v xml:space="preserve"> </v>
      </c>
      <c r="BP9" s="29" t="str">
        <f t="shared" ca="1" si="4"/>
        <v xml:space="preserve"> </v>
      </c>
      <c r="BQ9" s="29" t="str">
        <f t="shared" ca="1" si="5"/>
        <v xml:space="preserve"> </v>
      </c>
      <c r="BR9" s="29">
        <f t="shared" ca="1" si="6"/>
        <v>0</v>
      </c>
      <c r="BU9" s="29">
        <f t="shared" ca="1" si="10"/>
        <v>0</v>
      </c>
      <c r="BV9" s="29" t="s">
        <v>14</v>
      </c>
      <c r="CB9" s="31" t="s">
        <v>740</v>
      </c>
      <c r="CC9" s="31" t="s">
        <v>742</v>
      </c>
      <c r="CD9" s="31"/>
    </row>
    <row r="10" spans="1:83" ht="26.25" thickBot="1" x14ac:dyDescent="0.4">
      <c r="O10" s="124" t="s">
        <v>681</v>
      </c>
      <c r="Q10" s="124" t="s">
        <v>682</v>
      </c>
      <c r="R10" s="49"/>
      <c r="S10" s="123" t="s">
        <v>32</v>
      </c>
      <c r="AE10" s="29" t="s">
        <v>680</v>
      </c>
      <c r="AF10" s="29" t="str">
        <f ca="1">IF($P$6&gt;=19,VLOOKUP(RANDBETWEEN(1,6),Table41[],2)," ")</f>
        <v xml:space="preserve"> </v>
      </c>
      <c r="AH10" s="29" t="s">
        <v>15</v>
      </c>
      <c r="AI10" s="29">
        <f ca="1">$P$43</f>
        <v>2</v>
      </c>
      <c r="AJ10" s="29" t="str">
        <f t="shared" ref="AJ10:AU10" ca="1" si="13">IF(COUNTIF(AJ$27:AJ$33,$AH$10),$P$8," ")</f>
        <v xml:space="preserve"> </v>
      </c>
      <c r="AK10" s="29" t="str">
        <f t="shared" ca="1" si="13"/>
        <v xml:space="preserve"> </v>
      </c>
      <c r="AL10" s="29" t="str">
        <f t="shared" ca="1" si="13"/>
        <v xml:space="preserve"> </v>
      </c>
      <c r="AM10" s="29" t="str">
        <f t="shared" ca="1" si="13"/>
        <v xml:space="preserve"> </v>
      </c>
      <c r="AN10" s="29" t="str">
        <f t="shared" ca="1" si="13"/>
        <v xml:space="preserve"> </v>
      </c>
      <c r="AO10" s="29" t="str">
        <f t="shared" ca="1" si="13"/>
        <v xml:space="preserve"> </v>
      </c>
      <c r="AP10" s="29" t="str">
        <f t="shared" ca="1" si="13"/>
        <v xml:space="preserve"> </v>
      </c>
      <c r="AQ10" s="29" t="str">
        <f t="shared" ca="1" si="13"/>
        <v xml:space="preserve"> </v>
      </c>
      <c r="AR10" s="29" t="str">
        <f t="shared" ca="1" si="13"/>
        <v xml:space="preserve"> </v>
      </c>
      <c r="AS10" s="29" t="str">
        <f t="shared" ca="1" si="13"/>
        <v xml:space="preserve"> </v>
      </c>
      <c r="AT10" s="29" t="str">
        <f t="shared" ca="1" si="13"/>
        <v xml:space="preserve"> </v>
      </c>
      <c r="AU10" s="29" t="str">
        <f t="shared" ca="1" si="13"/>
        <v xml:space="preserve"> </v>
      </c>
      <c r="AV10" s="29">
        <f t="shared" ca="1" si="8"/>
        <v>0</v>
      </c>
      <c r="AW10" s="29" t="s">
        <v>15</v>
      </c>
      <c r="AY10" s="29" t="str">
        <f ca="1">IF(S11="Charlatan",P8," ")</f>
        <v xml:space="preserve"> </v>
      </c>
      <c r="AZ10" s="29" t="str">
        <f ca="1">IF(S11="Criminal",P8," ")</f>
        <v xml:space="preserve"> </v>
      </c>
      <c r="BE10" s="29" t="str">
        <f ca="1">IF(S11="Knight",P8," ")</f>
        <v xml:space="preserve"> </v>
      </c>
      <c r="BF10" s="29" t="str">
        <f ca="1">IF(S11="Noble",P8," ")</f>
        <v xml:space="preserve"> </v>
      </c>
      <c r="BM10" s="29">
        <f t="shared" ca="1" si="2"/>
        <v>0</v>
      </c>
      <c r="BN10" s="29">
        <f t="shared" ca="1" si="9"/>
        <v>0</v>
      </c>
      <c r="BO10" s="29" t="str">
        <f t="shared" ca="1" si="3"/>
        <v xml:space="preserve"> </v>
      </c>
      <c r="BP10" s="29" t="str">
        <f t="shared" ca="1" si="4"/>
        <v xml:space="preserve"> </v>
      </c>
      <c r="BQ10" s="29" t="str">
        <f t="shared" ca="1" si="5"/>
        <v xml:space="preserve"> </v>
      </c>
      <c r="BR10" s="29">
        <f t="shared" ca="1" si="6"/>
        <v>0</v>
      </c>
      <c r="BU10" s="29">
        <f t="shared" ca="1" si="10"/>
        <v>0</v>
      </c>
      <c r="BV10" s="29" t="s">
        <v>15</v>
      </c>
      <c r="CB10" s="35">
        <f t="shared" ref="CB10:CB27" ca="1" si="14">_xlfn.RANK.EQ(CC10,$CC$10:$CC$27)</f>
        <v>12</v>
      </c>
      <c r="CC10" s="36">
        <f t="shared" ref="CC10:CC27" ca="1" si="15">IF(BM6&gt;0,0,RAND())</f>
        <v>0.53940891723064432</v>
      </c>
      <c r="CD10" s="29" t="s">
        <v>12</v>
      </c>
    </row>
    <row r="11" spans="1:83" ht="19.5" thickTop="1" x14ac:dyDescent="0.3">
      <c r="O11" s="46" t="str">
        <f ca="1">VLOOKUP(RANDBETWEEN(1,16),Table43[],2)</f>
        <v>Non-Classed</v>
      </c>
      <c r="Q11" s="139" t="str">
        <f ca="1">IF(O11="non-classed",VLOOKUP(RANDBETWEEN(1,124),Table252[],2),IF(AND(O11="barbarian",AF14=2),VLOOKUP(RANDBETWEEN(1,11),Table43[],3),IF(AND(O11="bard",AF14=2),VLOOKUP(RANDBETWEEN(1,11),Table43[],4),IF(AND(O11="cleric",AF14=2),VLOOKUP(RANDBETWEEN(1,11),Table43[],5),IF(AND(O11="druid",AF14=2),VLOOKUP(RANDBETWEEN(1,11),Table43[],6),IF(AND(O11="fighter",AF14=2),VLOOKUP(RANDBETWEEN(1,11),Table43[],7),IF(AND(O11="Monk",AF14=2),VLOOKUP(RANDBETWEEN(1,11),Table43[],8),IF(AND(O11="Paladin",AF14=2),VLOOKUP(RANDBETWEEN(1,11),Table43[],9),IF(AND(O11="Ranger",AF14=2),VLOOKUP(RANDBETWEEN(1,11),Table43[],10),IF(AND(O11="Rogue",AF14=2),VLOOKUP(RANDBETWEEN(1,11),Table43[],11),IF(AND(O11="sorcerer",AF14=2),VLOOKUP(RANDBETWEEN(1,11),Table43[],12),IF(AND(O11="warlock",AF14=2),VLOOKUP(RANDBETWEEN(1,11),Table43[],13),IF(AND(O11="wizard",AF14=2),VLOOKUP(RANDBETWEEN(1,11),Table43[],14)," ")))))))))))))</f>
        <v>Weaver</v>
      </c>
      <c r="R11" s="49"/>
      <c r="S11" s="33" t="str">
        <f ca="1">IF(O11&lt;&gt;"non-classed",VLOOKUP(RANDBETWEEN(1,15),Table254[],2)," ")</f>
        <v xml:space="preserve"> </v>
      </c>
      <c r="AE11" s="29" t="s">
        <v>680</v>
      </c>
      <c r="AF11" s="29" t="str">
        <f ca="1">IF($P$6&gt;=19,VLOOKUP(RANDBETWEEN(1,6),Table41[],2)," ")</f>
        <v xml:space="preserve"> </v>
      </c>
      <c r="AH11" s="29" t="s">
        <v>16</v>
      </c>
      <c r="AI11" s="29">
        <f ca="1">$P$41</f>
        <v>1</v>
      </c>
      <c r="AJ11" s="29" t="str">
        <f t="shared" ref="AJ11:AU11" ca="1" si="16">IF(COUNTIF(AJ$27:AJ$33,$AH$11),$P$8," ")</f>
        <v xml:space="preserve"> </v>
      </c>
      <c r="AK11" s="29" t="str">
        <f t="shared" ca="1" si="16"/>
        <v xml:space="preserve"> </v>
      </c>
      <c r="AL11" s="29" t="str">
        <f t="shared" ca="1" si="16"/>
        <v xml:space="preserve"> </v>
      </c>
      <c r="AM11" s="29" t="str">
        <f t="shared" ca="1" si="16"/>
        <v xml:space="preserve"> </v>
      </c>
      <c r="AN11" s="29" t="str">
        <f t="shared" ca="1" si="16"/>
        <v xml:space="preserve"> </v>
      </c>
      <c r="AO11" s="29" t="str">
        <f t="shared" ca="1" si="16"/>
        <v xml:space="preserve"> </v>
      </c>
      <c r="AP11" s="29" t="str">
        <f t="shared" ca="1" si="16"/>
        <v xml:space="preserve"> </v>
      </c>
      <c r="AQ11" s="29" t="str">
        <f t="shared" ca="1" si="16"/>
        <v xml:space="preserve"> </v>
      </c>
      <c r="AR11" s="29" t="str">
        <f t="shared" ca="1" si="16"/>
        <v xml:space="preserve"> </v>
      </c>
      <c r="AS11" s="29" t="str">
        <f t="shared" ca="1" si="16"/>
        <v xml:space="preserve"> </v>
      </c>
      <c r="AT11" s="29" t="str">
        <f t="shared" ca="1" si="16"/>
        <v xml:space="preserve"> </v>
      </c>
      <c r="AU11" s="29" t="str">
        <f t="shared" ca="1" si="16"/>
        <v xml:space="preserve"> </v>
      </c>
      <c r="AV11" s="29">
        <f t="shared" ca="1" si="8"/>
        <v>0</v>
      </c>
      <c r="AW11" s="29" t="s">
        <v>16</v>
      </c>
      <c r="BI11" s="29" t="str">
        <f ca="1">IF(S11="Sage",P8," ")</f>
        <v xml:space="preserve"> </v>
      </c>
      <c r="BM11" s="29">
        <f t="shared" ca="1" si="2"/>
        <v>0</v>
      </c>
      <c r="BN11" s="29">
        <f t="shared" ca="1" si="9"/>
        <v>0</v>
      </c>
      <c r="BO11" s="29" t="str">
        <f t="shared" ca="1" si="3"/>
        <v xml:space="preserve"> </v>
      </c>
      <c r="BP11" s="29" t="str">
        <f t="shared" ca="1" si="4"/>
        <v xml:space="preserve"> </v>
      </c>
      <c r="BQ11" s="29" t="str">
        <f t="shared" ca="1" si="5"/>
        <v xml:space="preserve"> </v>
      </c>
      <c r="BR11" s="29">
        <f t="shared" ca="1" si="6"/>
        <v>0</v>
      </c>
      <c r="BS11" s="29">
        <f ca="1">IF(AND($BY$27=1,OR($P$15="knowledge",$R$15="knowledge")),$P$8*2,IF(AND($BY$27=2,OR($P$15="knowledge",$R$15="knowledge")),$P$8*2,0))</f>
        <v>0</v>
      </c>
      <c r="BU11" s="29">
        <f t="shared" ca="1" si="10"/>
        <v>0</v>
      </c>
      <c r="BV11" s="29" t="s">
        <v>16</v>
      </c>
      <c r="CB11" s="35">
        <f t="shared" ca="1" si="14"/>
        <v>2</v>
      </c>
      <c r="CC11" s="36">
        <f t="shared" ca="1" si="15"/>
        <v>0.91017316676402005</v>
      </c>
      <c r="CD11" s="29" t="s">
        <v>29</v>
      </c>
    </row>
    <row r="12" spans="1:83" ht="19.5" thickBot="1" x14ac:dyDescent="0.35">
      <c r="O12" s="24">
        <f ca="1">IF($AF$14=1,RANDBETWEEN(1,20),IF(Q12=1,RANDBETWEEN(1,19),IF(Q12=2,RANDBETWEEN(2,18),IF(Q12=3,RANDBETWEEN(3,17),IF(Q12=4,RANDBETWEEN(4,16),IF(Q12=5,RANDBETWEEN(5,15),IF(Q12=6,RANDBETWEEN(6,14),IF(Q12=7,RANDBETWEEN(7,13),IF(Q12=8,RANDBETWEEN(8,12),IF(Q12=9,RANDBETWEEN(9,11),IF(Q12=10,10," ")))))))))))</f>
        <v>16</v>
      </c>
      <c r="Q12" s="54" t="str">
        <f ca="1">IF(O11="non-classed"," ",IF(AF14=1," ",IF(AF14=2,RANDBETWEEN(1,10))))</f>
        <v xml:space="preserve"> </v>
      </c>
      <c r="AH12" s="29" t="s">
        <v>17</v>
      </c>
      <c r="AI12" s="29">
        <f ca="1">$P$42</f>
        <v>2</v>
      </c>
      <c r="AJ12" s="29" t="str">
        <f t="shared" ref="AJ12:AU12" ca="1" si="17">IF(COUNTIF(AJ$27:AJ$33,$AH$12),$P$8," ")</f>
        <v xml:space="preserve"> </v>
      </c>
      <c r="AK12" s="29" t="str">
        <f t="shared" ca="1" si="17"/>
        <v xml:space="preserve"> </v>
      </c>
      <c r="AL12" s="29" t="str">
        <f t="shared" ca="1" si="17"/>
        <v xml:space="preserve"> </v>
      </c>
      <c r="AM12" s="29" t="str">
        <f t="shared" ca="1" si="17"/>
        <v xml:space="preserve"> </v>
      </c>
      <c r="AN12" s="29" t="str">
        <f t="shared" ca="1" si="17"/>
        <v xml:space="preserve"> </v>
      </c>
      <c r="AO12" s="29" t="str">
        <f t="shared" ca="1" si="17"/>
        <v xml:space="preserve"> </v>
      </c>
      <c r="AP12" s="29" t="str">
        <f t="shared" ca="1" si="17"/>
        <v xml:space="preserve"> </v>
      </c>
      <c r="AQ12" s="29" t="str">
        <f t="shared" ca="1" si="17"/>
        <v xml:space="preserve"> </v>
      </c>
      <c r="AR12" s="29" t="str">
        <f t="shared" ca="1" si="17"/>
        <v xml:space="preserve"> </v>
      </c>
      <c r="AS12" s="29" t="str">
        <f t="shared" ca="1" si="17"/>
        <v xml:space="preserve"> </v>
      </c>
      <c r="AT12" s="29" t="str">
        <f t="shared" ca="1" si="17"/>
        <v xml:space="preserve"> </v>
      </c>
      <c r="AU12" s="29" t="str">
        <f t="shared" ca="1" si="17"/>
        <v xml:space="preserve"> </v>
      </c>
      <c r="AV12" s="29">
        <f t="shared" ca="1" si="8"/>
        <v>0</v>
      </c>
      <c r="AW12" s="29" t="s">
        <v>17</v>
      </c>
      <c r="AX12" s="29" t="str">
        <f ca="1">IF(S11="acolyte",P8," ")</f>
        <v xml:space="preserve"> </v>
      </c>
      <c r="BC12" s="29" t="str">
        <f ca="1">IF(S11="Guild Artisan",P8," ")</f>
        <v xml:space="preserve"> </v>
      </c>
      <c r="BM12" s="29">
        <f t="shared" ca="1" si="2"/>
        <v>0</v>
      </c>
      <c r="BN12" s="29">
        <f t="shared" ca="1" si="9"/>
        <v>0</v>
      </c>
      <c r="BO12" s="29" t="str">
        <f t="shared" ca="1" si="3"/>
        <v xml:space="preserve"> </v>
      </c>
      <c r="BP12" s="29" t="str">
        <f t="shared" ca="1" si="4"/>
        <v xml:space="preserve"> </v>
      </c>
      <c r="BQ12" s="29" t="str">
        <f t="shared" ca="1" si="5"/>
        <v xml:space="preserve"> </v>
      </c>
      <c r="BR12" s="29">
        <f t="shared" ca="1" si="6"/>
        <v>5</v>
      </c>
      <c r="BU12" s="29">
        <f t="shared" ca="1" si="10"/>
        <v>5</v>
      </c>
      <c r="BV12" s="29" t="s">
        <v>17</v>
      </c>
      <c r="CB12" s="35">
        <f t="shared" ca="1" si="14"/>
        <v>4</v>
      </c>
      <c r="CC12" s="36">
        <f t="shared" ca="1" si="15"/>
        <v>0.84241478607456954</v>
      </c>
      <c r="CD12" s="29" t="s">
        <v>13</v>
      </c>
    </row>
    <row r="13" spans="1:83" x14ac:dyDescent="0.3">
      <c r="AF13" s="29" t="s">
        <v>683</v>
      </c>
      <c r="AH13" s="29" t="s">
        <v>18</v>
      </c>
      <c r="AI13" s="29">
        <f ca="1">$P$43</f>
        <v>2</v>
      </c>
      <c r="AJ13" s="29" t="str">
        <f t="shared" ref="AJ13:AU13" ca="1" si="18">IF(COUNTIF(AJ$27:AJ$33,$AH$13),$P$8," ")</f>
        <v xml:space="preserve"> </v>
      </c>
      <c r="AK13" s="29" t="str">
        <f t="shared" ca="1" si="18"/>
        <v xml:space="preserve"> </v>
      </c>
      <c r="AL13" s="29" t="str">
        <f t="shared" ca="1" si="18"/>
        <v xml:space="preserve"> </v>
      </c>
      <c r="AM13" s="29" t="str">
        <f t="shared" ca="1" si="18"/>
        <v xml:space="preserve"> </v>
      </c>
      <c r="AN13" s="29" t="str">
        <f t="shared" ca="1" si="18"/>
        <v xml:space="preserve"> </v>
      </c>
      <c r="AO13" s="29" t="str">
        <f t="shared" ca="1" si="18"/>
        <v xml:space="preserve"> </v>
      </c>
      <c r="AP13" s="29" t="str">
        <f t="shared" ca="1" si="18"/>
        <v xml:space="preserve"> </v>
      </c>
      <c r="AQ13" s="29" t="str">
        <f t="shared" ca="1" si="18"/>
        <v xml:space="preserve"> </v>
      </c>
      <c r="AR13" s="29" t="str">
        <f t="shared" ca="1" si="18"/>
        <v xml:space="preserve"> </v>
      </c>
      <c r="AS13" s="29" t="str">
        <f t="shared" ca="1" si="18"/>
        <v xml:space="preserve"> </v>
      </c>
      <c r="AT13" s="29" t="str">
        <f t="shared" ca="1" si="18"/>
        <v xml:space="preserve"> </v>
      </c>
      <c r="AU13" s="29" t="str">
        <f t="shared" ca="1" si="18"/>
        <v xml:space="preserve"> </v>
      </c>
      <c r="AV13" s="29">
        <f t="shared" ca="1" si="8"/>
        <v>0</v>
      </c>
      <c r="AW13" s="29" t="s">
        <v>18</v>
      </c>
      <c r="BK13" s="29" t="str">
        <f ca="1">IF(S11="Soldier",P8," ")</f>
        <v xml:space="preserve"> </v>
      </c>
      <c r="BM13" s="29">
        <f t="shared" ca="1" si="2"/>
        <v>0</v>
      </c>
      <c r="BN13" s="29">
        <f t="shared" ca="1" si="9"/>
        <v>0</v>
      </c>
      <c r="BO13" s="29" t="str">
        <f t="shared" ca="1" si="3"/>
        <v xml:space="preserve"> </v>
      </c>
      <c r="BP13" s="29" t="str">
        <f t="shared" ca="1" si="4"/>
        <v xml:space="preserve"> </v>
      </c>
      <c r="BQ13" s="29" t="str">
        <f t="shared" ca="1" si="5"/>
        <v xml:space="preserve"> </v>
      </c>
      <c r="BR13" s="29">
        <f t="shared" ca="1" si="6"/>
        <v>0</v>
      </c>
      <c r="BU13" s="29">
        <f t="shared" ca="1" si="10"/>
        <v>0</v>
      </c>
      <c r="BV13" s="29" t="s">
        <v>18</v>
      </c>
      <c r="CB13" s="35">
        <f t="shared" ca="1" si="14"/>
        <v>11</v>
      </c>
      <c r="CC13" s="36">
        <f t="shared" ca="1" si="15"/>
        <v>0.54174474228343583</v>
      </c>
      <c r="CD13" s="29" t="s">
        <v>14</v>
      </c>
    </row>
    <row r="14" spans="1:83" ht="26.25" thickBot="1" x14ac:dyDescent="0.4">
      <c r="B14" s="123" t="s">
        <v>45</v>
      </c>
      <c r="O14" s="123" t="s">
        <v>709</v>
      </c>
      <c r="P14" s="123" t="s">
        <v>743</v>
      </c>
      <c r="Q14" s="123" t="s">
        <v>698</v>
      </c>
      <c r="R14" s="123" t="s">
        <v>743</v>
      </c>
      <c r="S14" s="123" t="s">
        <v>1826</v>
      </c>
      <c r="AF14" s="29">
        <f ca="1">IF(O11="non-classed",1,VLOOKUP(RANDBETWEEN(1,10),Table42[],2))</f>
        <v>1</v>
      </c>
      <c r="AH14" s="29" t="s">
        <v>19</v>
      </c>
      <c r="AI14" s="29">
        <f ca="1">$P$41</f>
        <v>1</v>
      </c>
      <c r="AJ14" s="29" t="str">
        <f t="shared" ref="AJ14:AU14" ca="1" si="19">IF(COUNTIF(AJ$27:AJ$33,$AH$14),$P$8," ")</f>
        <v xml:space="preserve"> </v>
      </c>
      <c r="AK14" s="29" t="str">
        <f t="shared" ca="1" si="19"/>
        <v xml:space="preserve"> </v>
      </c>
      <c r="AL14" s="29" t="str">
        <f t="shared" ca="1" si="19"/>
        <v xml:space="preserve"> </v>
      </c>
      <c r="AM14" s="29" t="str">
        <f t="shared" ca="1" si="19"/>
        <v xml:space="preserve"> </v>
      </c>
      <c r="AN14" s="29" t="str">
        <f t="shared" ca="1" si="19"/>
        <v xml:space="preserve"> </v>
      </c>
      <c r="AO14" s="29" t="str">
        <f t="shared" ca="1" si="19"/>
        <v xml:space="preserve"> </v>
      </c>
      <c r="AP14" s="29" t="str">
        <f t="shared" ca="1" si="19"/>
        <v xml:space="preserve"> </v>
      </c>
      <c r="AQ14" s="29" t="str">
        <f t="shared" ca="1" si="19"/>
        <v xml:space="preserve"> </v>
      </c>
      <c r="AR14" s="29" t="str">
        <f t="shared" ca="1" si="19"/>
        <v xml:space="preserve"> </v>
      </c>
      <c r="AS14" s="29" t="str">
        <f t="shared" ca="1" si="19"/>
        <v xml:space="preserve"> </v>
      </c>
      <c r="AT14" s="29" t="str">
        <f t="shared" ca="1" si="19"/>
        <v xml:space="preserve"> </v>
      </c>
      <c r="AU14" s="29" t="str">
        <f t="shared" ca="1" si="19"/>
        <v xml:space="preserve"> </v>
      </c>
      <c r="AV14" s="29">
        <f t="shared" ca="1" si="8"/>
        <v>0</v>
      </c>
      <c r="AW14" s="29" t="s">
        <v>19</v>
      </c>
      <c r="BM14" s="29">
        <f t="shared" si="2"/>
        <v>0</v>
      </c>
      <c r="BN14" s="29">
        <f t="shared" ca="1" si="9"/>
        <v>0</v>
      </c>
      <c r="BO14" s="29" t="str">
        <f t="shared" ca="1" si="3"/>
        <v xml:space="preserve"> </v>
      </c>
      <c r="BP14" s="29" t="str">
        <f t="shared" ca="1" si="4"/>
        <v xml:space="preserve"> </v>
      </c>
      <c r="BQ14" s="29" t="str">
        <f t="shared" ca="1" si="5"/>
        <v xml:space="preserve"> </v>
      </c>
      <c r="BR14" s="29">
        <f t="shared" ca="1" si="6"/>
        <v>0</v>
      </c>
      <c r="BU14" s="29">
        <f t="shared" ca="1" si="10"/>
        <v>0</v>
      </c>
      <c r="BV14" s="29" t="s">
        <v>19</v>
      </c>
      <c r="CB14" s="35">
        <f t="shared" ca="1" si="14"/>
        <v>16</v>
      </c>
      <c r="CC14" s="36">
        <f t="shared" ca="1" si="15"/>
        <v>0.25522549761694324</v>
      </c>
      <c r="CD14" s="29" t="s">
        <v>15</v>
      </c>
      <c r="CE14" s="31"/>
    </row>
    <row r="15" spans="1:83" ht="19.5" thickTop="1" x14ac:dyDescent="0.3">
      <c r="B15" s="33" t="str">
        <f ca="1">IF(P2="dark","Darkvision 120 ft.",IF(OR(Q2="dwarf",Q2="elf",Q2="gnome",Q2="half-elf",Q2="half-orc",Q2="tiefling"),"Darkvision 60 ft.",IF(Q2="halfling","Lucky",IF(Q2="dragonborn","Breath Weapon"," "))))</f>
        <v>Darkvision 60 ft.</v>
      </c>
      <c r="O15" s="33" t="str">
        <f ca="1">IF(O11="wizard","Ritual Casting",IF(O11="warlock","Otherworldly Patron - "&amp;VLOOKUP(RANDBETWEEN(1,2),Table226[],2),IF(O11="sorcerer","Spellcasting Focus",IF(O11="rogue","Sneak Attack - "&amp;INDEX('Class Tables'!E56:E75,MATCH(O12,('Class Tables'!D56:D75),0)),IF(AND(O11="ranger",AF24=2),"Favored Enemy - "&amp;INDEX('Class Tables'!S177:S220,MATCH(1,('Class Tables'!Q177:Q220),0)),IF(AND(O11="ranger",AF24=1),"Favored Enemy - "&amp;INDEX('Class Tables'!R162:R174,MATCH(1,('Class Tables'!Q162:Q174),0)),IF(O11="paladin","Divine Sense - "&amp;SUM(1,P43)&amp;" Uses",IF(O11="monk","Unarmored Defense",IF(O11="fighter",INDEX('Class Tables'!F48:F53,MATCH(1,('Class Tables'!D48:D53),0)),IF(O11="barbarian","Rage "&amp;INDEX('Class Tables'!J141:J160,MATCH(O12,('Class Tables'!I141:I160),0))&amp; " times, "&amp;INDEX('Class Tables'!K141:K160,MATCH(O12,('Class Tables'!I141:I160),0)),IF(O11="bard","Bardic Inspiration "&amp;P43&amp;" uses at "&amp;INDEX('Class Tables'!M58:M77,MATCH(O12,('Class Tables'!L58:L77),0)),IF(OR(O11="cleric",O11="druid"),"Ritual Casting"," "))))))))))))</f>
        <v xml:space="preserve"> </v>
      </c>
      <c r="P15" s="33" t="str">
        <f ca="1">IF(AND(O11="wizard",O12&gt;=2),VLOOKUP(RANDBETWEEN(1,8),Table251[],2),IF(O11="warlock",O15,IF(O11="sorcerer",VLOOKUP(RANDBETWEEN(1,2),Table224[],2),IF(AND(O11="ranger",O12&gt;=3),VLOOKUP(RANDBETWEEN(1,2),Table97[],2),IF(AND(O11="paladin",O12&gt;=3),VLOOKUP(RANDBETWEEN(1,3),Table90[],2),IF(AND(O11="monk",O12&gt;=3),VLOOKUP(RANDBETWEEN(1,3),Table82[],2),IF(AND(O11="druid",O12&gt;=2),VLOOKUP(RANDBETWEEN(1,2),Table73[],2),IF(O11="cleric",VLOOKUP(RANDBETWEEN(1,7),Table65[],2),IF(AND($O$11="barbarian",$O$12&gt;=3),VLOOKUP(RANDBETWEEN(1,2),Table40[],2),IF(AND(O11="bard",O12&gt;=3),VLOOKUP(RANDBETWEEN(1,2),Table47[],2),IF(AND(O11="fighter",O12&gt;=3),VLOOKUP(RANDBETWEEN(1,3),Table178[],2),IF(AND(O11="rogue",O12&gt;=3),VLOOKUP(RANDBETWEEN(1,3),Table189[],2)," "))))))))))))</f>
        <v xml:space="preserve"> </v>
      </c>
      <c r="Q15" s="33" t="str">
        <f ca="1">IF(Q11="wizard","Ritual Casting",IF(Q11="warlock","Otherworldly Patron - "&amp;VLOOKUP(RANDBETWEEN(1,2),Table226[],2),IF(Q11="sorcerer","Spellcasting Focus",IF(Q11="rogue","Sneak Attack - "&amp;INDEX('Class Tables'!E56:E75,MATCH(Q12,('Class Tables'!D56:D75),0)),IF(AND(Q11="ranger",AF24=2),"Favored Enemy - "&amp;INDEX('Class Tables'!S177:S220,MATCH(1,('Class Tables'!Q177:Q220),0)),IF(AND(Q11="ranger",AF24=1),"Favored Enemy - "&amp;INDEX('Class Tables'!R162:R174,MATCH(1,('Class Tables'!Q162:Q174),0)),IF(Q11="paladin","Divine Sense - "&amp;SUM(1,P43)&amp;" Uses",IF(Q11="monk","Unarmored Defense",IF(Q11="fighter",INDEX('Class Tables'!F48:F53,MATCH(1,('Class Tables'!D48:D53),0)),IF(Q11="barbarian","Rage "&amp;INDEX('Class Tables'!J141:J160,MATCH(Q12,('Class Tables'!I141:I160),0))&amp; " times, "&amp;INDEX('Class Tables'!K141:K160,MATCH(Q12,('Class Tables'!I141:I160),0)),IF(Q11="bard","Bardic Inspiration - "&amp;P43&amp;" uses at "&amp;INDEX('Class Tables'!M58:M77,MATCH(Q12,('Class Tables'!L58:L77),0)),IF(OR(Q11="cleric",Q11="druid"),"Ritual Casting"," "))))))))))))</f>
        <v xml:space="preserve"> </v>
      </c>
      <c r="R15" s="33" t="str">
        <f ca="1">IF(Q11="warlock",O15,IF(Q11="sorcerer",VLOOKUP(RANDBETWEEN(1,2),Table224[],2),IF(AND(Q11="ranger",Q12&gt;=3),VLOOKUP(RANDBETWEEN(1,2),Table97[],2),IF(AND(Q11="paladin",Q12&gt;=3),VLOOKUP(RANDBETWEEN(1,3),Table90[],2),IF(AND(Q11="monk",Q12&gt;=3),VLOOKUP(RANDBETWEEN(1,3),Table82[],2),IF(AND(Q11="druid",Q12&gt;=2),VLOOKUP(RANDBETWEEN(1,2),Table73[],2),IF(Q11="cleric",VLOOKUP(RANDBETWEEN(1,7),Table65[],2),IF(AND($Q$11="barbarian",$Q$12&gt;=3),VLOOKUP(RANDBETWEEN(1,2),Table40[],2),IF(AND(Q11="bard",Q12&gt;=3),VLOOKUP(RANDBETWEEN(1,2),Table47[],2),IF(AND($Q$11="fighter",$Q$12&gt;=3),VLOOKUP(RANDBETWEEN(1,3),Table178[],2),IF(AND(Q11="rogue",Q12&gt;=3),VLOOKUP(RANDBETWEEN(1,3),Table189[],2)," ")))))))))))</f>
        <v xml:space="preserve"> </v>
      </c>
      <c r="S15" s="33" t="str">
        <f ca="1">IF(S11="urchin","City Secrets",IF(S11="soldier",VLOOKUP(RANDBETWEEN(1,8),Table263[],2),IF(S11="pirate","Bad Reputation",IF(S11="Sailor","Ship's Passage",IF(S11="sage",VLOOKUP(RANDBETWEEN(1,8),Table262[],2),IF(S11="outlander",VLOOKUP(RANDBETWEEN(1,10),Table261[],2),IF(S11="knight","Retainers",IF(S11="noble","Position of Privlege",IF(S11="hermit","Discovery",IF(S11="guild artisan",VLOOKUP(RANDBETWEEN(1,20),Table260[],2),IF(S11="folk hero","Rustic Hospitality",IF(S11="entertainer",VLOOKUP(RANDBETWEEN(1,10),Table259[],2),IF(S11="Criminal","Criminal Contact",IF(S11="Charlatan","False Identity",IF(S11="acolyte","Shelter of the Faithful"," ")))))))))))))))</f>
        <v xml:space="preserve"> </v>
      </c>
      <c r="AF15" s="29" t="s">
        <v>1336</v>
      </c>
      <c r="AH15" s="29" t="s">
        <v>20</v>
      </c>
      <c r="AI15" s="29">
        <f ca="1">$P$42</f>
        <v>2</v>
      </c>
      <c r="AJ15" s="29" t="str">
        <f t="shared" ref="AJ15:AU15" ca="1" si="20">IF(COUNTIF(AJ$27:AJ$33,$AH$15),$P$8," ")</f>
        <v xml:space="preserve"> </v>
      </c>
      <c r="AK15" s="29" t="str">
        <f t="shared" ca="1" si="20"/>
        <v xml:space="preserve"> </v>
      </c>
      <c r="AL15" s="29" t="str">
        <f t="shared" ca="1" si="20"/>
        <v xml:space="preserve"> </v>
      </c>
      <c r="AM15" s="29" t="str">
        <f t="shared" ca="1" si="20"/>
        <v xml:space="preserve"> </v>
      </c>
      <c r="AN15" s="29" t="str">
        <f t="shared" ca="1" si="20"/>
        <v xml:space="preserve"> </v>
      </c>
      <c r="AO15" s="29" t="str">
        <f t="shared" ca="1" si="20"/>
        <v xml:space="preserve"> </v>
      </c>
      <c r="AP15" s="29" t="str">
        <f t="shared" ca="1" si="20"/>
        <v xml:space="preserve"> </v>
      </c>
      <c r="AQ15" s="29" t="str">
        <f t="shared" ca="1" si="20"/>
        <v xml:space="preserve"> </v>
      </c>
      <c r="AR15" s="29" t="str">
        <f t="shared" ca="1" si="20"/>
        <v xml:space="preserve"> </v>
      </c>
      <c r="AS15" s="29" t="str">
        <f t="shared" ca="1" si="20"/>
        <v xml:space="preserve"> </v>
      </c>
      <c r="AT15" s="29" t="str">
        <f t="shared" ca="1" si="20"/>
        <v xml:space="preserve"> </v>
      </c>
      <c r="AU15" s="29" t="str">
        <f t="shared" ca="1" si="20"/>
        <v xml:space="preserve"> </v>
      </c>
      <c r="AV15" s="29">
        <f t="shared" ca="1" si="8"/>
        <v>0</v>
      </c>
      <c r="AW15" s="29" t="s">
        <v>20</v>
      </c>
      <c r="BD15" s="29" t="str">
        <f ca="1">IF(S11="Hermit",P8," ")</f>
        <v xml:space="preserve"> </v>
      </c>
      <c r="BM15" s="29">
        <f t="shared" ca="1" si="2"/>
        <v>0</v>
      </c>
      <c r="BN15" s="29">
        <f t="shared" ca="1" si="9"/>
        <v>0</v>
      </c>
      <c r="BO15" s="29" t="str">
        <f t="shared" ca="1" si="3"/>
        <v xml:space="preserve"> </v>
      </c>
      <c r="BP15" s="29" t="str">
        <f t="shared" ca="1" si="4"/>
        <v xml:space="preserve"> </v>
      </c>
      <c r="BQ15" s="29" t="str">
        <f t="shared" ca="1" si="5"/>
        <v xml:space="preserve"> </v>
      </c>
      <c r="BR15" s="29">
        <f t="shared" ca="1" si="6"/>
        <v>0</v>
      </c>
      <c r="BU15" s="29">
        <f t="shared" ca="1" si="10"/>
        <v>0</v>
      </c>
      <c r="BV15" s="29" t="s">
        <v>20</v>
      </c>
      <c r="CB15" s="35">
        <f t="shared" ca="1" si="14"/>
        <v>18</v>
      </c>
      <c r="CC15" s="36">
        <f t="shared" ca="1" si="15"/>
        <v>0.19729578093872591</v>
      </c>
      <c r="CD15" s="29" t="s">
        <v>16</v>
      </c>
    </row>
    <row r="16" spans="1:83" x14ac:dyDescent="0.3">
      <c r="B16" s="33" t="str">
        <f ca="1">IF(Q2="dwarf","Dwarven Resilience",IF(OR(Q2="half-elf",Q2="elf"),"Fey Ancestry",IF(Q2="halfling","Brave",IF(Q2="dragonborn","Damage Resistance",IF(Q2="gnome","Gnome Cunning",IF(Q2="half-orc","Menacing",IF(Q2="tiefling","Hellish Resistance"," ")))))))</f>
        <v>Fey Ancestry</v>
      </c>
      <c r="O16" s="33" t="str">
        <f ca="1">IF(O11="wizard","Spellcasting Focus",IF(AND(O11="warlock",O12&gt;=3),VLOOKUP(RANDBETWEEN(1,3),Table227[],2),IF(AND(O11="sorcerer",O12&gt;=2),"Sorcery Points - "&amp;O12,IF(AND(O11="rogue",O12&gt;=2),"Cunning Action",IF(AND(O11="ranger",AF24=2),"Favored Enemy - "&amp;INDEX('Class Tables'!S177:S220,MATCH(2,('Class Tables'!Q177:Q220),0)),IF(O11="paladin","Lay On Hands "&amp;O12*5&amp;" HP",IF(O11="monk","Martial Arts - "&amp;INDEX('Class Tables'!J98:J117,MATCH(O12,('Class Tables'!I98:I117),0)),IF(O11="fighter","Second Wind - 1d10+"&amp;O12&amp;" hp",IF(O11="barbarian","Unarmored Defense",IF(AND(O11="bard",O12&gt;=2),"Jack of All Trades",IF(OR(O11="cleric",O11="druid"),"Spellcasting Focus"," ")))))))))))</f>
        <v xml:space="preserve"> </v>
      </c>
      <c r="P16" s="33" t="str">
        <f ca="1">IF(AND(P15="school of transmutation",O12&gt;=2),"Transmutation Savant",IF(AND(P15="school of necromancy",O12&gt;=2),"Necromancy Savant",IF(AND(P15="school of illusion",O12&gt;=2),"Illusion Savant",IF(AND(P15="school of evocation",O12&gt;=2),"Evocation Savant",IF(AND(P15="school of enchantment",O12&gt;=2),"Enchantment Savant",IF(AND(P15="school of divination",O12&gt;=2),"Divination Savant",IF(AND(P15="school of conjuration",O12&gt;=2),"Conjuration Savant",IF(P15="school of abjuration","Abjuration Savant",IF(AND(P15="otherworldly patron - great old one",O12&gt;=1),"Awakened Mind",IF(AND(P15="otherworldly patron - fiend",O12&gt;=3),"Dark One's Blessing - "&amp;SUM(O12,P43)&amp;" hp",IF(P15="otherworldly patron - Archfey","Fey Presence",IF(P15="wild magic","Wild Magic Surge",IF(P15="draconic bloodline",VLOOKUP(RANDBETWEEN(1,10),Table25[],2)&amp;" Dragon Ancestry",IF(P15="arcane trickster","Mage Hand Legerdemain",IF(P15="assassin","Assassinate",IF(P15="thief","Fast Hands",IF(P15="beastmaster","Companion - "&amp;VLOOKUP(RANDBETWEEN(1,39),Table218[],2),IF(P15="hunter",VLOOKUP(RANDBETWEEN(1,3),Table108[],2),IF(P15="oath of vengeance","Channel Divinity: Abjure Enemy",IF(P15="oath of the ancients","Channel Divinity: Nature's Wrath",IF(P15="Oath of Devotion","Channel Divinity: Sacred Weapon",IF(AND(P15="way of the four elements",O12&gt;=5),"Max. Ki Point for Spell - "&amp;INDEX('Class Tables'!N120:N137,MATCH(O12,('Class Tables'!M120:M137),0)),IF(AND(P15="way of the shadow",O12&gt;=6),"Shadow Step",IF(P15="way of the open hand","Open Hand Technique",IF(P15="eldritch Knight","Weapon Bond",IF(AND(P15="battle master",O12&gt;=7),"Know Your Enemy",IF(P15="champion","Improved Critical",IF(P15="moon","Combat Wild Shape",IF(P15="land","Natural Recovery - "&amp;ROUNDUP(O12*0.5,0)&amp;" slots",IF(AND(P15="war",O12&gt;=1),"War Priest",IF(AND(P15="trickery",O12&gt;=1),"Blessing of the Trickster",IF(AND(P15="tempest",O12&gt;=1),"Wrath of the Storm",IF(AND(P15="nature",O12&gt;=2),"Channel Divinity: Charm Animals and Plants",IF(AND(P15="light",O12&gt;=1),"Warding Flare",IF(P15="life","Disciple of Life",IF(AND(P15="knowledge",O12&gt;=2),"Channel Divinity: Knowledge of the Ages",IF(P15="path of the berserker","Frenzy",IF(P15="path of the totem warrior","Spirit Seeker",IF(P15="college of lore","Cutting Words",IF(P15="college of valor","Combat Inspiration"," "))))))))))))))))))))))))))))))))))))))))</f>
        <v xml:space="preserve"> </v>
      </c>
      <c r="Q16" s="33" t="str">
        <f ca="1">IF(Q11="wizard","Spellcasting Focus",IF(AND(Q11="warlock",Q12&gt;=3),VLOOKUP(RANDBETWEEN(1,3),Table227[],2),IF(AND(Q11="sorcerer",Q12&gt;=2),"Sorcery Points - "&amp;Q12,IF(AND(Q11="rogue",Q12&gt;=2),"Cunning Action",IF(AND(Q11="ranger",AF24=2),"Favored Enemy - "&amp;INDEX('Class Tables'!S177:S220,MATCH(2,('Class Tables'!Q177:Q220),0)),IF(Q11="paladin","Lay On Hands "&amp;Q12*5&amp;" HP",IF(Q11="monk","Martial Arts - "&amp;INDEX('Class Tables'!J98:J117,MATCH(Q12,('Class Tables'!I98:I117),0)),IF(Q11="fighter","Second Wind - 1d10+"&amp;Q12&amp;" hp",IF(Q11="barbarian","Unarmored Defense AC "&amp;SUM(10,P39,P40),IF(AND(Q11="bard",Q12&gt;=2),"Jack of All Trades",IF(OR(Q11="cleric",Q11="druid"),"Spellcasting Focus"," ")))))))))))</f>
        <v xml:space="preserve"> </v>
      </c>
      <c r="R16" s="33" t="str">
        <f ca="1">IF(AND(R15="otherworldly patron - great old one",Q12&gt;=1),"Awakened Mind",IF(AND(R15="otherworldly patron - fiend",Q12&gt;=3),"Dark One's Blessing - "&amp;SUM(O12,P43)&amp;" hp",IF(R15="otherworldly patron - Archfey","Fey Presence",IF(R15="wild magic","Wild Magic Surge",IF(R15="draconic bloodline",VLOOKUP(RANDBETWEEN(1,10),Table25[],2)&amp;" Dragon Ancestry",IF(R15="arcane trickster","Mage Hand Legerdemain",IF(R15="assassin","Assassinate",IF(R15="thief","Fast Hands",IF(R15="beastmaster","Companion - "&amp;VLOOKUP(RANDBETWEEN(1,39),Table218[],2),IF(R15="hunter",VLOOKUP(RANDBETWEEN(1,3),Table108[],2),IF(R15="oath of vengeance","Channel Divinity: Abjure Enemy",IF(R15="oath of the ancients","Channel Divinity: Nature's Wrath",IF(R15="Oath of Devotion","Channel Divinity: Sacred Weapon",IF(AND(R15="way of the four elements",Q12&gt;=5),"Max. Ki Point for Spell - "&amp;INDEX('Class Tables'!N120:N137,MATCH(Q12,('Class Tables'!M120:M137),0)),IF(AND(R15="way of the shadow",Q12&gt;=6),"Shadow Step",IF(R15="way of the open hand","Open Hand Technique",IF(R15="eldritch knight","Weapon Bond",IF(AND(R15="battle master",Q12&gt;=7),"Know Your Enemy",IF(R15="champion","Improved Critical",IF(R15="moon","Combat Wild Shape",IF(R15="land","Natural Recovery",IF(AND(R15="war",Q12&gt;=1),"War Priest",IF(AND(R15="trickery",Q12&gt;=1),"Blessing of the Trickster",IF(AND(R15="nature",Q12&gt;=1),"Wrath of the Storm",IF(AND(R15="Nature",Q12&gt;=2),"Channel Divinity: Charm Animals and Plants",IF(AND(R15="light",Q12&gt;=1),"Warding Flare",IF(R15="life","Disciple of Life",IF(AND(R15="knowledge",Q12&gt;=2),"Channel Divinity: Knowledge of the Ages",IF(R15="path of the berserker","Frenzy",IF(R15="path of the totem warrior","Spirit Seeker",IF(R15="college of lore","Cutting Words",IF(R15="college of valor","Combat Inspiration"," "))))))))))))))))))))))))))))))))</f>
        <v xml:space="preserve"> </v>
      </c>
      <c r="S16" s="33" t="str">
        <f ca="1">IF(S11="soldier","Military Rank",IF(S11="sage","Researcher",IF(S11="outlander","Wanderer",IF(S11="guild artisan","Guild Membership",IF(S11="entertainer","By Popular Demand",IF(S11="criminal",VLOOKUP(RANDBETWEEN(1,8),Table256[],2)," "))))))</f>
        <v xml:space="preserve"> </v>
      </c>
      <c r="AE16" s="29" t="s">
        <v>1339</v>
      </c>
      <c r="AF16" s="29">
        <f ca="1">IF(AND(AF14=2,OR(Q11="monk",Q11="barbarian",Q11="warlock"),OR(O11="paladin",O11="ranger",P15="arcane trickster",P15="eldritch knight")),Q12,IF(AND($AF$14=2,OR(O11="bard",O11="druid",O11="cleric",O11="sorcerer",O11="wizard")),O12,IF(AND($AF$14=2,OR(O11="paladin",O11="ranger")),O12*0.5,IF(AND($AF$14=2,OR($P$15="arcane trickster",$P$15="eldritch knight")),O12*0.33,0))))</f>
        <v>0</v>
      </c>
      <c r="AH16" s="29" t="s">
        <v>21</v>
      </c>
      <c r="AI16" s="29">
        <f ca="1">$P$41</f>
        <v>1</v>
      </c>
      <c r="AJ16" s="29" t="str">
        <f t="shared" ref="AJ16:AU16" ca="1" si="21">IF(COUNTIF(AJ$27:AJ$33,$AH$16),$P$8," ")</f>
        <v xml:space="preserve"> </v>
      </c>
      <c r="AK16" s="29" t="str">
        <f t="shared" ca="1" si="21"/>
        <v xml:space="preserve"> </v>
      </c>
      <c r="AL16" s="29" t="str">
        <f t="shared" ca="1" si="21"/>
        <v xml:space="preserve"> </v>
      </c>
      <c r="AM16" s="29" t="str">
        <f t="shared" ca="1" si="21"/>
        <v xml:space="preserve"> </v>
      </c>
      <c r="AN16" s="29" t="str">
        <f t="shared" ca="1" si="21"/>
        <v xml:space="preserve"> </v>
      </c>
      <c r="AO16" s="29" t="str">
        <f t="shared" ca="1" si="21"/>
        <v xml:space="preserve"> </v>
      </c>
      <c r="AP16" s="29" t="str">
        <f t="shared" ca="1" si="21"/>
        <v xml:space="preserve"> </v>
      </c>
      <c r="AQ16" s="29" t="str">
        <f t="shared" ca="1" si="21"/>
        <v xml:space="preserve"> </v>
      </c>
      <c r="AR16" s="29" t="str">
        <f t="shared" ca="1" si="21"/>
        <v xml:space="preserve"> </v>
      </c>
      <c r="AS16" s="29" t="str">
        <f t="shared" ca="1" si="21"/>
        <v xml:space="preserve"> </v>
      </c>
      <c r="AT16" s="29" t="str">
        <f t="shared" ca="1" si="21"/>
        <v xml:space="preserve"> </v>
      </c>
      <c r="AU16" s="29" t="str">
        <f t="shared" ca="1" si="21"/>
        <v xml:space="preserve"> </v>
      </c>
      <c r="AV16" s="29">
        <f t="shared" ca="1" si="8"/>
        <v>0</v>
      </c>
      <c r="AW16" s="29" t="s">
        <v>21</v>
      </c>
      <c r="BM16" s="29">
        <f t="shared" si="2"/>
        <v>0</v>
      </c>
      <c r="BN16" s="29">
        <f t="shared" ca="1" si="9"/>
        <v>0</v>
      </c>
      <c r="BO16" s="29" t="str">
        <f t="shared" ca="1" si="3"/>
        <v xml:space="preserve"> </v>
      </c>
      <c r="BP16" s="29" t="str">
        <f t="shared" ca="1" si="4"/>
        <v xml:space="preserve"> </v>
      </c>
      <c r="BQ16" s="29" t="str">
        <f t="shared" ca="1" si="5"/>
        <v xml:space="preserve"> </v>
      </c>
      <c r="BR16" s="29">
        <f t="shared" ca="1" si="6"/>
        <v>0</v>
      </c>
      <c r="BS16" s="29">
        <f ca="1">IF(AND($BY$28=1,OR($P$15="knowledge",$R$15="knowledge")),$P$8*2,IF(AND($BY$28=2,OR($P$15="knowledge",$R$15="knowledge")),$P$8*2,0))</f>
        <v>0</v>
      </c>
      <c r="BT16" s="29">
        <f ca="1">IF(AND(BY31=1,OR($P$15="nature",$R$15="nature")),$P$8,0)</f>
        <v>0</v>
      </c>
      <c r="BU16" s="29">
        <f t="shared" ca="1" si="10"/>
        <v>0</v>
      </c>
      <c r="BV16" s="29" t="s">
        <v>21</v>
      </c>
      <c r="CB16" s="35">
        <f t="shared" ca="1" si="14"/>
        <v>3</v>
      </c>
      <c r="CC16" s="36">
        <f t="shared" ca="1" si="15"/>
        <v>0.85084614995687891</v>
      </c>
      <c r="CD16" s="29" t="s">
        <v>17</v>
      </c>
    </row>
    <row r="17" spans="2:83" ht="26.25" thickBot="1" x14ac:dyDescent="0.4">
      <c r="B17" s="33" t="str">
        <f ca="1">IF(Q2="dwarf","Stonecunning",IF(Q2="elf","Trance",IF(Q2="halfling","Halfling Nimbleness",IF(P2="forest","Speak with Small Beasts",IF(P2="rock","Artificer's Lore",IF(Q2="half-orc","Relentless Endurance",IF(Q2="tiefling","Infernal Legacy"," ")))))))</f>
        <v xml:space="preserve"> </v>
      </c>
      <c r="O17" s="33" t="str">
        <f ca="1">IF(O11="wizard","Arcane Recovery - "&amp;ROUNDDOWN(O12*0.5,0)&amp;" slots",IF(AND(O11="warlock",O12&gt;=20),"Eldritch Master",IF(AND(O11="sorcerer",O12&gt;=2),"Flexible Casting",IF(AND(O11="rogue",O12&gt;=5),"Uncanny Dodge",IF(O11="ranger","Natural Explorer: "&amp;INDEX('Class Tables'!F212:F219,MATCH(1,('Class Tables'!D212:D219),0)),IF(AND(O11="paladin",O12&gt;=2),VLOOKUP(RANDBETWEEN(1,4),Table89[],2),IF(AND(O11="monk",O12&gt;=2),"Ki Points - "&amp;INDEX('Class Tables'!K98:K117,MATCH(O12,('Class Tables'!I98:I117),0)),IF(AND(O11="fighter",O12&gt;=2),"Action Surge",IF(AND($O$11="barbarian",$O$12&gt;=2),"Reckless Attack",IF(AND(O11="bard",O12&gt;=2),"Song of Rest - "&amp;INDEX('Class Tables'!N58:N77,MATCH(O12,('Class Tables'!L58:L77),0))&amp;" hp",IF(AND(O11="druid",O12&gt;=2),"Wild Shape - "&amp;INDEX('Class Tables'!R140:R159,MATCH(O12,('Class Tables'!Q140:Q159),0)),IF(AND(O11="cleric",O12&gt;=2),"Channel Divinity - "&amp;INDEX('Class Tables'!N140:N159,MATCH(O12,('Class Tables'!M140:M159),0))&amp;" uses"," "))))))))))))</f>
        <v xml:space="preserve"> </v>
      </c>
      <c r="P17" s="33" t="str">
        <f ca="1">IF(AND(P15="school of transmutation",O12&gt;=2),"Minor Alchemy",IF(AND(P15="school of necromancy",O12&gt;=2),"Grim Harvest",IF(AND(P15="school of illusion",O12&gt;=2),"Improved Minor Illusion",IF(AND(P15="school of evocation",O12&gt;=2),"Sculpt Spells",IF(AND(P15="school of enchantment",O12&gt;=2),"Hypnotic Gaze",IF(AND(P15="school of divination",O12&gt;=2),"Portent",IF(AND(P15="school of conjuration",O12&gt;=2),"Minor Conjuration",IF(P15="school of abjuration","Arcane Ward - "&amp;SUM(O12,P41)&amp;" hp",IF(AND(P15="otherworldly patron - great old one",O12&gt;=6),"Entropic Ward",IF(AND(P15="otherworldly patron - fiend",O12&gt;=10),"Fiendish Resilience",IF(AND(P15="otherworldly patron - Archfey",O12&gt;=6),"Misty Escape",IF(P15="wild magic","Tides of Chaos",IF(P15="draconic bloodline","Draconic Resilience - AC "&amp;SUM(13+P39),IF(AND(P15="arcane trickster",O12&gt;=9),"Magical Ambush",IF(AND(P15="assassin",O12&gt;=9),"Infiltration Expertise",IF(P15="thief","Second-Story Work",IF(AND(P15="beastmaster",O12&gt;=7),"Exceptional Training",IF(AND(P15="hunter",O12&gt;=7),VLOOKUP(RANDBETWEEN(1,3),Table126[],2),IF(P15="oath of vengeance","Channel Divinity: Vow of Enmity",IF(P15="oath of the ancients","Channel Divinity: Turn the Faithless",IF(P15="oath of devotion","Channel Divinity: Turn the Unholy",IF(P15="way of the four elements","Elemental Attunement",IF(AND(P15="way of the shadow",O12&gt;=11),"Cloak of Shadows",IF(AND(P15="way of the open hand",O12&gt;=6),"Wholeness of Body "&amp;O12*3&amp;" hp",IF(AND(P15="eldritch knight",O12&gt;=7),"War Magic",IF(AND(P15="battle master",O12&gt;=15),"Relentless",IF(AND(P15="champion",O12&gt;=7),"Remarkable Athlete",IF(P15="moon","Circle Forms - CR: "&amp;ROUNDDOWN(O12*0.33,0),IF(AND(P15="land",O12&gt;=6),"Land's Stride",IF(AND(P15="war",O12&gt;=2),"Channel Divinity: Guided Strike",IF(AND(P15="trickery",O12&gt;=2),"Channel Divinity: Invoke Duplicity",IF(AND(P15="tempest",O12&gt;=2),"Channel Divinity: Destructive Wrath",IF(AND(P15="nature",O12&gt;=6),"Dampen Elements",IF(AND(P15="light",O12&gt;=2),"Channel Divinity: Radiance of the Dawn",IF(AND(P15="life",O12&gt;=2),"Channel Divinity: Preserve Life - "&amp;O12*5&amp;" hp",IF(AND(P15="knowledge",O12&gt;=6),"Channel Divinity: Read Thoughts",IF($P$15="path of the totem warrior",VLOOKUP(RANDBETWEEN(1,3),Table44[],2),IF(AND(P15="college of lore",O12&gt;=14),"Peerless Skill",IF(AND(P15="college of valor",O12&gt;=6),"Extra Attack"," ")))))))))))))))))))))))))))))))))))))))</f>
        <v xml:space="preserve"> </v>
      </c>
      <c r="Q17" s="33" t="str">
        <f ca="1">IF(Q11="wizard","Arcane Recovery - "&amp;ROUNDDOWN(Q12*0.5,0)&amp;" slots",IF(AND(Q11="sorcerer",Q12&gt;=2),"Flexible Casting",IF(AND(Q11="rogue",Q12&gt;=5),"Uncanny Dodge",IF(Q11="ranger","Natural Explorer: "&amp;INDEX('Class Tables'!F212:F219,MATCH(1,('Class Tables'!D212:D219),0)),IF(AND(Q11="paladin",Q12&gt;=2),VLOOKUP(RANDBETWEEN(1,4),Table89[],2),IF(AND(Q11="monk",Q12&gt;=2),"Ki Points - "&amp;INDEX('Class Tables'!K98:K117,MATCH(Q12,('Class Tables'!I98:I117),0)),IF(AND(Q11="fighter",Q12&gt;=2),"Action Surge",IF(AND($Q$11="barbarian",$Q$12&gt;=2),"Reckless Attack",IF(AND(Q11="bard",Q12&gt;=2),"Song of Rest - "&amp;INDEX('Class Tables'!N58:N77,MATCH(Q12,('Class Tables'!L58:L77),0))&amp;" hp",IF(AND(Q11="cleric",Q12&gt;=2),"Channel Divinity - "&amp;INDEX('Class Tables'!N140:N159,MATCH(Q12,('Class Tables'!M140:M159),0))&amp;" uses",IF(AND(Q11="druid",Q12&gt;=2),"Wild Shape - "&amp;INDEX('Class Tables'!R140:R159,MATCH(Q12,('Class Tables'!Q140:Q159),0))," ")))))))))))</f>
        <v xml:space="preserve"> </v>
      </c>
      <c r="R17" s="33" t="str">
        <f ca="1">IF(AND(R15="otherworldly patron - great old one",Q12&gt;=6),"Entropic Ward",IF(AND(R15="otherworldly patron - fiend",Q12&gt;=10),"Fiendish Resilience",IF(AND(R15="otherworldly patron - Archfey",Q12&gt;=6),"Misty Escape",IF(R15="wild magic","Tides of Chaos",IF(R15="draconic bloodline","Draconic Resilience - AC "&amp;SUM(13+P39),IF(AND(R15="arcane trickster",Q12&gt;=9),"Magical Ambush",IF(AND(R15="assassin",Q12&gt;=9),"Infiltration Expertise",IF(R15="thief","Second-Story Work",IF(AND(R15="beastmaster",Q12&gt;=7),"Exceptional Training",IF(AND(R15="hunter",Q12&gt;=7),VLOOKUP(RANDBETWEEN(1,3),Table126[],2),IF(R15="oath of vengeance","Channel Divinity: Vow of Enmity",IF(R15="oath of the ancients","Channel Divinity: Turn the Faithless",IF(R15="oath of devotion","Channel Divinity: Turn the Unholy",IF(R15="way of the four elements","Elemental Attunement",IF(AND(R15="way of the open hand",Q12&gt;=6),"Wholeness of Body "&amp;Q12*3&amp;" hp",IF(AND(R15="eldritch knight",Q12&gt;=7),"War Magic",IF(AND(R15="champion",Q12&gt;=7),"Remarkable Athlete",IF(R15="moon","Circle Forms",IF(AND(R15="land",Q12&gt;=6),"Land's Stride",IF(AND(R15="war",Q12&gt;=2),"Channel Divinity: Guided Strike",IF(AND(R15="trickery",Q12&gt;=2),"Channel Divinity: Invoke Duplicity",IF(AND(R15="nature",Q12&gt;=2),"Channel Divinity: Destructive Wrath",IF(AND(R15="nature",Q12&gt;=6),"Dampen Elements",IF(AND(R15="light",Q12&gt;=2),"Channel Divinity: Radiance of the Dawn",IF(AND(R15="life",Q12&gt;=2),"Channel Divinity: Preserve Life - "&amp;Q12*5&amp;" hp",IF(AND(R15="knowledge",Q12&gt;=6),"Channel Divinity: Read Thoughts",IF($R$15="path of the totem warrior",VLOOKUP(RANDBETWEEN(1,3),Table44[],2),IF(AND(Q12&gt;=14,R15="college of lore"),"Peerless Skill",IF(AND(Q12&gt;=6,R15="College of Valor"),"Extra Attack"," ")))))))))))))))))))))))))))))</f>
        <v xml:space="preserve"> </v>
      </c>
      <c r="S17" s="123" t="s">
        <v>40</v>
      </c>
      <c r="AE17" s="29" t="s">
        <v>1337</v>
      </c>
      <c r="AF17" s="29">
        <f ca="1">IF(AND(AF14=2,OR(O11="monk",O11="barbarian",O11="warlock"),OR(Q11="paladin",Q11="ranger",R15="arcane trickster",R15="eldritch knight")),Q12,IF(AND($AF$14=2,OR(Q11="bard",Q11="druid",Q11="cleric",Q11="sorcerer",Q11="wizard")),Q12,IF(AND($AF$14=2,OR(Q11="paladin",Q11="ranger")),Q12*0.5,IF(AND($AF$14=2,OR($R$15="arcane trickster",$R$15="eldritch knight")),Q12*0.33,0))))</f>
        <v>0</v>
      </c>
      <c r="AH17" s="29" t="s">
        <v>22</v>
      </c>
      <c r="AI17" s="29">
        <f ca="1">$P$42</f>
        <v>2</v>
      </c>
      <c r="AJ17" s="29" t="str">
        <f t="shared" ref="AJ17:AU17" ca="1" si="22">IF(COUNTIF(AJ$27:AJ$33,$AH$17),$P$8," ")</f>
        <v xml:space="preserve"> </v>
      </c>
      <c r="AK17" s="29" t="str">
        <f t="shared" ca="1" si="22"/>
        <v xml:space="preserve"> </v>
      </c>
      <c r="AL17" s="29" t="str">
        <f t="shared" ca="1" si="22"/>
        <v xml:space="preserve"> </v>
      </c>
      <c r="AM17" s="29" t="str">
        <f t="shared" ca="1" si="22"/>
        <v xml:space="preserve"> </v>
      </c>
      <c r="AN17" s="29" t="str">
        <f t="shared" ca="1" si="22"/>
        <v xml:space="preserve"> </v>
      </c>
      <c r="AO17" s="29" t="str">
        <f t="shared" ca="1" si="22"/>
        <v xml:space="preserve"> </v>
      </c>
      <c r="AP17" s="29" t="str">
        <f t="shared" ca="1" si="22"/>
        <v xml:space="preserve"> </v>
      </c>
      <c r="AQ17" s="29" t="str">
        <f t="shared" ca="1" si="22"/>
        <v xml:space="preserve"> </v>
      </c>
      <c r="AR17" s="29" t="str">
        <f t="shared" ca="1" si="22"/>
        <v xml:space="preserve"> </v>
      </c>
      <c r="AS17" s="29" t="str">
        <f t="shared" ca="1" si="22"/>
        <v xml:space="preserve"> </v>
      </c>
      <c r="AT17" s="29" t="str">
        <f t="shared" ca="1" si="22"/>
        <v xml:space="preserve"> </v>
      </c>
      <c r="AU17" s="29" t="str">
        <f t="shared" ca="1" si="22"/>
        <v xml:space="preserve"> </v>
      </c>
      <c r="AV17" s="29">
        <f t="shared" ca="1" si="8"/>
        <v>0</v>
      </c>
      <c r="AW17" s="29" t="s">
        <v>22</v>
      </c>
      <c r="BH17" s="29" t="str">
        <f ca="1">IF(S11="Pirate",P8," ")</f>
        <v xml:space="preserve"> </v>
      </c>
      <c r="BJ17" s="29" t="str">
        <f ca="1">IF(S11="Sailor",P8," ")</f>
        <v xml:space="preserve"> </v>
      </c>
      <c r="BM17" s="29">
        <f t="shared" ca="1" si="2"/>
        <v>0</v>
      </c>
      <c r="BN17" s="29">
        <f t="shared" ca="1" si="9"/>
        <v>0</v>
      </c>
      <c r="BO17" s="29" t="str">
        <f t="shared" ca="1" si="3"/>
        <v xml:space="preserve"> </v>
      </c>
      <c r="BP17" s="29" t="str">
        <f t="shared" ca="1" si="4"/>
        <v xml:space="preserve"> </v>
      </c>
      <c r="BQ17" s="29" t="str">
        <f t="shared" ca="1" si="5"/>
        <v xml:space="preserve"> </v>
      </c>
      <c r="BR17" s="29">
        <f t="shared" ca="1" si="6"/>
        <v>0</v>
      </c>
      <c r="BU17" s="29">
        <f t="shared" ca="1" si="10"/>
        <v>0</v>
      </c>
      <c r="BV17" s="29" t="s">
        <v>22</v>
      </c>
      <c r="CB17" s="35">
        <f t="shared" ca="1" si="14"/>
        <v>15</v>
      </c>
      <c r="CC17" s="36">
        <f t="shared" ca="1" si="15"/>
        <v>0.30163319907384079</v>
      </c>
      <c r="CD17" s="29" t="s">
        <v>18</v>
      </c>
    </row>
    <row r="18" spans="2:83" ht="19.5" thickTop="1" x14ac:dyDescent="0.3">
      <c r="B18" s="33" t="str">
        <f ca="1">IF(P2="wood","Mask of the Wild",IF(P2="dark","Sunlight Sensitivity",IF(P2="lightfoot","Naturally Stealthy",IF(P2="stout","Stout Resilience",IF(P2="rock","Tinker",IF(Q2="half-orc","Savage Attacks"," "))))))</f>
        <v xml:space="preserve"> </v>
      </c>
      <c r="O18" s="33" t="str">
        <f ca="1">IF(AND(O11="wizard",O12&gt;=18),"Spell Mastery - "&amp;INDEX(Q193:Q202,MATCH(1,(O193:O202),0)),IF(AND(AF26=2,O11="warlock",O12&gt;=2,COUNTIF(P193:P202,"*"&amp;"eldritch blast"&amp;"*")),"Invocation - Agonizing Blast",IF(AND(O11="warlock",O12&gt;=15),"Invocation - "&amp;INDEX('Class Tables'!F164:F187,MATCH(1,('Class Tables'!D164:D187),0)),IF(AND(O11="warlock",O12&gt;=9),"Invocation - "&amp;INDEX('Class Tables'!F141:F161,MATCH(1,('Class Tables'!D141:D161),0)),IF(AND(O11="warlock",O12&gt;=7),"Invocation - "&amp;INDEX('Class Tables'!F122:F138,MATCH(1,('Class Tables'!D122:D138),0)),IF(AND(O11="warlock",O12&gt;=5),"Invocation - "&amp;INDEX('Class Tables'!F106:F119,MATCH(1,('Class Tables'!D106:D119),0)),IF(AND(O11="warlock",O12&gt;=2),"Invocation - "&amp;INDEX('Class Tables'!F93:F103,MATCH(1,('Class Tables'!D93:D103),0)),IF(AND(O11="sorcerer",O12&gt;=3),"MM - "&amp;INDEX('Class Tables'!F78:F85,MATCH(1,('Class Tables'!D78:D85),0)),IF(AND(O11="rogue",O12&gt;=7),"Evasion",IF(AND(O11="ranger",O12&gt;=2),VLOOKUP(RANDBETWEEN(1,4),Table96[],2),IF(AND(O11="paladin",O12&gt;=2),"Spellcasting Focus",IF(AND(O11="monk",O12&gt;=2),"Ki DC - "&amp;SUM(8,P8,P42),IF(AND(O11="fighter",O12&gt;=5),"Extra Attack -"&amp;INDEX('Class Tables'!U140:U159,MATCH(O12,('Class Tables'!T140:T159),0)),IF(AND($O$11="barbarian",$O$12&gt;=2),"Danger Sense",IF(AND(O11="bard",O12&gt;=5),"Font of Inspiration",IF(AND(O11="druid",O12&gt;=18),"Timeless Body",IF(AND(O11="cleric",O12&gt;=2),"Channel Divinity: Turn Undead"," ")))))))))))))))))</f>
        <v xml:space="preserve"> </v>
      </c>
      <c r="P18" s="33" t="str">
        <f ca="1">IF(AND(P15="school of transmutation",O12&gt;=6),"Transmuter's Stone",IF(AND(P15="school of necromancy",O12&gt;=6),"Undead Thralls",IF(AND(P15="school of illusion",O12&gt;=6),"Malleable Illusions",IF(AND(P15="school of evocation",O12&gt;=6),"Potent Cantrip",IF(AND(P15="school of enchantment",O12&gt;=6),"Instinctive Charm",IF(AND(P15="school of divination",O12&gt;=6),"Expert Divination",IF(AND(P15="school of conjuration",O12&gt;=6),"Benign Transposition",IF(AND(P15="school of abjuration",O12&gt;=6),"Projected Ward",IF(AND(P15="otherworldly patron - great old one",O12&gt;=10),"Thought Shield",IF(AND(P15="otherworldly patron - fiend",O12&gt;=14),"Hurl Through Hell",IF(AND(P15="otherworldly patron - Archfey",O12&gt;=10),"Beguiling Defenses",IF(AND(P15="wild magic",O12&gt;=6),"Bend Luck",IF(AND(P15="draconic bloodline",O12&gt;=6),"Elemental Affinity",IF(AND(P15="arcane trickster",O12&gt;=13),"Versatile Trickster",IF(AND(P15="assassin",O12&gt;=13),"Imposter",IF(AND(P15="thief",O12&gt;=9),"Supreme Sneak",IF(AND(P15="beastmaster",O12&gt;=11),"Beastial Fury",IF(AND(P15="hunter",O12&gt;=11),VLOOKUP(RANDBETWEEN(1,2),Table179[],2),IF(AND(P15="oath of vengeance",O12&gt;=7),"Relentless Avenger",IF(AND(P15="oath of the ancients",O12&gt;=7),"Aura of Warding",IF(AND(P15="oath of devotion",O12&gt;=7),"Aura of Devotion",IF(P15="way of the four elements",INDEX('Class Tables'!K120:K126,MATCH(1,('Class Tables'!I120:I126),0)),IF(AND(P15="way of the shadow",O12&gt;=17),"Opportunist",IF(AND(P15="way of the open hand",O12&gt;=11),"Tranquility DC "&amp;SUM(8,P42,P8),IF(AND(P15="eldritch knight",O12&gt;=10),"Eldritch Strike",IF(P15="battle Master",INDEX('Class Tables'!J58:J77,MATCH(O12,('Class Tables'!I58:I77),0)),IF(AND(P15="champion",O12&gt;=10),INDEX('Class Tables'!F48:F53,MATCH(2,('Class Tables'!D48:D53),0)),IF(AND(P15="moon",O12&gt;=6),"Primal Strike",IF(AND(P15="land",O12&gt;=10),"Nature's Ward",IF(AND(P15="war",O12&gt;=6),"Channel Divinity: War God's Blessing",IF(AND(P15="trickery",O12&gt;=6),"Channel Divinity: Cloak of Shadows",IF(AND(P15="nature",O12&gt;=6),"Thunderbolt Strike",IF(AND(P15="nature",O12&gt;=8),"Divine Strike",IF(AND(P15="light",O12&gt;=6),"Improved Flare",IF(AND(P15="life",O12&gt;=6),"Blessed Healer",IF(AND(P15="knowledge",O12&gt;=8),"Potent Spellcasting",IF(AND(P15="path of the berserker",O12&gt;=6,O11="barbarian"),"Mindless Rage",IF(AND(P15="path of the totem warrior",O12&gt;=6,O11="barbarian"),VLOOKUP(RANDBETWEEN(1,3),Table44[],3),IF(AND(P15="college of valor",O12&gt;=14),"Battle Magic"," ")))))))))))))))))))))))))))))))))))))))</f>
        <v xml:space="preserve"> </v>
      </c>
      <c r="Q18" s="33" t="str">
        <f ca="1">IF(AND(Q11="warlock",Q12&gt;=9),"Invocation - "&amp;INDEX('Class Tables'!F141:F161,MATCH(1,('Class Tables'!D141:D161),0)),IF(AND(Q11="warlock",Q12&gt;=7),"Invocation - "&amp;INDEX('Class Tables'!F122:F138,MATCH(1,('Class Tables'!D122:D138),0)),IF(AND(Q11="warlock",Q12&gt;=5),"Invocation - "&amp;INDEX('Class Tables'!F106:F119,MATCH(1,('Class Tables'!D106:D119),0)),IF(AND(Q11="warlock",Q12&gt;=2),"Invocation - "&amp;INDEX('Class Tables'!F93:F103,MATCH(1,('Class Tables'!D93:D103),0)),IF(AND(Q11="sorcerer",Q12&gt;=3),"MM - "&amp;INDEX('Class Tables'!F78:F85,MATCH(1,('Class Tables'!D78:D85),0)),IF(AND(Q11="rogue",Q12&gt;=7),"Evasion",IF(AND(Q11="ranger",Q12&gt;=2),VLOOKUP(RANDBETWEEN(1,4),Table96[],2),IF(AND(Q11="paladin",Q12&gt;=2),"Spellcasting Focus",IF(AND(Q11="monk",Q12&gt;=2),"Ki DC - "&amp;SUM(8,P8,P42),IF(AND(Q11="fighter",Q12&gt;=5),"Extra Attack - "&amp;INDEX('Class Tables'!U140:U159,MATCH(Q12,('Class Tables'!T140:T159),0)),IF(AND($Q$11="barbarian",$Q$12&gt;=2),"Danger Sense",IF(AND(Q11="bard",Q12&gt;=5),"Font of Inspiration",IF(AND(Q11="cleric",Q12&gt;=2),"Channel Divinity: Turn Undead",IF(AND(Q11="druid",Q12&gt;=18),"Timeless Body"," "))))))))))))))</f>
        <v xml:space="preserve"> </v>
      </c>
      <c r="R18" s="33" t="str">
        <f ca="1">IF(AND(R15="otherworldly patron - great old one",Q12&gt;=10),"Thought Shield",IF(AND(R15="otherworldly patron - Archfey",Q12&gt;=10),"Beguiling Defenses",IF(AND(R15="wild magic",Q12&gt;=6),"Bend Luck",IF(AND(R15="draconic bloodline",Q12&gt;=6),"Elemental Affinity",IF(AND(R15="thief",Q12&gt;=9),"Supreme Sneak",IF(AND(R15="oath of vengeance",Q12&gt;=7),"Relentless Avenger",IF(AND(R15="oath of the ancients",Q12&gt;=7),"Aura of Warding",IF(AND(R15="oath of devotion",Q12&gt;=7),"Aura of Devotion",IF(R15="way of the four elements",INDEX('Class Tables'!K120:K126,MATCH(1,('Class Tables'!I120:I126),0)),IF(AND(R15="eldritch knight",Q12&gt;=10),"Eldritch Strike",IF(R15="battle Master",INDEX('Class Tables'!J58:J77,MATCH(Q12,('Class Tables'!I58:I77),0)),IF(AND(R15="champion",Q12&gt;=10),INDEX('Class Tables'!F48:F53,MATCH(2,('Class Tables'!D48:D53),0)),IF(AND(R15="moon",Q12&gt;=6),"Primal Strike",IF(AND(R15="land",Q12&gt;=10),"Nature's Ward",IF(AND(R15="war",Q12&gt;=6),"War God's Blessing",IF(AND(R15="trickery",Q12&gt;=6),"Channel Divinity: Cloak of Shadows",IF(AND(R15="nature",Q12&gt;=6),"Thunderbolt Strike",IF(AND(R15="nature",Q12&gt;=8),"Divine Strike",IF(AND(R15="light",Q12&gt;=6),"Improved Flare",IF(AND(R15="life",Q12&gt;=6),"Blessed Healer",IF(AND(R15="knowledge",Q12&gt;=8),"Potent Spellcasting",IF(AND(R15="path of the berserker",Q12&gt;=6),"Mindless Rage",IF(AND(R15="path of the totem warrior",Q12&gt;=6),VLOOKUP(RANDBETWEEN(1,3),Table44[],3)," ")))))))))))))))))))))))</f>
        <v xml:space="preserve"> </v>
      </c>
      <c r="S18" s="33" t="s">
        <v>51</v>
      </c>
      <c r="AE18" s="29" t="s">
        <v>1338</v>
      </c>
      <c r="AF18" s="29">
        <f ca="1">ROUNDDOWN(SUM(AF16:AF17),0)</f>
        <v>0</v>
      </c>
      <c r="AH18" s="29" t="s">
        <v>23</v>
      </c>
      <c r="AI18" s="29">
        <f ca="1">$P$43</f>
        <v>2</v>
      </c>
      <c r="AJ18" s="29" t="str">
        <f t="shared" ref="AJ18:AU18" ca="1" si="23">IF(COUNTIF(AJ$27:AJ$33,$AH$18),$P$8," ")</f>
        <v xml:space="preserve"> </v>
      </c>
      <c r="AK18" s="29" t="str">
        <f t="shared" ca="1" si="23"/>
        <v xml:space="preserve"> </v>
      </c>
      <c r="AL18" s="29" t="str">
        <f t="shared" ca="1" si="23"/>
        <v xml:space="preserve"> </v>
      </c>
      <c r="AM18" s="29" t="str">
        <f t="shared" ca="1" si="23"/>
        <v xml:space="preserve"> </v>
      </c>
      <c r="AN18" s="29" t="str">
        <f t="shared" ca="1" si="23"/>
        <v xml:space="preserve"> </v>
      </c>
      <c r="AO18" s="29" t="str">
        <f t="shared" ca="1" si="23"/>
        <v xml:space="preserve"> </v>
      </c>
      <c r="AP18" s="29" t="str">
        <f t="shared" ca="1" si="23"/>
        <v xml:space="preserve"> </v>
      </c>
      <c r="AQ18" s="29" t="str">
        <f t="shared" ca="1" si="23"/>
        <v xml:space="preserve"> </v>
      </c>
      <c r="AR18" s="29" t="str">
        <f t="shared" ca="1" si="23"/>
        <v xml:space="preserve"> </v>
      </c>
      <c r="AS18" s="29" t="str">
        <f t="shared" ca="1" si="23"/>
        <v xml:space="preserve"> </v>
      </c>
      <c r="AT18" s="29" t="str">
        <f t="shared" ca="1" si="23"/>
        <v xml:space="preserve"> </v>
      </c>
      <c r="AU18" s="29" t="str">
        <f t="shared" ca="1" si="23"/>
        <v xml:space="preserve"> </v>
      </c>
      <c r="AV18" s="29">
        <f t="shared" ca="1" si="8"/>
        <v>0</v>
      </c>
      <c r="AW18" s="29" t="s">
        <v>23</v>
      </c>
      <c r="BA18" s="29" t="str">
        <f ca="1">IF(S11="Entertainer",P8," ")</f>
        <v xml:space="preserve"> </v>
      </c>
      <c r="BM18" s="29">
        <f t="shared" ca="1" si="2"/>
        <v>0</v>
      </c>
      <c r="BN18" s="29">
        <f t="shared" ca="1" si="9"/>
        <v>0</v>
      </c>
      <c r="BO18" s="29" t="str">
        <f t="shared" ca="1" si="3"/>
        <v xml:space="preserve"> </v>
      </c>
      <c r="BP18" s="29" t="str">
        <f t="shared" ca="1" si="4"/>
        <v xml:space="preserve"> </v>
      </c>
      <c r="BQ18" s="29" t="str">
        <f t="shared" ca="1" si="5"/>
        <v xml:space="preserve"> </v>
      </c>
      <c r="BR18" s="29">
        <f t="shared" ca="1" si="6"/>
        <v>0</v>
      </c>
      <c r="BU18" s="29">
        <f t="shared" ca="1" si="10"/>
        <v>0</v>
      </c>
      <c r="BV18" s="29" t="s">
        <v>23</v>
      </c>
      <c r="CB18" s="35">
        <f t="shared" ca="1" si="14"/>
        <v>17</v>
      </c>
      <c r="CC18" s="36">
        <f t="shared" ca="1" si="15"/>
        <v>0.21890243643039797</v>
      </c>
      <c r="CD18" s="29" t="s">
        <v>19</v>
      </c>
    </row>
    <row r="19" spans="2:83" x14ac:dyDescent="0.3">
      <c r="B19" s="33" t="str">
        <f ca="1">IF(P2="dark","Drow Magic"," ")</f>
        <v xml:space="preserve"> </v>
      </c>
      <c r="O19" s="33" t="str">
        <f ca="1">IF(AND(O11="wizard",O12&gt;=18),"Spell Mastery - "&amp;INDEX(R193:R202,MATCH(1,(O193:O202),0)),IF(AND(O12&gt;=2,O16="pact of the chain",AF26=1),"Invocation - Voice of the Chain Master",IF(AND(O12&gt;=5,O16="pact of the blade",AF26=1),"Invocation - Thirsting Blade",IF(AND(O11="warlock",O12&gt;=2,O16="pact of the tome",AF26=1),"Invocation - Book of Ancient Secrets",IF(AND(O11="warlock",O12&gt;=2,COUNTIF(P193:P202,"*"&amp;"Eldritch blast"&amp;"*")),"Invocation - Repelling Blast",IF(AND(O11="warlock",O12&gt;=15),"Invocation - "&amp;INDEX('Class Tables'!F164:F187,MATCH(2,('Class Tables'!D164:D187),0)),IF(AND(O11="warlock",O12&gt;=9),"Invocation - "&amp;INDEX('Class Tables'!F141:F161,MATCH(2,('Class Tables'!D141:D161),0)),IF(AND(O11="warlock",O12&gt;=7),"Invocation - "&amp;INDEX('Class Tables'!F122:F138,MATCH(2,('Class Tables'!D122:D138),0)),IF(AND(O11="warlock",O12&gt;=5),"Invocation - "&amp;INDEX('Class Tables'!F106:F119,MATCH(2,('Class Tables'!D106:D119),0)),IF(AND(O11="warlock",O12&gt;=2),"Invocation - "&amp;INDEX('Class Tables'!F93:F103,MATCH(2,('Class Tables'!D93:D103),0)),IF(AND(O11="sorcerer",O12&gt;=10),"MM - "&amp;INDEX('Class Tables'!F78:F85,MATCH(2,('Class Tables'!D78:D85),0)),IF(AND(O11="rogue",O12&gt;=11),"Reliable Talent",IF(AND(O11="ranger",O12&gt;=3),"Primeval Awareness",IF(AND(O11="paladin",O12&gt;=2),"Divine Smite",IF(AND(O11="monk",O12&gt;=2),"Flurry of Blows",IF(AND(O11="fighter",O12&gt;=9),"Indomitable",IF(AND($O$11="barbarian",$O$12&gt;=5),"Extra Attack",IF(AND(O11="bard",O12&gt;=6),"Countercharm",IF(AND(O11="cleric",O12&gt;=5),"Destroy Undead - "&amp;INDEX('Class Tables'!O140:O159,MATCH(O12,('Class Tables'!M140:M159),0)),IF(AND(O11="druid",O12&gt;=18),"Beast Spells"," "))))))))))))))))))))</f>
        <v xml:space="preserve"> </v>
      </c>
      <c r="P19" s="33" t="str">
        <f ca="1">IF(AND(P15="school of transmutation",O12&gt;=10),"Shapechanger",IF(AND(P15="school of necromancy",O12&gt;=10),"Inured to Undeath",IF(AND(P15="school of illusion",O12&gt;=10),"Illusory Self",IF(AND(P15="school of evocation",O12&gt;=10),"Empowered Evocation",IF(AND(P15="school of enchantment",O12&gt;=10),"Split Enchantment",IF(AND(P15="school of divination",O12&gt;=10),"The Third Eye",IF(AND(P15="school of conjuration",O12&gt;=10),"Focused Conjuration",IF(AND(P15="school of abjuration",O12&gt;=10),"Improved Abjuration",IF(AND(P15="otherworldly patron - great old one",O12&gt;=14),"Create Thrall",IF(AND(P15="otherworldly patron - Archfey",O12&gt;=14),"Dark Delirium",IF(AND(P15="wild magic",O12&gt;=14),"Controlled Chaos",IF(AND(P15="draconic bloodline",O12&gt;=14),"Dragon Wings",IF(AND(P15="arcane trickster",O12&gt;=17),"Spell Thief",IF(AND(P15="assassin",O12&gt;=17),"Death Strike DC"&amp;SUM(8,P8,P39),IF(AND(P15="thief",O12&gt;=13),"Use Magic Device",IF(AND(P15="beastmaster",O12&gt;=15),"Share Spells",IF(AND(P15="hunter",O12&gt;=15),VLOOKUP(RANDBETWEEN(1,3),Table199[],2),IF(AND(P15="oath of vengeance",O12&gt;=15),"Soul of Vengeance",IF(AND(P15="oath of the ancients",O12&gt;=15),"Undying Sentinel",(IF(AND(P15="oath of devotion",O12&gt;=15),"Purity of Spirit",IF(P15="way of the four elements",INDEX('Class Tables'!K120:K126,MATCH(2,('Class Tables'!I120:I126),0)),IF(AND(P15="way of the open hand",O12&gt;=17),"Quivering Palm",IF(AND(P15="eldritch Knight",O12&gt;=15),"Arcane Charge",IF(P15="battle master","Maneuver DC "&amp;SUM(P8,8,AF22),IF(AND(P15="champion",O12&gt;=15),"Superior Critcial",IF(AND(P15="moon",O12&gt;=10),"Elemental Wild Strike",IF(AND(P15="land",O12&gt;=14),"Nature's Sanctuary",IF(AND(P15="war",O12&gt;=8),"Divine Strike",IF(AND(P15="trickery",O12&gt;=8),"Divine Strike",IF(AND(P15="nature",O12&gt;=8),"Divine Strike",IF(AND(P15="nature",O12&gt;=17),"Master of Nature",IF(AND(P15="light",O12&gt;=8),"Potent Spellcasting",IF(AND(P15="life",O12&gt;=8),"Divine Strike",IF(AND(P15="knowledge",O12&gt;=17),"Visions of the Past",IF(AND(O12&gt;=10,P15="path of the berserker"),"Intimidating Presence DC "&amp;SUM(8,P8,P43),IF(AND(O12&gt;=10,P15="path of the totem warrior"),"Spirit Walker"," ")))))))))))))))))))))))))))))))))))))</f>
        <v xml:space="preserve"> </v>
      </c>
      <c r="Q19" s="33" t="str">
        <f ca="1">IF(AND(Q11="warlock",Q12&gt;=9),"Invocation - "&amp;INDEX('Class Tables'!F141:F161,MATCH(2,('Class Tables'!D141:D161),0)),IF(AND(Q11="warlock",Q12&gt;=7),"Invocation - "&amp;INDEX('Class Tables'!F122:F138,MATCH(2,('Class Tables'!D122:D138),0)),IF(AND(Q11="warlock",Q12&gt;=5),"Invocation - "&amp;INDEX('Class Tables'!F106:F119,MATCH(2,('Class Tables'!D106:D119),0)),IF(AND(Q11="warlock",Q12&gt;=2),"Invocation - "&amp;INDEX('Class Tables'!F93:F103,MATCH(2,('Class Tables'!D93:D103),0)),IF(AND(Q11="sorcerer",Q12&gt;=10),"MM - "&amp;INDEX('Class Tables'!F78:F85,MATCH(2,('Class Tables'!D78:D85),0)),IF(AND(Q11="ranger",Q12&gt;=3),"Primeval Awareness",IF(AND(Q11="paladin",Q12&gt;=2),"Divine Smite",IF(AND(Q11="monk",Q12&gt;=2),"Flurry of Blows",IF(AND(Q11="fighter",Q12&gt;=9),"Indomitable",IF(AND($Q$11="barbarian",$Q$12&gt;=5),"Extra Attack",IF(AND(Q11="bard",Q12&gt;=6),"Countercharm",IF(AND(Q11="cleric",Q12&gt;=5),"Destroy Undead - "&amp;INDEX('Class Tables'!O140:O159,MATCH(Q12,('Class Tables'!M140:M159),0)),IF(AND(Q11="druid",Q12&gt;=18),"Beast Spells"," ")))))))))))))</f>
        <v xml:space="preserve"> </v>
      </c>
      <c r="R19" s="33" t="str">
        <f ca="1">IF(R15="way of the four elements",INDEX('Class Tables'!K120:K126,MATCH(2,('Class Tables'!I120:I126),0)),IF(R15="battle master","Maneuver DC "&amp;SUM(P8,8,AF22),IF(AND(R15="moon",Q12&gt;=10),"Elemental Wild Shape",IF(AND(R15="war",Q12&gt;=8),"Divine Strike",IF(AND(R15="trickery",Q12&gt;=8),"Divine Strike",IF(AND(R15="nature",Q12&gt;=8),"Divine Strike",IF(AND(R15="light",Q12&gt;=8),"Potent Spellcasting",IF(AND(R15="life",Q12&gt;=8),"Divine Strike",IF(AND(R15="knowledge",Q12&gt;=17),"Visions of the Past",IF(AND(Q12&gt;=10,R15="path of the berserker"),"Intimidating Presence DC "&amp;SUM(8,P8,P43),IF(AND(Q12&gt;=10,R15="path of the totem warrior"),"Spirit Walker"," ")))))))))))</f>
        <v xml:space="preserve"> </v>
      </c>
      <c r="S19" s="33" t="str">
        <f ca="1">IF(Q2="dwarf","Dwarvish",IF(OR(Q2="half-elf",Q2="elf"),"Elvish",IF(Q2="halfling","Halfling",IF(Q2="human",VLOOKUP(RANDBETWEEN(1,8),Table20[],2),IF(Q2="gnome","Gnomish",IF(Q2="half-orc","Orc",IF(Q2="tiefling","Infernal"," ")))))))</f>
        <v>Elvish</v>
      </c>
      <c r="AH19" s="29" t="s">
        <v>24</v>
      </c>
      <c r="AI19" s="29">
        <f ca="1">$P$43</f>
        <v>2</v>
      </c>
      <c r="AJ19" s="29" t="str">
        <f t="shared" ref="AJ19:AU19" ca="1" si="24">IF(COUNTIF(AJ$27:AJ$33,$AH$19),$P$8," ")</f>
        <v xml:space="preserve"> </v>
      </c>
      <c r="AK19" s="29" t="str">
        <f t="shared" ca="1" si="24"/>
        <v xml:space="preserve"> </v>
      </c>
      <c r="AL19" s="29" t="str">
        <f t="shared" ca="1" si="24"/>
        <v xml:space="preserve"> </v>
      </c>
      <c r="AM19" s="29" t="str">
        <f t="shared" ca="1" si="24"/>
        <v xml:space="preserve"> </v>
      </c>
      <c r="AN19" s="29" t="str">
        <f t="shared" ca="1" si="24"/>
        <v xml:space="preserve"> </v>
      </c>
      <c r="AO19" s="29" t="str">
        <f t="shared" ca="1" si="24"/>
        <v xml:space="preserve"> </v>
      </c>
      <c r="AP19" s="29" t="str">
        <f t="shared" ca="1" si="24"/>
        <v xml:space="preserve"> </v>
      </c>
      <c r="AQ19" s="29" t="str">
        <f t="shared" ca="1" si="24"/>
        <v xml:space="preserve"> </v>
      </c>
      <c r="AR19" s="29" t="str">
        <f t="shared" ca="1" si="24"/>
        <v xml:space="preserve"> </v>
      </c>
      <c r="AS19" s="29" t="str">
        <f t="shared" ca="1" si="24"/>
        <v xml:space="preserve"> </v>
      </c>
      <c r="AT19" s="29" t="str">
        <f t="shared" ca="1" si="24"/>
        <v xml:space="preserve"> </v>
      </c>
      <c r="AU19" s="29" t="str">
        <f t="shared" ca="1" si="24"/>
        <v xml:space="preserve"> </v>
      </c>
      <c r="AV19" s="29">
        <f t="shared" ca="1" si="8"/>
        <v>0</v>
      </c>
      <c r="AW19" s="29" t="s">
        <v>24</v>
      </c>
      <c r="BE19" s="29" t="str">
        <f ca="1">IF(S11="Knight",P8," ")</f>
        <v xml:space="preserve"> </v>
      </c>
      <c r="BF19" s="29" t="str">
        <f ca="1">IF(S11="Noble",P8," ")</f>
        <v xml:space="preserve"> </v>
      </c>
      <c r="BM19" s="29">
        <f t="shared" ca="1" si="2"/>
        <v>0</v>
      </c>
      <c r="BN19" s="29">
        <f t="shared" ca="1" si="9"/>
        <v>0</v>
      </c>
      <c r="BO19" s="29" t="str">
        <f t="shared" ca="1" si="3"/>
        <v xml:space="preserve"> </v>
      </c>
      <c r="BP19" s="29" t="str">
        <f t="shared" ca="1" si="4"/>
        <v xml:space="preserve"> </v>
      </c>
      <c r="BQ19" s="29" t="str">
        <f t="shared" ca="1" si="5"/>
        <v xml:space="preserve"> </v>
      </c>
      <c r="BR19" s="29">
        <f t="shared" ca="1" si="6"/>
        <v>0</v>
      </c>
      <c r="BU19" s="29">
        <f t="shared" ca="1" si="10"/>
        <v>0</v>
      </c>
      <c r="BV19" s="29" t="s">
        <v>24</v>
      </c>
      <c r="CB19" s="35">
        <f t="shared" ca="1" si="14"/>
        <v>6</v>
      </c>
      <c r="CC19" s="36">
        <f t="shared" ca="1" si="15"/>
        <v>0.80585283780155215</v>
      </c>
      <c r="CD19" s="29" t="s">
        <v>20</v>
      </c>
      <c r="CE19" s="31"/>
    </row>
    <row r="20" spans="2:83" x14ac:dyDescent="0.3">
      <c r="O20" s="33" t="str">
        <f ca="1">IF(AND(O11="warlock",O12&gt;=2,AF26=2,COUNTIF(P193:P202,"*"&amp;"Eldritch blast"&amp;"*")),"Invocation - Eldritch Spear",IF(AND(O11="warlock",O12&gt;=15),"Invocation - "&amp;INDEX('Class Tables'!F164:F187,MATCH(3,('Class Tables'!D164:D187),0)),IF(AND(O11="warlock",O12&gt;=9),"Invocation - "&amp;INDEX('Class Tables'!F141:F161,MATCH(3,('Class Tables'!D141:D161),0)),IF(AND(O11="warlock",O12&gt;=7),"Invocation - "&amp;INDEX('Class Tables'!F122:F138,MATCH(3,('Class Tables'!D122:D138),0)),IF(AND(O11="warlock",O12&gt;=5),"Invocation - "&amp;INDEX('Class Tables'!F106:F119,MATCH(3,('Class Tables'!D106:D119),0)),IF(AND(O11="sorcerer",O12&gt;=20),"Sorcerous Restoration",IF(AND(O11="sorcerer",O12&gt;=17),"MM - "&amp;INDEX('Class Tables'!F78:F85,MATCH(3,('Class Tables'!D78:D85),0)),IF(AND(O11="rogue",O12&gt;=14),"Blindsense",IF(AND(O11="ranger",O12&gt;=5),"Extra Attack",IF(AND(O11="paladin",O12&gt;=3),"Divine Health",IF(AND(O11="monk",O12&gt;=2),"Patient Defense",IF(AND(O11="barbarian",O12&gt;=5),"Fast Movement",IF(AND(O11="bard",O12&gt;=20),"Superior Inspiration",IF(AND(O11="druid",O12&gt;=20),"Archdruid",IF(AND(O11="cleric",O12&gt;=10),"Divine Intervention"," ")))))))))))))))</f>
        <v xml:space="preserve"> </v>
      </c>
      <c r="P20" s="33" t="str">
        <f ca="1">IF(AND(P15="school of transmutation",O12&gt;=14),"Master Transmuter",IF(AND(P15="school of necromancy",O12&gt;=14),"Command Undead",IF(AND(P15="school of illusion",O12&gt;=14),"Illusory Reality",IF(AND(P15="school of evocation",O12&gt;=14),"Overchannel",IF(AND(P15="school of enchantment",O12&gt;=14),"Alter Memories",IF(AND(P15="school of divination",O12&gt;=14),"Greater Portent",IF(AND(P15="school of conjuration",O12&gt;=14),"Durable Summons",IF(AND(P15="school of abjuration",O12&gt;=14),"Spell Resistance",IF(AND(P15="wild magic",O12&gt;=18),"Spell Bombardment",IF(AND(P15="Draconic Bloodline",O12&gt;=18),"Draconic Presence",IF(AND(P15="thief",O12&gt;=17),"Thief's Reflexes",IF(AND(P15="oath of vengeance",O12&gt;=20),"Avenging Angel",IF(AND(P15="oath of the ancients",O12&gt;=20),"Elder Champion",IF(AND(P15="Oath of Devotion",O12&gt;=20),"Holy Nimbus",IF(AND(P15="way of the four elements",O12&gt;=6),INDEX('Class Tables'!K128:K129,MATCH(1,('Class Tables'!I128:I129),0)),IF(AND(P15="eldritch knight",O12&gt;=18),"Improved War Magic",IF(P15="battle master",INDEX('Class Tables'!K40:K55,MATCH(1,('Class Tables'!I40:I55),0)),IF(AND(P15="champion",O12&gt;=18),"Survivor - "&amp;SUM(5+P48)&amp;" hp",IF(AND(P15="moon",O12&gt;=14),"Thousand Forms",IF(P15="land",VLOOKUP(RANDBETWEEN(1,8),Table74[],2),IF(AND(P15="war",O12&gt;=17),"Avatar of Battle",IF(AND(P15="trickery",O12&gt;=17),"Improved Duplicity",IF(AND(P15="nature",O12&gt;=17),"Stormborn",IF(AND(P15="light",O12&gt;=17),"Corona of Light",IF(AND(P15="life",O12&gt;=17),"Supreme Healing",IF(AND(P15="path of the totem warrior",O12&gt;=14),VLOOKUP(RANDBETWEEN(1,3),Table44[],4)," "))))))))))))))))))))))))))</f>
        <v xml:space="preserve"> </v>
      </c>
      <c r="Q20" s="33" t="str">
        <f ca="1">IF(AND(Q11="warlock",Q12&gt;=9),"Invocation - "&amp;INDEX('Class Tables'!F141:F161,MATCH(3,('Class Tables'!D141:D161),0)),IF(AND(Q11="warlock",Q12&gt;=7),"Invocation - "&amp;INDEX('Class Tables'!F122:F138,MATCH(3,('Class Tables'!D122:D138),0)),IF(AND(Q11="warlock",Q12&gt;=5),"Invocation - "&amp;INDEX('Class Tables'!F106:F119,MATCH(3,('Class Tables'!D106:D119),0)),IF(AND(Q11="ranger",Q12&gt;=5),"Extra Attack",IF(AND(Q11="paladin",Q12&gt;=3),"Divine Health",IF(AND(Q11="monk",Q12&gt;=2),"Patient Defense",IF(AND(Q11="barbarian",Q12&gt;=5),"Fast Movement",IF(AND(Q11="cleric",Q12&gt;=10),"Divine Intervention"," "))))))))</f>
        <v xml:space="preserve"> </v>
      </c>
      <c r="R20" s="33" t="str">
        <f ca="1">IF(AND(R15="way of the four elements",Q12&gt;=6),INDEX('Class Tables'!K128:K129,MATCH(1,('Class Tables'!I128:I129),0)),IF(R15="battle master",INDEX('Class Tables'!K40:K55,MATCH(1,('Class Tables'!I40:I55),0)),IF(R15="land",VLOOKUP(RANDBETWEEN(1,8),Table74[],2)," ")))</f>
        <v xml:space="preserve"> </v>
      </c>
      <c r="S20" s="33" t="str">
        <f ca="1">IF(P2="high",INDEX('Class Tables'!S177:S220,MATCH(1,('Class Tables'!Q177:Q220),0))," ")</f>
        <v xml:space="preserve"> </v>
      </c>
      <c r="AE20" s="29" t="s">
        <v>1990</v>
      </c>
      <c r="AF20" s="29">
        <f ca="1">RANDBETWEEN(1,3)</f>
        <v>3</v>
      </c>
      <c r="AH20" s="29" t="s">
        <v>25</v>
      </c>
      <c r="AI20" s="29">
        <f ca="1">$P$41</f>
        <v>1</v>
      </c>
      <c r="AJ20" s="29" t="str">
        <f t="shared" ref="AJ20:AU20" ca="1" si="25">IF(COUNTIF(AJ$27:AJ$33,$AH$20),$P$8," ")</f>
        <v xml:space="preserve"> </v>
      </c>
      <c r="AK20" s="29" t="str">
        <f t="shared" ca="1" si="25"/>
        <v xml:space="preserve"> </v>
      </c>
      <c r="AL20" s="29" t="str">
        <f t="shared" ca="1" si="25"/>
        <v xml:space="preserve"> </v>
      </c>
      <c r="AM20" s="29" t="str">
        <f t="shared" ca="1" si="25"/>
        <v xml:space="preserve"> </v>
      </c>
      <c r="AN20" s="29" t="str">
        <f t="shared" ca="1" si="25"/>
        <v xml:space="preserve"> </v>
      </c>
      <c r="AO20" s="29" t="str">
        <f t="shared" ca="1" si="25"/>
        <v xml:space="preserve"> </v>
      </c>
      <c r="AP20" s="29" t="str">
        <f t="shared" ca="1" si="25"/>
        <v xml:space="preserve"> </v>
      </c>
      <c r="AQ20" s="29" t="str">
        <f t="shared" ca="1" si="25"/>
        <v xml:space="preserve"> </v>
      </c>
      <c r="AR20" s="29" t="str">
        <f t="shared" ca="1" si="25"/>
        <v xml:space="preserve"> </v>
      </c>
      <c r="AS20" s="29" t="str">
        <f t="shared" ca="1" si="25"/>
        <v xml:space="preserve"> </v>
      </c>
      <c r="AT20" s="29" t="str">
        <f t="shared" ca="1" si="25"/>
        <v xml:space="preserve"> </v>
      </c>
      <c r="AU20" s="29" t="str">
        <f t="shared" ca="1" si="25"/>
        <v xml:space="preserve"> </v>
      </c>
      <c r="AV20" s="29">
        <f t="shared" ca="1" si="8"/>
        <v>0</v>
      </c>
      <c r="AW20" s="29" t="s">
        <v>25</v>
      </c>
      <c r="AX20" s="29" t="str">
        <f ca="1">IF(S11="acolyte",P8," ")</f>
        <v xml:space="preserve"> </v>
      </c>
      <c r="BC20" s="29" t="str">
        <f ca="1">IF(S11="Guild Artisan",P8," ")</f>
        <v xml:space="preserve"> </v>
      </c>
      <c r="BD20" s="29" t="str">
        <f ca="1">IF(S11="Hermit",P8," ")</f>
        <v xml:space="preserve"> </v>
      </c>
      <c r="BM20" s="29">
        <f t="shared" ca="1" si="2"/>
        <v>0</v>
      </c>
      <c r="BN20" s="29">
        <f t="shared" ca="1" si="9"/>
        <v>0</v>
      </c>
      <c r="BO20" s="29" t="str">
        <f t="shared" ca="1" si="3"/>
        <v xml:space="preserve"> </v>
      </c>
      <c r="BP20" s="29" t="str">
        <f t="shared" ca="1" si="4"/>
        <v xml:space="preserve"> </v>
      </c>
      <c r="BQ20" s="29" t="str">
        <f t="shared" ca="1" si="5"/>
        <v xml:space="preserve"> </v>
      </c>
      <c r="BR20" s="29">
        <f t="shared" ca="1" si="6"/>
        <v>0</v>
      </c>
      <c r="BS20" s="29">
        <f ca="1">IF(AND($BY$29=1,OR($P$15="knowledge",$R$15="knowledge")),$P$8*2,IF(AND($BY$29=2,OR($P$15="knowledge",$R$15="knowledge")),$P$8*2,0))</f>
        <v>0</v>
      </c>
      <c r="BU20" s="29">
        <f t="shared" ca="1" si="10"/>
        <v>0</v>
      </c>
      <c r="BV20" s="29" t="s">
        <v>25</v>
      </c>
      <c r="CB20" s="35">
        <f t="shared" ca="1" si="14"/>
        <v>1</v>
      </c>
      <c r="CC20" s="36">
        <f t="shared" ca="1" si="15"/>
        <v>0.91902888696651941</v>
      </c>
      <c r="CD20" s="29" t="s">
        <v>21</v>
      </c>
    </row>
    <row r="21" spans="2:83" x14ac:dyDescent="0.3">
      <c r="O21" s="33" t="str">
        <f ca="1">IF(AND(O11="warlock",O12&gt;=15),"Invocation - "&amp;INDEX('Class Tables'!F164:F187,MATCH(4,('Class Tables'!D164:D187),0)),IF(AND(O11="warlock",O12&gt;=9),"Invocation - "&amp;INDEX('Class Tables'!F141:F161,MATCH(4,('Class Tables'!D141:D161),0)),IF(AND(O11="warlock",O12&gt;=7),"Invocation - "&amp;INDEX('Class Tables'!F122:F138,MATCH(4,('Class Tables'!D122:D138),0)),IF(AND(O11="rogue",O12&gt;=15),"Slippery Mind",IF(AND(O11="ranger",O12&gt;=8),"Land's Stride",IF(AND(O11="paladin",O12&gt;=5),"Extra Attack",IF(AND(O11="monk",O12&gt;=2),"Step of the Wind",IF(AND($O$11="barbarian",$O$12&gt;=7),"Feral Instinct"," "))))))))</f>
        <v xml:space="preserve"> </v>
      </c>
      <c r="P21" s="33" t="str">
        <f ca="1">IF(AND(P15="way of the four elements",O12&gt;=11),INDEX('Class Tables'!K131:K134,MATCH(1,('Class Tables'!I131:I134),0)),IF(P15="battle master",INDEX('Class Tables'!K40:K55,MATCH(2,('Class Tables'!I40:I55),0))," "))</f>
        <v xml:space="preserve"> </v>
      </c>
      <c r="Q21" s="33" t="str">
        <f ca="1">IF(AND(Q11="warlock",Q12&gt;=9),"Invocation - "&amp;INDEX('Class Tables'!F141:F161,MATCH(4,('Class Tables'!D141:D161),0)),IF(AND(Q11="warlock",Q12&gt;=7),"Invocation - "&amp;INDEX('Class Tables'!F122:F138,MATCH(4,('Class Tables'!D122:D138),0)),IF(AND(Q11="ranger",Q12&gt;=8),"Land's Stride",IF(AND(Q11="paladin",Q12&gt;=5),"Extra Attack",IF(AND(Q11="monk",Q12&gt;=2),"Step of the Wind",IF(AND($Q$11="barbarian",$Q$12&gt;=7),"Feral Instinct"," "))))))</f>
        <v xml:space="preserve"> </v>
      </c>
      <c r="R21" s="33" t="str">
        <f ca="1">IF(R15="battle master",INDEX('Class Tables'!K40:K55,MATCH(2,('Class Tables'!I40:I55),0))," ")</f>
        <v xml:space="preserve"> </v>
      </c>
      <c r="S21" s="33" t="str">
        <f ca="1">IF(OR(P15="knowledge",R15="knowledge"),INDEX('Class Tables'!S177:S220,MATCH(2,('Class Tables'!Q177:Q220),0))," ")</f>
        <v xml:space="preserve"> </v>
      </c>
      <c r="AE21" s="29" t="s">
        <v>1989</v>
      </c>
      <c r="AF21" s="29">
        <f ca="1">RANDBETWEEN(1,2)</f>
        <v>1</v>
      </c>
      <c r="AH21" s="29" t="s">
        <v>26</v>
      </c>
      <c r="AI21" s="29">
        <f ca="1">$P$39</f>
        <v>2</v>
      </c>
      <c r="AJ21" s="29" t="str">
        <f t="shared" ref="AJ21:AU21" ca="1" si="26">IF(COUNTIF(AJ$27:AJ$33,$AH$21),$P$8," ")</f>
        <v xml:space="preserve"> </v>
      </c>
      <c r="AK21" s="29" t="str">
        <f t="shared" ca="1" si="26"/>
        <v xml:space="preserve"> </v>
      </c>
      <c r="AL21" s="29" t="str">
        <f t="shared" ca="1" si="26"/>
        <v xml:space="preserve"> </v>
      </c>
      <c r="AM21" s="29" t="str">
        <f t="shared" ca="1" si="26"/>
        <v xml:space="preserve"> </v>
      </c>
      <c r="AN21" s="29" t="str">
        <f t="shared" ca="1" si="26"/>
        <v xml:space="preserve"> </v>
      </c>
      <c r="AO21" s="29" t="str">
        <f t="shared" ca="1" si="26"/>
        <v xml:space="preserve"> </v>
      </c>
      <c r="AP21" s="29" t="str">
        <f t="shared" ca="1" si="26"/>
        <v xml:space="preserve"> </v>
      </c>
      <c r="AQ21" s="29" t="str">
        <f t="shared" ca="1" si="26"/>
        <v xml:space="preserve"> </v>
      </c>
      <c r="AR21" s="29" t="str">
        <f t="shared" ca="1" si="26"/>
        <v xml:space="preserve"> </v>
      </c>
      <c r="AS21" s="29" t="str">
        <f t="shared" ca="1" si="26"/>
        <v xml:space="preserve"> </v>
      </c>
      <c r="AT21" s="29" t="str">
        <f t="shared" ca="1" si="26"/>
        <v xml:space="preserve"> </v>
      </c>
      <c r="AU21" s="29" t="str">
        <f t="shared" ca="1" si="26"/>
        <v xml:space="preserve"> </v>
      </c>
      <c r="AV21" s="29">
        <f t="shared" ca="1" si="8"/>
        <v>0</v>
      </c>
      <c r="AW21" s="29" t="s">
        <v>26</v>
      </c>
      <c r="AY21" s="29" t="str">
        <f ca="1">IF(S11="Charlatan",P8," ")</f>
        <v xml:space="preserve"> </v>
      </c>
      <c r="BL21" s="29" t="str">
        <f ca="1">IF(S11="urchin",P8," ")</f>
        <v xml:space="preserve"> </v>
      </c>
      <c r="BM21" s="29">
        <f t="shared" ca="1" si="2"/>
        <v>0</v>
      </c>
      <c r="BN21" s="29">
        <f t="shared" ca="1" si="9"/>
        <v>0</v>
      </c>
      <c r="BO21" s="29" t="str">
        <f t="shared" ca="1" si="3"/>
        <v xml:space="preserve"> </v>
      </c>
      <c r="BP21" s="29" t="str">
        <f t="shared" ca="1" si="4"/>
        <v xml:space="preserve"> </v>
      </c>
      <c r="BQ21" s="29" t="str">
        <f t="shared" ca="1" si="5"/>
        <v xml:space="preserve"> </v>
      </c>
      <c r="BR21" s="29">
        <f t="shared" ca="1" si="6"/>
        <v>0</v>
      </c>
      <c r="BU21" s="29">
        <f t="shared" ca="1" si="10"/>
        <v>0</v>
      </c>
      <c r="BV21" s="29" t="s">
        <v>26</v>
      </c>
      <c r="CB21" s="35">
        <f t="shared" ca="1" si="14"/>
        <v>5</v>
      </c>
      <c r="CC21" s="36">
        <f t="shared" ca="1" si="15"/>
        <v>0.80839349251140269</v>
      </c>
      <c r="CD21" s="29" t="s">
        <v>22</v>
      </c>
    </row>
    <row r="22" spans="2:83" x14ac:dyDescent="0.3">
      <c r="O22" s="33" t="str">
        <f ca="1">(IF(AND(O16="pact of the blade",O12&gt;=12,AF26=1),"Invocation - Lifedrinker",IF(AND(O11="warlock",O12&gt;=15),"Invocation - "&amp;INDEX('Class Tables'!F164:F187,MATCH(5,('Class Tables'!D164:D187),0)),IF(AND(O11="warlock",O12&gt;=9),"Invocation - "&amp;INDEX('Class Tables'!F141:F161,MATCH(5,('Class Tables'!D141:D161),0)),IF(AND(O11="rogue",O12&gt;=18),"Elusive Foe",IF(AND(O11="ranger",O12&gt;=10),"Hide in Plain Sight",IF(AND(O11="paladin",O12&gt;=6),"Aura of Protection +"&amp;MAX(P43,1),IF(AND(O11="monk",O12&gt;=2),"Unarmored Movement - "&amp;INDEX('Class Tables'!L98:L117,MATCH(O12,('Class Tables'!I98:I117),0))&amp;" ft.",IF(AND($O$11="barbarian",$O$12&gt;=9),"Brutal Critical"," ")))))))))</f>
        <v xml:space="preserve"> </v>
      </c>
      <c r="P22" s="33" t="str">
        <f ca="1">IF(AND(P15="way of the four elements",O12&gt;=17),INDEX('Class Tables'!K136:K138,MATCH(1,('Class Tables'!I136:I138),0)),IF(P15="battle master",INDEX('Class Tables'!K40:K55,MATCH(3,('Class Tables'!I40:I55),0))," "))</f>
        <v xml:space="preserve"> </v>
      </c>
      <c r="Q22" s="33" t="str">
        <f ca="1">IF(AND(Q11="warlock",Q12&gt;=9),"Invocation - "&amp;INDEX('Class Tables'!F141:F161,MATCH(5,('Class Tables'!D141:D161),0)),IF(AND(Q11="ranger",Q12&gt;=10),"Hide in Plain Sight",IF(AND(Q11="paladin",Q12&gt;=6),"Aura of Protection +"&amp;MAX(P43,1),IF(AND(Q11="monk",Q12&gt;=2),"Unarmored Movement - "&amp;INDEX('Class Tables'!L98:L117,MATCH(Q12,('Class Tables'!I98:I117),0))&amp;" ft.",IF(AND($Q$11="barbarian",$Q$12&gt;=9),"Brutal Critical"," ")))))</f>
        <v xml:space="preserve"> </v>
      </c>
      <c r="R22" s="33" t="str">
        <f ca="1">IF(R15="battle master",INDEX('Class Tables'!K40:K55,MATCH(3,('Class Tables'!I40:I55),0))," ")</f>
        <v xml:space="preserve"> </v>
      </c>
      <c r="S22" s="33" t="str">
        <f ca="1">IF(OR(P15="knowledge",R15="knowledge"),INDEX('Class Tables'!S177:S220,MATCH(3,('Class Tables'!Q177:Q220),0))," ")</f>
        <v xml:space="preserve"> </v>
      </c>
      <c r="AE22" s="29" t="s">
        <v>1387</v>
      </c>
      <c r="AF22" s="29">
        <f ca="1">SUM(P38:P39)-SMALL(P38:P39,1)</f>
        <v>2</v>
      </c>
      <c r="AH22" s="29" t="s">
        <v>27</v>
      </c>
      <c r="AI22" s="29">
        <f ca="1">$P$39</f>
        <v>2</v>
      </c>
      <c r="AJ22" s="29" t="str">
        <f t="shared" ref="AJ22:AU22" ca="1" si="27">IF(COUNTIF(AJ$27:AJ$33,$AH$22),$P$8," ")</f>
        <v xml:space="preserve"> </v>
      </c>
      <c r="AK22" s="29" t="str">
        <f t="shared" ca="1" si="27"/>
        <v xml:space="preserve"> </v>
      </c>
      <c r="AL22" s="29" t="str">
        <f t="shared" ca="1" si="27"/>
        <v xml:space="preserve"> </v>
      </c>
      <c r="AM22" s="29" t="str">
        <f t="shared" ca="1" si="27"/>
        <v xml:space="preserve"> </v>
      </c>
      <c r="AN22" s="29" t="str">
        <f t="shared" ca="1" si="27"/>
        <v xml:space="preserve"> </v>
      </c>
      <c r="AO22" s="29" t="str">
        <f t="shared" ca="1" si="27"/>
        <v xml:space="preserve"> </v>
      </c>
      <c r="AP22" s="29" t="str">
        <f t="shared" ca="1" si="27"/>
        <v xml:space="preserve"> </v>
      </c>
      <c r="AQ22" s="29" t="str">
        <f t="shared" ca="1" si="27"/>
        <v xml:space="preserve"> </v>
      </c>
      <c r="AR22" s="29" t="str">
        <f t="shared" ca="1" si="27"/>
        <v xml:space="preserve"> </v>
      </c>
      <c r="AS22" s="29" t="str">
        <f t="shared" ca="1" si="27"/>
        <v xml:space="preserve"> </v>
      </c>
      <c r="AT22" s="29" t="str">
        <f t="shared" ca="1" si="27"/>
        <v xml:space="preserve"> </v>
      </c>
      <c r="AU22" s="29" t="str">
        <f t="shared" ca="1" si="27"/>
        <v xml:space="preserve"> </v>
      </c>
      <c r="AV22" s="29">
        <f t="shared" ca="1" si="8"/>
        <v>0</v>
      </c>
      <c r="AW22" s="29" t="s">
        <v>27</v>
      </c>
      <c r="AZ22" s="29" t="str">
        <f ca="1">IF(S11="Criminal",P8," ")</f>
        <v xml:space="preserve"> </v>
      </c>
      <c r="BL22" s="29" t="str">
        <f ca="1">IF(S11="urchin",P8," ")</f>
        <v xml:space="preserve"> </v>
      </c>
      <c r="BM22" s="29">
        <f t="shared" ca="1" si="2"/>
        <v>0</v>
      </c>
      <c r="BN22" s="29">
        <f t="shared" ca="1" si="9"/>
        <v>0</v>
      </c>
      <c r="BO22" s="29" t="str">
        <f t="shared" ca="1" si="3"/>
        <v xml:space="preserve"> </v>
      </c>
      <c r="BP22" s="29" t="str">
        <f t="shared" ca="1" si="4"/>
        <v xml:space="preserve"> </v>
      </c>
      <c r="BQ22" s="29" t="str">
        <f t="shared" ca="1" si="5"/>
        <v xml:space="preserve"> </v>
      </c>
      <c r="BR22" s="29">
        <f t="shared" ca="1" si="6"/>
        <v>0</v>
      </c>
      <c r="BU22" s="29">
        <f t="shared" ca="1" si="10"/>
        <v>0</v>
      </c>
      <c r="BV22" s="29" t="s">
        <v>27</v>
      </c>
      <c r="CB22" s="35">
        <f t="shared" ca="1" si="14"/>
        <v>9</v>
      </c>
      <c r="CC22" s="36">
        <f t="shared" ca="1" si="15"/>
        <v>0.61680286299363929</v>
      </c>
      <c r="CD22" s="29" t="s">
        <v>23</v>
      </c>
    </row>
    <row r="23" spans="2:83" x14ac:dyDescent="0.3">
      <c r="O23" s="33" t="str">
        <f ca="1">IF(AND(O11="warlock",O12&gt;=15),"Invocation - "&amp;INDEX('Class Tables'!F164:F187,MATCH(6,('Class Tables'!D164:D187),0)),IF(AND(O11="warlock",O12&gt;=12),"Invocation - "&amp;INDEX('Class Tables'!F141:F161,MATCH(6,('Class Tables'!D141:D161),0)),IF(AND(O11="rogue",O12&gt;=20),"Stroke of Luck",IF(AND(O11="ranger",O12&gt;=14),"Vanish",IF(AND(O11="paladin",O12&gt;=10),"Aura of Courage",IF(AND(O11="monk",O12&gt;=3),"Deflect Missiles - 1d10+"&amp;SUM(P39,O12)&amp;" dmg.",IF(AND($O$11="barbarian",$O$12&gt;=11),"Relentless Rage"," ")))))))</f>
        <v xml:space="preserve"> </v>
      </c>
      <c r="P23" s="33" t="str">
        <f ca="1">IF(AND(P15="battle master",O12&gt;=7),INDEX('Class Tables'!K40:K55,MATCH(4,('Class Tables'!I40:I55),0))," ")</f>
        <v xml:space="preserve"> </v>
      </c>
      <c r="Q23" s="33" t="str">
        <f ca="1">IF(AND(Q11="paladin",Q12&gt;=10),"Aura of Courage",IF(AND(Q11="monk",Q12&gt;=3),"Deflect Missiles 1d10+"&amp;SUM(Q12,P39)&amp;" dmg."," "))</f>
        <v xml:space="preserve"> </v>
      </c>
      <c r="R23" s="33" t="str">
        <f ca="1">IF(AND(R15="battle master",Q12&gt;=7),INDEX('Class Tables'!K40:K55,MATCH(4,('Class Tables'!I40:I55),0))," ")</f>
        <v xml:space="preserve"> </v>
      </c>
      <c r="S23" s="33" t="str">
        <f ca="1">IF(O11="druid","Druidic",IF(O11="rogue","Thieves' Cant"," "))</f>
        <v xml:space="preserve"> </v>
      </c>
      <c r="AE23" s="29" t="s">
        <v>1402</v>
      </c>
      <c r="AF23" s="29">
        <f ca="1">RANDBETWEEN(1,2)</f>
        <v>2</v>
      </c>
      <c r="AH23" s="29" t="s">
        <v>28</v>
      </c>
      <c r="AI23" s="29">
        <f ca="1">$P$42</f>
        <v>2</v>
      </c>
      <c r="AJ23" s="29" t="str">
        <f t="shared" ref="AJ23:AU23" ca="1" si="28">IF(COUNTIF(AJ$27:AJ$33,$AH$23),$P$8," ")</f>
        <v xml:space="preserve"> </v>
      </c>
      <c r="AK23" s="29" t="str">
        <f t="shared" ca="1" si="28"/>
        <v xml:space="preserve"> </v>
      </c>
      <c r="AL23" s="29" t="str">
        <f t="shared" ca="1" si="28"/>
        <v xml:space="preserve"> </v>
      </c>
      <c r="AM23" s="29" t="str">
        <f t="shared" ca="1" si="28"/>
        <v xml:space="preserve"> </v>
      </c>
      <c r="AN23" s="29" t="str">
        <f t="shared" ca="1" si="28"/>
        <v xml:space="preserve"> </v>
      </c>
      <c r="AO23" s="29" t="str">
        <f t="shared" ca="1" si="28"/>
        <v xml:space="preserve"> </v>
      </c>
      <c r="AP23" s="29" t="str">
        <f t="shared" ca="1" si="28"/>
        <v xml:space="preserve"> </v>
      </c>
      <c r="AQ23" s="29" t="str">
        <f t="shared" ca="1" si="28"/>
        <v xml:space="preserve"> </v>
      </c>
      <c r="AR23" s="29" t="str">
        <f t="shared" ca="1" si="28"/>
        <v xml:space="preserve"> </v>
      </c>
      <c r="AS23" s="29" t="str">
        <f t="shared" ca="1" si="28"/>
        <v xml:space="preserve"> </v>
      </c>
      <c r="AT23" s="29" t="str">
        <f t="shared" ca="1" si="28"/>
        <v xml:space="preserve"> </v>
      </c>
      <c r="AU23" s="29" t="str">
        <f t="shared" ca="1" si="28"/>
        <v xml:space="preserve"> </v>
      </c>
      <c r="AV23" s="29">
        <f t="shared" ca="1" si="8"/>
        <v>0</v>
      </c>
      <c r="AW23" s="29" t="s">
        <v>28</v>
      </c>
      <c r="BB23" s="29" t="str">
        <f ca="1">IF(S11="Folk Hero",P8," ")</f>
        <v xml:space="preserve"> </v>
      </c>
      <c r="BG23" s="29" t="str">
        <f ca="1">IF(S11="Outlander",P8," ")</f>
        <v xml:space="preserve"> </v>
      </c>
      <c r="BM23" s="29">
        <f t="shared" ca="1" si="2"/>
        <v>0</v>
      </c>
      <c r="BN23" s="29">
        <f t="shared" ca="1" si="9"/>
        <v>0</v>
      </c>
      <c r="BO23" s="29" t="str">
        <f t="shared" ca="1" si="3"/>
        <v xml:space="preserve"> </v>
      </c>
      <c r="BP23" s="29" t="str">
        <f t="shared" ca="1" si="4"/>
        <v xml:space="preserve"> </v>
      </c>
      <c r="BQ23" s="29" t="str">
        <f t="shared" ca="1" si="5"/>
        <v xml:space="preserve"> </v>
      </c>
      <c r="BR23" s="29">
        <f t="shared" ca="1" si="6"/>
        <v>0</v>
      </c>
      <c r="BT23" s="29">
        <f ca="1">IF(AND(BY32=1,OR($P$15="nature",$R$15="nature")),$P$8,0)</f>
        <v>0</v>
      </c>
      <c r="BU23" s="29">
        <f t="shared" ca="1" si="10"/>
        <v>0</v>
      </c>
      <c r="BV23" s="29" t="s">
        <v>28</v>
      </c>
      <c r="CB23" s="35">
        <f t="shared" ca="1" si="14"/>
        <v>8</v>
      </c>
      <c r="CC23" s="36">
        <f t="shared" ca="1" si="15"/>
        <v>0.64613571074677378</v>
      </c>
      <c r="CD23" s="29" t="s">
        <v>24</v>
      </c>
    </row>
    <row r="24" spans="2:83" x14ac:dyDescent="0.3">
      <c r="O24" s="33" t="str">
        <f ca="1">IF(AND(O11="warlock",O12&gt;=15,AF26=2,O16="pact of the chain"),"Chains of Carceri",IF(AND(O11="warlock",O12&gt;=15),"Invocation - "&amp;INDEX('Class Tables'!F164:F187,MATCH(7,('Class Tables'!D164:D187),0)),IF(AND(O11="ranger",O12&gt;=18),"Feral Senses",IF(AND(O11="paladin",O12&gt;=11),"Improved Divine Smite",IF(AND(O11="monk",O12&gt;=4),"Slow Fall - "&amp;O12*5&amp;" dmg.",IF(AND($O$11="barbarian",$O$12&gt;=15),"Persistent Rage"," "))))))</f>
        <v xml:space="preserve"> </v>
      </c>
      <c r="P24" s="33" t="str">
        <f ca="1">IF(AND(P15="battle master",O12&gt;=7),INDEX('Class Tables'!K40:K55,MATCH(5,('Class Tables'!I40:I55),0))," ")</f>
        <v xml:space="preserve"> </v>
      </c>
      <c r="Q24" s="33" t="str">
        <f ca="1">IF(AND(Q11="paladin",Q12&gt;=11),"Improved Divine Smite",IF(AND(Q11="monk",Q12&gt;=4),"Slow Fall -"&amp;Q12*5&amp;" dmg."," "))</f>
        <v xml:space="preserve"> </v>
      </c>
      <c r="R24" s="33" t="str">
        <f ca="1">IF(AND(R15="battle master",Q12&gt;=7),INDEX('Class Tables'!K40:K55,MATCH(5,('Class Tables'!I40:I55),0))," ")</f>
        <v xml:space="preserve"> </v>
      </c>
      <c r="S24" s="33" t="str">
        <f ca="1">IF(P15="draconic bloodline","Draconic"," ")</f>
        <v xml:space="preserve"> </v>
      </c>
      <c r="AE24" s="29" t="s">
        <v>1509</v>
      </c>
      <c r="AF24" s="29">
        <f ca="1">RANDBETWEEN(1,2)</f>
        <v>2</v>
      </c>
      <c r="CB24" s="35">
        <f t="shared" ca="1" si="14"/>
        <v>13</v>
      </c>
      <c r="CC24" s="36">
        <f t="shared" ca="1" si="15"/>
        <v>0.49905891026647764</v>
      </c>
      <c r="CD24" s="29" t="s">
        <v>25</v>
      </c>
    </row>
    <row r="25" spans="2:83" x14ac:dyDescent="0.3">
      <c r="O25" s="33" t="str">
        <f ca="1">IF(AND(O11="warlock",O12&gt;=18),"Invocation - "&amp;INDEX('Class Tables'!F164:F187,MATCH(8,('Class Tables'!D164:D187),0)),IF(AND(O11="ranger",O12&gt;=20),"Foe Slayer",IF(AND(O11="paladin",O12&gt;=14),"Cleansing Touch - "&amp;MAX(1,(P43))&amp;" uses",IF(AND(O11="monk",O12&gt;=5),"Extra Attack",IF(AND($O$11="barbarian",$O$12&gt;=18),"Indomitable Might"," ")))))</f>
        <v xml:space="preserve"> </v>
      </c>
      <c r="P25" s="33" t="str">
        <f ca="1">IF(AND(P15="battle master",O12&gt;=10),INDEX('Class Tables'!K40:K55,MATCH(6,('Class Tables'!I40:I55),0))," ")</f>
        <v xml:space="preserve"> </v>
      </c>
      <c r="Q25" s="33" t="str">
        <f ca="1">IF(AND(Q11="paladin",Q12&gt;=14),"Cleansing Touch - "&amp;MAX(1,(P43))&amp;" uses",IF(AND(Q11="monk",Q12&gt;=5),"Extra Attack"," "))</f>
        <v xml:space="preserve"> </v>
      </c>
      <c r="R25" s="33" t="str">
        <f ca="1">IF(AND(R15="battle master",Q12&gt;=10),INDEX('Class Tables'!K40:K55,MATCH(6,('Class Tables'!I40:I55),0))," ")</f>
        <v xml:space="preserve"> </v>
      </c>
      <c r="S25" s="33" t="str">
        <f ca="1">IF(OR(S11="acolyte",S11="Guild artisan",S11="hermit",S11="noble",S11="knight",S11="outlander",S11="sage"),INDEX('Class Tables'!S177:S220,MATCH(4,('Class Tables'!Q177:Q220),0))," ")</f>
        <v xml:space="preserve"> </v>
      </c>
      <c r="AE25" s="29" t="s">
        <v>1568</v>
      </c>
      <c r="AF25" s="29">
        <f ca="1">RANDBETWEEN(1,2)</f>
        <v>2</v>
      </c>
      <c r="CB25" s="35">
        <f t="shared" ca="1" si="14"/>
        <v>7</v>
      </c>
      <c r="CC25" s="36">
        <f t="shared" ca="1" si="15"/>
        <v>0.79779871757806986</v>
      </c>
      <c r="CD25" s="29" t="s">
        <v>26</v>
      </c>
      <c r="CE25" s="31"/>
    </row>
    <row r="26" spans="2:83" x14ac:dyDescent="0.3">
      <c r="O26" s="33" t="str">
        <f ca="1">IF(AND(O11="ranger",O12&gt;=6),"Natural Explorer: "&amp;INDEX('Class Tables'!F212:F219,MATCH(2,('Class Tables'!D212:D219),0)),IF(AND(O11="monk",O12&gt;=5),"Stunning Strike",IF(AND($O$11="barbarian",$O$12&gt;=20),"Primal Champion"," ")))</f>
        <v xml:space="preserve"> </v>
      </c>
      <c r="P26" s="33" t="str">
        <f ca="1">IF(AND(P15="battle master",O12&gt;=10),INDEX('Class Tables'!K40:K55,MATCH(7,('Class Tables'!I40:I55),0))," ")</f>
        <v xml:space="preserve"> </v>
      </c>
      <c r="Q26" s="33" t="str">
        <f ca="1">IF(AND(Q11="ranger",Q12&gt;=10),"Natural Explorer: "&amp;INDEX('Class Tables'!F212:F219,MATCH(2,('Class Tables'!D212:D219),0)),IF(AND(Q11="monk",Q12&gt;=5),"Stunning Strike"," "))</f>
        <v xml:space="preserve"> </v>
      </c>
      <c r="R26" s="33" t="str">
        <f ca="1">IF(AND(R15="battle master",Q12&gt;=10),INDEX('Class Tables'!K40:K55,MATCH(7,('Class Tables'!I40:I55),0))," ")</f>
        <v xml:space="preserve"> </v>
      </c>
      <c r="S26" s="33" t="str">
        <f ca="1">IF(OR(S11="acolyte",S11="sage"),INDEX('Class Tables'!S177:S220,MATCH(5,('Class Tables'!Q177:Q220),0))," ")</f>
        <v xml:space="preserve"> </v>
      </c>
      <c r="AE26" s="29" t="s">
        <v>693</v>
      </c>
      <c r="AF26" s="29">
        <f ca="1">RANDBETWEEN(1,2)</f>
        <v>2</v>
      </c>
      <c r="AJ26" s="29" t="s">
        <v>685</v>
      </c>
      <c r="AK26" s="29" t="s">
        <v>686</v>
      </c>
      <c r="AL26" s="29" t="s">
        <v>687</v>
      </c>
      <c r="AM26" s="29" t="s">
        <v>688</v>
      </c>
      <c r="AN26" s="29" t="s">
        <v>689</v>
      </c>
      <c r="AO26" s="29" t="s">
        <v>694</v>
      </c>
      <c r="AP26" s="29" t="s">
        <v>695</v>
      </c>
      <c r="AQ26" s="29" t="s">
        <v>690</v>
      </c>
      <c r="AR26" s="29" t="s">
        <v>691</v>
      </c>
      <c r="AS26" s="29" t="s">
        <v>692</v>
      </c>
      <c r="AT26" s="29" t="s">
        <v>693</v>
      </c>
      <c r="AU26" s="29" t="s">
        <v>696</v>
      </c>
      <c r="AX26" s="29" t="s">
        <v>1810</v>
      </c>
      <c r="AY26" s="29" t="s">
        <v>1811</v>
      </c>
      <c r="AZ26" s="29" t="s">
        <v>1812</v>
      </c>
      <c r="BA26" s="29" t="s">
        <v>1813</v>
      </c>
      <c r="BB26" s="29" t="s">
        <v>1814</v>
      </c>
      <c r="BC26" s="29" t="s">
        <v>1815</v>
      </c>
      <c r="BD26" s="29" t="s">
        <v>1816</v>
      </c>
      <c r="BE26" s="29" t="s">
        <v>1823</v>
      </c>
      <c r="BF26" s="29" t="s">
        <v>1821</v>
      </c>
      <c r="BG26" s="29" t="s">
        <v>1817</v>
      </c>
      <c r="BH26" s="29" t="s">
        <v>1822</v>
      </c>
      <c r="BI26" s="29" t="s">
        <v>1818</v>
      </c>
      <c r="BJ26" s="29" t="s">
        <v>1720</v>
      </c>
      <c r="BK26" s="29" t="s">
        <v>1819</v>
      </c>
      <c r="BL26" s="29" t="s">
        <v>1820</v>
      </c>
      <c r="BN26" s="29">
        <f t="shared" ref="BN26:BN43" ca="1" si="29">_xlfn.RANK.EQ(BO26,$BO$26:$BO$43)</f>
        <v>1</v>
      </c>
      <c r="BO26" s="29">
        <f ca="1">IF(BP26="Acrobatics",RAND(),0)</f>
        <v>0</v>
      </c>
      <c r="BP26" s="29" t="str">
        <f ca="1">IF(OR(BM6&gt;=1,AV6&gt;=1),AH6," ")</f>
        <v xml:space="preserve"> </v>
      </c>
      <c r="BR26" s="29">
        <f t="shared" ref="BR26:BR43" ca="1" si="30">_xlfn.RANK.EQ(BS26,$BS$26:$BS$43)</f>
        <v>2</v>
      </c>
      <c r="BS26" s="29">
        <f t="shared" ref="BS26:BS43" ca="1" si="31">IF(BO26=0,RAND(),0)</f>
        <v>0.92688683938062566</v>
      </c>
      <c r="BU26" s="29">
        <f ca="1">_xlfn.RANK.EQ(BV26,$BV$26:$BV$29)</f>
        <v>1</v>
      </c>
      <c r="BV26" s="29">
        <f ca="1">IF(BW26="Arcana",RAND(),0)</f>
        <v>0</v>
      </c>
      <c r="BW26" s="29" t="str">
        <f ca="1">IF(OR($AV$8&gt;=1,$BR$8&gt;=1,BM8&gt;=1),"Arcana"," ")</f>
        <v xml:space="preserve"> </v>
      </c>
      <c r="BY26" s="29">
        <f ca="1">_xlfn.RANK.EQ(BZ26,$BZ$26:$BZ$29)</f>
        <v>2</v>
      </c>
      <c r="BZ26" s="29">
        <f t="shared" ref="BZ26:BZ32" ca="1" si="32">IF(BV26=0,RAND(),0)</f>
        <v>0.51977502578710744</v>
      </c>
      <c r="CB26" s="35">
        <f t="shared" ca="1" si="14"/>
        <v>14</v>
      </c>
      <c r="CC26" s="36">
        <f t="shared" ca="1" si="15"/>
        <v>0.43091048335127125</v>
      </c>
      <c r="CD26" s="29" t="s">
        <v>27</v>
      </c>
    </row>
    <row r="27" spans="2:83" x14ac:dyDescent="0.3">
      <c r="O27" s="33" t="str">
        <f ca="1">IF(AND(O11="ranger",O12&gt;=10),"Natural Explorer: "&amp;INDEX('Class Tables'!F212:F219,MATCH(3,('Class Tables'!D212:D219),0)),IF(AND(O11="monk",O12&gt;=6),"Ki-Empowered Strikes"," "))</f>
        <v xml:space="preserve"> </v>
      </c>
      <c r="P27" s="33" t="str">
        <f ca="1">IF(AND(P15="battle master",O12&gt;=15),INDEX('Class Tables'!K40:K55,MATCH(8,('Class Tables'!I40:I55),0))," ")</f>
        <v xml:space="preserve"> </v>
      </c>
      <c r="Q27" s="33" t="str">
        <f ca="1">IF(AND(Q11="ranger",Q12&gt;=10),"Natural Explorer: "&amp;INDEX('Class Tables'!F212:F219,MATCH(3,('Class Tables'!D212:D219),0)),IF(AND(Q11="monk",Q12&gt;=6),"Ki-Empowered Strikes"," "))</f>
        <v xml:space="preserve"> </v>
      </c>
      <c r="AI27" s="29">
        <v>1</v>
      </c>
      <c r="AJ27" s="29" t="str">
        <f ca="1">IF(O11="barbarian",INDEX(#REF!,MATCH($AI$27,(#REF!),0))," ")</f>
        <v xml:space="preserve"> </v>
      </c>
      <c r="AK27" s="29" t="str">
        <f ca="1">IF(OR(O11="bard",Q11="bard"),INDEX(#REF!,MATCH($AI$27,(#REF!),0))," ")</f>
        <v xml:space="preserve"> </v>
      </c>
      <c r="AL27" s="29" t="str">
        <f ca="1">IF(O11="cleric",INDEX(#REF!,MATCH(AI27,(#REF!),0))," ")</f>
        <v xml:space="preserve"> </v>
      </c>
      <c r="AM27" s="29" t="str">
        <f ca="1">IF(O11="Druid",INDEX(#REF!,MATCH(AI27,(#REF!),0))," ")</f>
        <v xml:space="preserve"> </v>
      </c>
      <c r="AN27" s="29" t="str">
        <f ca="1">IF(O11="fighter",INDEX(#REF!,MATCH(AI27,(#REF!),0))," ")</f>
        <v xml:space="preserve"> </v>
      </c>
      <c r="AO27" s="29" t="str">
        <f ca="1">IF(O11="monk",INDEX(#REF!,MATCH(AI27,(#REF!),0))," ")</f>
        <v xml:space="preserve"> </v>
      </c>
      <c r="AP27" s="29" t="str">
        <f ca="1">IF(O11="Paladin",INDEX(#REF!,MATCH(AI27,(#REF!),0))," ")</f>
        <v xml:space="preserve"> </v>
      </c>
      <c r="AQ27" s="29" t="str">
        <f ca="1">IF(OR(O11="ranger",Q11="ranger"),INDEX(#REF!,MATCH(AI27,(#REF!),0))," ")</f>
        <v xml:space="preserve"> </v>
      </c>
      <c r="AR27" s="29" t="str">
        <f ca="1">IF(OR(O11="rogue",Q11="rogue"),INDEX(#REF!,MATCH(AI27,(#REF!),0))," ")</f>
        <v xml:space="preserve"> </v>
      </c>
      <c r="AS27" s="29" t="str">
        <f ca="1">IF(O11="sorcerer",INDEX(#REF!,MATCH(AI27,(#REF!),0))," ")</f>
        <v xml:space="preserve"> </v>
      </c>
      <c r="AT27" s="29" t="str">
        <f ca="1">IF(O11="Warlock",INDEX(#REF!,MATCH(AI27,(#REF!),0))," ")</f>
        <v xml:space="preserve"> </v>
      </c>
      <c r="AU27" s="29" t="str">
        <f ca="1">IF(O11="wizard",INDEX(#REF!,MATCH(AI27,(#REF!),0))," ")</f>
        <v xml:space="preserve"> </v>
      </c>
      <c r="AX27" s="29" t="s">
        <v>17</v>
      </c>
      <c r="AY27" s="29" t="s">
        <v>15</v>
      </c>
      <c r="AZ27" s="29" t="s">
        <v>15</v>
      </c>
      <c r="BA27" s="29" t="s">
        <v>12</v>
      </c>
      <c r="BB27" s="29" t="s">
        <v>29</v>
      </c>
      <c r="BC27" s="29" t="s">
        <v>17</v>
      </c>
      <c r="BD27" s="29" t="s">
        <v>20</v>
      </c>
      <c r="BE27" s="29" t="s">
        <v>1824</v>
      </c>
      <c r="BF27" s="29" t="s">
        <v>16</v>
      </c>
      <c r="BG27" s="29" t="s">
        <v>14</v>
      </c>
      <c r="BH27" s="29" t="s">
        <v>14</v>
      </c>
      <c r="BI27" s="29" t="s">
        <v>13</v>
      </c>
      <c r="BJ27" s="29" t="s">
        <v>14</v>
      </c>
      <c r="BK27" s="29" t="s">
        <v>14</v>
      </c>
      <c r="BL27" s="29" t="s">
        <v>26</v>
      </c>
      <c r="BN27" s="29">
        <f t="shared" ca="1" si="29"/>
        <v>1</v>
      </c>
      <c r="BO27" s="29">
        <f ca="1">IF(BP27="Animal Handling",RAND(),0)</f>
        <v>0</v>
      </c>
      <c r="BP27" s="29" t="str">
        <f t="shared" ref="BP27:BP43" ca="1" si="33">IF(OR(BM7&gt;=1,AV7&gt;=1),AH7," ")</f>
        <v xml:space="preserve"> </v>
      </c>
      <c r="BR27" s="29">
        <f t="shared" ca="1" si="30"/>
        <v>10</v>
      </c>
      <c r="BS27" s="29">
        <f t="shared" ca="1" si="31"/>
        <v>0.47834233925855729</v>
      </c>
      <c r="BU27" s="29">
        <f ca="1">_xlfn.RANK.EQ(BV27,$BV$26:$BV$29)</f>
        <v>1</v>
      </c>
      <c r="BV27" s="29">
        <f ca="1">IF(BW27="History",RAND(),0)</f>
        <v>0</v>
      </c>
      <c r="BW27" s="29" t="str">
        <f ca="1">IF(OR($AV$11&gt;=1,$BR$11&gt;=1,BM11&gt;=1),"History"," ")</f>
        <v xml:space="preserve"> </v>
      </c>
      <c r="BY27" s="29">
        <f ca="1">_xlfn.RANK.EQ(BZ27,$BZ$26:$BZ$29)</f>
        <v>3</v>
      </c>
      <c r="BZ27" s="29">
        <f t="shared" ca="1" si="32"/>
        <v>0.39055566732872138</v>
      </c>
      <c r="CB27" s="35">
        <f t="shared" ca="1" si="14"/>
        <v>10</v>
      </c>
      <c r="CC27" s="36">
        <f t="shared" ca="1" si="15"/>
        <v>0.61017202274973437</v>
      </c>
      <c r="CD27" s="29" t="s">
        <v>28</v>
      </c>
    </row>
    <row r="28" spans="2:83" x14ac:dyDescent="0.3">
      <c r="O28" s="33" t="str">
        <f ca="1">IF(AND(O11="monk",O12&gt;=7),"Evasion"," ")</f>
        <v xml:space="preserve"> </v>
      </c>
      <c r="P28" s="33" t="str">
        <f ca="1">IF(AND(P15="battle master",O12&gt;=15),INDEX('Class Tables'!K40:K55,MATCH(9,('Class Tables'!I40:I55),0))," ")</f>
        <v xml:space="preserve"> </v>
      </c>
      <c r="Q28" s="33" t="str">
        <f ca="1">IF(AND(Q11="monk",Q12&gt;=7),"Evasion"," ")</f>
        <v xml:space="preserve"> </v>
      </c>
      <c r="AE28" s="29" t="s">
        <v>1804</v>
      </c>
      <c r="AI28" s="29">
        <v>2</v>
      </c>
      <c r="AJ28" s="29" t="str">
        <f ca="1">IF(O11="barbarian",INDEX(#REF!,MATCH($AI$28,(#REF!),0))," ")</f>
        <v xml:space="preserve"> </v>
      </c>
      <c r="AK28" s="29" t="str">
        <f ca="1">IF(O11="bard",INDEX(#REF!,MATCH(AI28,(#REF!),0))," ")</f>
        <v xml:space="preserve"> </v>
      </c>
      <c r="AL28" s="29" t="str">
        <f ca="1">IF(O11="cleric",INDEX(#REF!,MATCH(AI28,(#REF!),0))," ")</f>
        <v xml:space="preserve"> </v>
      </c>
      <c r="AM28" s="29" t="str">
        <f ca="1">IF(O11="druid",INDEX(#REF!,MATCH(AI28,(#REF!),0))," ")</f>
        <v xml:space="preserve"> </v>
      </c>
      <c r="AN28" s="29" t="str">
        <f ca="1">IF(O11="fighter",INDEX(#REF!,MATCH(AI28,(#REF!),0))," ")</f>
        <v xml:space="preserve"> </v>
      </c>
      <c r="AO28" s="29" t="str">
        <f ca="1">IF(O11="monk",INDEX(#REF!,MATCH(AI28,(#REF!),0))," ")</f>
        <v xml:space="preserve"> </v>
      </c>
      <c r="AP28" s="29" t="str">
        <f ca="1">IF(O11="paladin",INDEX(#REF!,MATCH(AI28,(#REF!),0))," ")</f>
        <v xml:space="preserve"> </v>
      </c>
      <c r="AQ28" s="29" t="str">
        <f ca="1">IF(O11="ranger",INDEX(#REF!,MATCH(AI28,(#REF!),0))," ")</f>
        <v xml:space="preserve"> </v>
      </c>
      <c r="AR28" s="29" t="str">
        <f ca="1">IF(O11="rogue",INDEX(#REF!,MATCH(AI28,(#REF!),0))," ")</f>
        <v xml:space="preserve"> </v>
      </c>
      <c r="AS28" s="29" t="str">
        <f ca="1">IF(O11="sorcerer",INDEX(#REF!,MATCH(AI28,(#REF!),0))," ")</f>
        <v xml:space="preserve"> </v>
      </c>
      <c r="AT28" s="29" t="str">
        <f ca="1">IF(O11="warlock",INDEX(#REF!,MATCH(AI28,(#REF!),0))," ")</f>
        <v xml:space="preserve"> </v>
      </c>
      <c r="AU28" s="29" t="str">
        <f ca="1">IF(O11="wizard",INDEX(#REF!,MATCH(AI28,(#REF!),0))," ")</f>
        <v xml:space="preserve"> </v>
      </c>
      <c r="AX28" s="29" t="s">
        <v>25</v>
      </c>
      <c r="AY28" s="29" t="s">
        <v>26</v>
      </c>
      <c r="AZ28" s="29" t="s">
        <v>27</v>
      </c>
      <c r="BA28" s="29" t="s">
        <v>23</v>
      </c>
      <c r="BB28" s="29" t="s">
        <v>28</v>
      </c>
      <c r="BC28" s="29" t="s">
        <v>24</v>
      </c>
      <c r="BD28" s="29" t="s">
        <v>25</v>
      </c>
      <c r="BE28" s="29" t="s">
        <v>24</v>
      </c>
      <c r="BF28" s="29" t="s">
        <v>24</v>
      </c>
      <c r="BG28" s="29" t="s">
        <v>28</v>
      </c>
      <c r="BH28" s="29" t="s">
        <v>22</v>
      </c>
      <c r="BI28" s="29" t="s">
        <v>16</v>
      </c>
      <c r="BJ28" s="29" t="s">
        <v>22</v>
      </c>
      <c r="BK28" s="29" t="s">
        <v>18</v>
      </c>
      <c r="BL28" s="29" t="s">
        <v>27</v>
      </c>
      <c r="BN28" s="29">
        <f t="shared" ca="1" si="29"/>
        <v>1</v>
      </c>
      <c r="BO28" s="29">
        <f ca="1">IF(BP28="Arcana",RAND(),0)</f>
        <v>0</v>
      </c>
      <c r="BP28" s="29" t="str">
        <f t="shared" ca="1" si="33"/>
        <v xml:space="preserve"> </v>
      </c>
      <c r="BR28" s="29">
        <f t="shared" ca="1" si="30"/>
        <v>12</v>
      </c>
      <c r="BS28" s="29">
        <f t="shared" ca="1" si="31"/>
        <v>0.46566648500966268</v>
      </c>
      <c r="BU28" s="29">
        <f ca="1">_xlfn.RANK.EQ(BV28,$BV$26:$BV$29)</f>
        <v>1</v>
      </c>
      <c r="BV28" s="29">
        <f ca="1">IF(BW28="Nature",RAND(),0)</f>
        <v>0</v>
      </c>
      <c r="BW28" s="29" t="str">
        <f ca="1">IF(OR($AV$16&gt;=1,$BR$16&gt;=1,BM16&gt;=1),"Nature"," ")</f>
        <v xml:space="preserve"> </v>
      </c>
      <c r="BY28" s="29">
        <f ca="1">_xlfn.RANK.EQ(BZ28,$BZ$26:$BZ$29)</f>
        <v>1</v>
      </c>
      <c r="BZ28" s="29">
        <f t="shared" ca="1" si="32"/>
        <v>0.94052986783869252</v>
      </c>
    </row>
    <row r="29" spans="2:83" x14ac:dyDescent="0.3">
      <c r="O29" s="33" t="str">
        <f ca="1">IF(AND(O11="monk",O12&gt;=7),"Stillness of Mind"," ")</f>
        <v xml:space="preserve"> </v>
      </c>
      <c r="Q29" s="33" t="str">
        <f ca="1">IF(AND(Q11="monk",Q12&gt;=7),"Stillness of Mind"," ")</f>
        <v xml:space="preserve"> </v>
      </c>
      <c r="AE29" s="29">
        <f ca="1">RANDBETWEEN(2,8)</f>
        <v>6</v>
      </c>
      <c r="BN29" s="29">
        <f t="shared" ca="1" si="29"/>
        <v>1</v>
      </c>
      <c r="BO29" s="29">
        <f ca="1">IF(BP29="Athletics",RAND(),0)</f>
        <v>0</v>
      </c>
      <c r="BP29" s="29" t="str">
        <f t="shared" ca="1" si="33"/>
        <v xml:space="preserve"> </v>
      </c>
      <c r="BR29" s="29">
        <f t="shared" ca="1" si="30"/>
        <v>9</v>
      </c>
      <c r="BS29" s="29">
        <f t="shared" ca="1" si="31"/>
        <v>0.49145542118619479</v>
      </c>
      <c r="BU29" s="29">
        <f ca="1">_xlfn.RANK.EQ(BV29,$BV$26:$BV$29)</f>
        <v>1</v>
      </c>
      <c r="BV29" s="29">
        <f ca="1">IF(BW29="Religion",RAND(),0)</f>
        <v>0</v>
      </c>
      <c r="BW29" s="29" t="str">
        <f ca="1">IF(AND($AV$20&gt;=1,$BR$20&gt;=1,BM20&gt;=1),"Religion"," ")</f>
        <v xml:space="preserve"> </v>
      </c>
      <c r="BY29" s="29">
        <f ca="1">_xlfn.RANK.EQ(BZ29,$BZ$26:$BZ$29)</f>
        <v>4</v>
      </c>
      <c r="BZ29" s="29">
        <f t="shared" ca="1" si="32"/>
        <v>0.1621956592726872</v>
      </c>
      <c r="CB29" s="31" t="s">
        <v>729</v>
      </c>
      <c r="CC29" s="36"/>
    </row>
    <row r="30" spans="2:83" x14ac:dyDescent="0.3">
      <c r="O30" s="33" t="str">
        <f ca="1">IF(AND(O11="monk",O12&gt;=10),"Purity of Body"," ")</f>
        <v xml:space="preserve"> </v>
      </c>
      <c r="Q30" s="33" t="str">
        <f ca="1">IF(AND(Q11="monk",Q12&gt;=10),"Purity of Body"," ")</f>
        <v xml:space="preserve"> </v>
      </c>
      <c r="AE30" s="29">
        <f ca="1">RANDBETWEEN(2,12)</f>
        <v>6</v>
      </c>
      <c r="AI30" s="29">
        <v>3</v>
      </c>
      <c r="AK30" s="29" t="str">
        <f ca="1">IF(O11="bard",INDEX(#REF!,MATCH(AI30,(#REF!),0))," ")</f>
        <v xml:space="preserve"> </v>
      </c>
      <c r="AP30" s="29" t="str">
        <f ca="1">IF($AG$30="druid",VLOOKUP(RANDBETWEEN(1,8),Table51350464806863920336393895[],2)," ")</f>
        <v xml:space="preserve"> </v>
      </c>
      <c r="AQ30" s="29" t="str">
        <f ca="1">IF(O11="ranger",INDEX(#REF!,MATCH(AI30,(#REF!),0))," ")</f>
        <v xml:space="preserve"> </v>
      </c>
      <c r="AR30" s="29" t="str">
        <f ca="1">IF(O11="rogue",INDEX(#REF!,MATCH(AI30,(#REF!),0))," ")</f>
        <v xml:space="preserve"> </v>
      </c>
      <c r="AT30" s="29" t="str">
        <f ca="1">IF(OR(COUNTIF(O18:O25,"*"&amp;"beguiling influence"&amp;"*"),COUNTIF(O13:O13,"*"&amp;"beguiling influence"&amp;"*")),"Deception"," ")</f>
        <v xml:space="preserve"> </v>
      </c>
      <c r="BN30" s="29">
        <f t="shared" ca="1" si="29"/>
        <v>1</v>
      </c>
      <c r="BO30" s="29">
        <f ca="1">IF(BP30="Deception",RAND(),0)</f>
        <v>0</v>
      </c>
      <c r="BP30" s="29" t="str">
        <f t="shared" ca="1" si="33"/>
        <v xml:space="preserve"> </v>
      </c>
      <c r="BR30" s="29">
        <f t="shared" ca="1" si="30"/>
        <v>4</v>
      </c>
      <c r="BS30" s="29">
        <f t="shared" ca="1" si="31"/>
        <v>0.8795975740856129</v>
      </c>
      <c r="BU30" s="29">
        <f ca="1">_xlfn.RANK.EQ(BV30,$BV$30:$BV$32)</f>
        <v>1</v>
      </c>
      <c r="BV30" s="29">
        <f ca="1">IF(BW30="Animal Handling",RAND(),0)</f>
        <v>0</v>
      </c>
      <c r="BW30" s="29" t="str">
        <f ca="1">IF(OR($AV$7&gt;=1,$BR$7&gt;=1,BM7&gt;=1),"Animal Handling"," ")</f>
        <v xml:space="preserve"> </v>
      </c>
      <c r="BY30" s="29">
        <f ca="1">_xlfn.RANK.EQ(BZ30,$BZ$30:$BZ$32)</f>
        <v>3</v>
      </c>
      <c r="BZ30" s="29">
        <f t="shared" ca="1" si="32"/>
        <v>7.707371636860294E-2</v>
      </c>
      <c r="CB30" s="35">
        <f ca="1">_xlfn.RANK.EQ(CC30,$CC$30:$CC$34)</f>
        <v>2</v>
      </c>
      <c r="CC30" s="36">
        <f ca="1">IF(BM11&gt;0,0,RAND())</f>
        <v>0.75060112891071162</v>
      </c>
      <c r="CD30" s="29" t="s">
        <v>16</v>
      </c>
    </row>
    <row r="31" spans="2:83" x14ac:dyDescent="0.3">
      <c r="O31" s="33" t="str">
        <f ca="1">IF(AND(O11="monk",O12&gt;=13),"Tongue of the Sun and Moon"," ")</f>
        <v xml:space="preserve"> </v>
      </c>
      <c r="AE31" s="29">
        <f ca="1">RANDBETWEEN(2,16)</f>
        <v>5</v>
      </c>
      <c r="AI31" s="29">
        <v>4</v>
      </c>
      <c r="AK31" s="29" t="str">
        <f ca="1">IF(P15="college of lore",INDEX(#REF!,MATCH(AI31,(#REF!),0))," ")</f>
        <v xml:space="preserve"> </v>
      </c>
      <c r="AR31" s="29" t="str">
        <f ca="1">IF(O11="rogue",INDEX(#REF!,MATCH(AI31,(#REF!),0))," ")</f>
        <v xml:space="preserve"> </v>
      </c>
      <c r="AT31" s="29" t="str">
        <f ca="1">IF(OR(COUNTIF(O18:O25,"*"&amp;"beguiling influence"&amp;"*"),COUNTIF(O13:O13,"*"&amp;"beguiling influence"&amp;"*")),"Persuasion"," ")</f>
        <v xml:space="preserve"> </v>
      </c>
      <c r="BN31" s="29">
        <f t="shared" ca="1" si="29"/>
        <v>1</v>
      </c>
      <c r="BO31" s="29">
        <f ca="1">IF(BP31="History",RAND(),0)</f>
        <v>0</v>
      </c>
      <c r="BP31" s="29" t="str">
        <f t="shared" ca="1" si="33"/>
        <v xml:space="preserve"> </v>
      </c>
      <c r="BR31" s="29">
        <f t="shared" ca="1" si="30"/>
        <v>11</v>
      </c>
      <c r="BS31" s="29">
        <f t="shared" ca="1" si="31"/>
        <v>0.47691839382923007</v>
      </c>
      <c r="BU31" s="29">
        <f ca="1">_xlfn.RANK.EQ(BV31,$BV$30:$BV$32)</f>
        <v>1</v>
      </c>
      <c r="BV31" s="29">
        <f ca="1">IF(BW31="Nature",RAND(),0)</f>
        <v>0</v>
      </c>
      <c r="BW31" s="29" t="str">
        <f ca="1">IF(OR($AV$16&gt;=1,$BR$16&gt;=1,BM16&gt;=1),"Nature"," ")</f>
        <v xml:space="preserve"> </v>
      </c>
      <c r="BY31" s="29">
        <f ca="1">_xlfn.RANK.EQ(BZ31,$BZ$30:$BZ$32)</f>
        <v>2</v>
      </c>
      <c r="BZ31" s="29">
        <f t="shared" ca="1" si="32"/>
        <v>0.5487651307992516</v>
      </c>
      <c r="CB31" s="35">
        <f ca="1">_xlfn.RANK.EQ(CC31,$CC$30:$CC$34)</f>
        <v>1</v>
      </c>
      <c r="CC31" s="36">
        <f ca="1">IF(BM12&gt;0,0,RAND())</f>
        <v>0.94096725274936244</v>
      </c>
      <c r="CD31" s="29" t="s">
        <v>17</v>
      </c>
      <c r="CE31" s="31"/>
    </row>
    <row r="32" spans="2:83" x14ac:dyDescent="0.3">
      <c r="O32" s="33" t="str">
        <f ca="1">IF(AND(O11="monk",O12&gt;=14),"Diamond Soul"," ")</f>
        <v xml:space="preserve"> </v>
      </c>
      <c r="AE32" s="29">
        <f ca="1">RANDBETWEEN(2,20)</f>
        <v>18</v>
      </c>
      <c r="AI32" s="29">
        <v>5</v>
      </c>
      <c r="AK32" s="29" t="str">
        <f ca="1">IF(P15="college of lore",INDEX(#REF!,MATCH(AI32,(#REF!),0))," ")</f>
        <v xml:space="preserve"> </v>
      </c>
      <c r="BN32" s="29">
        <f t="shared" ca="1" si="29"/>
        <v>1</v>
      </c>
      <c r="BO32" s="29">
        <f ca="1">IF(BP32="Insight",RAND(),0)</f>
        <v>0</v>
      </c>
      <c r="BP32" s="29" t="str">
        <f t="shared" ca="1" si="33"/>
        <v xml:space="preserve"> </v>
      </c>
      <c r="BR32" s="29">
        <f t="shared" ca="1" si="30"/>
        <v>1</v>
      </c>
      <c r="BS32" s="29">
        <f t="shared" ca="1" si="31"/>
        <v>0.9305156678262938</v>
      </c>
      <c r="BU32" s="29">
        <f ca="1">_xlfn.RANK.EQ(BV32,$BV$30:$BV$32)</f>
        <v>1</v>
      </c>
      <c r="BV32" s="29">
        <f ca="1">IF(BW32="Survival",RAND(),0)</f>
        <v>0</v>
      </c>
      <c r="BW32" s="29" t="str">
        <f ca="1">IF(OR($AV$23&gt;=1,$BR$23&gt;=1,BM23&gt;=1),"Survival"," ")</f>
        <v xml:space="preserve"> </v>
      </c>
      <c r="BY32" s="29">
        <f ca="1">_xlfn.RANK.EQ(BZ32,$BZ$30:$BZ$32)</f>
        <v>1</v>
      </c>
      <c r="BZ32" s="29">
        <f t="shared" ca="1" si="32"/>
        <v>0.76752935797064681</v>
      </c>
      <c r="CB32" s="35">
        <f ca="1">_xlfn.RANK.EQ(CC32,$CC$30:$CC$34)</f>
        <v>3</v>
      </c>
      <c r="CC32" s="36">
        <f ca="1">IF(BM15&gt;0,0,RAND())</f>
        <v>0.67654919618333131</v>
      </c>
      <c r="CD32" s="29" t="s">
        <v>20</v>
      </c>
    </row>
    <row r="33" spans="1:83" x14ac:dyDescent="0.3">
      <c r="O33" s="33" t="str">
        <f ca="1">IF(AND(O11="monk",O12&gt;=15),"Timeless Body"," ")</f>
        <v xml:space="preserve"> </v>
      </c>
      <c r="AI33" s="29">
        <v>6</v>
      </c>
      <c r="AK33" s="29" t="str">
        <f ca="1">IF(P15="college of lore",INDEX(#REF!,MATCH(AI33,(#REF!),0))," ")</f>
        <v xml:space="preserve"> </v>
      </c>
      <c r="BN33" s="29">
        <f t="shared" ca="1" si="29"/>
        <v>1</v>
      </c>
      <c r="BO33" s="29">
        <f ca="1">IF(BP33="Intimidation",RAND(),0)</f>
        <v>0</v>
      </c>
      <c r="BP33" s="29" t="str">
        <f t="shared" ca="1" si="33"/>
        <v xml:space="preserve"> </v>
      </c>
      <c r="BR33" s="29">
        <f t="shared" ca="1" si="30"/>
        <v>13</v>
      </c>
      <c r="BS33" s="29">
        <f t="shared" ca="1" si="31"/>
        <v>0.40943198848063878</v>
      </c>
      <c r="CB33" s="35">
        <f ca="1">_xlfn.RANK.EQ(CC33,$CC$30:$CC$34)</f>
        <v>5</v>
      </c>
      <c r="CC33" s="36">
        <f ca="1">IF(BM19&gt;0,0,RAND())</f>
        <v>0.24509091678560135</v>
      </c>
      <c r="CD33" s="29" t="s">
        <v>24</v>
      </c>
    </row>
    <row r="34" spans="1:83" x14ac:dyDescent="0.3">
      <c r="O34" s="33" t="str">
        <f ca="1">IF(AND(O11="Monk",O12&gt;=18),"Empty Body"," ")</f>
        <v xml:space="preserve"> </v>
      </c>
      <c r="BN34" s="29">
        <f t="shared" ca="1" si="29"/>
        <v>1</v>
      </c>
      <c r="BO34" s="29">
        <f ca="1">IF(BP34="Investigation",RAND(),0)</f>
        <v>0</v>
      </c>
      <c r="BP34" s="29" t="str">
        <f t="shared" ca="1" si="33"/>
        <v xml:space="preserve"> </v>
      </c>
      <c r="BR34" s="29">
        <f t="shared" ca="1" si="30"/>
        <v>17</v>
      </c>
      <c r="BS34" s="29">
        <f t="shared" ca="1" si="31"/>
        <v>0.16452249975581124</v>
      </c>
      <c r="CB34" s="35">
        <f ca="1">_xlfn.RANK.EQ(CC34,$CC$30:$CC$34)</f>
        <v>4</v>
      </c>
      <c r="CC34" s="36">
        <f ca="1">IF(BM20&gt;0,0,RAND())</f>
        <v>0.65236449866419122</v>
      </c>
      <c r="CD34" s="29" t="s">
        <v>25</v>
      </c>
    </row>
    <row r="35" spans="1:83" x14ac:dyDescent="0.3">
      <c r="O35" s="33" t="str">
        <f ca="1">IF(AND(O11="monk",O12&gt;=20),"Perfect Body"," ")</f>
        <v xml:space="preserve"> </v>
      </c>
      <c r="AE35" s="29" t="s">
        <v>2255</v>
      </c>
      <c r="AF35" s="29">
        <f ca="1">RANDBETWEEN(1,3)</f>
        <v>1</v>
      </c>
      <c r="BN35" s="29">
        <f t="shared" ca="1" si="29"/>
        <v>1</v>
      </c>
      <c r="BO35" s="29">
        <f ca="1">IF(BP35="Medicine",RAND(),0)</f>
        <v>0</v>
      </c>
      <c r="BP35" s="29" t="str">
        <f t="shared" ca="1" si="33"/>
        <v xml:space="preserve"> </v>
      </c>
      <c r="BR35" s="29">
        <f t="shared" ca="1" si="30"/>
        <v>8</v>
      </c>
      <c r="BS35" s="29">
        <f t="shared" ca="1" si="31"/>
        <v>0.50495860109237722</v>
      </c>
    </row>
    <row r="36" spans="1:83" ht="19.5" thickBot="1" x14ac:dyDescent="0.35">
      <c r="A36" s="33"/>
      <c r="B36" s="38"/>
      <c r="C36" s="38"/>
      <c r="D36" s="38"/>
      <c r="E36" s="38"/>
      <c r="F36" s="38"/>
      <c r="G36" s="38"/>
      <c r="H36" s="38"/>
      <c r="I36" s="38"/>
      <c r="J36" s="38"/>
      <c r="K36" s="38"/>
      <c r="L36" s="38"/>
      <c r="M36" s="38"/>
      <c r="N36" s="38"/>
      <c r="O36" s="38"/>
      <c r="P36" s="38"/>
      <c r="AE36" s="29" t="s">
        <v>2256</v>
      </c>
      <c r="AF36" s="29">
        <f ca="1">RANDBETWEEN(1,2)</f>
        <v>1</v>
      </c>
      <c r="BN36" s="29">
        <f t="shared" ca="1" si="29"/>
        <v>1</v>
      </c>
      <c r="BO36" s="29">
        <f ca="1">IF(BP36="Nature",RAND(),0)</f>
        <v>0</v>
      </c>
      <c r="BP36" s="29" t="str">
        <f t="shared" ca="1" si="33"/>
        <v xml:space="preserve"> </v>
      </c>
      <c r="BR36" s="29">
        <f t="shared" ca="1" si="30"/>
        <v>14</v>
      </c>
      <c r="BS36" s="29">
        <f t="shared" ca="1" si="31"/>
        <v>0.34609938235481419</v>
      </c>
      <c r="CB36" s="31" t="s">
        <v>730</v>
      </c>
      <c r="CE36" s="31"/>
    </row>
    <row r="37" spans="1:83" ht="30.75" thickBot="1" x14ac:dyDescent="0.45">
      <c r="A37" s="137"/>
      <c r="B37" s="122" t="s">
        <v>10</v>
      </c>
      <c r="C37" s="53" t="s">
        <v>710</v>
      </c>
      <c r="D37" s="53" t="s">
        <v>676</v>
      </c>
      <c r="E37" s="53" t="s">
        <v>677</v>
      </c>
      <c r="F37" s="53" t="s">
        <v>678</v>
      </c>
      <c r="G37" s="53" t="s">
        <v>679</v>
      </c>
      <c r="H37" s="53" t="s">
        <v>680</v>
      </c>
      <c r="I37" s="53" t="s">
        <v>675</v>
      </c>
      <c r="J37" s="53"/>
      <c r="K37" s="53"/>
      <c r="L37" s="53"/>
      <c r="M37" s="53"/>
      <c r="N37" s="53"/>
      <c r="O37" s="53" t="s">
        <v>8</v>
      </c>
      <c r="P37" s="116" t="s">
        <v>9</v>
      </c>
      <c r="BN37" s="29">
        <f t="shared" ca="1" si="29"/>
        <v>1</v>
      </c>
      <c r="BO37" s="29">
        <f ca="1">IF(BP37="Perception",RAND(),0)</f>
        <v>0</v>
      </c>
      <c r="BP37" s="29" t="str">
        <f t="shared" ca="1" si="33"/>
        <v xml:space="preserve"> </v>
      </c>
      <c r="BR37" s="29">
        <f t="shared" ca="1" si="30"/>
        <v>3</v>
      </c>
      <c r="BS37" s="29">
        <f t="shared" ca="1" si="31"/>
        <v>0.90659991517139005</v>
      </c>
      <c r="CB37" s="35">
        <f t="shared" ref="CB37:CB44" ca="1" si="34">_xlfn.RANK.EQ(CC37,$CC$37:$CC$44)</f>
        <v>3</v>
      </c>
      <c r="CC37" s="36">
        <f ca="1">IF(BM8&gt;0,0,RAND())</f>
        <v>0.67414500052405002</v>
      </c>
      <c r="CD37" s="29" t="s">
        <v>13</v>
      </c>
    </row>
    <row r="38" spans="1:83" ht="19.5" thickTop="1" x14ac:dyDescent="0.3">
      <c r="A38" s="137"/>
      <c r="B38" s="33" t="s">
        <v>1</v>
      </c>
      <c r="C38" s="33" t="str">
        <f ca="1">IF(O26="Primal Champion",4," ")</f>
        <v xml:space="preserve"> </v>
      </c>
      <c r="D38" s="33">
        <f ca="1">IF(AND($AF$2="strength",$AF$3="strength"),2,IF(OR($AF$2="strength",$AF$3="strength"),1," "))</f>
        <v>1</v>
      </c>
      <c r="E38" s="33" t="str">
        <f ca="1">IF(AND($AF$4="strength",$AF$5="strength"),2,IF(OR($AF$4="strength",$AF$5="strength"),1," "))</f>
        <v xml:space="preserve"> </v>
      </c>
      <c r="F38" s="33" t="str">
        <f ca="1">IF(AND($AF$6="strength",$AF$7="strength"),2,IF(OR($AF$6="strength",$AF$7="strength"),1," "))</f>
        <v xml:space="preserve"> </v>
      </c>
      <c r="G38" s="33" t="str">
        <f ca="1">IF(AND($AF$8="strength",$AF$9="strength"),2,IF(OR($AF$8="strength",$AF$9="strength"),1," "))</f>
        <v xml:space="preserve"> </v>
      </c>
      <c r="H38" s="33" t="str">
        <f ca="1">IF(AND($AF$10="strength",$AF$11="strength"),2,IF(OR($AF$10="strength",$AF$11="strength"),1," "))</f>
        <v xml:space="preserve"> </v>
      </c>
      <c r="I38" s="33">
        <f ca="1">IF(OR(Q2="dragonborn",P2="mountain",Q2="Half-orc"),SUM(J38:M38)-SMALL(J38:M38,1)+2,IF(Q2="human",(SUM(J38:M38)-SMALL(J38:M38,1)+1),(SUM(J38:M38)-SMALL(J38:M38,1))))</f>
        <v>11</v>
      </c>
      <c r="J38" s="33">
        <f t="shared" ref="J38:M43" ca="1" si="35">RANDBETWEEN(1,6)</f>
        <v>3</v>
      </c>
      <c r="K38" s="33">
        <f t="shared" ca="1" si="35"/>
        <v>5</v>
      </c>
      <c r="L38" s="33">
        <f t="shared" ca="1" si="35"/>
        <v>3</v>
      </c>
      <c r="M38" s="33">
        <f t="shared" ca="1" si="35"/>
        <v>1</v>
      </c>
      <c r="N38" s="33"/>
      <c r="O38" s="33">
        <f ca="1">IF(OR(O11="barbarian",O11="fighter",O11="paladin"),MAX(13,(SUM(C38:I38))),IF(OR(Q11="barbarian",Q11="fighter",Q11="paladin"),MAX(13,(SUM(C38:I38))),SUM(C38:I38)))</f>
        <v>12</v>
      </c>
      <c r="P38" s="117">
        <f ca="1">VLOOKUP(O38,Table1[],2)</f>
        <v>1</v>
      </c>
      <c r="BN38" s="29">
        <f t="shared" ca="1" si="29"/>
        <v>1</v>
      </c>
      <c r="BO38" s="29">
        <f ca="1">IF(BP38="Performance",RAND(),0)</f>
        <v>0</v>
      </c>
      <c r="BP38" s="29" t="str">
        <f t="shared" ca="1" si="33"/>
        <v xml:space="preserve"> </v>
      </c>
      <c r="BR38" s="29">
        <f t="shared" ca="1" si="30"/>
        <v>6</v>
      </c>
      <c r="BS38" s="29">
        <f t="shared" ca="1" si="31"/>
        <v>0.74862109212720584</v>
      </c>
      <c r="CB38" s="35">
        <f t="shared" ca="1" si="34"/>
        <v>6</v>
      </c>
      <c r="CC38" s="36">
        <f ca="1">IF(BM7&gt;0,0,RAND())</f>
        <v>0.21308883854693339</v>
      </c>
      <c r="CD38" s="29" t="s">
        <v>29</v>
      </c>
    </row>
    <row r="39" spans="1:83" x14ac:dyDescent="0.3">
      <c r="A39" s="137"/>
      <c r="B39" s="33" t="s">
        <v>2</v>
      </c>
      <c r="C39" s="33"/>
      <c r="D39" s="33" t="str">
        <f ca="1">IF(AND($AF$2="dexterity",$AF$3="dexterity"),2,IF(OR($AF$2="dexterity",$AF$3="dexterity"),1," "))</f>
        <v xml:space="preserve"> </v>
      </c>
      <c r="E39" s="33" t="str">
        <f ca="1">IF(AND($AF$4="dexterity",$AF$5="dexterity"),2,IF(OR($AF$4="dexterity",$AF$5="dexterity"),1," "))</f>
        <v xml:space="preserve"> </v>
      </c>
      <c r="F39" s="33">
        <f ca="1">IF(AND($AF$6="dexterity",$AF$7="dexterity"),2,IF(OR($AF$6="dexterity",$AF$7="dexterity"),1," "))</f>
        <v>1</v>
      </c>
      <c r="G39" s="33" t="str">
        <f ca="1">IF(AND($AF$8="dexterity",$AF$9="dexterity"),2,IF(OR($AF$8="dexterity",$AF$9="dexterity"),1," "))</f>
        <v xml:space="preserve"> </v>
      </c>
      <c r="H39" s="33" t="str">
        <f ca="1">IF(AND($AF$10="dexterity",$AF$11="dexterity"),2,IF(OR($AF$10="dexterity",$AF$11="dexterity"),1," "))</f>
        <v xml:space="preserve"> </v>
      </c>
      <c r="I39" s="33">
        <f ca="1">IF(OR(Q2="elf",Q2="halfling"),SUM(J39:M39)-SMALL(J39:M39,1)+2,IF(OR(Q2="human",P2="forest",Q2="half-elf"),SUM(J39:M39)-SMALL(J39:M39,1)+1,SUM(J39:M39)-SMALL(J39:M39,1)))</f>
        <v>14</v>
      </c>
      <c r="J39" s="33">
        <f t="shared" ca="1" si="35"/>
        <v>5</v>
      </c>
      <c r="K39" s="33">
        <f t="shared" ca="1" si="35"/>
        <v>3</v>
      </c>
      <c r="L39" s="33">
        <f t="shared" ca="1" si="35"/>
        <v>2</v>
      </c>
      <c r="M39" s="33">
        <f t="shared" ca="1" si="35"/>
        <v>5</v>
      </c>
      <c r="N39" s="33"/>
      <c r="O39" s="33">
        <f ca="1">IF(OR(O11="fighter",O11="ranger",O11="rogue"),MAX(13,(SUM(C39:I39))),IF(OR(Q11="fighter",Q11="ranger",Q11="rogue"),MAX(13,(SUM(C39:I39))),SUM(C39:I39)))</f>
        <v>15</v>
      </c>
      <c r="P39" s="117">
        <f ca="1">VLOOKUP(O39,Table1[],2)</f>
        <v>2</v>
      </c>
      <c r="BN39" s="29">
        <f t="shared" ca="1" si="29"/>
        <v>1</v>
      </c>
      <c r="BO39" s="29">
        <f ca="1">IF(BP39="Persuasion",RAND(),0)</f>
        <v>0</v>
      </c>
      <c r="BP39" s="29" t="str">
        <f t="shared" ca="1" si="33"/>
        <v xml:space="preserve"> </v>
      </c>
      <c r="BR39" s="29">
        <f t="shared" ca="1" si="30"/>
        <v>7</v>
      </c>
      <c r="BS39" s="29">
        <f t="shared" ca="1" si="31"/>
        <v>0.72765352484571966</v>
      </c>
      <c r="CB39" s="35">
        <f t="shared" ca="1" si="34"/>
        <v>8</v>
      </c>
      <c r="CC39" s="36">
        <f ca="1">IF(BM12&gt;0,0,RAND())</f>
        <v>6.1383953669787994E-3</v>
      </c>
      <c r="CD39" s="29" t="s">
        <v>17</v>
      </c>
    </row>
    <row r="40" spans="1:83" x14ac:dyDescent="0.3">
      <c r="A40" s="137"/>
      <c r="B40" s="33" t="s">
        <v>3</v>
      </c>
      <c r="C40" s="33" t="str">
        <f ca="1">IF(O26="primal Champion",4," ")</f>
        <v xml:space="preserve"> </v>
      </c>
      <c r="D40" s="33">
        <f ca="1">IF(AND($AF$2="constitution",$AF$3="constitution"),2,IF(OR($AF$2="constitution",$AF$3="constitution"),1," "))</f>
        <v>1</v>
      </c>
      <c r="E40" s="33">
        <f ca="1">IF(AND($AF$4="constitution",$AF$5="constitution"),2,IF(OR($AF$4="constitution",$AF$5="constitution"),1," "))</f>
        <v>1</v>
      </c>
      <c r="F40" s="33" t="str">
        <f ca="1">IF(AND($AF$6="constitution",$AF$7="constitution"),2,IF(OR($AF$6="constitution",$AF$7="constitution"),1," "))</f>
        <v xml:space="preserve"> </v>
      </c>
      <c r="G40" s="33" t="str">
        <f ca="1">IF(AND($AF$8="constitution",$AF$9="constitution"),2,IF(OR($AF$8="constitution",$AF$9="constitution"),1," "))</f>
        <v xml:space="preserve"> </v>
      </c>
      <c r="H40" s="33" t="str">
        <f ca="1">IF(AND($AF$10="constitution",$AF$11="constitution"),2,IF(OR($AF$10="constitution",$AF$11="constitution"),1," "))</f>
        <v xml:space="preserve"> </v>
      </c>
      <c r="I40" s="33">
        <f ca="1">IF(Q2="dwarf",SUM(J40:M40)-SMALL(J40:M40,1)+2,IF(OR(P2="stout",Q2="human",P2="rock",Q2="half-elf",Q2="half-orc"),SUM(J40:M40)-SMALL(J40:M40,1)+1,SUM(J40:M40)-SMALL(J40:M40,1)))</f>
        <v>16</v>
      </c>
      <c r="J40" s="33">
        <f t="shared" ca="1" si="35"/>
        <v>2</v>
      </c>
      <c r="K40" s="33">
        <f t="shared" ca="1" si="35"/>
        <v>3</v>
      </c>
      <c r="L40" s="33">
        <f t="shared" ca="1" si="35"/>
        <v>6</v>
      </c>
      <c r="M40" s="33">
        <f t="shared" ca="1" si="35"/>
        <v>6</v>
      </c>
      <c r="N40" s="33"/>
      <c r="O40" s="33">
        <f ca="1">SUM(C40:I40)</f>
        <v>18</v>
      </c>
      <c r="P40" s="117">
        <f ca="1">IF(P2="hill",VLOOKUP(O40,Table1[],2)+1,VLOOKUP(O40,Table1[],2))</f>
        <v>4</v>
      </c>
      <c r="AJ40" s="29" t="s">
        <v>1650</v>
      </c>
      <c r="AK40" s="29" t="s">
        <v>530</v>
      </c>
      <c r="BN40" s="29">
        <f t="shared" ca="1" si="29"/>
        <v>1</v>
      </c>
      <c r="BO40" s="29">
        <f ca="1">IF(BP40="Religion",RAND(),0)</f>
        <v>0</v>
      </c>
      <c r="BP40" s="29" t="str">
        <f t="shared" ca="1" si="33"/>
        <v xml:space="preserve"> </v>
      </c>
      <c r="BR40" s="29">
        <f t="shared" ca="1" si="30"/>
        <v>15</v>
      </c>
      <c r="BS40" s="29">
        <f t="shared" ca="1" si="31"/>
        <v>0.18880886956468834</v>
      </c>
      <c r="CB40" s="35">
        <f t="shared" ca="1" si="34"/>
        <v>5</v>
      </c>
      <c r="CC40" s="36">
        <f ca="1">IF(BM15&gt;0,0,RAND())</f>
        <v>0.24683558722828247</v>
      </c>
      <c r="CD40" s="29" t="s">
        <v>20</v>
      </c>
    </row>
    <row r="41" spans="1:83" x14ac:dyDescent="0.3">
      <c r="A41" s="137"/>
      <c r="B41" s="33" t="s">
        <v>4</v>
      </c>
      <c r="C41" s="33"/>
      <c r="D41" s="33" t="str">
        <f ca="1">IF(AND($AF$2="intelligence",$AF$3="intelligence"),2,IF(OR($AF$2="Intelligence",$AF$3="intelligence"),1," "))</f>
        <v xml:space="preserve"> </v>
      </c>
      <c r="E41" s="33" t="str">
        <f ca="1">IF(AND($AF$4="intelligence",$AF$5="intelligence"),2,IF(OR($AF$4="Intelligence",$AF$5="intelligence"),1," "))</f>
        <v xml:space="preserve"> </v>
      </c>
      <c r="F41" s="33" t="str">
        <f ca="1">IF(AND($AF$6="intelligence",$AF$7="intelligence"),2,IF(OR($AF$6="Intelligence",$AF$7="intelligence"),1," "))</f>
        <v xml:space="preserve"> </v>
      </c>
      <c r="G41" s="33">
        <f ca="1">IF(AND($AF$8="intelligence",$AF$9="intelligence"),2,IF(OR($AF$8="Intelligence",$AF$9="intelligence"),1," "))</f>
        <v>1</v>
      </c>
      <c r="H41" s="33" t="str">
        <f ca="1">IF(AND($AF$10="intelligence",$AF$11="intelligence"),2,IF(OR($AF$10="Intelligence",$AF$11="intelligence"),1," "))</f>
        <v xml:space="preserve"> </v>
      </c>
      <c r="I41" s="33">
        <f ca="1">IF(OR(P2="high",Q2="human",Q2="tiefling"),SUM(J41:M41)-SMALL(J41:M41,1)+1,IF(Q2="gnome",SUM(J41:M41)-SMALL(J41:M41,1)+2,SUM(J41:M41)-SMALL(J41:M41,1)))</f>
        <v>12</v>
      </c>
      <c r="J41" s="33">
        <f t="shared" ca="1" si="35"/>
        <v>3</v>
      </c>
      <c r="K41" s="33">
        <f t="shared" ca="1" si="35"/>
        <v>6</v>
      </c>
      <c r="L41" s="33">
        <f t="shared" ca="1" si="35"/>
        <v>1</v>
      </c>
      <c r="M41" s="33">
        <f t="shared" ca="1" si="35"/>
        <v>3</v>
      </c>
      <c r="N41" s="33"/>
      <c r="O41" s="33">
        <f ca="1">IF(O11="wizard",MAX(13,(SUM(C41:I41))),IF(Q11="wizard",MAX(13,(SUM(C41:I41))),SUM(C41:I41)))</f>
        <v>13</v>
      </c>
      <c r="P41" s="117">
        <f ca="1">VLOOKUP(O41,Table1[],2)</f>
        <v>1</v>
      </c>
      <c r="AJ41" s="29" t="s">
        <v>1649</v>
      </c>
      <c r="AK41" s="29" t="str">
        <f ca="1">IF(Q11="wizard",((Q12-1)*2)+6," ")</f>
        <v xml:space="preserve"> </v>
      </c>
      <c r="BN41" s="29">
        <f t="shared" ca="1" si="29"/>
        <v>1</v>
      </c>
      <c r="BO41" s="29">
        <f ca="1">IF(BP41="Sleight of Hand",RAND(),0)</f>
        <v>0</v>
      </c>
      <c r="BP41" s="29" t="str">
        <f t="shared" ca="1" si="33"/>
        <v xml:space="preserve"> </v>
      </c>
      <c r="BR41" s="29">
        <f t="shared" ca="1" si="30"/>
        <v>18</v>
      </c>
      <c r="BS41" s="29">
        <f t="shared" ca="1" si="31"/>
        <v>0.11818176747962394</v>
      </c>
      <c r="CB41" s="35">
        <f t="shared" ca="1" si="34"/>
        <v>7</v>
      </c>
      <c r="CC41" s="36">
        <f ca="1">IF(BM16&gt;0,0,RAND())</f>
        <v>0.15472071806508059</v>
      </c>
      <c r="CD41" s="29" t="s">
        <v>21</v>
      </c>
      <c r="CE41" s="31"/>
    </row>
    <row r="42" spans="1:83" x14ac:dyDescent="0.3">
      <c r="A42" s="137"/>
      <c r="B42" s="33" t="s">
        <v>5</v>
      </c>
      <c r="C42" s="33"/>
      <c r="D42" s="33" t="str">
        <f ca="1">IF(AND($AF$2="wisdom",$AF$3="wisdom"),2,IF(OR($AF$2="wisdom",$AF$3="wisdom"),1," "))</f>
        <v xml:space="preserve"> </v>
      </c>
      <c r="E42" s="33" t="str">
        <f ca="1">IF(AND($AF$4="wisdom",$AF$5="wisdom"),2,IF(OR($AF$4="wisdom",$AF$5="wisdom"),1," "))</f>
        <v xml:space="preserve"> </v>
      </c>
      <c r="F42" s="33" t="str">
        <f ca="1">IF(AND($AF$6="wisdom",$AF$7="wisdom"),2,IF(OR($AF$6="wisdom",$AF$7="wisdom"),1," "))</f>
        <v xml:space="preserve"> </v>
      </c>
      <c r="G42" s="33">
        <f ca="1">IF(AND($AF$8="wisdom",$AF$9="wisdom"),2,IF(OR($AF$8="wisdom",$AF$9="wisdom"),1," "))</f>
        <v>1</v>
      </c>
      <c r="H42" s="33" t="str">
        <f ca="1">IF(AND($AF$10="wisdom",$AF$11="wisdom"),2,IF(OR($AF$10="wisdom",$AF$11="wisdom"),1," "))</f>
        <v xml:space="preserve"> </v>
      </c>
      <c r="I42" s="33">
        <f ca="1">IF(OR(P2="hill",P2="wood",Q2="human"),SUM(J42:M42)-SMALL(J42:M42,1)+1,SUM(J42:M42)-SMALL(J42:M42,1))</f>
        <v>13</v>
      </c>
      <c r="J42" s="33">
        <f t="shared" ca="1" si="35"/>
        <v>4</v>
      </c>
      <c r="K42" s="33">
        <f t="shared" ca="1" si="35"/>
        <v>4</v>
      </c>
      <c r="L42" s="33">
        <f t="shared" ca="1" si="35"/>
        <v>5</v>
      </c>
      <c r="M42" s="33">
        <f t="shared" ca="1" si="35"/>
        <v>2</v>
      </c>
      <c r="N42" s="33"/>
      <c r="O42" s="33">
        <f ca="1">IF(OR(O11="cleric",O11="druid",O11="monk",O11="ranger"),MAX(13,(SUM(C42:I42))),IF(OR(Q11="cleric",Q11="druid",Q11="monk",Q11="ranger"),MAX(13,(SUM(C42:I42))),SUM(C42:I42)))</f>
        <v>14</v>
      </c>
      <c r="P42" s="117">
        <f ca="1">VLOOKUP(O42,Table1[],2)</f>
        <v>2</v>
      </c>
      <c r="BN42" s="29">
        <f t="shared" ca="1" si="29"/>
        <v>1</v>
      </c>
      <c r="BO42" s="29">
        <f ca="1">IF(BP42="Stealth",RAND(),0)</f>
        <v>0</v>
      </c>
      <c r="BP42" s="29" t="str">
        <f t="shared" ca="1" si="33"/>
        <v xml:space="preserve"> </v>
      </c>
      <c r="BR42" s="29">
        <f t="shared" ca="1" si="30"/>
        <v>5</v>
      </c>
      <c r="BS42" s="29">
        <f t="shared" ca="1" si="31"/>
        <v>0.82817333665022674</v>
      </c>
      <c r="CB42" s="35">
        <f t="shared" ca="1" si="34"/>
        <v>4</v>
      </c>
      <c r="CC42" s="36">
        <f ca="1">IF(BM17&gt;0,0,RAND())</f>
        <v>0.50677523196878949</v>
      </c>
      <c r="CD42" s="29" t="s">
        <v>22</v>
      </c>
    </row>
    <row r="43" spans="1:83" ht="19.5" thickBot="1" x14ac:dyDescent="0.35">
      <c r="A43" s="137"/>
      <c r="B43" s="38" t="s">
        <v>6</v>
      </c>
      <c r="C43" s="38"/>
      <c r="D43" s="38" t="str">
        <f ca="1">IF(AND($AF$2="charisma",$AF$3="charisma"),2,IF(OR($AF$2="charisma",$AF$3="charisma"),1," "))</f>
        <v xml:space="preserve"> </v>
      </c>
      <c r="E43" s="38">
        <f ca="1">IF(AND($AF$4="charisma",$AF$5="charisma"),2,IF(OR($AF$4="charisma",$AF$5="charisma"),1," "))</f>
        <v>1</v>
      </c>
      <c r="F43" s="38">
        <f ca="1">IF(AND($AF$6="charisma",$AF$7="charisma"),2,IF(OR($AF$6="charisma",$AF$7="charisma"),1," "))</f>
        <v>1</v>
      </c>
      <c r="G43" s="38" t="str">
        <f ca="1">IF(AND($AF$8="charisma",$AF$9="charisma"),2,IF(OR($AF$8="charisma",$AF$9="charisma"),1," "))</f>
        <v xml:space="preserve"> </v>
      </c>
      <c r="H43" s="38" t="str">
        <f ca="1">IF(AND($AF$10="charisma",$AF$11="charisma"),2,IF(OR($AF$10="charisma",$AF$11="charisma"),1," "))</f>
        <v xml:space="preserve"> </v>
      </c>
      <c r="I43" s="38">
        <f ca="1">IF(OR(P2="dark",P2="lightfoot",Q2="human",Q2="dragonborn"),SUM(J43:M43)-SMALL(J43:M43,1)+1,IF(OR(Q2="half-elf",Q2="tiefling"),SUM(J43:M43)-SMALL(J43:M43,1)+2,SUM(J43:M43)-SMALL(J43:M43,1)))</f>
        <v>13</v>
      </c>
      <c r="J43" s="38">
        <f t="shared" ca="1" si="35"/>
        <v>2</v>
      </c>
      <c r="K43" s="38">
        <f t="shared" ca="1" si="35"/>
        <v>4</v>
      </c>
      <c r="L43" s="38">
        <f t="shared" ca="1" si="35"/>
        <v>2</v>
      </c>
      <c r="M43" s="38">
        <f t="shared" ca="1" si="35"/>
        <v>5</v>
      </c>
      <c r="N43" s="38"/>
      <c r="O43" s="38">
        <f ca="1">IF(OR(O11="bard",O11="paladin",O11="sorcerer",O11="warlock"),MAX(13,(SUM(C43:I43))),IF(OR(Q11="bard",Q11="paladin",Q11="sorcerer",Q11="warlock"),MAX(13,(SUM(C43:I43))),SUM(C43:I43)))</f>
        <v>15</v>
      </c>
      <c r="P43" s="118">
        <f ca="1">VLOOKUP(O43,Table1[],2)</f>
        <v>2</v>
      </c>
      <c r="AJ43" s="31" t="s">
        <v>1166</v>
      </c>
      <c r="AO43" s="57"/>
      <c r="AP43" s="57"/>
      <c r="AQ43" s="57"/>
      <c r="BN43" s="29">
        <f t="shared" ca="1" si="29"/>
        <v>1</v>
      </c>
      <c r="BO43" s="29">
        <f ca="1">IF(BP43="Survival",RAND(),0)</f>
        <v>0</v>
      </c>
      <c r="BP43" s="29" t="str">
        <f t="shared" ca="1" si="33"/>
        <v xml:space="preserve"> </v>
      </c>
      <c r="BR43" s="29">
        <f t="shared" ca="1" si="30"/>
        <v>16</v>
      </c>
      <c r="BS43" s="29">
        <f t="shared" ca="1" si="31"/>
        <v>0.17444013496526323</v>
      </c>
      <c r="CB43" s="35">
        <f t="shared" ca="1" si="34"/>
        <v>1</v>
      </c>
      <c r="CC43" s="36">
        <f ca="1">IF(BM20&gt;0,0,RAND())</f>
        <v>0.89829791847258311</v>
      </c>
      <c r="CD43" s="29" t="s">
        <v>25</v>
      </c>
    </row>
    <row r="44" spans="1:83" ht="19.5" thickBot="1" x14ac:dyDescent="0.35">
      <c r="A44" s="33"/>
      <c r="B44" s="38"/>
      <c r="C44" s="38"/>
      <c r="D44" s="38"/>
      <c r="E44" s="38"/>
      <c r="F44" s="38"/>
      <c r="G44" s="38"/>
      <c r="H44" s="38"/>
      <c r="I44" s="38"/>
      <c r="J44" s="38"/>
      <c r="K44" s="38"/>
      <c r="L44" s="38"/>
      <c r="M44" s="38"/>
      <c r="N44" s="38"/>
      <c r="O44" s="38"/>
      <c r="P44" s="38"/>
      <c r="AJ44" s="58" t="str">
        <f ca="1">IF(Table200335449791848905314378880[[#This Row],[Column2]]=0," ",_xlfn.RANK.EQ(AK44,$AK$44:$AK$53))</f>
        <v xml:space="preserve"> </v>
      </c>
      <c r="AK44" s="29">
        <f ca="1">IF(Table200335449791848905314378880[[#This Row],[Column3]]=" ", 0,RAND())</f>
        <v>0</v>
      </c>
      <c r="AL44" s="29" t="str">
        <f t="shared" ref="AL44:AL53" ca="1" si="36">Q315</f>
        <v xml:space="preserve"> </v>
      </c>
      <c r="AO44" s="29" t="s">
        <v>1962</v>
      </c>
      <c r="CB44" s="35">
        <f t="shared" ca="1" si="34"/>
        <v>2</v>
      </c>
      <c r="CC44" s="36">
        <f ca="1">IF(BM23&gt;0,0,RAND())</f>
        <v>0.88478933808789773</v>
      </c>
      <c r="CD44" s="29" t="s">
        <v>28</v>
      </c>
    </row>
    <row r="45" spans="1:83" ht="30.75" thickBot="1" x14ac:dyDescent="0.45">
      <c r="A45" s="115"/>
      <c r="B45" s="122" t="s">
        <v>37</v>
      </c>
      <c r="C45" s="53"/>
      <c r="D45" s="53"/>
      <c r="E45" s="53"/>
      <c r="F45" s="53"/>
      <c r="G45" s="53"/>
      <c r="H45" s="53"/>
      <c r="I45" s="53"/>
      <c r="J45" s="53"/>
      <c r="K45" s="53"/>
      <c r="L45" s="53"/>
      <c r="M45" s="53"/>
      <c r="N45" s="53"/>
      <c r="O45" s="53" t="s">
        <v>30</v>
      </c>
      <c r="P45" s="116" t="s">
        <v>38</v>
      </c>
      <c r="AJ45" s="58" t="str">
        <f ca="1">IF(Table200335449791848905314378880[[#This Row],[Column2]]=0," ",_xlfn.RANK.EQ(AK45,$AK$44:$AK$53))</f>
        <v xml:space="preserve"> </v>
      </c>
      <c r="AK45" s="29">
        <f ca="1">IF(Table200335449791848905314378880[[#This Row],[Column3]]=" ", 0,RAND())</f>
        <v>0</v>
      </c>
      <c r="AL45" s="29" t="str">
        <f t="shared" ca="1" si="36"/>
        <v xml:space="preserve"> </v>
      </c>
      <c r="AO45" s="29" t="str">
        <f ca="1">IF(Table293375489831888945361417919[[#This Row],[Column2]]=0," ",_xlfn.RANK.EQ(Table293375489831888945361417919[[#This Row],[Column2]],$AP$45:$AP$59))</f>
        <v xml:space="preserve"> </v>
      </c>
      <c r="AP45" s="29">
        <f ca="1">IF(OR(Table293375489831888945361417919[[#This Row],[Column3]]=" ",Table293375489831888945361417919[[#This Row],[Column3]]="simple weapons"), 0,RAND())</f>
        <v>0</v>
      </c>
      <c r="AQ45" s="29" t="str">
        <f ca="1">P76</f>
        <v xml:space="preserve"> </v>
      </c>
    </row>
    <row r="46" spans="1:83" ht="19.5" thickTop="1" x14ac:dyDescent="0.3">
      <c r="A46" s="137"/>
      <c r="B46" s="33" t="s">
        <v>1</v>
      </c>
      <c r="C46" s="33"/>
      <c r="D46" s="33"/>
      <c r="E46" s="33"/>
      <c r="F46" s="33"/>
      <c r="G46" s="33"/>
      <c r="H46" s="33"/>
      <c r="I46" s="33"/>
      <c r="J46" s="33"/>
      <c r="K46" s="33"/>
      <c r="L46" s="33"/>
      <c r="M46" s="33"/>
      <c r="N46" s="33"/>
      <c r="O46" s="33" t="str">
        <f ca="1">IF(OR($O$11="barbarian",O11="fighter",O11="monk",O11="ranger"),"x"," ")</f>
        <v xml:space="preserve"> </v>
      </c>
      <c r="P46" s="72">
        <f t="shared" ref="P46:P51" ca="1" si="37">IF(O46="x",SUM(P38,$P$8),P38)</f>
        <v>1</v>
      </c>
      <c r="T46" s="49"/>
      <c r="U46" s="49"/>
      <c r="AJ46" s="58" t="str">
        <f ca="1">IF(Table200335449791848905314378880[[#This Row],[Column2]]=0," ",_xlfn.RANK.EQ(AK46,$AK$44:$AK$53))</f>
        <v xml:space="preserve"> </v>
      </c>
      <c r="AK46" s="29">
        <f ca="1">IF(Table200335449791848905314378880[[#This Row],[Column3]]=" ", 0,RAND())</f>
        <v>0</v>
      </c>
      <c r="AL46" s="29" t="str">
        <f t="shared" ca="1" si="36"/>
        <v xml:space="preserve"> </v>
      </c>
      <c r="AO46" s="29" t="str">
        <f ca="1">IF(Table293375489831888945361417919[[#This Row],[Column2]]=0," ",_xlfn.RANK.EQ(Table293375489831888945361417919[[#This Row],[Column2]],$AP$45:$AP$59))</f>
        <v xml:space="preserve"> </v>
      </c>
      <c r="AP46" s="29">
        <f ca="1">IF(OR(Table293375489831888945361417919[[#This Row],[Column3]]=" ",Table293375489831888945361417919[[#This Row],[Column3]]="martial weapons"), 0,RAND())</f>
        <v>0</v>
      </c>
      <c r="AQ46" s="29" t="str">
        <f ca="1">P77</f>
        <v xml:space="preserve"> </v>
      </c>
      <c r="CB46" s="31" t="s">
        <v>731</v>
      </c>
      <c r="CE46" s="31"/>
    </row>
    <row r="47" spans="1:83" x14ac:dyDescent="0.3">
      <c r="A47" s="137"/>
      <c r="B47" s="33" t="s">
        <v>2</v>
      </c>
      <c r="C47" s="33"/>
      <c r="D47" s="33"/>
      <c r="E47" s="33"/>
      <c r="F47" s="33"/>
      <c r="G47" s="33"/>
      <c r="H47" s="33"/>
      <c r="I47" s="33"/>
      <c r="J47" s="33"/>
      <c r="K47" s="33"/>
      <c r="L47" s="33"/>
      <c r="M47" s="33"/>
      <c r="N47" s="33"/>
      <c r="O47" s="33" t="str">
        <f ca="1">IF(OR($O$11="bard",O11="monk",O11="ranger",O11="rogue"),"x"," ")</f>
        <v xml:space="preserve"> </v>
      </c>
      <c r="P47" s="72">
        <f t="shared" ca="1" si="37"/>
        <v>2</v>
      </c>
      <c r="T47" s="49"/>
      <c r="U47" s="49"/>
      <c r="AJ47" s="58" t="str">
        <f ca="1">IF(Table200335449791848905314378880[[#This Row],[Column2]]=0," ",_xlfn.RANK.EQ(AK47,$AK$44:$AK$53))</f>
        <v xml:space="preserve"> </v>
      </c>
      <c r="AK47" s="29">
        <f ca="1">IF(Table200335449791848905314378880[[#This Row],[Column3]]=" ", 0,RAND())</f>
        <v>0</v>
      </c>
      <c r="AL47" s="29" t="str">
        <f t="shared" ca="1" si="36"/>
        <v xml:space="preserve"> </v>
      </c>
      <c r="AO47" s="29" t="str">
        <f ca="1">IF(Table293375489831888945361417919[[#This Row],[Column2]]=0," ",_xlfn.RANK.EQ(Table293375489831888945361417919[[#This Row],[Column2]],$AP$45:$AP$59))</f>
        <v xml:space="preserve"> </v>
      </c>
      <c r="AP47" s="29">
        <f ca="1">IF(Table293375489831888945361417919[[#This Row],[Column3]]=" ", 0,RAND())</f>
        <v>0</v>
      </c>
      <c r="AQ47" s="29" t="str">
        <f ca="1">P78</f>
        <v xml:space="preserve"> </v>
      </c>
      <c r="CB47" s="35">
        <f t="shared" ref="CB47:CB54" ca="1" si="38">_xlfn.RANK.EQ(CC47,$CC$47:$CC$54)</f>
        <v>2</v>
      </c>
      <c r="CC47" s="36">
        <f ca="1">IF(BM6&gt;0,0,RAND())</f>
        <v>0.87988190357691454</v>
      </c>
      <c r="CD47" s="29" t="s">
        <v>12</v>
      </c>
    </row>
    <row r="48" spans="1:83" x14ac:dyDescent="0.3">
      <c r="A48" s="137"/>
      <c r="B48" s="33" t="s">
        <v>3</v>
      </c>
      <c r="C48" s="33"/>
      <c r="D48" s="33"/>
      <c r="E48" s="33"/>
      <c r="F48" s="33"/>
      <c r="G48" s="33"/>
      <c r="H48" s="33"/>
      <c r="I48" s="33"/>
      <c r="J48" s="33"/>
      <c r="K48" s="33"/>
      <c r="L48" s="33"/>
      <c r="M48" s="33"/>
      <c r="N48" s="33"/>
      <c r="O48" s="33" t="str">
        <f ca="1">IF(OR(O11="barbarian",O11="fighter",O11="sorcerer"),"x"," ")</f>
        <v xml:space="preserve"> </v>
      </c>
      <c r="P48" s="72">
        <f t="shared" ca="1" si="37"/>
        <v>4</v>
      </c>
      <c r="T48" s="49"/>
      <c r="U48" s="49"/>
      <c r="AJ48" s="58" t="str">
        <f ca="1">IF(Table200335449791848905314378880[[#This Row],[Column2]]=0," ",_xlfn.RANK.EQ(AK48,$AK$44:$AK$53))</f>
        <v xml:space="preserve"> </v>
      </c>
      <c r="AK48" s="29">
        <f ca="1">IF(Table200335449791848905314378880[[#This Row],[Column3]]=" ", 0,RAND())</f>
        <v>0</v>
      </c>
      <c r="AL48" s="29" t="str">
        <f t="shared" ca="1" si="36"/>
        <v xml:space="preserve"> </v>
      </c>
      <c r="AO48" s="29" t="str">
        <f ca="1">IF(Table293375489831888945361417919[[#This Row],[Column2]]=0," ",_xlfn.RANK.EQ(Table293375489831888945361417919[[#This Row],[Column2]],$AP$45:$AP$59))</f>
        <v xml:space="preserve"> </v>
      </c>
      <c r="AP48" s="29">
        <f ca="1">IF(Table293375489831888945361417919[[#This Row],[Column3]]=" ", 0,RAND())</f>
        <v>0</v>
      </c>
      <c r="AQ48" s="29" t="str">
        <f ca="1">P79</f>
        <v xml:space="preserve"> </v>
      </c>
      <c r="CB48" s="35">
        <f t="shared" ca="1" si="38"/>
        <v>1</v>
      </c>
      <c r="CC48" s="36">
        <f ca="1">IF(BM7&gt;0,0,RAND())</f>
        <v>0.93510495771974711</v>
      </c>
      <c r="CD48" s="29" t="s">
        <v>29</v>
      </c>
    </row>
    <row r="49" spans="1:83" x14ac:dyDescent="0.3">
      <c r="A49" s="137"/>
      <c r="B49" s="33" t="s">
        <v>4</v>
      </c>
      <c r="C49" s="33"/>
      <c r="D49" s="33"/>
      <c r="E49" s="33"/>
      <c r="F49" s="33"/>
      <c r="G49" s="33"/>
      <c r="H49" s="33"/>
      <c r="I49" s="33"/>
      <c r="J49" s="33"/>
      <c r="K49" s="33"/>
      <c r="L49" s="33"/>
      <c r="M49" s="33"/>
      <c r="N49" s="33"/>
      <c r="O49" s="33" t="str">
        <f ca="1">IF(OR(O11="rogue",O11="druid",O11="wizard"),"x"," ")</f>
        <v xml:space="preserve"> </v>
      </c>
      <c r="P49" s="72">
        <f t="shared" ca="1" si="37"/>
        <v>1</v>
      </c>
      <c r="T49" s="49"/>
      <c r="U49" s="49"/>
      <c r="AJ49" s="58" t="str">
        <f ca="1">IF(Table200335449791848905314378880[[#This Row],[Column2]]=0," ",_xlfn.RANK.EQ(AK49,$AK$44:$AK$53))</f>
        <v xml:space="preserve"> </v>
      </c>
      <c r="AK49" s="29">
        <f ca="1">IF(Table200335449791848905314378880[[#This Row],[Column3]]=" ", 0,RAND())</f>
        <v>0</v>
      </c>
      <c r="AL49" s="29" t="str">
        <f t="shared" ca="1" si="36"/>
        <v xml:space="preserve"> </v>
      </c>
      <c r="AO49" s="29" t="str">
        <f ca="1">IF(Table293375489831888945361417919[[#This Row],[Column2]]=0," ",_xlfn.RANK.EQ(Table293375489831888945361417919[[#This Row],[Column2]],$AP$45:$AP$59))</f>
        <v xml:space="preserve"> </v>
      </c>
      <c r="AP49" s="29">
        <f ca="1">IF(Table293375489831888945361417919[[#This Row],[Column3]]=" ", 0,RAND())</f>
        <v>0</v>
      </c>
      <c r="AQ49" s="29" t="str">
        <f ca="1">P80</f>
        <v xml:space="preserve"> </v>
      </c>
      <c r="CB49" s="35">
        <f t="shared" ca="1" si="38"/>
        <v>5</v>
      </c>
      <c r="CC49" s="36">
        <f ca="1">IF(BM9&gt;0,0,RAND())</f>
        <v>0.61252446701092267</v>
      </c>
      <c r="CD49" s="29" t="s">
        <v>14</v>
      </c>
    </row>
    <row r="50" spans="1:83" x14ac:dyDescent="0.3">
      <c r="A50" s="137"/>
      <c r="B50" s="33" t="s">
        <v>39</v>
      </c>
      <c r="C50" s="33"/>
      <c r="D50" s="33"/>
      <c r="E50" s="33"/>
      <c r="F50" s="33"/>
      <c r="G50" s="33"/>
      <c r="H50" s="33"/>
      <c r="I50" s="33"/>
      <c r="J50" s="33"/>
      <c r="K50" s="33"/>
      <c r="L50" s="33"/>
      <c r="M50" s="33"/>
      <c r="N50" s="33"/>
      <c r="O50" s="33" t="str">
        <f ca="1">IF(OR(O11="cleric",O11="druid",O11="paladin",O11="warlock",O11="wizard"),"x",IF(AND(O11="rogue",O12&gt;=15),"x"," "))</f>
        <v xml:space="preserve"> </v>
      </c>
      <c r="P50" s="72">
        <f t="shared" ca="1" si="37"/>
        <v>2</v>
      </c>
      <c r="T50" s="49"/>
      <c r="U50" s="49"/>
      <c r="AJ50" s="58" t="str">
        <f ca="1">IF(Table200335449791848905314378880[[#This Row],[Column2]]=0," ",_xlfn.RANK.EQ(AK50,$AK$44:$AK$53))</f>
        <v xml:space="preserve"> </v>
      </c>
      <c r="AK50" s="29">
        <f ca="1">IF(Table200335449791848905314378880[[#This Row],[Column3]]=" ", 0,RAND())</f>
        <v>0</v>
      </c>
      <c r="AL50" s="29" t="str">
        <f t="shared" ca="1" si="36"/>
        <v xml:space="preserve"> </v>
      </c>
      <c r="AO50" s="29">
        <f ca="1">IF(Table293375489831888945361417919[[#This Row],[Column2]]=0," ",_xlfn.RANK.EQ(Table293375489831888945361417919[[#This Row],[Column2]],$AP$45:$AP$59))</f>
        <v>3</v>
      </c>
      <c r="AP50" s="29">
        <f ca="1">IF(Table293375489831888945361417919[[#This Row],[Column3]]=" ", 0,RAND())</f>
        <v>0.51822733116127306</v>
      </c>
      <c r="AQ50" s="29" t="str">
        <f ca="1">Q76</f>
        <v>Club</v>
      </c>
      <c r="CB50" s="35">
        <f t="shared" ca="1" si="38"/>
        <v>7</v>
      </c>
      <c r="CC50" s="36">
        <f ca="1">IF(BM11&gt;0,0,RAND())</f>
        <v>0.36912615306309915</v>
      </c>
      <c r="CD50" s="29" t="s">
        <v>16</v>
      </c>
    </row>
    <row r="51" spans="1:83" ht="19.5" thickBot="1" x14ac:dyDescent="0.35">
      <c r="A51" s="137"/>
      <c r="B51" s="38" t="s">
        <v>6</v>
      </c>
      <c r="C51" s="38"/>
      <c r="D51" s="38"/>
      <c r="E51" s="38"/>
      <c r="F51" s="38"/>
      <c r="G51" s="38"/>
      <c r="H51" s="38"/>
      <c r="I51" s="38"/>
      <c r="J51" s="38"/>
      <c r="K51" s="38"/>
      <c r="L51" s="38"/>
      <c r="M51" s="38"/>
      <c r="N51" s="38"/>
      <c r="O51" s="38" t="str">
        <f ca="1">IF(OR($O$11="bard",O11="cleric",O11="paladin",O11="sorcerer",O11="warlock"),"x"," ")</f>
        <v xml:space="preserve"> </v>
      </c>
      <c r="P51" s="73">
        <f t="shared" ca="1" si="37"/>
        <v>2</v>
      </c>
      <c r="AJ51" s="58" t="str">
        <f ca="1">IF(Table200335449791848905314378880[[#This Row],[Column2]]=0," ",_xlfn.RANK.EQ(AK51,$AK$44:$AK$53))</f>
        <v xml:space="preserve"> </v>
      </c>
      <c r="AK51" s="29">
        <f ca="1">IF(Table200335449791848905314378880[[#This Row],[Column3]]=" ", 0,RAND())</f>
        <v>0</v>
      </c>
      <c r="AL51" s="29" t="str">
        <f t="shared" ca="1" si="36"/>
        <v xml:space="preserve"> </v>
      </c>
      <c r="AO51" s="29">
        <f ca="1">IF(Table293375489831888945361417919[[#This Row],[Column2]]=0," ",_xlfn.RANK.EQ(Table293375489831888945361417919[[#This Row],[Column2]],$AP$45:$AP$59))</f>
        <v>1</v>
      </c>
      <c r="AP51" s="29">
        <f ca="1">IF(Table293375489831888945361417919[[#This Row],[Column3]]=" ", 0,RAND())</f>
        <v>0.9806971431135787</v>
      </c>
      <c r="AQ51" s="29" t="str">
        <f ca="1">Q77</f>
        <v>Dagger</v>
      </c>
      <c r="CB51" s="35">
        <f t="shared" ca="1" si="38"/>
        <v>6</v>
      </c>
      <c r="CC51" s="36">
        <f ca="1">IF(BM12&gt;0,0,RAND())</f>
        <v>0.48744683145366441</v>
      </c>
      <c r="CD51" s="29" t="s">
        <v>17</v>
      </c>
      <c r="CE51" s="31"/>
    </row>
    <row r="52" spans="1:83" ht="19.5" thickBot="1" x14ac:dyDescent="0.35">
      <c r="A52" s="138"/>
      <c r="B52" s="99"/>
      <c r="C52" s="99"/>
      <c r="D52" s="99"/>
      <c r="E52" s="99"/>
      <c r="F52" s="99"/>
      <c r="G52" s="99"/>
      <c r="H52" s="99"/>
      <c r="I52" s="99"/>
      <c r="J52" s="99"/>
      <c r="K52" s="99"/>
      <c r="L52" s="99"/>
      <c r="M52" s="99"/>
      <c r="N52" s="99"/>
      <c r="O52" s="99"/>
      <c r="P52" s="99"/>
      <c r="AJ52" s="58" t="str">
        <f ca="1">IF(Table200335449791848905314378880[[#This Row],[Column2]]=0," ",_xlfn.RANK.EQ(AK52,$AK$44:$AK$53))</f>
        <v xml:space="preserve"> </v>
      </c>
      <c r="AK52" s="29">
        <f ca="1">IF(Table200335449791848905314378880[[#This Row],[Column3]]=" ", 0,RAND())</f>
        <v>0</v>
      </c>
      <c r="AL52" s="29" t="str">
        <f t="shared" ca="1" si="36"/>
        <v xml:space="preserve"> </v>
      </c>
      <c r="AO52" s="29" t="str">
        <f ca="1">IF(Table293375489831888945361417919[[#This Row],[Column2]]=0," ",_xlfn.RANK.EQ(Table293375489831888945361417919[[#This Row],[Column2]],$AP$45:$AP$59))</f>
        <v xml:space="preserve"> </v>
      </c>
      <c r="AP52" s="29">
        <f ca="1">IF(Table293375489831888945361417919[[#This Row],[Column3]]=" ", 0,RAND())</f>
        <v>0</v>
      </c>
      <c r="AQ52" s="29" t="str">
        <f ca="1">Q78</f>
        <v xml:space="preserve"> </v>
      </c>
      <c r="CB52" s="35">
        <f t="shared" ca="1" si="38"/>
        <v>3</v>
      </c>
      <c r="CC52" s="36">
        <f ca="1">IF(BM13&gt;0,0,RAND())</f>
        <v>0.87417542417960103</v>
      </c>
      <c r="CD52" s="29" t="s">
        <v>18</v>
      </c>
    </row>
    <row r="53" spans="1:83" ht="30.75" thickBot="1" x14ac:dyDescent="0.45">
      <c r="A53" s="137"/>
      <c r="B53" s="122" t="s">
        <v>11</v>
      </c>
      <c r="C53" s="33"/>
      <c r="D53" s="33"/>
      <c r="E53" s="33"/>
      <c r="F53" s="33"/>
      <c r="G53" s="33"/>
      <c r="H53" s="33"/>
      <c r="I53" s="33"/>
      <c r="J53" s="33"/>
      <c r="K53" s="33"/>
      <c r="L53" s="33"/>
      <c r="M53" s="33"/>
      <c r="N53" s="33"/>
      <c r="O53" s="53" t="s">
        <v>30</v>
      </c>
      <c r="P53" s="119" t="s">
        <v>529</v>
      </c>
      <c r="AJ53" s="58" t="str">
        <f ca="1">IF(Table200335449791848905314378880[[#This Row],[Column2]]=0," ",_xlfn.RANK.EQ(AK53,$AK$44:$AK$53))</f>
        <v xml:space="preserve"> </v>
      </c>
      <c r="AK53" s="29">
        <f ca="1">IF(Table200335449791848905314378880[[#This Row],[Column3]]=" ", 0,RAND())</f>
        <v>0</v>
      </c>
      <c r="AL53" s="29" t="str">
        <f t="shared" ca="1" si="36"/>
        <v xml:space="preserve"> </v>
      </c>
      <c r="AO53" s="29" t="str">
        <f ca="1">IF(Table293375489831888945361417919[[#This Row],[Column2]]=0," ",_xlfn.RANK.EQ(Table293375489831888945361417919[[#This Row],[Column2]],$AP$45:$AP$59))</f>
        <v xml:space="preserve"> </v>
      </c>
      <c r="AP53" s="29">
        <f ca="1">IF(Table293375489831888945361417919[[#This Row],[Column3]]=" ", 0,RAND())</f>
        <v>0</v>
      </c>
      <c r="AQ53" s="29" t="str">
        <f ca="1">Q79</f>
        <v xml:space="preserve"> </v>
      </c>
      <c r="CB53" s="35">
        <f t="shared" ca="1" si="38"/>
        <v>4</v>
      </c>
      <c r="CC53" s="36">
        <f ca="1">IF(BM17&gt;0,0,RAND())</f>
        <v>0.81794625997753556</v>
      </c>
      <c r="CD53" s="29" t="s">
        <v>22</v>
      </c>
    </row>
    <row r="54" spans="1:83" ht="19.5" thickTop="1" x14ac:dyDescent="0.3">
      <c r="A54" s="137"/>
      <c r="B54" s="33" t="s">
        <v>12</v>
      </c>
      <c r="C54" s="59"/>
      <c r="D54" s="33"/>
      <c r="E54" s="33"/>
      <c r="F54" s="33"/>
      <c r="G54" s="33"/>
      <c r="H54" s="33"/>
      <c r="I54" s="33"/>
      <c r="J54" s="33"/>
      <c r="K54" s="33"/>
      <c r="L54" s="33"/>
      <c r="M54" s="33"/>
      <c r="N54" s="33"/>
      <c r="O54" s="33" t="str">
        <f t="shared" ref="O54:O71" ca="1" si="39">IF(BU6&gt;0,"x"," ")</f>
        <v>x</v>
      </c>
      <c r="P54" s="120">
        <f ca="1">SUM(BU6,P39)</f>
        <v>9</v>
      </c>
      <c r="AO54" s="29" t="str">
        <f ca="1">IF(Table293375489831888945361417919[[#This Row],[Column2]]=0," ",_xlfn.RANK.EQ(Table293375489831888945361417919[[#This Row],[Column2]],$AP$45:$AP$59))</f>
        <v xml:space="preserve"> </v>
      </c>
      <c r="AP54" s="29">
        <f ca="1">IF(Table293375489831888945361417919[[#This Row],[Column3]]=" ", 0,RAND())</f>
        <v>0</v>
      </c>
      <c r="AQ54" s="29" t="str">
        <f ca="1">Q80</f>
        <v xml:space="preserve"> </v>
      </c>
      <c r="CB54" s="35">
        <f t="shared" ca="1" si="38"/>
        <v>8</v>
      </c>
      <c r="CC54" s="36">
        <f ca="1">IF(BM23&gt;0,0,RAND())</f>
        <v>0.10030273861468264</v>
      </c>
      <c r="CD54" s="29" t="s">
        <v>28</v>
      </c>
    </row>
    <row r="55" spans="1:83" x14ac:dyDescent="0.3">
      <c r="A55" s="137"/>
      <c r="B55" s="33" t="s">
        <v>29</v>
      </c>
      <c r="C55" s="59"/>
      <c r="D55" s="33"/>
      <c r="E55" s="33"/>
      <c r="F55" s="33"/>
      <c r="G55" s="33"/>
      <c r="H55" s="33"/>
      <c r="I55" s="33"/>
      <c r="J55" s="33"/>
      <c r="K55" s="33"/>
      <c r="L55" s="33"/>
      <c r="M55" s="33"/>
      <c r="N55" s="33"/>
      <c r="O55" s="33" t="str">
        <f t="shared" ca="1" si="39"/>
        <v xml:space="preserve"> </v>
      </c>
      <c r="P55" s="120">
        <f ca="1">SUM(BU7,P42)</f>
        <v>2</v>
      </c>
      <c r="AJ55" s="31" t="s">
        <v>1167</v>
      </c>
      <c r="AO55" s="29">
        <f ca="1">IF(Table293375489831888945361417919[[#This Row],[Column2]]=0," ",_xlfn.RANK.EQ(Table293375489831888945361417919[[#This Row],[Column2]],$AP$45:$AP$59))</f>
        <v>2</v>
      </c>
      <c r="AP55" s="29">
        <f ca="1">IF(Table293375489831888945361417919[[#This Row],[Column3]]=" ", 0,RAND())</f>
        <v>0.69861010873416707</v>
      </c>
      <c r="AQ55" s="29" t="str">
        <f ca="1">R76</f>
        <v>Quarterstaff</v>
      </c>
    </row>
    <row r="56" spans="1:83" x14ac:dyDescent="0.3">
      <c r="A56" s="137"/>
      <c r="B56" s="33" t="s">
        <v>13</v>
      </c>
      <c r="C56" s="33"/>
      <c r="D56" s="33"/>
      <c r="E56" s="33"/>
      <c r="F56" s="33"/>
      <c r="G56" s="33"/>
      <c r="H56" s="33"/>
      <c r="I56" s="33"/>
      <c r="J56" s="33"/>
      <c r="K56" s="33"/>
      <c r="L56" s="33"/>
      <c r="M56" s="33"/>
      <c r="N56" s="33"/>
      <c r="O56" s="33" t="str">
        <f t="shared" ca="1" si="39"/>
        <v xml:space="preserve"> </v>
      </c>
      <c r="P56" s="120">
        <f ca="1">SUM(BU8,P41)</f>
        <v>1</v>
      </c>
      <c r="AJ56" s="58" t="str">
        <f ca="1">IF(Table201336450792849906315379881[[#This Row],[Column2]]=0," ",_xlfn.RANK.EQ(AK56,$AK$56:$AK$65))</f>
        <v xml:space="preserve"> </v>
      </c>
      <c r="AK56" s="29">
        <f ca="1">IF(AL56=" ", 0,RAND())</f>
        <v>0</v>
      </c>
      <c r="AL56" s="29" t="str">
        <f t="shared" ref="AL56:AL65" ca="1" si="40">R315</f>
        <v xml:space="preserve"> </v>
      </c>
      <c r="AO56" s="29" t="str">
        <f ca="1">IF(Table293375489831888945361417919[[#This Row],[Column2]]=0," ",_xlfn.RANK.EQ(Table293375489831888945361417919[[#This Row],[Column2]],$AP$45:$AP$59))</f>
        <v xml:space="preserve"> </v>
      </c>
      <c r="AP56" s="29">
        <f ca="1">IF(Table293375489831888945361417919[[#This Row],[Column3]]=" ", 0,RAND())</f>
        <v>0</v>
      </c>
      <c r="AQ56" s="29" t="str">
        <f ca="1">R77</f>
        <v xml:space="preserve"> </v>
      </c>
      <c r="CB56" s="31" t="s">
        <v>732</v>
      </c>
      <c r="CE56" s="31"/>
    </row>
    <row r="57" spans="1:83" x14ac:dyDescent="0.3">
      <c r="A57" s="137"/>
      <c r="B57" s="33" t="s">
        <v>14</v>
      </c>
      <c r="C57" s="33"/>
      <c r="D57" s="33"/>
      <c r="E57" s="33"/>
      <c r="F57" s="33"/>
      <c r="G57" s="33"/>
      <c r="H57" s="33"/>
      <c r="I57" s="33"/>
      <c r="J57" s="33"/>
      <c r="K57" s="33"/>
      <c r="L57" s="33"/>
      <c r="M57" s="33"/>
      <c r="N57" s="33"/>
      <c r="O57" s="33" t="str">
        <f t="shared" ca="1" si="39"/>
        <v xml:space="preserve"> </v>
      </c>
      <c r="P57" s="120">
        <f ca="1">SUM(BU9,P38)</f>
        <v>1</v>
      </c>
      <c r="AJ57" s="58" t="str">
        <f ca="1">IF(Table201336450792849906315379881[[#This Row],[Column2]]=0," ",_xlfn.RANK.EQ(AK57,$AK$56:$AK$65))</f>
        <v xml:space="preserve"> </v>
      </c>
      <c r="AK57" s="29">
        <f t="shared" ref="AK57:AK65" ca="1" si="41">IF(AL57=" ", 0,RAND())</f>
        <v>0</v>
      </c>
      <c r="AL57" s="29" t="str">
        <f t="shared" ca="1" si="40"/>
        <v xml:space="preserve"> </v>
      </c>
      <c r="AO57" s="29" t="str">
        <f ca="1">IF(Table293375489831888945361417919[[#This Row],[Column2]]=0," ",_xlfn.RANK.EQ(Table293375489831888945361417919[[#This Row],[Column2]],$AP$45:$AP$59))</f>
        <v xml:space="preserve"> </v>
      </c>
      <c r="AP57" s="29">
        <f ca="1">IF(Table293375489831888945361417919[[#This Row],[Column3]]=" ", 0,RAND())</f>
        <v>0</v>
      </c>
      <c r="AQ57" s="29" t="str">
        <f ca="1">R78</f>
        <v xml:space="preserve"> </v>
      </c>
      <c r="CB57" s="35">
        <f t="shared" ref="CB57:CB62" ca="1" si="42">_xlfn.RANK.EQ(CC57,$CC$57:$CC$62)</f>
        <v>4</v>
      </c>
      <c r="CC57" s="36">
        <f ca="1">IF(BM6&gt;0,0,RAND())</f>
        <v>0.39863687191057318</v>
      </c>
      <c r="CD57" s="29" t="s">
        <v>12</v>
      </c>
    </row>
    <row r="58" spans="1:83" x14ac:dyDescent="0.3">
      <c r="A58" s="137"/>
      <c r="B58" s="33" t="s">
        <v>15</v>
      </c>
      <c r="C58" s="33"/>
      <c r="D58" s="33"/>
      <c r="E58" s="33"/>
      <c r="F58" s="33"/>
      <c r="G58" s="33"/>
      <c r="H58" s="33"/>
      <c r="I58" s="33"/>
      <c r="J58" s="33"/>
      <c r="K58" s="33"/>
      <c r="L58" s="33"/>
      <c r="M58" s="33"/>
      <c r="N58" s="33"/>
      <c r="O58" s="33" t="str">
        <f t="shared" ca="1" si="39"/>
        <v xml:space="preserve"> </v>
      </c>
      <c r="P58" s="120">
        <f ca="1">SUM(BU10,P43)</f>
        <v>2</v>
      </c>
      <c r="AJ58" s="58" t="str">
        <f ca="1">IF(Table201336450792849906315379881[[#This Row],[Column2]]=0," ",_xlfn.RANK.EQ(AK58,$AK$56:$AK$65))</f>
        <v xml:space="preserve"> </v>
      </c>
      <c r="AK58" s="29">
        <f t="shared" ca="1" si="41"/>
        <v>0</v>
      </c>
      <c r="AL58" s="29" t="str">
        <f t="shared" ca="1" si="40"/>
        <v xml:space="preserve"> </v>
      </c>
      <c r="AO58" s="29" t="str">
        <f ca="1">IF(Table293375489831888945361417919[[#This Row],[Column2]]=0," ",_xlfn.RANK.EQ(Table293375489831888945361417919[[#This Row],[Column2]],$AP$45:$AP$59))</f>
        <v xml:space="preserve"> </v>
      </c>
      <c r="AP58" s="29">
        <f ca="1">IF(Table293375489831888945361417919[[#This Row],[Column3]]=" ", 0,RAND())</f>
        <v>0</v>
      </c>
      <c r="AQ58" s="29" t="str">
        <f ca="1">R79</f>
        <v xml:space="preserve"> </v>
      </c>
      <c r="CB58" s="35">
        <f t="shared" ca="1" si="42"/>
        <v>6</v>
      </c>
      <c r="CC58" s="36">
        <f ca="1">IF(BM9&gt;0,0,RAND())</f>
        <v>2.8048445623971019E-2</v>
      </c>
      <c r="CD58" s="29" t="s">
        <v>14</v>
      </c>
    </row>
    <row r="59" spans="1:83" x14ac:dyDescent="0.3">
      <c r="A59" s="137"/>
      <c r="B59" s="33" t="s">
        <v>16</v>
      </c>
      <c r="C59" s="33"/>
      <c r="D59" s="33"/>
      <c r="E59" s="33"/>
      <c r="F59" s="33"/>
      <c r="G59" s="33"/>
      <c r="H59" s="33"/>
      <c r="I59" s="33"/>
      <c r="J59" s="33"/>
      <c r="K59" s="33"/>
      <c r="L59" s="33"/>
      <c r="M59" s="33"/>
      <c r="N59" s="33"/>
      <c r="O59" s="33" t="str">
        <f t="shared" ca="1" si="39"/>
        <v xml:space="preserve"> </v>
      </c>
      <c r="P59" s="120">
        <f ca="1">SUM(P41,BU11)</f>
        <v>1</v>
      </c>
      <c r="AJ59" s="58" t="str">
        <f ca="1">IF(Table201336450792849906315379881[[#This Row],[Column2]]=0," ",_xlfn.RANK.EQ(AK59,$AK$56:$AK$65))</f>
        <v xml:space="preserve"> </v>
      </c>
      <c r="AK59" s="29">
        <f t="shared" ca="1" si="41"/>
        <v>0</v>
      </c>
      <c r="AL59" s="29" t="str">
        <f t="shared" ca="1" si="40"/>
        <v xml:space="preserve"> </v>
      </c>
      <c r="AO59" s="29" t="str">
        <f ca="1">IF(Table293375489831888945361417919[[#This Row],[Column2]]=0," ",_xlfn.RANK.EQ(Table293375489831888945361417919[[#This Row],[Column2]],$AP$45:$AP$59))</f>
        <v xml:space="preserve"> </v>
      </c>
      <c r="AP59" s="29">
        <f ca="1">IF(Table293375489831888945361417919[[#This Row],[Column3]]=" ", 0,RAND())</f>
        <v>0</v>
      </c>
      <c r="AQ59" s="29" t="str">
        <f ca="1">R80</f>
        <v xml:space="preserve"> </v>
      </c>
      <c r="CB59" s="35">
        <f t="shared" ca="1" si="42"/>
        <v>2</v>
      </c>
      <c r="CC59" s="36">
        <f ca="1">IF(BM11&gt;0,0,RAND())</f>
        <v>0.85176955613945182</v>
      </c>
      <c r="CD59" s="29" t="s">
        <v>16</v>
      </c>
    </row>
    <row r="60" spans="1:83" x14ac:dyDescent="0.3">
      <c r="A60" s="137"/>
      <c r="B60" s="33" t="s">
        <v>17</v>
      </c>
      <c r="C60" s="33"/>
      <c r="D60" s="33"/>
      <c r="E60" s="33"/>
      <c r="F60" s="33"/>
      <c r="G60" s="33"/>
      <c r="H60" s="33"/>
      <c r="I60" s="33"/>
      <c r="J60" s="33"/>
      <c r="K60" s="33"/>
      <c r="L60" s="33"/>
      <c r="M60" s="33"/>
      <c r="N60" s="33"/>
      <c r="O60" s="33" t="str">
        <f t="shared" ca="1" si="39"/>
        <v>x</v>
      </c>
      <c r="P60" s="120">
        <f ca="1">SUM(BU12,P42)</f>
        <v>7</v>
      </c>
      <c r="AJ60" s="58" t="str">
        <f ca="1">IF(Table201336450792849906315379881[[#This Row],[Column2]]=0," ",_xlfn.RANK.EQ(AK60,$AK$56:$AK$65))</f>
        <v xml:space="preserve"> </v>
      </c>
      <c r="AK60" s="29">
        <f t="shared" ca="1" si="41"/>
        <v>0</v>
      </c>
      <c r="AL60" s="29" t="str">
        <f t="shared" ca="1" si="40"/>
        <v xml:space="preserve"> </v>
      </c>
      <c r="CB60" s="35">
        <f t="shared" ca="1" si="42"/>
        <v>5</v>
      </c>
      <c r="CC60" s="36">
        <f ca="1">IF(BM12&gt;0,0,RAND())</f>
        <v>0.23741785882058331</v>
      </c>
      <c r="CD60" s="29" t="s">
        <v>17</v>
      </c>
    </row>
    <row r="61" spans="1:83" x14ac:dyDescent="0.3">
      <c r="A61" s="137"/>
      <c r="B61" s="33" t="s">
        <v>18</v>
      </c>
      <c r="C61" s="33"/>
      <c r="D61" s="33"/>
      <c r="E61" s="33"/>
      <c r="F61" s="33"/>
      <c r="G61" s="33"/>
      <c r="H61" s="33"/>
      <c r="I61" s="33"/>
      <c r="J61" s="33"/>
      <c r="K61" s="33"/>
      <c r="L61" s="33"/>
      <c r="M61" s="33"/>
      <c r="N61" s="33"/>
      <c r="O61" s="33" t="str">
        <f t="shared" ca="1" si="39"/>
        <v xml:space="preserve"> </v>
      </c>
      <c r="P61" s="120">
        <f ca="1">SUM(BU13,P43)</f>
        <v>2</v>
      </c>
      <c r="AJ61" s="58" t="str">
        <f ca="1">IF(Table201336450792849906315379881[[#This Row],[Column2]]=0," ",_xlfn.RANK.EQ(AK61,$AK$56:$AK$65))</f>
        <v xml:space="preserve"> </v>
      </c>
      <c r="AK61" s="29">
        <f t="shared" ca="1" si="41"/>
        <v>0</v>
      </c>
      <c r="AL61" s="29" t="str">
        <f t="shared" ca="1" si="40"/>
        <v xml:space="preserve"> </v>
      </c>
      <c r="CB61" s="35">
        <f t="shared" ca="1" si="42"/>
        <v>3</v>
      </c>
      <c r="CC61" s="36">
        <f ca="1">IF(BM20&gt;0,0,RAND())</f>
        <v>0.73363676176015336</v>
      </c>
      <c r="CD61" s="29" t="s">
        <v>25</v>
      </c>
    </row>
    <row r="62" spans="1:83" x14ac:dyDescent="0.3">
      <c r="A62" s="137"/>
      <c r="B62" s="33" t="s">
        <v>19</v>
      </c>
      <c r="C62" s="33"/>
      <c r="D62" s="33"/>
      <c r="E62" s="33"/>
      <c r="F62" s="33"/>
      <c r="G62" s="33"/>
      <c r="H62" s="33"/>
      <c r="I62" s="33"/>
      <c r="J62" s="33"/>
      <c r="K62" s="33"/>
      <c r="L62" s="33"/>
      <c r="M62" s="33"/>
      <c r="N62" s="33"/>
      <c r="O62" s="33" t="str">
        <f t="shared" ca="1" si="39"/>
        <v xml:space="preserve"> </v>
      </c>
      <c r="P62" s="120">
        <f ca="1">SUM(BU14,P41)</f>
        <v>1</v>
      </c>
      <c r="AJ62" s="58" t="str">
        <f ca="1">IF(Table201336450792849906315379881[[#This Row],[Column2]]=0," ",_xlfn.RANK.EQ(AK62,$AK$56:$AK$65))</f>
        <v xml:space="preserve"> </v>
      </c>
      <c r="AK62" s="29">
        <f t="shared" ca="1" si="41"/>
        <v>0</v>
      </c>
      <c r="AL62" s="29" t="str">
        <f t="shared" ca="1" si="40"/>
        <v xml:space="preserve"> </v>
      </c>
      <c r="CB62" s="35">
        <f t="shared" ca="1" si="42"/>
        <v>1</v>
      </c>
      <c r="CC62" s="36">
        <f ca="1">IF(BM22&gt;0,0,RAND())</f>
        <v>0.85625850012323246</v>
      </c>
      <c r="CD62" s="29" t="s">
        <v>27</v>
      </c>
      <c r="CE62" s="31"/>
    </row>
    <row r="63" spans="1:83" x14ac:dyDescent="0.3">
      <c r="A63" s="137"/>
      <c r="B63" s="33" t="s">
        <v>20</v>
      </c>
      <c r="C63" s="33"/>
      <c r="D63" s="33"/>
      <c r="E63" s="33"/>
      <c r="F63" s="33"/>
      <c r="G63" s="33"/>
      <c r="H63" s="33"/>
      <c r="I63" s="33"/>
      <c r="J63" s="33"/>
      <c r="K63" s="33"/>
      <c r="L63" s="33"/>
      <c r="M63" s="33"/>
      <c r="N63" s="33"/>
      <c r="O63" s="33" t="str">
        <f t="shared" ca="1" si="39"/>
        <v xml:space="preserve"> </v>
      </c>
      <c r="P63" s="120">
        <f ca="1">SUM(BU15,P42)</f>
        <v>2</v>
      </c>
      <c r="AJ63" s="58" t="str">
        <f ca="1">IF(Table201336450792849906315379881[[#This Row],[Column2]]=0," ",_xlfn.RANK.EQ(AK63,$AK$56:$AK$65))</f>
        <v xml:space="preserve"> </v>
      </c>
      <c r="AK63" s="29">
        <f t="shared" ca="1" si="41"/>
        <v>0</v>
      </c>
      <c r="AL63" s="29" t="str">
        <f t="shared" ca="1" si="40"/>
        <v xml:space="preserve"> </v>
      </c>
    </row>
    <row r="64" spans="1:83" x14ac:dyDescent="0.3">
      <c r="A64" s="137"/>
      <c r="B64" s="33" t="s">
        <v>21</v>
      </c>
      <c r="C64" s="33"/>
      <c r="D64" s="33"/>
      <c r="E64" s="33"/>
      <c r="F64" s="33"/>
      <c r="G64" s="33"/>
      <c r="H64" s="33"/>
      <c r="I64" s="33"/>
      <c r="J64" s="33"/>
      <c r="K64" s="33"/>
      <c r="L64" s="33"/>
      <c r="M64" s="33"/>
      <c r="N64" s="33"/>
      <c r="O64" s="33" t="str">
        <f t="shared" ca="1" si="39"/>
        <v xml:space="preserve"> </v>
      </c>
      <c r="P64" s="120">
        <f ca="1">SUM(BU16,P41)</f>
        <v>1</v>
      </c>
      <c r="AJ64" s="58" t="str">
        <f ca="1">IF(Table201336450792849906315379881[[#This Row],[Column2]]=0," ",_xlfn.RANK.EQ(AK64,$AK$56:$AK$65))</f>
        <v xml:space="preserve"> </v>
      </c>
      <c r="AK64" s="29">
        <f t="shared" ca="1" si="41"/>
        <v>0</v>
      </c>
      <c r="AL64" s="29" t="str">
        <f t="shared" ca="1" si="40"/>
        <v xml:space="preserve"> </v>
      </c>
      <c r="CB64" s="31" t="s">
        <v>733</v>
      </c>
    </row>
    <row r="65" spans="1:82" x14ac:dyDescent="0.3">
      <c r="A65" s="137"/>
      <c r="B65" s="33" t="s">
        <v>22</v>
      </c>
      <c r="C65" s="33"/>
      <c r="D65" s="33"/>
      <c r="E65" s="33"/>
      <c r="F65" s="33"/>
      <c r="G65" s="33"/>
      <c r="H65" s="33"/>
      <c r="I65" s="33"/>
      <c r="J65" s="33"/>
      <c r="K65" s="33"/>
      <c r="L65" s="33"/>
      <c r="M65" s="33"/>
      <c r="N65" s="33"/>
      <c r="O65" s="33" t="str">
        <f t="shared" ca="1" si="39"/>
        <v xml:space="preserve"> </v>
      </c>
      <c r="P65" s="120">
        <f ca="1">SUM(BU17,P42)</f>
        <v>2</v>
      </c>
      <c r="AJ65" s="58" t="str">
        <f ca="1">IF(Table201336450792849906315379881[[#This Row],[Column2]]=0," ",_xlfn.RANK.EQ(AK65,$AK$56:$AK$65))</f>
        <v xml:space="preserve"> </v>
      </c>
      <c r="AK65" s="29">
        <f t="shared" ca="1" si="41"/>
        <v>0</v>
      </c>
      <c r="AL65" s="29" t="str">
        <f t="shared" ca="1" si="40"/>
        <v xml:space="preserve"> </v>
      </c>
      <c r="CB65" s="35">
        <f t="shared" ref="CB65:CB70" ca="1" si="43">_xlfn.RANK.EQ(CC65,$CC$65:$CC$70)</f>
        <v>1</v>
      </c>
      <c r="CC65" s="36">
        <f ca="1">IF(BM9&gt;0,0,RAND())</f>
        <v>0.94395527755776509</v>
      </c>
      <c r="CD65" s="29" t="s">
        <v>14</v>
      </c>
    </row>
    <row r="66" spans="1:82" x14ac:dyDescent="0.3">
      <c r="A66" s="137"/>
      <c r="B66" s="33" t="s">
        <v>23</v>
      </c>
      <c r="C66" s="33"/>
      <c r="D66" s="33"/>
      <c r="E66" s="33"/>
      <c r="F66" s="33"/>
      <c r="G66" s="33"/>
      <c r="H66" s="33"/>
      <c r="I66" s="33"/>
      <c r="J66" s="33"/>
      <c r="K66" s="33"/>
      <c r="L66" s="33"/>
      <c r="M66" s="33"/>
      <c r="N66" s="33"/>
      <c r="O66" s="33" t="str">
        <f t="shared" ca="1" si="39"/>
        <v xml:space="preserve"> </v>
      </c>
      <c r="P66" s="120">
        <f ca="1">SUM(BU18,P43)</f>
        <v>2</v>
      </c>
      <c r="CB66" s="35">
        <f t="shared" ca="1" si="43"/>
        <v>2</v>
      </c>
      <c r="CC66" s="36">
        <f ca="1">IF(BM12&gt;0,0,RAND())</f>
        <v>0.76167338590763034</v>
      </c>
      <c r="CD66" s="29" t="s">
        <v>17</v>
      </c>
    </row>
    <row r="67" spans="1:82" x14ac:dyDescent="0.3">
      <c r="A67" s="137"/>
      <c r="B67" s="33" t="s">
        <v>24</v>
      </c>
      <c r="C67" s="33"/>
      <c r="D67" s="33"/>
      <c r="E67" s="33"/>
      <c r="F67" s="33"/>
      <c r="G67" s="33"/>
      <c r="H67" s="33"/>
      <c r="I67" s="33"/>
      <c r="J67" s="33"/>
      <c r="K67" s="33"/>
      <c r="L67" s="33"/>
      <c r="M67" s="33"/>
      <c r="N67" s="33"/>
      <c r="O67" s="33" t="str">
        <f t="shared" ca="1" si="39"/>
        <v xml:space="preserve"> </v>
      </c>
      <c r="P67" s="120">
        <f ca="1">SUM(BU19,P43)</f>
        <v>2</v>
      </c>
      <c r="AJ67" s="31" t="s">
        <v>1168</v>
      </c>
      <c r="CB67" s="35">
        <f t="shared" ca="1" si="43"/>
        <v>4</v>
      </c>
      <c r="CC67" s="36">
        <f ca="1">IF(BM13&gt;0,0,RAND())</f>
        <v>0.7178005887886002</v>
      </c>
      <c r="CD67" s="29" t="s">
        <v>18</v>
      </c>
    </row>
    <row r="68" spans="1:82" x14ac:dyDescent="0.3">
      <c r="A68" s="137"/>
      <c r="B68" s="33" t="s">
        <v>25</v>
      </c>
      <c r="C68" s="33"/>
      <c r="D68" s="33"/>
      <c r="E68" s="33"/>
      <c r="F68" s="33"/>
      <c r="G68" s="33"/>
      <c r="H68" s="33"/>
      <c r="I68" s="33"/>
      <c r="J68" s="33"/>
      <c r="K68" s="33"/>
      <c r="L68" s="33"/>
      <c r="M68" s="33"/>
      <c r="N68" s="33"/>
      <c r="O68" s="33" t="str">
        <f t="shared" ca="1" si="39"/>
        <v xml:space="preserve"> </v>
      </c>
      <c r="P68" s="120">
        <f ca="1">SUM(BU20,P41)</f>
        <v>1</v>
      </c>
      <c r="AJ68" s="58" t="str">
        <f ca="1">IF(Table202337451793850907320380882[[#This Row],[Column2]]=0," ",_xlfn.RANK.EQ(AK68,$AK$68:$AK$77))</f>
        <v xml:space="preserve"> </v>
      </c>
      <c r="AK68" s="60">
        <f t="shared" ref="AK68:AK77" ca="1" si="44">IF(AL68=" ", 0,RAND())</f>
        <v>0</v>
      </c>
      <c r="AL68" s="29" t="str">
        <f t="shared" ref="AL68:AL77" ca="1" si="45">S315</f>
        <v xml:space="preserve"> </v>
      </c>
      <c r="CB68" s="35">
        <f t="shared" ca="1" si="43"/>
        <v>6</v>
      </c>
      <c r="CC68" s="36">
        <f ca="1">IF(BM15&gt;0,0,RAND())</f>
        <v>0.33330898383757457</v>
      </c>
      <c r="CD68" s="29" t="s">
        <v>20</v>
      </c>
    </row>
    <row r="69" spans="1:82" x14ac:dyDescent="0.3">
      <c r="A69" s="137"/>
      <c r="B69" s="33" t="s">
        <v>26</v>
      </c>
      <c r="C69" s="33"/>
      <c r="D69" s="33"/>
      <c r="E69" s="33"/>
      <c r="F69" s="33"/>
      <c r="G69" s="33"/>
      <c r="H69" s="33"/>
      <c r="I69" s="33"/>
      <c r="J69" s="33"/>
      <c r="K69" s="33"/>
      <c r="L69" s="33"/>
      <c r="M69" s="33"/>
      <c r="N69" s="33"/>
      <c r="O69" s="33" t="str">
        <f t="shared" ca="1" si="39"/>
        <v xml:space="preserve"> </v>
      </c>
      <c r="P69" s="120">
        <f ca="1">SUM(BU21,P39)</f>
        <v>2</v>
      </c>
      <c r="AJ69" s="58" t="str">
        <f ca="1">IF(Table202337451793850907320380882[[#This Row],[Column2]]=0," ",_xlfn.RANK.EQ(AK69,$AK$68:$AK$77))</f>
        <v xml:space="preserve"> </v>
      </c>
      <c r="AK69" s="60">
        <f t="shared" ca="1" si="44"/>
        <v>0</v>
      </c>
      <c r="AL69" s="29" t="str">
        <f t="shared" ca="1" si="45"/>
        <v xml:space="preserve"> </v>
      </c>
      <c r="CB69" s="35">
        <f t="shared" ca="1" si="43"/>
        <v>3</v>
      </c>
      <c r="CC69" s="36">
        <f ca="1">IF(BM19&gt;0,0,RAND())</f>
        <v>0.75790993665945749</v>
      </c>
      <c r="CD69" s="29" t="s">
        <v>24</v>
      </c>
    </row>
    <row r="70" spans="1:82" x14ac:dyDescent="0.3">
      <c r="A70" s="137"/>
      <c r="B70" s="33" t="s">
        <v>27</v>
      </c>
      <c r="C70" s="33"/>
      <c r="D70" s="33"/>
      <c r="E70" s="33"/>
      <c r="F70" s="33"/>
      <c r="G70" s="33"/>
      <c r="H70" s="33"/>
      <c r="I70" s="33"/>
      <c r="J70" s="33"/>
      <c r="K70" s="33"/>
      <c r="L70" s="33"/>
      <c r="M70" s="33"/>
      <c r="N70" s="33"/>
      <c r="O70" s="33" t="str">
        <f t="shared" ca="1" si="39"/>
        <v xml:space="preserve"> </v>
      </c>
      <c r="P70" s="120">
        <f ca="1">SUM(BU22,P39)</f>
        <v>2</v>
      </c>
      <c r="AJ70" s="58" t="str">
        <f ca="1">IF(Table202337451793850907320380882[[#This Row],[Column2]]=0," ",_xlfn.RANK.EQ(AK70,$AK$68:$AK$77))</f>
        <v xml:space="preserve"> </v>
      </c>
      <c r="AK70" s="60">
        <f t="shared" ca="1" si="44"/>
        <v>0</v>
      </c>
      <c r="AL70" s="29" t="str">
        <f t="shared" ca="1" si="45"/>
        <v xml:space="preserve"> </v>
      </c>
      <c r="CB70" s="35">
        <f t="shared" ca="1" si="43"/>
        <v>5</v>
      </c>
      <c r="CC70" s="36">
        <f ca="1">IF(BM20&gt;0,0,RAND())</f>
        <v>0.62736528104940936</v>
      </c>
      <c r="CD70" s="29" t="s">
        <v>25</v>
      </c>
    </row>
    <row r="71" spans="1:82" x14ac:dyDescent="0.3">
      <c r="A71" s="137"/>
      <c r="B71" s="33" t="s">
        <v>28</v>
      </c>
      <c r="C71" s="33"/>
      <c r="D71" s="33"/>
      <c r="E71" s="33"/>
      <c r="F71" s="33"/>
      <c r="G71" s="33"/>
      <c r="H71" s="33"/>
      <c r="I71" s="33"/>
      <c r="J71" s="33"/>
      <c r="K71" s="33"/>
      <c r="L71" s="33"/>
      <c r="M71" s="33"/>
      <c r="N71" s="33"/>
      <c r="O71" s="33" t="str">
        <f t="shared" ca="1" si="39"/>
        <v xml:space="preserve"> </v>
      </c>
      <c r="P71" s="120">
        <f ca="1">SUM(BU23,P42)</f>
        <v>2</v>
      </c>
      <c r="AJ71" s="58" t="str">
        <f ca="1">IF(Table202337451793850907320380882[[#This Row],[Column2]]=0," ",_xlfn.RANK.EQ(AK71,$AK$68:$AK$77))</f>
        <v xml:space="preserve"> </v>
      </c>
      <c r="AK71" s="60">
        <f t="shared" ca="1" si="44"/>
        <v>0</v>
      </c>
      <c r="AL71" s="29" t="str">
        <f t="shared" ca="1" si="45"/>
        <v xml:space="preserve"> </v>
      </c>
    </row>
    <row r="72" spans="1:82" ht="19.5" thickBot="1" x14ac:dyDescent="0.35">
      <c r="A72" s="137"/>
      <c r="B72" s="38" t="str">
        <f ca="1">IF(O11="non-classed","Profession"," ")</f>
        <v>Profession</v>
      </c>
      <c r="C72" s="38"/>
      <c r="D72" s="38"/>
      <c r="E72" s="38"/>
      <c r="F72" s="38"/>
      <c r="G72" s="38"/>
      <c r="H72" s="38"/>
      <c r="I72" s="38"/>
      <c r="J72" s="38"/>
      <c r="K72" s="38"/>
      <c r="L72" s="38"/>
      <c r="M72" s="38"/>
      <c r="N72" s="38"/>
      <c r="O72" s="38" t="str">
        <f ca="1">IF(O11="non-classed","x"," ")</f>
        <v>x</v>
      </c>
      <c r="P72" s="121">
        <f ca="1">IF(O11="non-classed",P8*2," ")</f>
        <v>10</v>
      </c>
      <c r="AJ72" s="58" t="str">
        <f ca="1">IF(Table202337451793850907320380882[[#This Row],[Column2]]=0," ",_xlfn.RANK.EQ(AK72,$AK$68:$AK$77))</f>
        <v xml:space="preserve"> </v>
      </c>
      <c r="AK72" s="60">
        <f t="shared" ca="1" si="44"/>
        <v>0</v>
      </c>
      <c r="AL72" s="29" t="str">
        <f t="shared" ca="1" si="45"/>
        <v xml:space="preserve"> </v>
      </c>
      <c r="CB72" s="31" t="s">
        <v>734</v>
      </c>
    </row>
    <row r="73" spans="1:82" ht="19.5" thickBot="1" x14ac:dyDescent="0.35">
      <c r="AJ73" s="58" t="str">
        <f ca="1">IF(Table202337451793850907320380882[[#This Row],[Column2]]=0," ",_xlfn.RANK.EQ(AK73,$AK$68:$AK$77))</f>
        <v xml:space="preserve"> </v>
      </c>
      <c r="AK73" s="60">
        <f t="shared" ca="1" si="44"/>
        <v>0</v>
      </c>
      <c r="AL73" s="29" t="str">
        <f t="shared" ca="1" si="45"/>
        <v xml:space="preserve"> </v>
      </c>
      <c r="CB73" s="35">
        <f t="shared" ref="CB73:CB81" ca="1" si="46">_xlfn.RANK.EQ(CC73,$CC$73:$CC$81)</f>
        <v>8</v>
      </c>
      <c r="CC73" s="36">
        <f ca="1">IF(BM7&gt;0,0,RAND())</f>
        <v>0.18663214295094099</v>
      </c>
      <c r="CD73" s="29" t="s">
        <v>29</v>
      </c>
    </row>
    <row r="74" spans="1:82" ht="30.75" thickBot="1" x14ac:dyDescent="0.45">
      <c r="B74" s="106" t="s">
        <v>2716</v>
      </c>
      <c r="AJ74" s="58" t="str">
        <f ca="1">IF(Table202337451793850907320380882[[#This Row],[Column2]]=0," ",_xlfn.RANK.EQ(AK74,$AK$68:$AK$77))</f>
        <v xml:space="preserve"> </v>
      </c>
      <c r="AK74" s="60">
        <f t="shared" ca="1" si="44"/>
        <v>0</v>
      </c>
      <c r="AL74" s="29" t="str">
        <f t="shared" ca="1" si="45"/>
        <v xml:space="preserve"> </v>
      </c>
      <c r="CB74" s="35">
        <f t="shared" ca="1" si="46"/>
        <v>3</v>
      </c>
      <c r="CC74" s="36">
        <f ca="1">IF(BM9&gt;0,0,RAND())</f>
        <v>0.85592025326634424</v>
      </c>
      <c r="CD74" s="29" t="s">
        <v>14</v>
      </c>
    </row>
    <row r="75" spans="1:82" ht="19.5" thickBot="1" x14ac:dyDescent="0.35">
      <c r="B75" s="55" t="s">
        <v>52</v>
      </c>
      <c r="O75" s="53" t="s">
        <v>121</v>
      </c>
      <c r="P75" s="26" t="s">
        <v>46</v>
      </c>
      <c r="Q75" s="61"/>
      <c r="R75" s="28"/>
      <c r="AJ75" s="58" t="str">
        <f ca="1">IF(Table202337451793850907320380882[[#This Row],[Column2]]=0," ",_xlfn.RANK.EQ(AK75,$AK$68:$AK$77))</f>
        <v xml:space="preserve"> </v>
      </c>
      <c r="AK75" s="60">
        <f t="shared" ca="1" si="44"/>
        <v>0</v>
      </c>
      <c r="AL75" s="29" t="str">
        <f t="shared" ca="1" si="45"/>
        <v xml:space="preserve"> </v>
      </c>
      <c r="CB75" s="35">
        <f t="shared" ca="1" si="46"/>
        <v>6</v>
      </c>
      <c r="CC75" s="36">
        <f ca="1">IF(BM12&gt;0,0,RAND())</f>
        <v>0.42521836351057052</v>
      </c>
      <c r="CD75" s="29" t="s">
        <v>17</v>
      </c>
    </row>
    <row r="76" spans="1:82" ht="19.5" thickTop="1" x14ac:dyDescent="0.3">
      <c r="B76" s="56" t="str">
        <f ca="1">IF(OR(O11="warlock",Q11="warlock",P2="mountain",O11="barbarian",O11="bard",Q11="barbarian",O11="cleric",Q11="bard",Q11="cleric",O11="druid",Q11="druid",O11="fighter",Q11="fighter",O11="paladin",Q11="paladin",O11="ranger",Q11="ranger",O11="rogue",Q11="rogue"),"Light Armor"," ")</f>
        <v xml:space="preserve"> </v>
      </c>
      <c r="O76" s="33" t="str">
        <f ca="1">IF(Q2="dwarf",VLOOKUP(RANDBETWEEN(1,3),Table3[],2),IF(P2="rock","Artisan's Tools"," "))</f>
        <v xml:space="preserve"> </v>
      </c>
      <c r="P76" s="62" t="str">
        <f ca="1">IF(OR(O11="warlock",Q11="warlock",O11="barbarian",O11="bard",Q11="barbarian",Q11="bard",O11="cleric",O11="fighter",Q11="fighter",O11="monk",Q11="monk",O11="paladin",Q11="paladin",O11="ranger",Q11="ranger",O11="rogue"),"Simple Weapons",IF(Q2="dwarf","Handaxe"," "))</f>
        <v xml:space="preserve"> </v>
      </c>
      <c r="Q76" s="60" t="str">
        <f ca="1">IF(AND(P76&lt;&gt;"simple weapons",OR($O$11="druid",O11="non-classed")),"Club",IF(P80="shortsword"," ",IF(AND(P77&lt;&gt;"martial weapons",OR(O11="monk",O11="bard",Q11="monk",O11="rogue")),"Shortsword"," ")))</f>
        <v>Club</v>
      </c>
      <c r="R76" s="63" t="str">
        <f ca="1">IF(AND(P76&lt;&gt;"simple weapons",OR($O$11="druid",O11="sorcerer",O11="wizard",O11="non-classed")),"Quarterstaff"," ")</f>
        <v>Quarterstaff</v>
      </c>
      <c r="AJ76" s="58" t="str">
        <f ca="1">IF(Table202337451793850907320380882[[#This Row],[Column2]]=0," ",_xlfn.RANK.EQ(AK76,$AK$68:$AK$77))</f>
        <v xml:space="preserve"> </v>
      </c>
      <c r="AK76" s="60">
        <f t="shared" ca="1" si="44"/>
        <v>0</v>
      </c>
      <c r="AL76" s="29" t="str">
        <f t="shared" ca="1" si="45"/>
        <v xml:space="preserve"> </v>
      </c>
      <c r="CB76" s="35">
        <f t="shared" ca="1" si="46"/>
        <v>4</v>
      </c>
      <c r="CC76" s="36">
        <f ca="1">IF(BM13&gt;0,0,RAND())</f>
        <v>0.78057932668097207</v>
      </c>
      <c r="CD76" s="29" t="s">
        <v>18</v>
      </c>
    </row>
    <row r="77" spans="1:82" x14ac:dyDescent="0.3">
      <c r="B77" s="56" t="str">
        <f ca="1">IF(OR(P2="mountain",O11="barbarian",Q11="barbarian",P15="college of valor",R15="college of valor",O11="cleric",Q11="cleric",O11="druid",Q11="druid",O11="fighter",Q11="fighter",O11="paladin",Q11="paladin",O11="ranger",Q11="ranger"),"Medium Armor"," ")</f>
        <v xml:space="preserve"> </v>
      </c>
      <c r="O77" s="33" t="str">
        <f ca="1">IF(AND(O11="monk",AF23=2),INDEX('Class Tables'!F25:F34,MATCH(1,('Class Tables'!D25:D34),0)),IF(AND(O11="monk",AF23=1),INDEX('Class Tables'!J80:J95,MATCH(1,('Class Tables'!I80:I95),0)),IF(P15="battle master",VLOOKUP(RANDBETWEEN(1,16),Table79[],2),IF(OR($O$11="bard"),INDEX('Class Tables'!$F$25:$F$34,MATCH(1,('Class Tables'!$D$25:$D$34),0))," "))))</f>
        <v xml:space="preserve"> </v>
      </c>
      <c r="P77" s="64" t="str">
        <f ca="1">IF(OR($O$11="barbarian",Q11="barbarian",P15="college of valor",R15="college of valor",R15="tempest",P15="tempest",P15="war",R15="war",O11="fighter",Q11="fighter",O11="paladin",Q11="paladin",O11="ranger",Q11="ranger"),"Martial Weapons",IF($Q$2="dwarf","Battleaxe",IF(OR($P$2="high",$P$2="wood"),"Longsword",IF($P$2="dark","Rapier"," "))))</f>
        <v xml:space="preserve"> </v>
      </c>
      <c r="Q77" s="65" t="str">
        <f ca="1">IF(AND(OR($O$11="druid",O11="sorcerer",O11="wizard",O11="non-classed"),P76&lt;&gt;"Simple weapons"),"Dagger",IF(AND(O11="bard",P77&lt;&gt;"Martial Weapons"),"Hand Crossbow",IF(AND(O11="rogue",P77&lt;&gt;"martial weapons"),"Hand Crossbow"," ")))</f>
        <v>Dagger</v>
      </c>
      <c r="R77" s="66" t="str">
        <f ca="1">IF(AND(P77&lt;&gt;"martial weapons",$O$11="druid"),"Scimitar"," ")</f>
        <v xml:space="preserve"> </v>
      </c>
      <c r="AJ77" s="58" t="str">
        <f ca="1">IF(Table202337451793850907320380882[[#This Row],[Column2]]=0," ",_xlfn.RANK.EQ(AK77,$AK$68:$AK$77))</f>
        <v xml:space="preserve"> </v>
      </c>
      <c r="AK77" s="60">
        <f t="shared" ca="1" si="44"/>
        <v>0</v>
      </c>
      <c r="AL77" s="29" t="str">
        <f t="shared" ca="1" si="45"/>
        <v xml:space="preserve"> </v>
      </c>
      <c r="CB77" s="35">
        <f t="shared" ca="1" si="46"/>
        <v>9</v>
      </c>
      <c r="CC77" s="36">
        <f ca="1">IF(BM14&gt;0,0,RAND())</f>
        <v>0.12032215549041692</v>
      </c>
      <c r="CD77" s="29" t="s">
        <v>19</v>
      </c>
    </row>
    <row r="78" spans="1:82" x14ac:dyDescent="0.3">
      <c r="B78" s="56" t="str">
        <f ca="1">IF(OR(O11="barbarian",Q11="barbarian",R15="college of valor",P15="college of valor",O11="cleric",Q11="cleric",O11="druid",Q11="Druid",O11="fighter",Q11="fighter",O11="paladin",Q11="paladin",O11="ranger",Q11="ranger"),"Shields"," ")</f>
        <v xml:space="preserve"> </v>
      </c>
      <c r="O78" s="33" t="str">
        <f ca="1">IF(OR($O$11="bard"),INDEX('Class Tables'!$F$25:$F$34,MATCH(2,('Class Tables'!$D$25:$D$34),0))," ")</f>
        <v xml:space="preserve"> </v>
      </c>
      <c r="P78" s="62" t="str">
        <f ca="1">IF(AND(P76&lt;&gt;"Simple Weapons",Q2="dwarf"),"Light Hammer",IF(AND(P2="high",P76&lt;&gt;"Simple Weapons"),"Shortbow",IF(AND(P76&lt;&gt;"Simple Weapons",P2="wood"),"Shortbow",IF(AND(P2="dark",P77&lt;&gt;"Martial Weapons"),"Hand Crossbow"," "))))</f>
        <v xml:space="preserve"> </v>
      </c>
      <c r="Q78" s="60" t="str">
        <f ca="1">IF(AND(OR($O$11="druid",O11="sorcerer",O11="wizard"),P76&lt;&gt;"Simple weapons"),"Dart",IF(AND(P77&lt;&gt;"martial weapons",OR(O11="bard",O11="rogue")),"Longsword"," "))</f>
        <v xml:space="preserve"> </v>
      </c>
      <c r="R78" s="63" t="str">
        <f ca="1">IF(AND(P76&lt;&gt;"simple weapons",$O$11="druid"),"Sickle"," ")</f>
        <v xml:space="preserve"> </v>
      </c>
      <c r="CB78" s="35">
        <f t="shared" ca="1" si="46"/>
        <v>2</v>
      </c>
      <c r="CC78" s="36">
        <f ca="1">IF(BM16&gt;0,0,RAND())</f>
        <v>0.92222324569775771</v>
      </c>
      <c r="CD78" s="29" t="s">
        <v>21</v>
      </c>
    </row>
    <row r="79" spans="1:82" x14ac:dyDescent="0.3">
      <c r="B79" s="33" t="str">
        <f ca="1">IF(OR(P15="life",R15="life",P15="nature",R15="nature",P15="tempest",R15="tempest",P15="war",R15="war",O11="fighter",Q11="fighter",O11="paladin"),"Heavy Armor"," ")</f>
        <v xml:space="preserve"> </v>
      </c>
      <c r="O79" s="33" t="str">
        <f ca="1">IF(OR($O$11="bard",$Q$11="bard"),INDEX('Class Tables'!$F$25:$F$34,MATCH(3,('Class Tables'!$D$25:$D$34),0))," ")</f>
        <v xml:space="preserve"> </v>
      </c>
      <c r="P79" s="64" t="str">
        <f ca="1">IF(P77="martial weapons"," ",IF(Q2="dwarf","Warhammer",IF(OR(P2="high",P2="wood"),"Longbow"," ")))</f>
        <v xml:space="preserve"> </v>
      </c>
      <c r="Q79" s="65" t="str">
        <f ca="1">IF(AND($O$11="druid",P76&lt;&gt;"simple weapons"),"Javelin",IF(AND(O11="sorcerer",P76&lt;&gt;"simple weapons"),"Light Crossbow",IF(AND(O11="wizard",P76&lt;&gt;"simple weapons"),"Light Crossbow",IF(AND(OR(O11="bard",O11="rogue"),P77&lt;&gt;"martial weapons"),"Rapier"," "))))</f>
        <v xml:space="preserve"> </v>
      </c>
      <c r="R79" s="66" t="str">
        <f ca="1">IF(AND(P76&lt;&gt;"simple weapons",OR($O$11="druid",O11="sorcerer",O11="wizard")),"Sling"," ")</f>
        <v xml:space="preserve"> </v>
      </c>
      <c r="AJ79" s="31" t="s">
        <v>676</v>
      </c>
      <c r="CB79" s="35">
        <f t="shared" ca="1" si="46"/>
        <v>7</v>
      </c>
      <c r="CC79" s="36">
        <f ca="1">IF(BM17&gt;0,0,RAND())</f>
        <v>0.2205291045176796</v>
      </c>
      <c r="CD79" s="29" t="s">
        <v>22</v>
      </c>
    </row>
    <row r="80" spans="1:82" ht="19.5" thickBot="1" x14ac:dyDescent="0.35">
      <c r="O80" s="33" t="str">
        <f ca="1">IF(OR(O11="druid",S11="hermit"),"Herbalism Kit"," ")</f>
        <v xml:space="preserve"> </v>
      </c>
      <c r="P80" s="51" t="str">
        <f ca="1">IF(AND(P77&lt;&gt;"martial weapons",OR(P2="high",P2="wood",P2="dark")),"Shortsword"," ")</f>
        <v xml:space="preserve"> </v>
      </c>
      <c r="Q80" s="67" t="str">
        <f ca="1">IF(AND(P76&lt;&gt;"simple weapons",$O$11="druid"),"Mace"," ")</f>
        <v xml:space="preserve"> </v>
      </c>
      <c r="R80" s="68" t="str">
        <f ca="1">IF(AND(P76&lt;&gt;"simple weapons",$O$11="druid"),"Spear"," ")</f>
        <v xml:space="preserve"> </v>
      </c>
      <c r="AJ80" s="58" t="str">
        <f ca="1">IF(Table203338452794851908321381883[[#This Row],[Column2]]=0," ",_xlfn.RANK.EQ(AK80,$AK$80:$AK$89))</f>
        <v xml:space="preserve"> </v>
      </c>
      <c r="AK80" s="60">
        <f t="shared" ref="AK80:AK89" ca="1" si="47">IF(AL80=" ", 0,RAND())</f>
        <v>0</v>
      </c>
      <c r="AL80" s="29" t="str">
        <f t="shared" ref="AL80:AL89" ca="1" si="48">T315</f>
        <v xml:space="preserve"> </v>
      </c>
      <c r="CB80" s="35">
        <f t="shared" ca="1" si="46"/>
        <v>1</v>
      </c>
      <c r="CC80" s="36">
        <f ca="1">IF(BM22&gt;0,0,RAND())</f>
        <v>0.9873137170416898</v>
      </c>
      <c r="CD80" s="29" t="s">
        <v>27</v>
      </c>
    </row>
    <row r="81" spans="1:82" x14ac:dyDescent="0.3">
      <c r="O81" s="33" t="str">
        <f ca="1">IF(AND(AF25=2,OR(O11="rogue",Q11="rogue")),"Thieves' Tools - Expert",IF(OR(O11="rogue",Q11="rogue"),"Thieves' Tools"," "))</f>
        <v xml:space="preserve"> </v>
      </c>
      <c r="AJ81" s="58" t="str">
        <f ca="1">IF(Table203338452794851908321381883[[#This Row],[Column2]]=0," ",_xlfn.RANK.EQ(AK81,$AK$80:$AK$89))</f>
        <v xml:space="preserve"> </v>
      </c>
      <c r="AK81" s="60">
        <f t="shared" ca="1" si="47"/>
        <v>0</v>
      </c>
      <c r="AL81" s="29" t="str">
        <f t="shared" ca="1" si="48"/>
        <v xml:space="preserve"> </v>
      </c>
      <c r="CB81" s="35">
        <f t="shared" ca="1" si="46"/>
        <v>5</v>
      </c>
      <c r="CC81" s="36">
        <f ca="1">IF(BM23&gt;0,0,RAND())</f>
        <v>0.65956874130889298</v>
      </c>
      <c r="CD81" s="29" t="s">
        <v>28</v>
      </c>
    </row>
    <row r="82" spans="1:82" x14ac:dyDescent="0.3">
      <c r="O82" s="33" t="str">
        <f ca="1">IF(P15="assassin","Disguise Kit"," ")</f>
        <v xml:space="preserve"> </v>
      </c>
      <c r="AJ82" s="58" t="str">
        <f ca="1">IF(Table203338452794851908321381883[[#This Row],[Column2]]=0," ",_xlfn.RANK.EQ(AK82,$AK$80:$AK$89))</f>
        <v xml:space="preserve"> </v>
      </c>
      <c r="AK82" s="60">
        <f t="shared" ca="1" si="47"/>
        <v>0</v>
      </c>
      <c r="AL82" s="29" t="str">
        <f t="shared" ca="1" si="48"/>
        <v xml:space="preserve"> </v>
      </c>
    </row>
    <row r="83" spans="1:82" x14ac:dyDescent="0.3">
      <c r="O83" s="33" t="str">
        <f ca="1">IF(P15="assassin","Poisoner's Kit"," ")</f>
        <v xml:space="preserve"> </v>
      </c>
      <c r="AJ83" s="58" t="str">
        <f ca="1">IF(Table203338452794851908321381883[[#This Row],[Column2]]=0," ",_xlfn.RANK.EQ(AK83,$AK$80:$AK$89))</f>
        <v xml:space="preserve"> </v>
      </c>
      <c r="AK83" s="60">
        <f t="shared" ca="1" si="47"/>
        <v>0</v>
      </c>
      <c r="AL83" s="29" t="str">
        <f t="shared" ca="1" si="48"/>
        <v xml:space="preserve"> </v>
      </c>
      <c r="CB83" s="31" t="s">
        <v>735</v>
      </c>
    </row>
    <row r="84" spans="1:82" x14ac:dyDescent="0.3">
      <c r="O84" s="33" t="str">
        <f ca="1">IF(S11="soldier",VLOOKUP(RANDBETWEEN(1,4),Table258[],2),IF(OR(S11="sailor",S11="pirate"),"Navigator's Tools",IF(OR(S11="folk hero",S11="Guild Artisan"),VLOOKUP(RANDBETWEEN(1,16),Table79[],2),IF(AND(OR(S11="criminal",S11="urchin"),OR(O81&lt;&gt;"Thieves' Tools",O81&lt;&gt;"Thieves' Tools - Expert")),"Thieves' Tools",IF(AND(OR(S11="charlatan",S11="entertainer"),O82&lt;&gt;"Disguise Kit"),"Disguise Kit"," ")))))</f>
        <v xml:space="preserve"> </v>
      </c>
      <c r="AJ84" s="58" t="str">
        <f ca="1">IF(Table203338452794851908321381883[[#This Row],[Column2]]=0," ",_xlfn.RANK.EQ(AK84,$AK$80:$AK$89))</f>
        <v xml:space="preserve"> </v>
      </c>
      <c r="AK84" s="60">
        <f t="shared" ca="1" si="47"/>
        <v>0</v>
      </c>
      <c r="AL84" s="29" t="str">
        <f t="shared" ca="1" si="48"/>
        <v xml:space="preserve"> </v>
      </c>
      <c r="CB84" s="35">
        <f t="shared" ref="CB84:CB94" ca="1" si="49">_xlfn.RANK.EQ(CC84,$CC$84:$CC$94)</f>
        <v>5</v>
      </c>
      <c r="CC84" s="36">
        <f ca="1">IF(BM6&gt;0,0,RAND())</f>
        <v>0.57742507531874621</v>
      </c>
      <c r="CD84" s="29" t="s">
        <v>12</v>
      </c>
    </row>
    <row r="85" spans="1:82" x14ac:dyDescent="0.3">
      <c r="O85" s="33" t="str">
        <f ca="1">IF(AND(S11="urchin",O82&lt;&gt;"Disguise Kit"),"Disguise Kit",IF(OR(S11="Sailor",S11="pirate"),"Vehicles (Water)",IF(OR(S11="folk hero",S11="Soldier"),"Vehicles (Land)",IF(OR(S11="entertainer",S11="outlander"),INDEX('Class Tables'!$F$25:$F$34,MATCH(4,('Class Tables'!$D$25:$D$34),0)),IF(OR(S11="criminal",S11="noble",S11="knight"),VLOOKUP(RANDBETWEEN(1,4),Table258[],2),IF(S11="charlatan","Forgery Kit"," "))))))</f>
        <v xml:space="preserve"> </v>
      </c>
      <c r="AJ85" s="58" t="str">
        <f ca="1">IF(Table203338452794851908321381883[[#This Row],[Column2]]=0," ",_xlfn.RANK.EQ(AK85,$AK$80:$AK$89))</f>
        <v xml:space="preserve"> </v>
      </c>
      <c r="AK85" s="60">
        <f t="shared" ca="1" si="47"/>
        <v>0</v>
      </c>
      <c r="AL85" s="29" t="str">
        <f t="shared" ca="1" si="48"/>
        <v xml:space="preserve"> </v>
      </c>
      <c r="CB85" s="35">
        <f t="shared" ca="1" si="49"/>
        <v>1</v>
      </c>
      <c r="CC85" s="36">
        <f ca="1">IF(BM9&gt;0,0,RAND())</f>
        <v>0.93089257550569338</v>
      </c>
      <c r="CD85" s="29" t="s">
        <v>14</v>
      </c>
    </row>
    <row r="86" spans="1:82" ht="19.5" thickBot="1" x14ac:dyDescent="0.35">
      <c r="AJ86" s="58" t="str">
        <f ca="1">IF(Table203338452794851908321381883[[#This Row],[Column2]]=0," ",_xlfn.RANK.EQ(AK86,$AK$80:$AK$89))</f>
        <v xml:space="preserve"> </v>
      </c>
      <c r="AK86" s="60">
        <f t="shared" ca="1" si="47"/>
        <v>0</v>
      </c>
      <c r="AL86" s="29" t="str">
        <f t="shared" ca="1" si="48"/>
        <v xml:space="preserve"> </v>
      </c>
      <c r="CB86" s="35">
        <f t="shared" ca="1" si="49"/>
        <v>6</v>
      </c>
      <c r="CC86" s="36">
        <f ca="1">IF(BM10&gt;0,0,RAND())</f>
        <v>0.5372947282118391</v>
      </c>
      <c r="CD86" s="29" t="s">
        <v>15</v>
      </c>
    </row>
    <row r="87" spans="1:82" ht="30.75" thickBot="1" x14ac:dyDescent="0.45">
      <c r="A87" s="72"/>
      <c r="B87" s="128" t="s">
        <v>1953</v>
      </c>
      <c r="AJ87" s="58" t="str">
        <f ca="1">IF(Table203338452794851908321381883[[#This Row],[Column2]]=0," ",_xlfn.RANK.EQ(AK87,$AK$80:$AK$89))</f>
        <v xml:space="preserve"> </v>
      </c>
      <c r="AK87" s="60">
        <f t="shared" ca="1" si="47"/>
        <v>0</v>
      </c>
      <c r="AL87" s="29" t="str">
        <f t="shared" ca="1" si="48"/>
        <v xml:space="preserve"> </v>
      </c>
      <c r="CB87" s="35">
        <f t="shared" ca="1" si="49"/>
        <v>8</v>
      </c>
      <c r="CC87" s="36">
        <f ca="1">IF(BM12&gt;0,0,RAND())</f>
        <v>0.33704717834056863</v>
      </c>
      <c r="CD87" s="29" t="s">
        <v>17</v>
      </c>
    </row>
    <row r="88" spans="1:82" x14ac:dyDescent="0.3">
      <c r="A88" s="115"/>
      <c r="B88" s="130" t="s">
        <v>1952</v>
      </c>
      <c r="C88" s="130"/>
      <c r="D88" s="130"/>
      <c r="E88" s="130"/>
      <c r="F88" s="130"/>
      <c r="G88" s="130"/>
      <c r="H88" s="130"/>
      <c r="I88" s="130"/>
      <c r="J88" s="130"/>
      <c r="K88" s="130"/>
      <c r="L88" s="130"/>
      <c r="M88" s="130"/>
      <c r="N88" s="130"/>
      <c r="O88" s="130" t="s">
        <v>1954</v>
      </c>
      <c r="P88" s="130" t="s">
        <v>1955</v>
      </c>
      <c r="Q88" s="130" t="s">
        <v>1956</v>
      </c>
      <c r="R88" s="130" t="s">
        <v>1088</v>
      </c>
      <c r="S88" s="130" t="s">
        <v>2480</v>
      </c>
      <c r="T88" s="130" t="s">
        <v>1957</v>
      </c>
      <c r="AJ88" s="58" t="str">
        <f ca="1">IF(Table203338452794851908321381883[[#This Row],[Column2]]=0," ",_xlfn.RANK.EQ(AK88,$AK$80:$AK$89))</f>
        <v xml:space="preserve"> </v>
      </c>
      <c r="AK88" s="60">
        <f t="shared" ca="1" si="47"/>
        <v>0</v>
      </c>
      <c r="AL88" s="29" t="str">
        <f t="shared" ca="1" si="48"/>
        <v xml:space="preserve"> </v>
      </c>
      <c r="CB88" s="35">
        <f t="shared" ca="1" si="49"/>
        <v>10</v>
      </c>
      <c r="CC88" s="36">
        <f ca="1">IF(BM13&gt;0,0,RAND())</f>
        <v>0.13116802276411166</v>
      </c>
      <c r="CD88" s="29" t="s">
        <v>18</v>
      </c>
    </row>
    <row r="89" spans="1:82" x14ac:dyDescent="0.3">
      <c r="A89" s="137"/>
      <c r="B89" s="33" t="str">
        <f ca="1">IF(OR(O15="unarmored defense",O16="unarmored defense",Q15="unarmored defense",Q16="unarmored defense"),"Unarmored Defense",IF(B79="heavy armor",VLOOKUP(RANDBETWEEN(1,4),Table286[],2),IF(B77="medium armor",VLOOKUP(RANDBETWEEN(1,5),Table285[],2),IF(B76="light armor",VLOOKUP(RANDBETWEEN(1,3),Table284[],2),VLOOKUP(RANDBETWEEN(1,3),Table291[],2)))))</f>
        <v>Fine Clothes</v>
      </c>
      <c r="C89" s="33"/>
      <c r="D89" s="33"/>
      <c r="E89" s="33"/>
      <c r="F89" s="33"/>
      <c r="G89" s="33"/>
      <c r="H89" s="33"/>
      <c r="I89" s="33"/>
      <c r="J89" s="33"/>
      <c r="K89" s="33"/>
      <c r="L89" s="33"/>
      <c r="M89" s="33"/>
      <c r="N89" s="33"/>
      <c r="O89" s="33">
        <f ca="1">IF(B89="unarmored Defense",10,INDEX(Items!C2:C22,MATCH(B89,(Items!B2:B22),0)))</f>
        <v>10</v>
      </c>
      <c r="P89" s="33">
        <f ca="1">IF(OR(B89="ring mail",B89="chain mail",B89="splint",B89="plate"),0,IF(B89="fine clothes",P39,IF(B89="common clothes",P39,IF(B89="traveler's clothes",P39,IF(B89="unarmored defense",P39,IF(B89="padded",P39,IF(B89="leather",P39,IF(B89="Studded Leather",P39,IF(B89="Hide",MIN(2,(P39)),IF(B89="chain shirt",MIN(2,(P39)),IF(B89="scale mail",MIN(2,(P39)),IF(B89="breastplate",MIN(2,(P39)),IF(B89="half plate",MIN(2,(Q2)),0)))))))))))))</f>
        <v>2</v>
      </c>
      <c r="Q89" s="33">
        <f ca="1">IF(AND(B89="unarmored defense",OR(O11="barbarian",Q11="barbarian")),P40,IF(AND(B89="unarmored defense",OR(O11="monk",Q11="monk")),P42,IF(AND(OR(O17="defense style",Q17="defense style",P18="defense style",O15="defense style",S18="defense style",Q15="defense style"),B89&lt;&gt;"unarmored defense"),2,0)))</f>
        <v>0</v>
      </c>
      <c r="R89" s="33">
        <f ca="1">IF(AND(B90="shield",COUNTIF(B109:P109,"*"&amp;"Shield +3"&amp;"*")),5,IF(AND(B90="shield",COUNTIF(B109:P109,"*"&amp;"Shield +2"&amp;"*")),4,IF(AND(B90="shield",COUNTIF(B109:P109,"*"&amp;"Shield +1"&amp;"*")),3,IF(B90="shield",2,0))))</f>
        <v>0</v>
      </c>
      <c r="S89" s="29" t="str">
        <f ca="1">IF(COUNTIF(B109:P109,"*"&amp;"Armor +3"&amp;"*"),3,IF(COUNTIF(B109:P109,"*"&amp;"Armor +2"&amp;"*"),2,IF(COUNTIF(B109:P109,"*"&amp;"Armor +1"&amp;"*"),1," ")))</f>
        <v xml:space="preserve"> </v>
      </c>
      <c r="T89" s="33">
        <f ca="1">SUM(C89:S89)</f>
        <v>12</v>
      </c>
      <c r="AJ89" s="58" t="str">
        <f ca="1">IF(Table203338452794851908321381883[[#This Row],[Column2]]=0," ",_xlfn.RANK.EQ(AK89,$AK$80:$AK$89))</f>
        <v xml:space="preserve"> </v>
      </c>
      <c r="AK89" s="60">
        <f t="shared" ca="1" si="47"/>
        <v>0</v>
      </c>
      <c r="AL89" s="29" t="str">
        <f t="shared" ca="1" si="48"/>
        <v xml:space="preserve"> </v>
      </c>
      <c r="CB89" s="35">
        <f t="shared" ca="1" si="49"/>
        <v>9</v>
      </c>
      <c r="CC89" s="36">
        <f ca="1">IF(BM14&gt;0,0,RAND())</f>
        <v>0.28239344807502831</v>
      </c>
      <c r="CD89" s="29" t="s">
        <v>19</v>
      </c>
    </row>
    <row r="90" spans="1:82" x14ac:dyDescent="0.3">
      <c r="A90" s="137"/>
      <c r="B90" s="33" t="str">
        <f ca="1">IF(B78="shields","Shield"," ")</f>
        <v xml:space="preserve"> </v>
      </c>
      <c r="C90" s="33"/>
      <c r="D90" s="33"/>
      <c r="E90" s="33"/>
      <c r="F90" s="33"/>
      <c r="G90" s="33"/>
      <c r="H90" s="33"/>
      <c r="I90" s="33"/>
      <c r="J90" s="33"/>
      <c r="K90" s="33"/>
      <c r="L90" s="33"/>
      <c r="M90" s="33"/>
      <c r="N90" s="33"/>
      <c r="O90" s="33"/>
      <c r="P90" s="33"/>
      <c r="Q90" s="33"/>
      <c r="R90" s="33"/>
      <c r="S90" s="33"/>
      <c r="CB90" s="35">
        <f t="shared" ca="1" si="49"/>
        <v>3</v>
      </c>
      <c r="CC90" s="36">
        <f ca="1">IF(BM17&gt;0,0,RAND())</f>
        <v>0.81970998966892816</v>
      </c>
      <c r="CD90" s="29" t="s">
        <v>22</v>
      </c>
    </row>
    <row r="91" spans="1:82" x14ac:dyDescent="0.3">
      <c r="A91" s="137"/>
      <c r="B91" s="69" t="s">
        <v>1962</v>
      </c>
      <c r="C91" s="69"/>
      <c r="D91" s="69"/>
      <c r="E91" s="69"/>
      <c r="F91" s="69"/>
      <c r="G91" s="69"/>
      <c r="H91" s="69"/>
      <c r="I91" s="69"/>
      <c r="J91" s="69"/>
      <c r="K91" s="69"/>
      <c r="L91" s="69"/>
      <c r="M91" s="69"/>
      <c r="N91" s="69"/>
      <c r="O91" s="69" t="s">
        <v>1963</v>
      </c>
      <c r="P91" s="69" t="s">
        <v>1982</v>
      </c>
      <c r="Q91" s="70" t="s">
        <v>1983</v>
      </c>
      <c r="R91" s="71" t="s">
        <v>2715</v>
      </c>
      <c r="S91" s="30"/>
      <c r="AJ91" s="31" t="s">
        <v>1169</v>
      </c>
      <c r="CB91" s="35">
        <f t="shared" ca="1" si="49"/>
        <v>4</v>
      </c>
      <c r="CC91" s="36">
        <f ca="1">IF(BM18&gt;0,0,RAND())</f>
        <v>0.69023318071891759</v>
      </c>
      <c r="CD91" s="29" t="s">
        <v>23</v>
      </c>
    </row>
    <row r="92" spans="1:82" x14ac:dyDescent="0.3">
      <c r="A92" s="137"/>
      <c r="B92" s="33" t="str">
        <f ca="1">IF(P77="martial weapons",VLOOKUP(RANDBETWEEN(1,18),Table289[],2),IF(P76="simple weapons",VLOOKUP(RANDBETWEEN(1,10),Table287[],2),INDEX(AQ45:AQ59,MATCH(1,(AO45:AO59),0))))</f>
        <v>Dagger</v>
      </c>
      <c r="C92" s="33"/>
      <c r="D92" s="33"/>
      <c r="E92" s="33"/>
      <c r="F92" s="33"/>
      <c r="G92" s="33"/>
      <c r="H92" s="33"/>
      <c r="I92" s="33"/>
      <c r="J92" s="33"/>
      <c r="K92" s="33"/>
      <c r="L92" s="33"/>
      <c r="M92" s="33"/>
      <c r="N92" s="33"/>
      <c r="O92" s="33" t="str">
        <f ca="1">INDEX(Items!$G$2:$G$44,MATCH(B92,(Items!$F$2:$F$44),0))</f>
        <v>1d4p</v>
      </c>
      <c r="P92" s="33" t="str">
        <f ca="1">INDEX(Items!$I$2:$I$44,MATCH(B92,(Items!$F$2:$F$44),0))</f>
        <v>n/a</v>
      </c>
      <c r="Q92" s="72" t="str">
        <f ca="1">INDEX(Items!$H$2:$H$44,MATCH(B92,(Items!$F$2:$F$44),0))</f>
        <v>Light,Finesse,Thrown(20/60)</v>
      </c>
      <c r="R92" s="30"/>
      <c r="S92" s="30"/>
      <c r="AJ92" s="58" t="str">
        <f ca="1">IF(Table204339453795852909322382884[[#This Row],[Column2]]=0," ",_xlfn.RANK.EQ(AK92,$AK$92:$AK$101))</f>
        <v xml:space="preserve"> </v>
      </c>
      <c r="AK92" s="60">
        <f t="shared" ref="AK92:AK101" ca="1" si="50">IF(AL92=" ", 0,RAND())</f>
        <v>0</v>
      </c>
      <c r="AL92" s="29" t="str">
        <f t="shared" ref="AL92:AL101" ca="1" si="51">P334</f>
        <v xml:space="preserve"> </v>
      </c>
      <c r="CB92" s="35">
        <f t="shared" ca="1" si="49"/>
        <v>2</v>
      </c>
      <c r="CC92" s="36">
        <f ca="1">IF(BM19&gt;0,0,RAND())</f>
        <v>0.92918505935153206</v>
      </c>
      <c r="CD92" s="29" t="s">
        <v>24</v>
      </c>
    </row>
    <row r="93" spans="1:82" x14ac:dyDescent="0.3">
      <c r="A93" s="137"/>
      <c r="B93" s="33" t="str">
        <f ca="1">IF(P77="martial weapons",VLOOKUP(RANDBETWEEN(1,18),Table289[],2),IF(P76="simple weapons",VLOOKUP(RANDBETWEEN(1,10),Table287[],2),INDEX(AQ45:AQ59,MATCH(2,(AO45:AO59),0))))</f>
        <v>Quarterstaff</v>
      </c>
      <c r="C93" s="33"/>
      <c r="D93" s="33"/>
      <c r="E93" s="33"/>
      <c r="F93" s="33"/>
      <c r="G93" s="33"/>
      <c r="H93" s="33"/>
      <c r="I93" s="33"/>
      <c r="J93" s="33"/>
      <c r="K93" s="33"/>
      <c r="L93" s="33"/>
      <c r="M93" s="33"/>
      <c r="N93" s="33"/>
      <c r="O93" s="33" t="str">
        <f ca="1">INDEX(Items!$G$2:$G$44,MATCH(B93,(Items!$F$2:$F$44),0))</f>
        <v>1d6b</v>
      </c>
      <c r="P93" s="33" t="str">
        <f ca="1">INDEX(Items!$I$2:$I$44,MATCH(B93,(Items!$F$2:$F$44),0))</f>
        <v>1d8b</v>
      </c>
      <c r="Q93" s="72" t="str">
        <f ca="1">INDEX(Items!$H$2:$H$44,MATCH(B93,(Items!$F$2:$F$44),0))</f>
        <v>n/a</v>
      </c>
      <c r="R93" s="30"/>
      <c r="S93" s="30"/>
      <c r="AJ93" s="58" t="str">
        <f ca="1">IF(Table204339453795852909322382884[[#This Row],[Column2]]=0," ",_xlfn.RANK.EQ(AK93,$AK$92:$AK$101))</f>
        <v xml:space="preserve"> </v>
      </c>
      <c r="AK93" s="60">
        <f t="shared" ca="1" si="50"/>
        <v>0</v>
      </c>
      <c r="AL93" s="29" t="str">
        <f t="shared" ca="1" si="51"/>
        <v xml:space="preserve"> </v>
      </c>
      <c r="CB93" s="35">
        <f t="shared" ca="1" si="49"/>
        <v>11</v>
      </c>
      <c r="CC93" s="36">
        <f ca="1">IF(BM21&gt;0,0,RAND())</f>
        <v>0.11779081477867537</v>
      </c>
      <c r="CD93" s="29" t="s">
        <v>26</v>
      </c>
    </row>
    <row r="94" spans="1:82" x14ac:dyDescent="0.3">
      <c r="A94" s="137"/>
      <c r="B94" s="33" t="str">
        <f ca="1">IF(P77="martial weapons",VLOOKUP(RANDBETWEEN(1,5),Table290[],2),IF(P76="simple weapons",VLOOKUP(RANDBETWEEN(1,4),Table288[],2,),INDEX(AQ45:AQ59,MATCH(3,(AO45:AO59),0))))</f>
        <v>Club</v>
      </c>
      <c r="C94" s="33"/>
      <c r="D94" s="33"/>
      <c r="E94" s="33"/>
      <c r="F94" s="33"/>
      <c r="G94" s="33"/>
      <c r="H94" s="33"/>
      <c r="I94" s="33"/>
      <c r="J94" s="33"/>
      <c r="K94" s="33"/>
      <c r="L94" s="33"/>
      <c r="M94" s="33"/>
      <c r="N94" s="33"/>
      <c r="O94" s="33" t="str">
        <f ca="1">IF(B94=" "," ",INDEX(Items!$G$2:$G$44,MATCH(B94,(Items!$F$2:$F$44),0)))</f>
        <v>1d4b</v>
      </c>
      <c r="P94" s="33" t="str">
        <f ca="1">IF(B94=" "," ",INDEX(Items!$I$2:$I$44,MATCH(B94,(Items!$F$2:$F$44),0)))</f>
        <v>n/a</v>
      </c>
      <c r="Q94" s="72" t="str">
        <f ca="1">IF(B94=" "," ",INDEX(Items!$H$2:$H$44,MATCH(B94,(Items!$F$2:$F$44),0)))</f>
        <v>Light</v>
      </c>
      <c r="R94" s="30"/>
      <c r="S94" s="30"/>
      <c r="AJ94" s="58" t="str">
        <f ca="1">IF(Table204339453795852909322382884[[#This Row],[Column2]]=0," ",_xlfn.RANK.EQ(AK94,$AK$92:$AK$101))</f>
        <v xml:space="preserve"> </v>
      </c>
      <c r="AK94" s="60">
        <f t="shared" ca="1" si="50"/>
        <v>0</v>
      </c>
      <c r="AL94" s="29" t="str">
        <f t="shared" ca="1" si="51"/>
        <v xml:space="preserve"> </v>
      </c>
      <c r="CB94" s="35">
        <f t="shared" ca="1" si="49"/>
        <v>7</v>
      </c>
      <c r="CC94" s="36">
        <f ca="1">IF(BM22&gt;0,0,RAND())</f>
        <v>0.53234190621249045</v>
      </c>
      <c r="CD94" s="29" t="s">
        <v>27</v>
      </c>
    </row>
    <row r="95" spans="1:82" ht="19.5" thickBot="1" x14ac:dyDescent="0.35">
      <c r="A95" s="137"/>
      <c r="B95" s="38" t="str">
        <f ca="1">IF(O11="monk","Martial Arts"," ")</f>
        <v xml:space="preserve"> </v>
      </c>
      <c r="C95" s="33"/>
      <c r="D95" s="33"/>
      <c r="E95" s="33"/>
      <c r="F95" s="33"/>
      <c r="G95" s="33"/>
      <c r="H95" s="33"/>
      <c r="I95" s="33"/>
      <c r="J95" s="33"/>
      <c r="K95" s="33"/>
      <c r="L95" s="33"/>
      <c r="M95" s="33"/>
      <c r="N95" s="33"/>
      <c r="O95" s="38" t="str">
        <f ca="1">IF(B95="martial arts",INDEX('Class Tables'!J98:J117,MATCH(O12,('Class Tables'!I98:I117),0))," ")</f>
        <v xml:space="preserve"> </v>
      </c>
      <c r="P95" s="38" t="str">
        <f ca="1">IF(B95=" "," ",IF(B95="martial arts", " ",INDEX(Items!$I$2:$I$44,MATCH(B95,(Items!$F$2:$F$44),0))))</f>
        <v xml:space="preserve"> </v>
      </c>
      <c r="Q95" s="73" t="str">
        <f ca="1">IF(B95=" "," ",IF(B95="martial arts"," ",INDEX(Items!$H$2:$H$44,MATCH(B95,(Items!$F$2:$F$44),0))))</f>
        <v xml:space="preserve"> </v>
      </c>
      <c r="R95" s="41"/>
      <c r="S95" s="41"/>
      <c r="AJ95" s="58" t="str">
        <f ca="1">IF(Table204339453795852909322382884[[#This Row],[Column2]]=0," ",_xlfn.RANK.EQ(AK95,$AK$92:$AK$101))</f>
        <v xml:space="preserve"> </v>
      </c>
      <c r="AK95" s="60">
        <f t="shared" ca="1" si="50"/>
        <v>0</v>
      </c>
      <c r="AL95" s="29" t="str">
        <f t="shared" ca="1" si="51"/>
        <v xml:space="preserve"> </v>
      </c>
    </row>
    <row r="96" spans="1:82" x14ac:dyDescent="0.3">
      <c r="A96" s="137"/>
      <c r="O96" s="69" t="s">
        <v>1964</v>
      </c>
      <c r="P96" s="69" t="s">
        <v>34</v>
      </c>
      <c r="Q96" s="69" t="s">
        <v>1986</v>
      </c>
      <c r="R96" s="69" t="s">
        <v>2753</v>
      </c>
      <c r="S96" s="70" t="s">
        <v>2480</v>
      </c>
      <c r="AJ96" s="58" t="str">
        <f ca="1">IF(Table204339453795852909322382884[[#This Row],[Column2]]=0," ",_xlfn.RANK.EQ(AK96,$AK$92:$AK$101))</f>
        <v xml:space="preserve"> </v>
      </c>
      <c r="AK96" s="60">
        <f t="shared" ca="1" si="50"/>
        <v>0</v>
      </c>
      <c r="AL96" s="29" t="str">
        <f t="shared" ca="1" si="51"/>
        <v xml:space="preserve"> </v>
      </c>
      <c r="CB96" s="31" t="s">
        <v>736</v>
      </c>
    </row>
    <row r="97" spans="1:82" x14ac:dyDescent="0.3">
      <c r="A97" s="137"/>
      <c r="B97" s="29" t="str">
        <f ca="1">B92</f>
        <v>Dagger</v>
      </c>
      <c r="O97" s="33">
        <f ca="1">IF(VLOOKUP(B92,Items!$F$2:$J$44,5,FALSE)="fin",SUM($P$38:$P$39)-SMALL($P$38:$P$39,1),IF(VLOOKUP(B92,(Items!$F$2:$J$44),5,FALSE)="str",$P$38,IF(VLOOKUP(B92,(Items!$F$2:$J$44),5,FALSE)="dex",$P$39,0)))</f>
        <v>2</v>
      </c>
      <c r="P97" s="33">
        <f ca="1">P8</f>
        <v>5</v>
      </c>
      <c r="Q97" s="33">
        <f ca="1">IF(AND(OR(B92&lt;&gt;"light crossbow",B92&lt;&gt;"dart",B92="shortbow",B92&lt;&gt;"Sling",B92&lt;&gt;"blowgun",B92&lt;&gt;"hand crossbow",B92&lt;&gt;"heavy crossbow",B92&lt;&gt;"longbow",B92&lt;&gt;"net",B92&lt;&gt;"greatclub",B92&lt;&gt;"glaive",B92&lt;&gt;"Greataxe",B92&lt;&gt;"Greatsword",B92&lt;&gt;"halbard",B92&lt;&gt;"maul",B92&lt;&gt;"pike"),OR($O$18="dueling style",$Q$18="dueling style",$P$18="dueling style",$S$18="dueling style",$O$15="dueling style",$Q$15="dueling style")),2,0)</f>
        <v>0</v>
      </c>
      <c r="R97" s="33">
        <f ca="1">IF(AND(OR(B92="light crossbow",B92="dart",B92="shortbow",B92="Sling",B92="blowgun",B92="hand crossbow",B92="heavy crossbow",B92="longbow",B92="net"),OR($P$18="archery style",$S$18="archery style",$O$15="archery style",$Q$15="archery style")),2,0)</f>
        <v>0</v>
      </c>
      <c r="S97" s="72" t="str">
        <f ca="1">IF(COUNTIF(B109:P109,"*"&amp;"Weapon +3"&amp;"*"),3,IF(COUNTIF(B109:P109,"*"&amp;"Weapon +2"&amp;"*"),2,IF(COUNTIF(B109:P109,"*"&amp;"Weapon +1"&amp;"*"),1," ")))</f>
        <v xml:space="preserve"> </v>
      </c>
      <c r="AJ97" s="58" t="str">
        <f ca="1">IF(Table204339453795852909322382884[[#This Row],[Column2]]=0," ",_xlfn.RANK.EQ(AK97,$AK$92:$AK$101))</f>
        <v xml:space="preserve"> </v>
      </c>
      <c r="AK97" s="60">
        <f t="shared" ca="1" si="50"/>
        <v>0</v>
      </c>
      <c r="AL97" s="29" t="str">
        <f t="shared" ca="1" si="51"/>
        <v xml:space="preserve"> </v>
      </c>
      <c r="CB97" s="35">
        <f t="shared" ref="CB97:CB102" ca="1" si="52">_xlfn.RANK.EQ(CC97,$CC$97:$CC$102)</f>
        <v>4</v>
      </c>
      <c r="CC97" s="36">
        <f ca="1">IF(BM8&gt;0,0,RAND())</f>
        <v>0.49029826758866912</v>
      </c>
      <c r="CD97" s="29" t="s">
        <v>13</v>
      </c>
    </row>
    <row r="98" spans="1:82" x14ac:dyDescent="0.3">
      <c r="A98" s="137"/>
      <c r="B98" s="29" t="str">
        <f ca="1">B93</f>
        <v>Quarterstaff</v>
      </c>
      <c r="O98" s="33">
        <f ca="1">IF(VLOOKUP(B93,Items!$F$2:$J$44,5,FALSE)="fin",SUM($P$38:$P$39)-SMALL($P$38:$P$39,1),IF(VLOOKUP(B93,(Items!$F$2:$J$44),5,FALSE)="str",$P$38,IF(VLOOKUP(B93,(Items!$F$2:$J$44),5,FALSE)="dex",$P$39,0)))</f>
        <v>1</v>
      </c>
      <c r="P98" s="33">
        <f ca="1">P8</f>
        <v>5</v>
      </c>
      <c r="Q98" s="33">
        <f ca="1">IF(AND(OR(B93&lt;&gt;"light crossbow",B93&lt;&gt;"dart",B93="shortbow",B93&lt;&gt;"Sling",B93&lt;&gt;"blowgun",B93&lt;&gt;"hand crossbow",B93&lt;&gt;"heavy crossbow",B93&lt;&gt;"longbow",B93&lt;&gt;"net",B93&lt;&gt;"greatclub",B93&lt;&gt;"glaive",B93&lt;&gt;"Greataxe",B93&lt;&gt;"Greatsword",B93&lt;&gt;"halbard",B93&lt;&gt;"maul",B93&lt;&gt;"pike"),OR($O$18="dueling style",$Q$18="dueling style",$P$18="dueling style",$S$18="dueling style",$O$15="dueling style",$Q$15="dueling style")),2,0)</f>
        <v>0</v>
      </c>
      <c r="R98" s="33">
        <f ca="1">IF(AND(OR(B93="light crossbow",B93="dart",B93="shortbow",B93="Sling",B93="blowgun",B93="hand crossbow",B93="heavy crossbow",B93="longbow",B93="net"),OR($P$18="archery style",$S$18="archery style",$O$15="archery style",$Q$15="archery style")),2,0)</f>
        <v>0</v>
      </c>
      <c r="S98" s="72" t="str">
        <f ca="1">IF(AND(S97&lt;&gt;2,COUNTIF(B109:P109,"*"&amp;"Weapon +2"&amp;"*")),2,IF(AND(S97&lt;&gt;1,COUNTIF(B109:P109,"*"&amp;"Weapon +1"&amp;"*")),1," "))</f>
        <v xml:space="preserve"> </v>
      </c>
      <c r="AJ98" s="58" t="str">
        <f ca="1">IF(Table204339453795852909322382884[[#This Row],[Column2]]=0," ",_xlfn.RANK.EQ(AK98,$AK$92:$AK$101))</f>
        <v xml:space="preserve"> </v>
      </c>
      <c r="AK98" s="60">
        <f t="shared" ca="1" si="50"/>
        <v>0</v>
      </c>
      <c r="AL98" s="29" t="str">
        <f t="shared" ca="1" si="51"/>
        <v xml:space="preserve"> </v>
      </c>
      <c r="CB98" s="35">
        <f t="shared" ca="1" si="52"/>
        <v>5</v>
      </c>
      <c r="CC98" s="36">
        <f ca="1">IF(BM10&gt;0,0,RAND())</f>
        <v>0.47838743287159646</v>
      </c>
      <c r="CD98" s="29" t="s">
        <v>15</v>
      </c>
    </row>
    <row r="99" spans="1:82" x14ac:dyDescent="0.3">
      <c r="A99" s="137"/>
      <c r="B99" s="29" t="str">
        <f ca="1">B94</f>
        <v>Club</v>
      </c>
      <c r="O99" s="33">
        <f ca="1">IF(VLOOKUP(B94,Items!$F$2:$J$44,5,FALSE)="fin",SUM($P$38:$P$39)-SMALL($P$38:$P$39,1),IF(VLOOKUP(B94,(Items!$F$2:$J$44),5,FALSE)="str",$P$38,IF(VLOOKUP(B94,(Items!$F$2:$J$44),5,FALSE)="dex",$P$39,0)))</f>
        <v>1</v>
      </c>
      <c r="P99" s="33">
        <f ca="1">IF(B94=" "," ",P8)</f>
        <v>5</v>
      </c>
      <c r="Q99" s="33">
        <f ca="1">IF(AND(OR(B94&lt;&gt;"light crossbow",B94&lt;&gt;"dart",B94="shortbow",B94&lt;&gt;"Sling",B94&lt;&gt;"blowgun",B94&lt;&gt;"hand crossbow",B94&lt;&gt;"heavy crossbow",B94&lt;&gt;"longbow",B94&lt;&gt;"net",B94&lt;&gt;"greatclub",B94&lt;&gt;"glaive",B94&lt;&gt;"Greataxe",B94&lt;&gt;"Greatsword",B94&lt;&gt;"halbard",B94&lt;&gt;"maul",B94&lt;&gt;"pike"),OR($O$18="dueling style",$Q$18="dueling style",$P$18="dueling style",$S$18="dueling style",$O$15="dueling style",$Q$15="dueling style")),2,0)</f>
        <v>0</v>
      </c>
      <c r="R99" s="33">
        <f ca="1">IF(AND(OR(B94="light crossbow",B94="dart",B94="shortbow",B94="Sling",B94="blowgun",B94="hand crossbow",B94="heavy crossbow",B94="longbow",B94="net"),OR($P$18="archery style",$S$18="archery style",$O$15="archery style",$Q$15="archery style")),2,0)</f>
        <v>0</v>
      </c>
      <c r="S99" s="72" t="str">
        <f ca="1">IF(AND(S97&lt;&gt;1,S98&lt;&gt;1,COUNTIF(B109:P109,"*"&amp;"Weapon +1"&amp;"*")),1," ")</f>
        <v xml:space="preserve"> </v>
      </c>
      <c r="AJ99" s="58" t="str">
        <f ca="1">IF(Table204339453795852909322382884[[#This Row],[Column2]]=0," ",_xlfn.RANK.EQ(AK99,$AK$92:$AK$101))</f>
        <v xml:space="preserve"> </v>
      </c>
      <c r="AK99" s="60">
        <f t="shared" ca="1" si="50"/>
        <v>0</v>
      </c>
      <c r="AL99" s="29" t="str">
        <f t="shared" ca="1" si="51"/>
        <v xml:space="preserve"> </v>
      </c>
      <c r="CB99" s="35">
        <f t="shared" ca="1" si="52"/>
        <v>1</v>
      </c>
      <c r="CC99" s="36">
        <f ca="1">IF(BM12&gt;0,0,RAND())</f>
        <v>0.97407493668868961</v>
      </c>
      <c r="CD99" s="29" t="s">
        <v>17</v>
      </c>
    </row>
    <row r="100" spans="1:82" x14ac:dyDescent="0.3">
      <c r="A100" s="138"/>
      <c r="B100" s="29" t="str">
        <f ca="1">B95</f>
        <v xml:space="preserve"> </v>
      </c>
      <c r="O100" s="33" t="str">
        <f ca="1">IF(B95="martial arts",SUM($P$38:$P$39)-SMALL($P$38:$P$39,1)," ")</f>
        <v xml:space="preserve"> </v>
      </c>
      <c r="P100" s="33" t="str">
        <f ca="1">IF(B95=" "," ",P8)</f>
        <v xml:space="preserve"> </v>
      </c>
      <c r="Q100" s="33">
        <f ca="1">IF(AND(OR(B95&lt;&gt;"light crossbow",B95&lt;&gt;"dart",B95="shortbow",B95&lt;&gt;"Sling",B95&lt;&gt;"blowgun",B95&lt;&gt;"hand crossbow",B95&lt;&gt;"heavy crossbow",B95&lt;&gt;"longbow",B95&lt;&gt;"net",B95&lt;&gt;"greatclub",B95&lt;&gt;"glaive",B95&lt;&gt;"Greataxe",B95&lt;&gt;"Greatsword",B95&lt;&gt;"halbard",B95&lt;&gt;"maul",B95&lt;&gt;"pike"),OR($O$18="dueling style",$Q$18="dueling style",$P$18="dueling style",$S$18="dueling style",$O$15="dueling style",$Q$15="dueling style")),2,0)</f>
        <v>0</v>
      </c>
      <c r="R100" s="33">
        <f ca="1">IF(AND(OR(B95="light crossbow",B95="dart",B95="shortbow",B95="Sling",B95="blowgun",B95="hand crossbow",B95="heavy crossbow",B95="longbow",B95="net"),OR($P$18="archery style",$S$18="archery style",$O$15="archery style",$Q$15="archery style")),2,0)</f>
        <v>0</v>
      </c>
      <c r="S100" s="72" t="str">
        <f ca="1">IF(AND(S98&lt;&gt;1,S99&lt;&gt;1,COUNTIF(B110:P110,"*"&amp;"Weapon +1"&amp;"*")),1," ")</f>
        <v xml:space="preserve"> </v>
      </c>
      <c r="AJ100" s="58" t="str">
        <f ca="1">IF(Table204339453795852909322382884[[#This Row],[Column2]]=0," ",_xlfn.RANK.EQ(AK100,$AK$92:$AK$101))</f>
        <v xml:space="preserve"> </v>
      </c>
      <c r="AK100" s="60">
        <f t="shared" ca="1" si="50"/>
        <v>0</v>
      </c>
      <c r="AL100" s="29" t="str">
        <f t="shared" ca="1" si="51"/>
        <v xml:space="preserve"> </v>
      </c>
      <c r="CB100" s="35">
        <f t="shared" ca="1" si="52"/>
        <v>2</v>
      </c>
      <c r="CC100" s="36">
        <f ca="1">IF(BM13&gt;0,0,RAND())</f>
        <v>0.91422387590863952</v>
      </c>
      <c r="CD100" s="29" t="s">
        <v>18</v>
      </c>
    </row>
    <row r="101" spans="1:82" x14ac:dyDescent="0.3">
      <c r="A101" s="138"/>
      <c r="AJ101" s="58" t="str">
        <f ca="1">IF(Table204339453795852909322382884[[#This Row],[Column2]]=0," ",_xlfn.RANK.EQ(AK101,$AK$92:$AK$101))</f>
        <v xml:space="preserve"> </v>
      </c>
      <c r="AK101" s="60">
        <f t="shared" ca="1" si="50"/>
        <v>0</v>
      </c>
      <c r="AL101" s="29" t="str">
        <f t="shared" ca="1" si="51"/>
        <v xml:space="preserve"> </v>
      </c>
      <c r="CB101" s="35">
        <f t="shared" ca="1" si="52"/>
        <v>6</v>
      </c>
      <c r="CC101" s="36">
        <f ca="1">IF(BM19&gt;0,0,RAND())</f>
        <v>7.9617332018680931E-2</v>
      </c>
      <c r="CD101" s="29" t="s">
        <v>24</v>
      </c>
    </row>
    <row r="102" spans="1:82" x14ac:dyDescent="0.3">
      <c r="A102" s="137"/>
      <c r="B102" s="69" t="str">
        <f ca="1">IF(B40="non-classed","Shoulder Bag",IF(B103="diplomat's pack","Small Chest","Backpack"))</f>
        <v>Backpack</v>
      </c>
      <c r="C102" s="33"/>
      <c r="D102" s="33"/>
      <c r="E102" s="33"/>
      <c r="F102" s="33"/>
      <c r="G102" s="33"/>
      <c r="H102" s="33"/>
      <c r="I102" s="33"/>
      <c r="J102" s="33"/>
      <c r="K102" s="33"/>
      <c r="L102" s="33"/>
      <c r="M102" s="33"/>
      <c r="N102" s="33"/>
      <c r="O102" s="33"/>
      <c r="P102" s="33"/>
      <c r="Q102" s="69" t="s">
        <v>1988</v>
      </c>
      <c r="R102" s="69" t="str">
        <f ca="1">IF(OR(P15="eldritch knight",R15="eldritch knight",P15="arcane trickster",R15="arcane trickster",O11="ranger",Q11="ranger",O11="bard",Q11="bard",O11="cleric",Q11="cleric",O11="druid",Q11="druid",O11="paladin",Q11="paladin",O11="sorcerer",Q11="sorcerer",O11="warlock",Q11="warlock",O11="wizard",Q11="wizard"),"Component Pouch"," ")</f>
        <v xml:space="preserve"> </v>
      </c>
      <c r="CB102" s="35">
        <f t="shared" ca="1" si="52"/>
        <v>3</v>
      </c>
      <c r="CC102" s="36">
        <f ca="1">IF(BM20&gt;0,0,RAND())</f>
        <v>0.56529155424099964</v>
      </c>
      <c r="CD102" s="29" t="s">
        <v>25</v>
      </c>
    </row>
    <row r="103" spans="1:82" x14ac:dyDescent="0.3">
      <c r="A103" s="137"/>
      <c r="B103" s="33" t="str">
        <f ca="1">IF(AND(AF21=2,O11="wizard"),"Explorer's Pack",IF(AND(AF21=1,OR(O11="sorcerer",O11="wizard",O11="warlock")),"Scholar's Pack",IF(AND(AF20=1,O11="rogue"),"Dungeoneer's Pack",IF(AND(AF20=2,O11="rogue"),"Explorer's Pack",IF(AND(AF20=3,O11="rogue"),"Burglar's Pack",IF(AND(AF21=1,OR(O11="monk",O11="Fighter",O11="ranger",O11="Sorcerer")),"Explorer's Pack",IF(AND(AF21=2,OR(O11="fighter",O11="monk",O11="ranger",O11="sorcerer",O11="warlock")),"Dungeoneer's Pack",IF(O11="druid","Explorer's Pack",IF(AND(AF21=2,OR(O11="cleric",O11="paladin")),"Explorer's Pack",IF(AND(AF21=1,OR(O11="cleric",O11="paladin")),"Priest's Pack",IF(AND(AF21=1,O11="bard"),"Diplomat's Pack",IF(AND(AF21=2,O11="bard"),"Entertainer's Pack",IF(O11="barbarian","Explorer's Pack"," ")))))))))))))</f>
        <v xml:space="preserve"> </v>
      </c>
      <c r="C103" s="33"/>
      <c r="D103" s="33"/>
      <c r="E103" s="33"/>
      <c r="F103" s="33"/>
      <c r="G103" s="33"/>
      <c r="H103" s="33"/>
      <c r="I103" s="33"/>
      <c r="J103" s="33"/>
      <c r="K103" s="33"/>
      <c r="L103" s="33"/>
      <c r="M103" s="33"/>
      <c r="N103" s="33"/>
      <c r="O103" s="33" t="str">
        <f ca="1">IF(B103="Scholar's Pack","SP - Little Bag of Sand",IF(B103="Priest's Pack","PP - 2 Blocks of Incense",IF(B103="Entertainer's Pack","EP - Waterskin",IF(B103="Dungeoneer's Pack","DP - Tinderbox",IF(B103="Diplomat's Pack","DP - Lamp",IF(B103="Burglar's Pack","BP - Hammer",IF(B103="explorer's pack","EP - 10 Days Rations"," ")))))))</f>
        <v xml:space="preserve"> </v>
      </c>
      <c r="P103" s="33" t="str">
        <f ca="1">IF(B103="Diplomat's Pack","DP - Soap",IF(B103="Burglar's Pack","BP - Tinderbox"," "))</f>
        <v xml:space="preserve"> </v>
      </c>
      <c r="Q103" s="33" t="str">
        <f ca="1">INDEX(Items!C47:C66,MATCH(P6,(Items!A47:A66),0))&amp;" CP"</f>
        <v>0 CP</v>
      </c>
      <c r="R103" s="33" t="str">
        <f ca="1">IF(OR(,O11="bard",Q11="bard",O11="cleric",Q11="cleric",O11="druid",Q11="druid",O11="paladin",Q11="paladin",O11="sorcerer",Q11="sorcerer",O11="warlock",Q11="warlock",O11="wizard",Q11="wizard"),"Arcane Focus"," ")</f>
        <v xml:space="preserve"> </v>
      </c>
      <c r="AJ103" s="31" t="s">
        <v>1170</v>
      </c>
    </row>
    <row r="104" spans="1:82" x14ac:dyDescent="0.3">
      <c r="A104" s="137"/>
      <c r="B104" s="33" t="str">
        <f ca="1">IF(B103="Scholar's Pack","SP - Book of Lore",IF(B103="Priest's Pack","PP - Blanket",IF(B103="Entertainer's Pack","EP - Bedroll",IF(B103="Dungeoneer's Pack","DP - Crowbar",IF(B103="Diplomat's Pack","DP - 2 Map/Scroll Cases",IF(B103="Burglar's Pack","BP - 10' of String",IF(B103="explorer's pack"," EP - Bedroll"," ")))))))</f>
        <v xml:space="preserve"> </v>
      </c>
      <c r="C104" s="33"/>
      <c r="D104" s="33"/>
      <c r="E104" s="33"/>
      <c r="F104" s="33"/>
      <c r="G104" s="33"/>
      <c r="H104" s="33"/>
      <c r="I104" s="33"/>
      <c r="J104" s="33"/>
      <c r="K104" s="33"/>
      <c r="L104" s="33"/>
      <c r="M104" s="33"/>
      <c r="N104" s="33"/>
      <c r="O104" s="33" t="str">
        <f ca="1">IF(B103="Scholar's Pack","SP - Small Knife",IF(B103="Priest's Pack","PP - Censer",IF(B103="Entertainer's Pack","EP - Disguise Kit",IF(B103="Dungeoneer's Pack","DP - 10 Days Rations",IF(B103="Diplomat's Pack","DP - 2 Flasks of Oil",IF(B103="Burglar's Pack","BP - 10 Pitons",IF(B103="explorer's pack","EP - Waterskin"," ")))))))</f>
        <v xml:space="preserve"> </v>
      </c>
      <c r="P104" s="33" t="str">
        <f ca="1">IF(B103="Burglar's Pack","BP - Waterskin"," ")</f>
        <v xml:space="preserve"> </v>
      </c>
      <c r="Q104" s="33" t="str">
        <f ca="1">INDEX(Items!D47:D66,MATCH(P6,(Items!A47:A66),0))&amp;" SP"</f>
        <v>0 SP</v>
      </c>
      <c r="R104" s="69" t="str">
        <f ca="1">IF(COUNTIF(B92:B94,"*"&amp;"sling"&amp;"*"),"Sling Bullet Pouch"," ")</f>
        <v xml:space="preserve"> </v>
      </c>
      <c r="AJ104" s="58" t="str">
        <f ca="1">IF(AK104=0," ",_xlfn.RANK.EQ(AK104,$AK$104:$AK$113))</f>
        <v xml:space="preserve"> </v>
      </c>
      <c r="AK104" s="60">
        <f t="shared" ref="AK104:AK113" ca="1" si="53">IF(AL104=" ", 0,RAND())</f>
        <v>0</v>
      </c>
      <c r="AL104" s="29" t="str">
        <f t="shared" ref="AL104:AL113" ca="1" si="54">Q334</f>
        <v xml:space="preserve"> </v>
      </c>
      <c r="CB104" s="31" t="s">
        <v>737</v>
      </c>
    </row>
    <row r="105" spans="1:82" x14ac:dyDescent="0.3">
      <c r="A105" s="137"/>
      <c r="B105" s="33" t="str">
        <f ca="1">IF(B103="Scholar's Pack","SP - Bottle of Ink",IF(B103="Priest's Pack","PP - 10 Candles",IF(B103="Entertainer's Pack","EP - 2 Costumes",IF(B103="Dungeoneer's Pack","DP -Hammer ",IF(B103="Diplomat's Pack","DP - Set of Fine Clothes",IF(B103="Burglar's Pack","BP - Bell",IF(B103="explorer's pack","EP - Mess Kit"," ")))))))</f>
        <v xml:space="preserve"> </v>
      </c>
      <c r="C105" s="33"/>
      <c r="D105" s="33"/>
      <c r="E105" s="33"/>
      <c r="F105" s="33"/>
      <c r="G105" s="33"/>
      <c r="H105" s="33"/>
      <c r="I105" s="33"/>
      <c r="J105" s="33"/>
      <c r="K105" s="33"/>
      <c r="L105" s="33"/>
      <c r="M105" s="33"/>
      <c r="N105" s="33"/>
      <c r="O105" s="33" t="str">
        <f ca="1">IF(B103="Priest's Pack","PP - Vestments",IF(B103="Dungeoneer's Pack","DP - Waterskin",IF(B103="Diplomat's Pack","DP - 5 Sheets of Paper",IF(B103="Burglar's Pack","BP - Hooded Lantern",IF(B103="explorer's pack","EP - 50' Hempen Rope"," ")))))</f>
        <v xml:space="preserve"> </v>
      </c>
      <c r="P105" s="33" t="str">
        <f ca="1">IF(B103="Burglar's Pack","BP - 50' Hempen Rope"," ")</f>
        <v xml:space="preserve"> </v>
      </c>
      <c r="Q105" s="33" t="str">
        <f ca="1">INDEX(Items!E47:E66,MATCH(P6,(Items!A47:A66),0))&amp;" EP"</f>
        <v>0 EP</v>
      </c>
      <c r="R105" s="33" t="str">
        <f ca="1">IF(COUNTIF(B92:B94,"*"&amp;"sling"&amp;"*"),RANDBETWEEN(6,13)&amp;" Sling Bullets"," ")</f>
        <v xml:space="preserve"> </v>
      </c>
      <c r="AJ105" s="58" t="str">
        <f t="shared" ref="AJ105:AJ113" ca="1" si="55">IF(AK105=0," ",_xlfn.RANK.EQ(AK105,$AK$104:$AK$113))</f>
        <v xml:space="preserve"> </v>
      </c>
      <c r="AK105" s="60">
        <f t="shared" ca="1" si="53"/>
        <v>0</v>
      </c>
      <c r="AL105" s="29" t="str">
        <f t="shared" ca="1" si="54"/>
        <v xml:space="preserve"> </v>
      </c>
      <c r="CB105" s="35">
        <f t="shared" ref="CB105:CB111" ca="1" si="56">_xlfn.RANK.EQ(CC105,$CC$105:$CC$111)</f>
        <v>1</v>
      </c>
      <c r="CC105" s="36">
        <f ca="1">IF(BM8&gt;0,0,RAND())</f>
        <v>0.9916689415531057</v>
      </c>
      <c r="CD105" s="29" t="s">
        <v>13</v>
      </c>
    </row>
    <row r="106" spans="1:82" x14ac:dyDescent="0.3">
      <c r="A106" s="137"/>
      <c r="B106" s="33" t="str">
        <f ca="1">IF(B103="Scholar's Pack","SP - Ink Pen",IF(B103="Priest's Pack","PP - Tinderbox",IF(B103="Entertainer's Pack","EP - 5 Candles",IF(B103="Dungeoneer's Pack","DP - 10 Pitons",IF(B103="Diplomat's Pack","DP - Bottle of Ink",IF(B103="Burglar's Pack","BP - 5 Candles",IF(B103="explorer's pack","EP - Tinderbox"," ")))))))</f>
        <v xml:space="preserve"> </v>
      </c>
      <c r="C106" s="33"/>
      <c r="D106" s="33"/>
      <c r="E106" s="33"/>
      <c r="F106" s="33"/>
      <c r="G106" s="33"/>
      <c r="H106" s="33"/>
      <c r="I106" s="33"/>
      <c r="J106" s="33"/>
      <c r="K106" s="33"/>
      <c r="L106" s="33"/>
      <c r="M106" s="33"/>
      <c r="N106" s="33"/>
      <c r="O106" s="33" t="str">
        <f ca="1">IF(B103="Priest's Pack","PP - 2 Days Rations",IF(B103="Dungeoneer's Pack","DP - 50' Hempen Rope",IF(B103="Diplomat's Pack","DP - Vial of Perfume",IF(B103="Burglar's Pack","BP - 2 Flasks of Oil"," "))))</f>
        <v xml:space="preserve"> </v>
      </c>
      <c r="P106" s="33" t="str">
        <f ca="1">VLOOKUP(RANDBETWEEN(1,58),Table296[],2)</f>
        <v>Vial of Perfume</v>
      </c>
      <c r="Q106" s="33" t="str">
        <f ca="1">INDEX(Items!F47:F66,MATCH(P6,(Items!A47:A66),0))&amp;" GP"</f>
        <v>339 GP</v>
      </c>
      <c r="R106" s="69" t="str">
        <f ca="1">IF(COUNTIF(B92:B94,"*"&amp;"light crossbow"&amp;"*"),"Quiver",IF(COUNTIF(B92:B94,"*"&amp;"hand crossbow"&amp;"*"),"Quiver",IF(COUNTIF(B92:B94,"*"&amp;"heavy crossbow"&amp;"*"),"Quiver",IF(COUNTIF(B92:B94,"*"&amp;"longbow"&amp;"*"),"Quiver",IF(COUNTIF(B92:B94,"*"&amp;"shortbow"&amp;"*"),"Quiver"," ")))))</f>
        <v xml:space="preserve"> </v>
      </c>
      <c r="AJ106" s="58" t="str">
        <f t="shared" ca="1" si="55"/>
        <v xml:space="preserve"> </v>
      </c>
      <c r="AK106" s="60">
        <f t="shared" ca="1" si="53"/>
        <v>0</v>
      </c>
      <c r="AL106" s="29" t="str">
        <f t="shared" ca="1" si="54"/>
        <v xml:space="preserve"> </v>
      </c>
      <c r="CB106" s="35">
        <f t="shared" ca="1" si="56"/>
        <v>6</v>
      </c>
      <c r="CC106" s="36">
        <f ca="1">IF(BM10&gt;0,0,RAND())</f>
        <v>0.30742373603054329</v>
      </c>
      <c r="CD106" s="29" t="s">
        <v>15</v>
      </c>
    </row>
    <row r="107" spans="1:82" x14ac:dyDescent="0.3">
      <c r="A107" s="137"/>
      <c r="B107" s="33" t="str">
        <f ca="1">IF(B103="Scholar's Pack","SP - 10 Sheets of Parchment",IF(B103="Priest's Pack","PP - Alms Box",IF(B103="Entertainer's Pack","EP - 5 Days Rations",IF(B103="Dungeoneer's Pack","DP - 10 Torches",IF(B103="Diplomat's Pack","DP - Ink Pen",IF(B103="Burglar's Pack","BP - Crowbar",IF(B103="explorer's pack","EP - 10 Torches"," ")))))))</f>
        <v xml:space="preserve"> </v>
      </c>
      <c r="C107" s="33"/>
      <c r="D107" s="33"/>
      <c r="E107" s="33"/>
      <c r="F107" s="33"/>
      <c r="G107" s="33"/>
      <c r="H107" s="33"/>
      <c r="I107" s="33"/>
      <c r="J107" s="33"/>
      <c r="K107" s="33"/>
      <c r="L107" s="33"/>
      <c r="M107" s="33"/>
      <c r="N107" s="33"/>
      <c r="O107" s="33" t="str">
        <f ca="1">IF(B103="Priest's Pack","PP - Waterskin",IF(B103="Diplomat's Pack","DP - Sealing Wax",IF(B103="Burglar's Pack","BP - 5 Days Rations"," ")))</f>
        <v xml:space="preserve"> </v>
      </c>
      <c r="P107" s="33" t="str">
        <f ca="1">VLOOKUP(RANDBETWEEN(1,58),Table296[],2)</f>
        <v>Bag of 20 Caltrops</v>
      </c>
      <c r="Q107" s="33" t="str">
        <f ca="1">INDEX(Items!G47:G66,MATCH(P6,(Items!A47:A66),0))&amp;" PP"</f>
        <v>65 PP</v>
      </c>
      <c r="R107" s="33" t="str">
        <f ca="1">IF(COUNTIF(B92:B94,"*"&amp;"longbow"&amp;"*"),RANDBETWEEN(10,24)&amp;" Arrows",IF(COUNTIF(B92:B94,"*"&amp;"shortbow"&amp;"*"),RANDBETWEEN(10,24)&amp;" Arrows",IF(COUNTIF(B92:B94,"*"&amp;"light crossbow"&amp;"*"),RANDBETWEEN(10,24)&amp;" Bolts",IF(COUNTIF(B92:B94,"*"&amp;"hand crossbow"&amp;"*"),RANDBETWEEN(10,24)&amp;" Bolts",IF(COUNTIF(B92:B94,"*"&amp;"heavy crossbow"&amp;"*"),RANDBETWEEN(10,24)&amp;" Bolts"," ")))))</f>
        <v xml:space="preserve"> </v>
      </c>
      <c r="AJ107" s="58" t="str">
        <f t="shared" ca="1" si="55"/>
        <v xml:space="preserve"> </v>
      </c>
      <c r="AK107" s="60">
        <f t="shared" ca="1" si="53"/>
        <v>0</v>
      </c>
      <c r="AL107" s="29" t="str">
        <f t="shared" ca="1" si="54"/>
        <v xml:space="preserve"> </v>
      </c>
      <c r="CB107" s="35">
        <f t="shared" ca="1" si="56"/>
        <v>5</v>
      </c>
      <c r="CC107" s="36">
        <f ca="1">IF(BM11&gt;0,0,RAND())</f>
        <v>0.37146556164437095</v>
      </c>
      <c r="CD107" s="29" t="s">
        <v>16</v>
      </c>
    </row>
    <row r="108" spans="1:82" x14ac:dyDescent="0.3">
      <c r="A108" s="137"/>
      <c r="B108" s="33" t="str">
        <f ca="1">IF(AF35&gt;=1,VLOOKUP(RANDBETWEEN(1,200),Table298[],2)," ")</f>
        <v>a ball of twine</v>
      </c>
      <c r="C108" s="33"/>
      <c r="D108" s="33"/>
      <c r="E108" s="33"/>
      <c r="F108" s="33"/>
      <c r="G108" s="33"/>
      <c r="H108" s="33"/>
      <c r="I108" s="33"/>
      <c r="J108" s="33"/>
      <c r="K108" s="33"/>
      <c r="L108" s="33"/>
      <c r="M108" s="33"/>
      <c r="N108" s="33"/>
      <c r="O108" s="33" t="str">
        <f ca="1">IF(AF35&gt;=2,VLOOKUP(RANDBETWEEN(1,200),Table298[],2)," ")</f>
        <v xml:space="preserve"> </v>
      </c>
      <c r="P108" s="33" t="str">
        <f ca="1">IF(AF35&gt;=3,VLOOKUP(RANDBETWEEN(1,200),Table298[],2)," ")</f>
        <v xml:space="preserve"> </v>
      </c>
      <c r="AJ108" s="58" t="str">
        <f t="shared" ca="1" si="55"/>
        <v xml:space="preserve"> </v>
      </c>
      <c r="AK108" s="60">
        <f t="shared" ca="1" si="53"/>
        <v>0</v>
      </c>
      <c r="AL108" s="29" t="str">
        <f t="shared" ca="1" si="54"/>
        <v xml:space="preserve"> </v>
      </c>
      <c r="CB108" s="35">
        <f t="shared" ca="1" si="56"/>
        <v>7</v>
      </c>
      <c r="CC108" s="36">
        <f ca="1">IF(BM13&gt;0,0,RAND())</f>
        <v>0.29477035005594543</v>
      </c>
      <c r="CD108" s="29" t="s">
        <v>18</v>
      </c>
    </row>
    <row r="109" spans="1:82" ht="19.5" thickBot="1" x14ac:dyDescent="0.35">
      <c r="B109" s="38" t="str">
        <f ca="1">IF(AND(P6&gt;=5,O11&lt;&gt;"non-classed"),VLOOKUP(RANDBETWEEN(1,100),Table5764[],2)," ")</f>
        <v xml:space="preserve"> </v>
      </c>
      <c r="O109" s="29" t="str">
        <f ca="1">IF(AND(P6&gt;=11,O11&lt;&gt;"non-classed"),VLOOKUP(RANDBETWEEN(1,100),Table576465[],2)," ")</f>
        <v xml:space="preserve"> </v>
      </c>
      <c r="P109" s="29" t="str">
        <f ca="1">IF(AND(P6&gt;=17,O11&lt;&gt;"non-classed"),VLOOKUP(RANDBETWEEN(1,100),Table576466[],2)," ")</f>
        <v xml:space="preserve"> </v>
      </c>
      <c r="AJ109" s="58" t="str">
        <f t="shared" ca="1" si="55"/>
        <v xml:space="preserve"> </v>
      </c>
      <c r="AK109" s="60">
        <f t="shared" ca="1" si="53"/>
        <v>0</v>
      </c>
      <c r="AL109" s="29" t="str">
        <f t="shared" ca="1" si="54"/>
        <v xml:space="preserve"> </v>
      </c>
      <c r="CB109" s="35">
        <f t="shared" ca="1" si="56"/>
        <v>3</v>
      </c>
      <c r="CC109" s="36">
        <f ca="1">IF(BM14&gt;0,0,RAND())</f>
        <v>0.59201589385237208</v>
      </c>
      <c r="CD109" s="29" t="s">
        <v>19</v>
      </c>
    </row>
    <row r="110" spans="1:82" ht="19.5" thickBot="1" x14ac:dyDescent="0.35">
      <c r="A110" s="33"/>
      <c r="AJ110" s="58" t="str">
        <f t="shared" ca="1" si="55"/>
        <v xml:space="preserve"> </v>
      </c>
      <c r="AK110" s="60">
        <f t="shared" ca="1" si="53"/>
        <v>0</v>
      </c>
      <c r="AL110" s="29" t="str">
        <f t="shared" ca="1" si="54"/>
        <v xml:space="preserve"> </v>
      </c>
      <c r="CB110" s="35">
        <f t="shared" ca="1" si="56"/>
        <v>2</v>
      </c>
      <c r="CC110" s="36">
        <f ca="1">IF(BM16&gt;0,0,RAND())</f>
        <v>0.94141571136823565</v>
      </c>
      <c r="CD110" s="29" t="s">
        <v>21</v>
      </c>
    </row>
    <row r="111" spans="1:82" ht="30.75" thickBot="1" x14ac:dyDescent="0.45">
      <c r="B111" s="105" t="s">
        <v>1327</v>
      </c>
      <c r="AJ111" s="58" t="str">
        <f t="shared" ca="1" si="55"/>
        <v xml:space="preserve"> </v>
      </c>
      <c r="AK111" s="60">
        <f t="shared" ca="1" si="53"/>
        <v>0</v>
      </c>
      <c r="AL111" s="29" t="str">
        <f t="shared" ca="1" si="54"/>
        <v xml:space="preserve"> </v>
      </c>
      <c r="CB111" s="35">
        <f t="shared" ca="1" si="56"/>
        <v>4</v>
      </c>
      <c r="CC111" s="36">
        <f ca="1">IF(BM20&gt;0,0,RAND())</f>
        <v>0.46751726963260054</v>
      </c>
      <c r="CD111" s="29" t="s">
        <v>25</v>
      </c>
    </row>
    <row r="112" spans="1:82" x14ac:dyDescent="0.3">
      <c r="B112" s="74"/>
      <c r="C112" s="75"/>
      <c r="D112" s="75"/>
      <c r="E112" s="75"/>
      <c r="F112" s="75"/>
      <c r="G112" s="75"/>
      <c r="H112" s="75"/>
      <c r="I112" s="75"/>
      <c r="J112" s="75"/>
      <c r="K112" s="75"/>
      <c r="L112" s="75"/>
      <c r="M112" s="75"/>
      <c r="N112" s="75"/>
      <c r="O112" s="75"/>
      <c r="P112" s="76" t="s">
        <v>1124</v>
      </c>
      <c r="Q112" s="76" t="s">
        <v>1166</v>
      </c>
      <c r="R112" s="77" t="s">
        <v>1167</v>
      </c>
      <c r="AJ112" s="58" t="str">
        <f t="shared" ca="1" si="55"/>
        <v xml:space="preserve"> </v>
      </c>
      <c r="AK112" s="60">
        <f t="shared" ca="1" si="53"/>
        <v>0</v>
      </c>
      <c r="AL112" s="29" t="str">
        <f t="shared" ca="1" si="54"/>
        <v xml:space="preserve"> </v>
      </c>
    </row>
    <row r="113" spans="2:82" x14ac:dyDescent="0.3">
      <c r="B113" s="78" t="s">
        <v>1122</v>
      </c>
      <c r="C113" s="33"/>
      <c r="D113" s="33"/>
      <c r="E113" s="33"/>
      <c r="F113" s="33"/>
      <c r="G113" s="33"/>
      <c r="H113" s="33"/>
      <c r="I113" s="33"/>
      <c r="J113" s="33"/>
      <c r="K113" s="33"/>
      <c r="L113" s="33"/>
      <c r="M113" s="33"/>
      <c r="N113" s="33"/>
      <c r="O113" s="34">
        <v>1</v>
      </c>
      <c r="P113" s="33" t="str">
        <f ca="1">IF(P2="forest","Minor Illusion",IF(Q2="tiefling","Thaumaturgy",IF(P2="dark","Dancing Lights",IF(P2="high",INDEX('Spell Tables'!P242:P257,MATCH(1,('Spell Tables'!N242:N257),0))," "))))</f>
        <v xml:space="preserve"> </v>
      </c>
      <c r="Q113" s="33" t="str">
        <f ca="1">IF(AND($P$2="Dark",$P$6&gt;=3),"Faerie Fire (1/day)",IF(AND(Q2="tiefling",P6&gt;=3),"Hellish Rebuke (as 2nd Level - 1/day)"," "))</f>
        <v xml:space="preserve"> </v>
      </c>
      <c r="R113" s="72" t="str">
        <f ca="1">IF(AND($P$2="Dark",$P$6&gt;=5),"Darkness (1/day)",IF(AND(Q2="tiefling",P6&gt;=5),"Darkness (1/day)"," "))</f>
        <v xml:space="preserve"> </v>
      </c>
      <c r="AJ113" s="58" t="str">
        <f t="shared" ca="1" si="55"/>
        <v xml:space="preserve"> </v>
      </c>
      <c r="AK113" s="60">
        <f t="shared" ca="1" si="53"/>
        <v>0</v>
      </c>
      <c r="AL113" s="29" t="str">
        <f t="shared" ca="1" si="54"/>
        <v xml:space="preserve"> </v>
      </c>
      <c r="CB113" s="31" t="s">
        <v>738</v>
      </c>
    </row>
    <row r="114" spans="2:82" x14ac:dyDescent="0.3">
      <c r="B114" s="79" t="str">
        <f ca="1">IF(OR(P2="dark",Q2="tiefling"),8+$P$8+$N$43,IF(P2="Forest",8+$P$8+$N$41," "))</f>
        <v xml:space="preserve"> </v>
      </c>
      <c r="C114" s="33"/>
      <c r="D114" s="33"/>
      <c r="E114" s="33"/>
      <c r="F114" s="33"/>
      <c r="G114" s="33"/>
      <c r="H114" s="33"/>
      <c r="I114" s="33"/>
      <c r="J114" s="33"/>
      <c r="K114" s="33"/>
      <c r="L114" s="33"/>
      <c r="M114" s="33"/>
      <c r="N114" s="33"/>
      <c r="O114" s="34">
        <v>2</v>
      </c>
      <c r="P114" s="33"/>
      <c r="Q114" s="33"/>
      <c r="R114" s="72"/>
      <c r="CB114" s="35">
        <f t="shared" ref="CB114:CB119" ca="1" si="57">_xlfn.RANK.EQ(CC114,$CC$114:$CC$119)</f>
        <v>6</v>
      </c>
      <c r="CC114" s="36">
        <f ca="1">IF(BM8&gt;0,0,RAND())</f>
        <v>6.2137616276793928E-3</v>
      </c>
      <c r="CD114" s="29" t="s">
        <v>13</v>
      </c>
    </row>
    <row r="115" spans="2:82" x14ac:dyDescent="0.3">
      <c r="B115" s="78" t="s">
        <v>1123</v>
      </c>
      <c r="C115" s="33"/>
      <c r="D115" s="33"/>
      <c r="E115" s="33"/>
      <c r="F115" s="33"/>
      <c r="G115" s="33"/>
      <c r="H115" s="33"/>
      <c r="I115" s="33"/>
      <c r="J115" s="33"/>
      <c r="K115" s="33"/>
      <c r="L115" s="33"/>
      <c r="M115" s="33"/>
      <c r="N115" s="33"/>
      <c r="O115" s="34">
        <v>3</v>
      </c>
      <c r="P115" s="33"/>
      <c r="Q115" s="33"/>
      <c r="R115" s="72"/>
      <c r="AJ115" s="31" t="s">
        <v>1171</v>
      </c>
      <c r="CB115" s="35">
        <f t="shared" ca="1" si="57"/>
        <v>3</v>
      </c>
      <c r="CC115" s="36">
        <f ca="1">IF(BM11&gt;0,0,RAND())</f>
        <v>0.78553454720864491</v>
      </c>
      <c r="CD115" s="29" t="s">
        <v>16</v>
      </c>
    </row>
    <row r="116" spans="2:82" ht="19.5" thickBot="1" x14ac:dyDescent="0.35">
      <c r="B116" s="80" t="str">
        <f ca="1">IF(OR(P2="dark",Q2="tiefling"),P8+$N$43,IF(P2="forest",P8+$N$41," "))</f>
        <v xml:space="preserve"> </v>
      </c>
      <c r="C116" s="38"/>
      <c r="D116" s="38"/>
      <c r="E116" s="38"/>
      <c r="F116" s="38"/>
      <c r="G116" s="38"/>
      <c r="H116" s="38"/>
      <c r="I116" s="38"/>
      <c r="J116" s="38"/>
      <c r="K116" s="38"/>
      <c r="L116" s="38"/>
      <c r="M116" s="38"/>
      <c r="N116" s="38"/>
      <c r="O116" s="38"/>
      <c r="P116" s="38"/>
      <c r="Q116" s="38"/>
      <c r="R116" s="73"/>
      <c r="AJ116" s="58" t="str">
        <f ca="1">IF(AK116=0," ",_xlfn.RANK.EQ(AK116,$AK$116:$AK$125))</f>
        <v xml:space="preserve"> </v>
      </c>
      <c r="AK116" s="60">
        <f t="shared" ref="AK116:AK125" ca="1" si="58">IF(AL116=" ", 0,RAND())</f>
        <v>0</v>
      </c>
      <c r="AL116" s="29" t="str">
        <f t="shared" ref="AL116:AL125" ca="1" si="59">R334</f>
        <v xml:space="preserve"> </v>
      </c>
      <c r="CB116" s="35">
        <f t="shared" ca="1" si="57"/>
        <v>4</v>
      </c>
      <c r="CC116" s="36">
        <f ca="1">IF(BM12&gt;0,0,RAND())</f>
        <v>0.1794161984825674</v>
      </c>
      <c r="CD116" s="29" t="s">
        <v>17</v>
      </c>
    </row>
    <row r="117" spans="2:82" ht="19.5" thickBot="1" x14ac:dyDescent="0.35">
      <c r="AJ117" s="58" t="str">
        <f t="shared" ref="AJ117:AJ125" ca="1" si="60">IF(AK117=0," ",_xlfn.RANK.EQ(AK117,$AK$116:$AK$125))</f>
        <v xml:space="preserve"> </v>
      </c>
      <c r="AK117" s="60">
        <f t="shared" ca="1" si="58"/>
        <v>0</v>
      </c>
      <c r="AL117" s="29" t="str">
        <f t="shared" ca="1" si="59"/>
        <v xml:space="preserve"> </v>
      </c>
      <c r="CB117" s="35">
        <f t="shared" ca="1" si="57"/>
        <v>1</v>
      </c>
      <c r="CC117" s="36">
        <f ca="1">IF(BM14&gt;0,0,RAND())</f>
        <v>0.9286192288940972</v>
      </c>
      <c r="CD117" s="29" t="s">
        <v>19</v>
      </c>
    </row>
    <row r="118" spans="2:82" ht="30.75" thickBot="1" x14ac:dyDescent="0.45">
      <c r="B118" s="105" t="s">
        <v>1334</v>
      </c>
      <c r="AJ118" s="58" t="str">
        <f t="shared" ca="1" si="60"/>
        <v xml:space="preserve"> </v>
      </c>
      <c r="AK118" s="60">
        <f t="shared" ca="1" si="58"/>
        <v>0</v>
      </c>
      <c r="AL118" s="29" t="str">
        <f t="shared" ca="1" si="59"/>
        <v xml:space="preserve"> </v>
      </c>
      <c r="CB118" s="35">
        <f t="shared" ca="1" si="57"/>
        <v>5</v>
      </c>
      <c r="CC118" s="36">
        <f ca="1">IF(BM15&gt;0,0,RAND())</f>
        <v>0.10705374441389215</v>
      </c>
      <c r="CD118" s="29" t="s">
        <v>20</v>
      </c>
    </row>
    <row r="119" spans="2:82" x14ac:dyDescent="0.3">
      <c r="B119" s="79"/>
      <c r="C119" s="27"/>
      <c r="D119" s="27"/>
      <c r="E119" s="27"/>
      <c r="F119" s="27"/>
      <c r="G119" s="27"/>
      <c r="H119" s="27"/>
      <c r="I119" s="27"/>
      <c r="J119" s="27"/>
      <c r="K119" s="27"/>
      <c r="L119" s="27"/>
      <c r="M119" s="27"/>
      <c r="N119" s="27"/>
      <c r="O119" s="27"/>
      <c r="P119" s="76" t="s">
        <v>1124</v>
      </c>
      <c r="Q119" s="76" t="s">
        <v>1166</v>
      </c>
      <c r="R119" s="76" t="s">
        <v>1167</v>
      </c>
      <c r="S119" s="76" t="s">
        <v>1168</v>
      </c>
      <c r="T119" s="77" t="s">
        <v>676</v>
      </c>
      <c r="AJ119" s="58" t="str">
        <f t="shared" ca="1" si="60"/>
        <v xml:space="preserve"> </v>
      </c>
      <c r="AK119" s="60">
        <f t="shared" ca="1" si="58"/>
        <v>0</v>
      </c>
      <c r="AL119" s="29" t="str">
        <f t="shared" ca="1" si="59"/>
        <v xml:space="preserve"> </v>
      </c>
      <c r="CB119" s="35">
        <f t="shared" ca="1" si="57"/>
        <v>2</v>
      </c>
      <c r="CC119" s="36">
        <f ca="1">IF(BM20&gt;0,0,RAND())</f>
        <v>0.83062887104357108</v>
      </c>
      <c r="CD119" s="29" t="s">
        <v>25</v>
      </c>
    </row>
    <row r="120" spans="2:82" x14ac:dyDescent="0.3">
      <c r="B120" s="78" t="str">
        <f ca="1">IF(P15="way of the four elements","Way of the Four Elements",IF(AND(O11="wizard",O12&gt;=20),"Signature Spell",IF(AND($O$11="paladin",$O$12&gt;=3),"Oath Spells",IF(AND($P$15="moon",$O$12&gt;=14),"Thousand Forms",IF($P$15="way of the shadow","Shadow Arts",IF(AND($O$11="druid",$P$15="land"),"Land Circle Spells",IF($O$11="cleric","Domain Spells",IF($O$11="bard","Magical Secrets",IF($P$15="path of the totem warrior","Totem Warrior Spells",IF(AND($O$11="warlock",$O$12&gt;=2),"Mystic Arcanum and Invocation",IF($P$15="arcane trickster","4th,8th,14th,20th non E&amp;I spells",IF($P$15="eldritch knight","4th,8th,14th,20th non A&amp;E spells"," "))))))))))))</f>
        <v xml:space="preserve"> </v>
      </c>
      <c r="C120" s="33"/>
      <c r="D120" s="33"/>
      <c r="E120" s="33"/>
      <c r="F120" s="33"/>
      <c r="G120" s="33"/>
      <c r="H120" s="33"/>
      <c r="I120" s="33"/>
      <c r="J120" s="33"/>
      <c r="K120" s="33"/>
      <c r="L120" s="33"/>
      <c r="M120" s="33"/>
      <c r="N120" s="33"/>
      <c r="O120" s="34">
        <v>1</v>
      </c>
      <c r="P120" s="33" t="str">
        <f ca="1">IF($O$16="pact of the tome",INDEX('Spell Tables'!$BD$19:$BD$37,MATCH(1,('Spell Tables'!$BB$19:$BB$37),0)),IF($P$15="way of the shadow","Minor Illusion (free)",IF($P$15="land",INDEX('Spell Tables'!P48:P55,MATCH(8,('Spell Tables'!N48:N55),0)),IF($P$15="nature",INDEX('Spell Tables'!P48:P55,MATCH(6,('Spell Tables'!N48:N55),0)),IF($P$15="light","Light",IF(AND($O$11="bard",AL191="c"),INDEX('Spell Tables'!$BD$2:$BD$16,MATCH(10,('Spell Tables'!$BB$2:$BB$16),0))," "))))))</f>
        <v xml:space="preserve"> </v>
      </c>
      <c r="Q120" s="33" t="str">
        <f ca="1">IF(COUNTIF(P18:P21,"*"&amp;"Fist of Four Thunders"&amp;"*"),"Thunderwave (2 ki)",IF(COUNTIF($O$18:$O$25,"*"&amp;"armor of shadows"&amp;"*"),"Mage Armor*",IF($P$15="oath of vengeance","Bane",IF($P$15="Oath of the Ancients","Ensnaring Strike",IF($P$15="Oath of Devotion","Protection from Good and Evil",IF(AND($P$15="war",$O$12&gt;=1),"Divine Favor",IF(AND($P$15="Trickery",$O$12&gt;=1),"Charm Person",IF(AND($P$15="tempest",$O$12&gt;=1),"Fog Cloud",IF(AND($P$15="nature",$O$12&gt;=1),"Animal Friendship",IF(AND($P$15="light",$O$12&gt;=1),"Burning Hands",IF($P$15="life","Bless",IF($P$15="knowledge","Command",IF(AND($O$11="bard",AL155=1),INDEX('Spell Tables'!$BH$2:$BH$41,MATCH($O$120,('Spell Tables'!$BF$2:$BF$41),0)),IF($P$15="arcane trickster",INDEX('Spell Tables'!$X$141:$X$163,MATCH(O120,('Spell Tables'!$V$141:$V$163),0)),IF($P$15="path of the totem warrior","Speak with Animals (as ritual)",IF($P$15="eldritch knight",INDEX('Spell Tables'!$X$70:$X$90,MATCH($O$120,('Spell Tables'!$V$70:$V$90),0))," "))))))))))))))))</f>
        <v xml:space="preserve"> </v>
      </c>
      <c r="R120" s="33" t="str">
        <f ca="1">IF(COUNTIF(P18:P21,"*"&amp;"Clench of the North Wind"&amp;"*"),"Hold Person (3 ki)",IF(COUNTIF(P18:P21,"*"&amp;"Clench of the North Wind"&amp;"*"),"Hold Person (3 ki)",IF(COUNTIF(O18:O25,"*"&amp;"ascendant step"&amp;"*"),"Levitate*",IF(AND(P15="oath of vengeance",O12&gt;=5),"Hold Person",IF(AND(P15="Oath of the Ancients",O12&gt;=5),"Moonbeam",IF(AND(P15="Oath of Devotion",O12&gt;=5),"Lesser Restoration",IF(AND(P15="moon",O12&gt;=14),"Alter Self",IF(P15="Way of the Shadow","Darkness",IF(AND($P$20="Underdark",$O$12&gt;=3),"Spider Climb",IF(AND($P$20="Swamp",$O$12&gt;=3),"Darkness",IF(AND($P$20="Mountain",$O$12&gt;=3),"Spider Climb",IF(AND($P$20="Grassland",$O$12&gt;=3),"Invisibility",IF(AND($P$20="Forest",$O$12&gt;=3),"Barkskin",IF(AND($P$20="Desert",$O$12&gt;=3),"Blur",IF(AND($P$20="Coast",$O$12&gt;=3),"Mirror Image",IF(AND($P$20="arctic",$O$12&gt;=3),"Hold Person",IF(AND(P15="war",O12&gt;=3),"Magic Weapon",IF(AND(P15="Trickery",O12&gt;=3),"Mirror Image",IF(AND(P15="tempest",O12&gt;=3),"Gust of Wind",IF(AND(P15="nature",O12&gt;=3),"Barkskin",IF(AND(P15="light",O12&gt;=3),"Flaming Sphere",IF(AND(P15="Life",O12&gt;=3),"Lesser Restoration",IF(AND(P15="knowledge",O12&gt;=3),"Augury",IF(AND(O11="bard",AL155=2),INDEX('Spell Tables'!BL2:BL37,MATCH(O120,('Spell Tables'!BJ2:BJ37),0)),IF(P15="path of the totem warrior","Beast Sense (as ritual)",IF(AND(P15="eldritch knight",O12&gt;=8),INDEX('Spell Tables'!AF70:AF94,MATCH(#REF!,('Spell Tables'!AD70:AD94),0)),IF(AND(P15="arcane trickster",O12&gt;=8),INDEX('Spell Tables'!AF141:AF165,MATCH(#REF!,('Spell Tables'!AD141:AD165),0))," ")))))))))))))))))))))))))))</f>
        <v xml:space="preserve"> </v>
      </c>
      <c r="S120" s="33" t="str">
        <f ca="1">IF(COUNTIF(P18:P21,"*"&amp;"Mist Stance"&amp;"*"),"Gaseous Form (4 ki)",IF(AND($O$11="wizard",O12&gt;=20),INDEX('Spell Tables'!$AB$242:$AB$270,MATCH(29,('Spell Tables'!$Z$242:$Z$270),0)),IF(COUNTIF(O18:O25,"*"&amp;"mire the mind"&amp;"*"),"Slow**",IF(AND(P15="oath of vengeance",O12&gt;=9),"Haste",IF(AND(P15="Oath of the Ancients",O12&gt;=9),"Plant Growth",IF(AND(P15="Oath of Devotion",O12&gt;=9),"Beacon of Hope",IF(AND($P$20="Underdark",$O$12&gt;=5),"Gaseous Form",IF(AND($P$20="Swamp",$O$12&gt;=5),"Water Walk",IF(AND($P$20="Mountain",$O$12&gt;=5),"Lightning Bolt",IF(AND($P$20="Grassland",$O$12&gt;=5),"Daylight",IF(AND($P$20="Forest",$O$12&gt;=5),"Call Lightning",IF(AND($P$20="Desert",$O$12&gt;=5),"Create Food and Water",IF(AND($P$20="Coast",$O$12&gt;=5),"Water Breathing",IF(AND($P$20="arctic",$O$12&gt;=5),"Sleet Storm",IF(AND(P15="war",O12&gt;=5),"Crusader's Mantle",IF(AND(P15="trickery",O12&gt;=5),"Blink",IF(AND(P15="tempest",O12&gt;=5),"Call Lightning",IF(AND(P15="nature",O12&gt;=5),"Plant Growth",IF(AND(P15="light",O12&gt;=5),"Daylight",IF(AND(P15="life",O12&gt;=5),"Beacon of Hope",IF(AND(P15="knowledge",O12&gt;=5),"Nondetection",IF(AND(O11="bard",AL155=3),INDEX('Spell Tables'!BP2:BP35,MATCH(O120,('Spell Tables'!BN2:BN35),0)),IF(AND(P15="arcane trickster",O12&gt;=14),INDEX('Spell Tables'!AN141:AN165,MATCH(O120,('Spell Tables'!AL141:AL165),0)),IF(AND(P15="eldritch knight",O12&gt;=14),INDEX('Spell Tables'!AN70:AN88,MATCH(O120,('Spell Tables'!AL70:AL88),0))," "))))))))))))))))))))))))</f>
        <v xml:space="preserve"> </v>
      </c>
      <c r="T120" s="72" t="str">
        <f ca="1">IF(COUNTIF(P18:P21,"*"&amp;"Eternal Mountain Defense"&amp;"*"),"Stoneskin (5 ki)",IF(COUNTIF(O18:O25,"*"&amp;"bewitching whispers"&amp;"*"),"Compulsion**",IF(AND(P15="oath of vengeance",O12&gt;=13),"Banishment",IF(AND(P15="Oath of the Ancients",O12&gt;=13),"Ice Storm",IF(AND(P15="Oath of Devotion",O12&gt;=13),"Freedom of Movement",IF(AND($P$20="Underdark",$O$12&gt;=7),"Greater Invisibility",IF(AND($P$20="Swamp",$O$12&gt;=7),"Freedom of Movement",IF(AND($P$20="Mountain",$O$12&gt;=7),"Stone Shape",IF(AND($P$20="Grassland",$O$12&gt;=7),"Divination",IF(AND($P$20="Forest",$O$12&gt;=7),"Divination",IF(AND($P$20="Desert",$O$12&gt;=7),"Blight",IF(AND($P$20="Coast",$O$12&gt;=7),"Control Water",IF(AND($P$20="arctic",$O$12&gt;=7),"Freedom of Movement",IF(AND(P15="war",O12&gt;=7),"Freedom of Movement",IF(AND(P15="trickery",O12&gt;=7),"Dimension Door",IF(AND(P15="tempest",O12&gt;=7),"Control Water",IF(AND(P15="nature",O12&gt;=7),"Dominate Beast",IF(AND(P15="light",O12&gt;=7),"Guardian of Faith",IF(AND(P15="life",O12&gt;=7),"Death Ward",IF(AND(P15="knowledge",O12&gt;=7),"Arcane Eye",IF(AND(O11="bard",AL155=4),INDEX('Spell Tables'!BT2:BT29,MATCH(O120,('Spell Tables'!BR2:BR29),0)),IF(AND(P15="arcane trickster",O12&gt;=20),INDEX('Spell Tables'!AV141:AV159,MATCH(O120,('Spell Tables'!AT141:AT159),0)),IF(AND(P15="eldritch knight",O12&gt;=20),INDEX('Spell Tables'!AV70:AV86,MATCH(O120,('Spell Tables'!AT70:AT86),0))," ")))))))))))))))))))))))</f>
        <v xml:space="preserve"> </v>
      </c>
      <c r="AJ120" s="58" t="str">
        <f t="shared" ca="1" si="60"/>
        <v xml:space="preserve"> </v>
      </c>
      <c r="AK120" s="60">
        <f t="shared" ca="1" si="58"/>
        <v>0</v>
      </c>
      <c r="AL120" s="29" t="str">
        <f t="shared" ca="1" si="59"/>
        <v xml:space="preserve"> </v>
      </c>
    </row>
    <row r="121" spans="2:82" x14ac:dyDescent="0.3">
      <c r="B121" s="79" t="str">
        <f ca="1">IF(P15="way of the four elements","Elemental Disciplines - cost Ki",IF(AND(O11="wizard",O12&gt;=20),"Always Prepared",IF(AND($O$11="warlock",$O$12&gt;=2),"* = at will - no slot use",IF($P$15="land",$P$20," "))))</f>
        <v xml:space="preserve"> </v>
      </c>
      <c r="C121" s="33"/>
      <c r="D121" s="33"/>
      <c r="E121" s="33"/>
      <c r="F121" s="33"/>
      <c r="G121" s="33"/>
      <c r="H121" s="33"/>
      <c r="I121" s="33"/>
      <c r="J121" s="33"/>
      <c r="K121" s="33"/>
      <c r="L121" s="33"/>
      <c r="M121" s="33"/>
      <c r="N121" s="33"/>
      <c r="O121" s="34">
        <v>2</v>
      </c>
      <c r="P121" s="33" t="str">
        <f ca="1">IF($O$16="pact of the tome",INDEX('Spell Tables'!$BD$19:$BD$37,MATCH(2,('Spell Tables'!$BB$19:$BB$37),0)),IF(AND($O$11="bard",AL192="c"),INDEX('Spell Tables'!$BD$2:$BD$16,MATCH(11,('Spell Tables'!$BB$2:$BB$16),0))," "))</f>
        <v xml:space="preserve"> </v>
      </c>
      <c r="Q121" s="33" t="str">
        <f ca="1">IF(COUNTIF(P18:P21,"*"&amp;"Sweeping Cinder Strike"&amp;"*"),"Burning Hands (2 ki)",IF(COUNTIF(O18:O25,"*"&amp;"beast speech"&amp;"*"),"Speak with Animals*",IF(P15="Oath of the Ancients","Speak with Animals",IF(P15="Oath of vengeance","Hunter's Mark",IF(P15="Oath of Devotion","Sanctuary",IF(AND(P15="war",O12&gt;=1),"Shield of Faith",IF(AND(P15="trickery",O12&gt;=1),"Disguise Self",IF(AND(P15="tempest",O12&gt;=1),"Thunderwave",IF(AND(P15="Nature",O12&gt;=1),"Speak with Animals",IF(AND(P15="light",O12&gt;=1),"Faerie Fire",IF(P15="life","Cure Wounds",IF(P15="knowledge","Identify",IF(AND($O$11="bard",AL156=1),INDEX('Spell Tables'!$BH$2:$BH$41,MATCH(O121,('Spell Tables'!$BF$2:$BF$41),0))," ")))))))))))))</f>
        <v xml:space="preserve"> </v>
      </c>
      <c r="R121" s="33" t="str">
        <f ca="1">IF(COUNTIF(P18:P21,"*"&amp;"Gong of the Summit"&amp;"*"),"Shatter (3 ki)",IF(COUNTIF(O18:O25,"*"&amp;"master of myriad forms"&amp;"*"),"Alter Self*",IF(AND(P15="oath of vengeance",O12&gt;=5),"Misty Step",IF(AND(P15="Oath of the Ancients",O12&gt;=5),"Misty Step",IF(AND(P15="Oath of Devotion",O12&gt;=5),"Zone of Truth",IF(P15="way of the shadow","Darkvision",IF(AND($P$20="Underdark",$O$12&gt;=3),"Web",IF(AND($P$20="Swamp",$O$12&gt;=3),"Melf's Acid Arrow",IF(AND($P$20="Mountain",$O$12&gt;=3),"Spike Growth",IF(AND($P$20="Grassland",$O$12&gt;=3),"Pass Without Trace",IF(AND($P$20="Forest",$O$12&gt;=3),"Spider Climb",IF(AND($P$20="Desert",$O$12&gt;=3),"Silence",IF(AND($P$20="Coast",$O$12&gt;=3),"Misty Step",IF(AND($P$20="arctic",$O$12&gt;=3),"Spike Growth",IF(AND(P15="war",O12&gt;=3),"Spiritual Weapon",IF(AND(P15="trickery",O12&gt;=3),"Pass Without Trace",IF(AND(P15="tempest",O12&gt;=3),"Shatter",IF(AND(P15="nature",O12&gt;=3),"Spike Growth",IF(AND(P15="light",O12&gt;=3),"Scorching Ray",IF(AND(P15="life",O12&gt;=3),"Spiritual Weapon",IF(AND(P15="knowledge",O12&gt;=3),"Suggestion",IF(AND($O$11="bard",AL156=2),INDEX('Spell Tables'!$BL$2:$BL$37,MATCH(O121,('Spell Tables'!$BJ$2:$BJ$37),0))," "))))))))))))))))))))))</f>
        <v xml:space="preserve"> </v>
      </c>
      <c r="S121" s="33" t="str">
        <f ca="1">IF(COUNTIF(P18:P21,"*"&amp;"Ride the Wind"&amp;"*"),"Fly (4 ki)",IF(AND($O$11="wizard",O12&gt;=20),INDEX('Spell Tables'!$AB$242:$AB$270,MATCH(28,('Spell Tables'!$Z$242:$Z$270),0)),IF(COUNTIF(O18:O25,"*"&amp;"sign of ill omen"&amp;"*"),"Bestow Curse**",IF(AND(P15="oath of vengeance",O12&gt;=9),"Protection from Energy",IF(AND(P15="Oath of the Ancients",O12&gt;=9),"Protection from Energy",IF(AND(P15="Oath of Devotion",O12&gt;=9),"Dispel Magic",IF(AND($P$20="Underdark",$O$12&gt;=5),"Stinking Cloud",IF(AND($P$20="Swamp",$O$12&gt;=5),"Stinking Cloud",IF(AND($P$20="Mountain",$O$12&gt;=5),"Meld Into Stone",IF(AND($P$20="Grassland",$O$12&gt;=5),"Haste",IF(AND($P$20="Forest",$O$12&gt;=5),"Plant Growth",IF(AND($P$20="Desert",$O$12&gt;=5),"Protection from Energy",IF(AND($P$20="Coast",$O$12&gt;=5),"Water Walk",IF(AND($P$20="arctic",$O$12&gt;=5),"Slow",IF(AND(P15="war",O12&gt;=5),"Spirit Guardians",IF(AND(P15="trickery",O12&gt;=5),"Dispel Magic",IF(AND(P15="Tempest",O12&gt;=5),"Sleet Storm",IF(AND(P15="nature",O12&gt;=5),"Wind Wall",IF(AND(P15="light",O12&gt;=5),"Fireball",IF(AND(P15="life",O12&gt;=5),"Revivify",IF(AND(P15="knowledge",O12&gt;=5),"Speak with Dead",IF(AND($O$11="bard",AL156=3),INDEX('Spell Tables'!$BP$2:$BP$35,MATCH(O121,('Spell Tables'!$BN$2:$BN$35),0))," "))))))))))))))))))))))</f>
        <v xml:space="preserve"> </v>
      </c>
      <c r="T121" s="72" t="str">
        <f ca="1">IF(COUNTIF(P18:P21,"*"&amp;"River of Hungry Flame"&amp;"*"),"Wall of Fire (5 ki)",IF(COUNTIF(O18:O25,"*"&amp;"Dreadful word"&amp;"*"),"Confusion**",IF(AND(P15="oath of vengeance",O12&gt;=13),"Dimension Door",IF(AND(P15="Oath of the Ancients",O12&gt;=13),"Stoneskin",IF(AND(P15="Oath of Devotion",O12&gt;=13),"Guardian of Faith",IF(AND($P$20="Underdark",$O$12&gt;=7),"Stone Shape",IF(AND($P$20="Swamp",$O$12&gt;=7),"Locate Creature",IF(AND($P$20="Mountain",$O$12&gt;=7),"Stonekin",IF(AND($P$20="Grassland",$O$12&gt;=7),"Freedom of Movement",IF(AND($P$20="Forest",$O$12&gt;=7),"Freedom of Movement",IF(AND($P$20="Desert",$O$12&gt;=7),"Hallucinatory Terrain",IF(AND($P$20="Coast",$O$12&gt;=7),"Freedom of Movement",IF(AND($P$20="arctic",$O$12&gt;=7),"Ice Storm",IF(AND(P15="war",O12&gt;=7),"Stoneskin",IF(AND(P15="trickery",O12&gt;=7),"Polymorph",IF(AND(P15="tempest",O12&gt;=7),"Ice Storm",IF(AND(P15="nature",O12&gt;=7),"Grasping Vine",IF(AND(P15="light",O12&gt;=7),"Wall of Fire",IF(AND(P15="life",O12&gt;=7),"Guardian of Faith",IF(AND(P15="knowledge",O12&gt;=7),"Confusion",IF(AND($O$11="bard",AL156=4),INDEX('Spell Tables'!$BT$2:$BT$29,MATCH(O121,('Spell Tables'!$BR$2:$BR$29),0))," ")))))))))))))))))))))</f>
        <v xml:space="preserve"> </v>
      </c>
      <c r="AJ121" s="58" t="str">
        <f t="shared" ca="1" si="60"/>
        <v xml:space="preserve"> </v>
      </c>
      <c r="AK121" s="60">
        <f t="shared" ca="1" si="58"/>
        <v>0</v>
      </c>
      <c r="AL121" s="29" t="str">
        <f t="shared" ca="1" si="59"/>
        <v xml:space="preserve"> </v>
      </c>
    </row>
    <row r="122" spans="2:82" x14ac:dyDescent="0.3">
      <c r="B122" s="79" t="str">
        <f ca="1">IF(AND(O11="wizard",O12&gt;=20),"Cast once at 3rd level - no slot use",IF(AND($O$11="warlock",$O$12&gt;=2),"** = once per long rest - uses slot",IF(AND($O$11="paladin",$O$12&gt;=3),"Free Preparation",IF(AND($P$15="moon",$O$12&gt;=14),"At Will",IF($P$15="way of the shadow","Cost 2 Ki Points",IF(OR($P$15="land",$O$11="cleric"),"Free Preparation",IF(AND($O$11="bard",$O$12&gt;=10),"Count Toward Known"," ")))))))</f>
        <v xml:space="preserve"> </v>
      </c>
      <c r="C122" s="33"/>
      <c r="D122" s="33"/>
      <c r="E122" s="33"/>
      <c r="F122" s="33"/>
      <c r="G122" s="33"/>
      <c r="H122" s="33"/>
      <c r="I122" s="33"/>
      <c r="J122" s="33"/>
      <c r="K122" s="33"/>
      <c r="L122" s="33"/>
      <c r="M122" s="33"/>
      <c r="N122" s="33"/>
      <c r="O122" s="34">
        <v>3</v>
      </c>
      <c r="P122" s="33" t="str">
        <f ca="1">IF($O$16="pact of the tome",INDEX('Spell Tables'!$BD$19:$BD$37,MATCH(3,('Spell Tables'!$BB$19:$BB$37),0))," ")</f>
        <v xml:space="preserve"> </v>
      </c>
      <c r="Q122" s="29" t="str">
        <f ca="1">IF(COUNTIF(O18:O25,"*"&amp;"eldritch sight"&amp;"*"),"Detect Magic*",IF(AND($O$11="bard",AL191=1),INDEX('Spell Tables'!$BH$2:$BH$41,MATCH(O122,('Spell Tables'!$BF$2:$BF$41),0))," "))</f>
        <v xml:space="preserve"> </v>
      </c>
      <c r="R122" s="33" t="str">
        <f ca="1">IF(COUNTIF(P18:P21,"*"&amp;"Rush of the Gale Spirits"&amp;"*"),"Gust of Wind (2 ki)",IF(P15="way of the shadow","Pass Without Trace",IF(AND($O$11="bard",AL191=2),INDEX('Spell Tables'!$BL$2:$BL$37,MATCH(O122,('Spell Tables'!$BJ$2:$BJ$37),0))," ")))</f>
        <v xml:space="preserve"> </v>
      </c>
      <c r="S122" s="33" t="str">
        <f ca="1">IF(COUNTIF(O18:O25,"*"&amp;"whispers of the grave"&amp;"*"),"Speak with Dead*",IF(AND($O$11="bard",AL191=3),INDEX('Spell Tables'!$BP$2:$BP$35,MATCH(O122,('Spell Tables'!$BN$2:$BN$35),0))," "))</f>
        <v xml:space="preserve"> </v>
      </c>
      <c r="T122" s="72" t="str">
        <f ca="1">IF(COUNTIF(O18:O25,"*"&amp;"Sculptor of Flesh"&amp;"*"),"Polymorph**"," ")</f>
        <v xml:space="preserve"> </v>
      </c>
      <c r="AJ122" s="58" t="str">
        <f t="shared" ca="1" si="60"/>
        <v xml:space="preserve"> </v>
      </c>
      <c r="AK122" s="60">
        <f t="shared" ca="1" si="58"/>
        <v>0</v>
      </c>
      <c r="AL122" s="29" t="str">
        <f t="shared" ca="1" si="59"/>
        <v xml:space="preserve"> </v>
      </c>
    </row>
    <row r="123" spans="2:82" x14ac:dyDescent="0.3">
      <c r="B123" s="79" t="str">
        <f ca="1">IF(AND($O$11="warlock",$O$12&gt;=2),"6th level and up = *"," ")</f>
        <v xml:space="preserve"> </v>
      </c>
      <c r="O123" s="81">
        <v>4</v>
      </c>
      <c r="Q123" s="29" t="str">
        <f ca="1">IF(COUNTIF(O18:O25,"*"&amp;"fiendish vigor"&amp;"*"),"False Life*",IF(AND($O$11="bard",AL192=1),INDEX('Spell Tables'!$BH$2:$BH$41,MATCH(O123,('Spell Tables'!$BF$2:$BF$41),0))," "))</f>
        <v xml:space="preserve"> </v>
      </c>
      <c r="R123" s="29" t="str">
        <f ca="1">IF(P15="way of the shadow","Silence",IF(AND($O$11="bard",AL192=2),INDEX('Spell Tables'!$BL$2:$BL$37,MATCH(O123,('Spell Tables'!$BJ$2:$BJ$37),0))," "))</f>
        <v xml:space="preserve"> </v>
      </c>
      <c r="S123" s="29" t="str">
        <f ca="1">IF(AND($O$11="bard",AL192=3),INDEX('Spell Tables'!$BP$2:$BP$35,MATCH(O123,('Spell Tables'!$BN$2:$BN$35),0))," ")</f>
        <v xml:space="preserve"> </v>
      </c>
      <c r="T123" s="72" t="str">
        <f ca="1">IF(COUNTIF(O18:O25,"*"&amp;"visions of distant realms"&amp;"*"),"Arcane Eye*"," ")</f>
        <v xml:space="preserve"> </v>
      </c>
      <c r="AJ123" s="58" t="str">
        <f t="shared" ca="1" si="60"/>
        <v xml:space="preserve"> </v>
      </c>
      <c r="AK123" s="60">
        <f t="shared" ca="1" si="58"/>
        <v>0</v>
      </c>
      <c r="AL123" s="29" t="str">
        <f t="shared" ca="1" si="59"/>
        <v xml:space="preserve"> </v>
      </c>
    </row>
    <row r="124" spans="2:82" x14ac:dyDescent="0.3">
      <c r="B124" s="79"/>
      <c r="O124" s="81">
        <v>5</v>
      </c>
      <c r="Q124" s="29" t="str">
        <f ca="1">IF(COUNTIF(O18:O25,"*"&amp;"Mask of many faces"&amp;"*"),"Disguise Self*","")</f>
        <v/>
      </c>
      <c r="T124" s="72"/>
      <c r="AJ124" s="58" t="str">
        <f t="shared" ca="1" si="60"/>
        <v xml:space="preserve"> </v>
      </c>
      <c r="AK124" s="60">
        <f t="shared" ca="1" si="58"/>
        <v>0</v>
      </c>
      <c r="AL124" s="29" t="str">
        <f t="shared" ca="1" si="59"/>
        <v xml:space="preserve"> </v>
      </c>
    </row>
    <row r="125" spans="2:82" x14ac:dyDescent="0.3">
      <c r="B125" s="79"/>
      <c r="O125" s="81">
        <v>6</v>
      </c>
      <c r="Q125" s="29" t="str">
        <f ca="1">IF(COUNTIF(O18:O25,"*"&amp;"misty vision"&amp;"*"),"Silent Image*"," " )</f>
        <v xml:space="preserve"> </v>
      </c>
      <c r="T125" s="72"/>
      <c r="AJ125" s="58" t="str">
        <f t="shared" ca="1" si="60"/>
        <v xml:space="preserve"> </v>
      </c>
      <c r="AK125" s="60">
        <f t="shared" ca="1" si="58"/>
        <v>0</v>
      </c>
      <c r="AL125" s="29" t="str">
        <f t="shared" ca="1" si="59"/>
        <v xml:space="preserve"> </v>
      </c>
    </row>
    <row r="126" spans="2:82" x14ac:dyDescent="0.3">
      <c r="B126" s="79"/>
      <c r="O126" s="81">
        <v>7</v>
      </c>
      <c r="Q126" s="29" t="str">
        <f ca="1">IF(COUNTIF(O18:O25,"*"&amp;"otherworldly leap"&amp;"*"),"Jump*"," ")</f>
        <v xml:space="preserve"> </v>
      </c>
      <c r="T126" s="72"/>
    </row>
    <row r="127" spans="2:82" x14ac:dyDescent="0.3">
      <c r="B127" s="79"/>
      <c r="O127" s="81">
        <v>8</v>
      </c>
      <c r="Q127" s="29" t="str">
        <f ca="1">IF(COUNTIF(O18:O25,"*"&amp;"Thief of five fates"&amp;"*"),"Bane**"," ")</f>
        <v xml:space="preserve"> </v>
      </c>
      <c r="T127" s="72"/>
      <c r="AJ127" s="31" t="s">
        <v>677</v>
      </c>
    </row>
    <row r="128" spans="2:82" x14ac:dyDescent="0.3">
      <c r="B128" s="79" t="str">
        <f ca="1">IF(AND($O$16="pact of the tome",COUNTIF($O$13:$O$13,"*"&amp;"book of ancient secrets"&amp;"*")),"Book of Ancient Secrets"," ")</f>
        <v xml:space="preserve"> </v>
      </c>
      <c r="O128" s="81">
        <v>9</v>
      </c>
      <c r="Q128" s="29" t="str">
        <f ca="1">IF(AND(O16="pact of the tome",COUNTIF(O18:O25,"*"&amp;"book of ancient secrets"&amp;"*")),INDEX('Spell Tables'!BD40:BD46,MATCH(1,('Spell Tables'!BB40:BB46),0))," ")</f>
        <v xml:space="preserve"> </v>
      </c>
      <c r="T128" s="72"/>
      <c r="AJ128" s="58" t="str">
        <f ca="1">IF(AK128=0," ",_xlfn.RANK.EQ(AK128,$AK$128:$AK$137))</f>
        <v xml:space="preserve"> </v>
      </c>
      <c r="AK128" s="60">
        <f t="shared" ref="AK128:AK137" ca="1" si="61">IF(AL128=" ", 0,RAND())</f>
        <v>0</v>
      </c>
      <c r="AL128" s="29" t="str">
        <f t="shared" ref="AL128:AL137" ca="1" si="62">S334</f>
        <v xml:space="preserve"> </v>
      </c>
    </row>
    <row r="129" spans="1:38" ht="19.5" thickBot="1" x14ac:dyDescent="0.35">
      <c r="B129" s="80" t="str">
        <f ca="1">IF($O$16="pact of the chain",$O$16,IF(OR(P129="minor illusion",S129="animate dead",T129="polymorph"),"School Spells - in Spellbook"," "))</f>
        <v xml:space="preserve"> </v>
      </c>
      <c r="C129" s="38"/>
      <c r="D129" s="38"/>
      <c r="E129" s="38"/>
      <c r="F129" s="38"/>
      <c r="G129" s="38"/>
      <c r="H129" s="38"/>
      <c r="I129" s="38"/>
      <c r="J129" s="38"/>
      <c r="K129" s="38"/>
      <c r="L129" s="38"/>
      <c r="M129" s="38"/>
      <c r="N129" s="38"/>
      <c r="O129" s="82">
        <v>10</v>
      </c>
      <c r="P129" s="38" t="str">
        <f ca="1">IF(AND(P15="school of Illusion",COUNTIF(P315:P324,"*"&amp;"Minor Illusion"&amp;"*"))," ",IF(P15="school of illusion","Minor Illusion"," "))</f>
        <v xml:space="preserve"> </v>
      </c>
      <c r="Q129" s="38" t="str">
        <f ca="1">IF(AND(O16="pact of the tome",COUNTIF(O18:O25,"*"&amp;"book of ancient secrets"&amp;"*")),INDEX('Spell Tables'!BD40:BD46,MATCH(2,('Spell Tables'!BB40:BB46),0)),IF(O16="pact of the chain","Find Familiar (as ritual)"," "))</f>
        <v xml:space="preserve"> </v>
      </c>
      <c r="R129" s="38"/>
      <c r="S129" s="38" t="str">
        <f ca="1">IF(AND(P15="school of necromancy",O12&gt;=6,COUNTIF(S315:S324,"*"&amp;"Animate Dead"&amp;"*"))," ",IF(AND(P15="school of necromancy",O12&gt;=6),"Animate Dead"," "))</f>
        <v xml:space="preserve"> </v>
      </c>
      <c r="T129" s="73" t="str">
        <f ca="1">IF(AND(P15="school of transmutation",O12&gt;=10,COUNTIF(T315:T324,"*"&amp;"Polymorph"&amp;"*"))," ",IF(AND(P15="school of transmutation",O12&gt;=6),"Polymorph"," "))</f>
        <v xml:space="preserve"> </v>
      </c>
      <c r="AJ129" s="58" t="str">
        <f t="shared" ref="AJ129:AJ137" ca="1" si="63">IF(AK129=0," ",_xlfn.RANK.EQ(AK129,$AK$128:$AK$137))</f>
        <v xml:space="preserve"> </v>
      </c>
      <c r="AK129" s="60">
        <f t="shared" ca="1" si="61"/>
        <v>0</v>
      </c>
      <c r="AL129" s="29" t="str">
        <f t="shared" ca="1" si="62"/>
        <v xml:space="preserve"> </v>
      </c>
    </row>
    <row r="130" spans="1:38" x14ac:dyDescent="0.3">
      <c r="A130" s="33"/>
      <c r="B130" s="27"/>
      <c r="AJ130" s="58" t="str">
        <f t="shared" ca="1" si="63"/>
        <v xml:space="preserve"> </v>
      </c>
      <c r="AK130" s="60">
        <f t="shared" ca="1" si="61"/>
        <v>0</v>
      </c>
      <c r="AL130" s="29" t="str">
        <f t="shared" ca="1" si="62"/>
        <v xml:space="preserve"> </v>
      </c>
    </row>
    <row r="131" spans="1:38" ht="19.5" thickBot="1" x14ac:dyDescent="0.35">
      <c r="A131" s="131"/>
      <c r="B131" s="33"/>
      <c r="O131" s="38"/>
      <c r="AJ131" s="58" t="str">
        <f t="shared" ca="1" si="63"/>
        <v xml:space="preserve"> </v>
      </c>
      <c r="AK131" s="60">
        <f t="shared" ca="1" si="61"/>
        <v>0</v>
      </c>
      <c r="AL131" s="29" t="str">
        <f t="shared" ca="1" si="62"/>
        <v xml:space="preserve"> </v>
      </c>
    </row>
    <row r="132" spans="1:38" x14ac:dyDescent="0.3">
      <c r="A132" s="131"/>
      <c r="B132" s="129"/>
      <c r="O132" s="132"/>
      <c r="P132" s="76" t="s">
        <v>1169</v>
      </c>
      <c r="Q132" s="76" t="s">
        <v>1170</v>
      </c>
      <c r="R132" s="76" t="s">
        <v>1171</v>
      </c>
      <c r="S132" s="76" t="s">
        <v>677</v>
      </c>
      <c r="T132" s="77" t="s">
        <v>1172</v>
      </c>
      <c r="AJ132" s="58" t="str">
        <f t="shared" ca="1" si="63"/>
        <v xml:space="preserve"> </v>
      </c>
      <c r="AK132" s="60">
        <f t="shared" ca="1" si="61"/>
        <v>0</v>
      </c>
      <c r="AL132" s="29" t="str">
        <f t="shared" ca="1" si="62"/>
        <v xml:space="preserve"> </v>
      </c>
    </row>
    <row r="133" spans="1:38" x14ac:dyDescent="0.3">
      <c r="A133" s="131"/>
      <c r="B133" s="129"/>
      <c r="O133" s="86">
        <v>1</v>
      </c>
      <c r="P133" s="65" t="str">
        <f ca="1">IF(COUNTIF(P18:P21,"*"&amp;"Breath of Winter"&amp;"*"),"Cone of Cold (6 ki)",IF(COUNTIF(O18:O25,"*"&amp;"chains of carceri"&amp;"*"),"Hold Monster**(c,f,e only)",IF(AND(P15="oath of vengeance",O12&gt;=17),"Hold Monster",IF(AND(P15="Oath of the Ancients",O12&gt;=17),"Commune with Nature",IF(AND(P15="Oath of Devotion",O12&gt;=17),"Commune",IF(AND($P$20="Underdark",$O$12&gt;=9),"Cloudkill",IF(AND($P$20="Swamp",$O$12&gt;=9),"Insect Plague",IF(AND($P$20="Mountain",$O$12&gt;=9),"Passwall",IF(AND($P$20="Grassland",$O$12&gt;=9),"Dream",IF(AND($P$20="Forest",$O$12&gt;=9),"Commune with Nature",IF(AND($P$20="Desert",$O$12&gt;=9),"Insect Plague",IF(AND($P$20="Coast",$O$12&gt;=9),"Conjure Elemental",IF(AND($P$20="arctic",$O$12&gt;=9),"Commune with Nature",IF(AND($P$15="war",$O$12&gt;=9),"Flame Strike",IF(AND($P$15="trickery",$O$12&gt;=9),"Dominate Person",IF(AND($P$15="tempest",$O$12&gt;=9),"Destructive Wave",IF(AND($P$15="nature",$O$12&gt;=9),"Insect Plague",IF(AND(P15="light",O12&gt;=9),"Flame Strike",IF(AND(P15="life",O12&gt;=9),"Mass Cure Wounds",IF(AND(P15="knowledge",O12&gt;=9),"Legend Lore",IF(AND(O11="bard",AL156=5),INDEX('Spell Tables'!BX2:BX24,MATCH(O120,('Spell Tables'!BV2:BV24),0)),IF(AND(P15="path of the totem warrior",O12&gt;=10),"Commune with Nature (as ritual)"," "))))))))))))))))))))))</f>
        <v xml:space="preserve"> </v>
      </c>
      <c r="Q133" s="65" t="str">
        <f ca="1">IF(AND(O11="bard",AL167=6),INDEX('Spell Tables'!CB2:CB27,MATCH(O120,('Spell Tables'!BZ2:BZ27),0)),IF(AND($O$11="warlock",$O$12&gt;=11),INDEX('Spell Tables'!AN194:AN201,MATCH(1,('Spell Tables'!AL194:AL201),0))," "))</f>
        <v xml:space="preserve"> </v>
      </c>
      <c r="R133" s="65" t="str">
        <f ca="1">IF(AND(O11="bard",AL167=7),INDEX('Spell Tables'!CF2:CF11,MATCH(O120,('Spell Tables'!CD2:CD11),0)),IF(AND($O$11="warlock",$O$12&gt;=13),INDEX('Spell Tables'!AR194:AR197,MATCH(1,('Spell Tables'!AP194:AP197),0))," "))</f>
        <v xml:space="preserve"> </v>
      </c>
      <c r="S133" s="65" t="str">
        <f ca="1">IF(AND(O11="bard",AL179=8),INDEX('Spell Tables'!CJ2:CJ14,MATCH(O120,('Spell Tables'!CH2:CH14),0)),IF(AND($O$11="warlock",$O$12&gt;=15),INDEX('Spell Tables'!AV194:AV198,MATCH(1,('Spell Tables'!AT194:AT198),0))," "))</f>
        <v xml:space="preserve"> </v>
      </c>
      <c r="T133" s="66" t="str">
        <f ca="1">IF(AND(O11="bard",AL180=9),INDEX('Spell Tables'!CN2:CN11,MATCH(O120,('Spell Tables'!CL2:CL11),0)),IF(AND($O$11="warlock",$O$12&gt;=17),INDEX('Spell Tables'!AZ194:AZ198,MATCH(1,('Spell Tables'!AX194:AX198),0))," "))</f>
        <v xml:space="preserve"> </v>
      </c>
      <c r="AJ133" s="58" t="str">
        <f t="shared" ca="1" si="63"/>
        <v xml:space="preserve"> </v>
      </c>
      <c r="AK133" s="60">
        <f t="shared" ca="1" si="61"/>
        <v>0</v>
      </c>
      <c r="AL133" s="29" t="str">
        <f t="shared" ca="1" si="62"/>
        <v xml:space="preserve"> </v>
      </c>
    </row>
    <row r="134" spans="1:38" x14ac:dyDescent="0.3">
      <c r="A134" s="131"/>
      <c r="B134" s="129"/>
      <c r="O134" s="133">
        <v>2</v>
      </c>
      <c r="P134" s="60" t="str">
        <f ca="1">IF(COUNTIF(P18:P21,"*"&amp;"Wave of Rolling Earth"&amp;"*"),"Wall of Stone (6 ki)",IF(COUNTIF(O18:O25,"*"&amp;"minions of chaos"&amp;"*"),"Conjure Elemental**",IF(AND(P15="oath of vengeance",O12&gt;=17),"Scrying",IF(AND(P15="Oath of the Ancients",O12&gt;=17),"Tree Stride",IF(AND(P15="Oath of Devotion",O12&gt;=17),"Flame Strike",IF(AND($P$20="Underdark",$O$12&gt;=9),"Insect Plague",IF(AND($P$20="Swamp",$O$12&gt;=9),"Scrying",IF(AND($P$20="Mountain",$O$12&gt;=9),"Wall of Stone",IF(AND($P$20="Grassland",$O$12&gt;=9),"Insect Plague",IF(AND($P$20="Forest",$O$12&gt;=9),"Tree Stride",IF(AND($P$20="Desert",$O$12&gt;=9),"Wall of Stone",IF(AND($P$20="Coast",$O$12&gt;=9),"Scrying",IF(AND($P$20="arctic",$O$12&gt;=9),"Cone of Cold",IF(AND($P$15="war",$O$12&gt;=9),"Hold Monster",IF(AND($P$15="trickery",$O$12&gt;=9),"Modify Memory",IF(AND($P$15="tempest",$O$12&gt;=9),"Insect Plague",IF(AND($P$15="nature",$O$12&gt;=9),"Tree Stride",IF(AND(P15="light",O12&gt;=9),"Scrying",IF(AND(P15="life",O12&gt;=9),"Raise Dead",IF(AND(P15="knowledge",O12&gt;=9),"Scrying",IF(AND($O$11="bard",AL157=5),INDEX('Spell Tables'!$BX$2:$BX$24,MATCH(O121,('Spell Tables'!$BV$2:$BV$24),0))," ")))))))))))))))))))))</f>
        <v xml:space="preserve"> </v>
      </c>
      <c r="Q134" s="60" t="str">
        <f ca="1">IF(AND(O11="bard",AL168=6),INDEX('Spell Tables'!CB2:CB27,MATCH(O121,('Spell Tables'!BZ2:BZ27),0))," ")</f>
        <v xml:space="preserve"> </v>
      </c>
      <c r="R134" s="60" t="str">
        <f ca="1">IF(AND(O11="bard",AL168=7),INDEX('Spell Tables'!CF2:CF11,MATCH(O121,('Spell Tables'!CD2:CD11),0))," ")</f>
        <v xml:space="preserve"> </v>
      </c>
      <c r="S134" s="60" t="str">
        <f ca="1">IF(AND(O11="bard",AL179=8),INDEX('Spell Tables'!CJ2:CJ14,MATCH(O121,('Spell Tables'!CH2:CH14),0))," ")</f>
        <v xml:space="preserve"> </v>
      </c>
      <c r="T134" s="63" t="str">
        <f ca="1">IF(AND(O11="bard",AL180=9),INDEX('Spell Tables'!CN2:CN11,MATCH(O121,('Spell Tables'!CL2:CL11),0))," ")</f>
        <v xml:space="preserve"> </v>
      </c>
      <c r="AJ134" s="58" t="str">
        <f t="shared" ca="1" si="63"/>
        <v xml:space="preserve"> </v>
      </c>
      <c r="AK134" s="60">
        <f t="shared" ca="1" si="61"/>
        <v>0</v>
      </c>
      <c r="AL134" s="29" t="str">
        <f t="shared" ca="1" si="62"/>
        <v xml:space="preserve"> </v>
      </c>
    </row>
    <row r="135" spans="1:38" x14ac:dyDescent="0.3">
      <c r="A135" s="33"/>
      <c r="O135" s="86">
        <v>3</v>
      </c>
      <c r="P135" s="65"/>
      <c r="Q135" s="65"/>
      <c r="R135" s="65"/>
      <c r="S135" s="65"/>
      <c r="T135" s="66"/>
      <c r="AJ135" s="58" t="str">
        <f t="shared" ca="1" si="63"/>
        <v xml:space="preserve"> </v>
      </c>
      <c r="AK135" s="60">
        <f t="shared" ca="1" si="61"/>
        <v>0</v>
      </c>
      <c r="AL135" s="29" t="str">
        <f t="shared" ca="1" si="62"/>
        <v xml:space="preserve"> </v>
      </c>
    </row>
    <row r="136" spans="1:38" x14ac:dyDescent="0.3">
      <c r="A136" s="33"/>
      <c r="O136" s="133">
        <v>4</v>
      </c>
      <c r="P136" s="60"/>
      <c r="Q136" s="60"/>
      <c r="R136" s="60"/>
      <c r="S136" s="60"/>
      <c r="T136" s="63"/>
      <c r="AJ136" s="58" t="str">
        <f t="shared" ca="1" si="63"/>
        <v xml:space="preserve"> </v>
      </c>
      <c r="AK136" s="60">
        <f t="shared" ca="1" si="61"/>
        <v>0</v>
      </c>
      <c r="AL136" s="29" t="str">
        <f t="shared" ca="1" si="62"/>
        <v xml:space="preserve"> </v>
      </c>
    </row>
    <row r="137" spans="1:38" x14ac:dyDescent="0.3">
      <c r="A137" s="33"/>
      <c r="O137" s="86">
        <v>5</v>
      </c>
      <c r="P137" s="65"/>
      <c r="Q137" s="65"/>
      <c r="R137" s="65"/>
      <c r="S137" s="65"/>
      <c r="T137" s="66"/>
      <c r="AJ137" s="58" t="str">
        <f t="shared" ca="1" si="63"/>
        <v xml:space="preserve"> </v>
      </c>
      <c r="AK137" s="60">
        <f t="shared" ca="1" si="61"/>
        <v>0</v>
      </c>
      <c r="AL137" s="29" t="str">
        <f t="shared" ca="1" si="62"/>
        <v xml:space="preserve"> </v>
      </c>
    </row>
    <row r="138" spans="1:38" x14ac:dyDescent="0.3">
      <c r="A138" s="33"/>
      <c r="O138" s="133">
        <v>6</v>
      </c>
      <c r="P138" s="60"/>
      <c r="Q138" s="60"/>
      <c r="R138" s="60"/>
      <c r="S138" s="60"/>
      <c r="T138" s="63"/>
    </row>
    <row r="139" spans="1:38" x14ac:dyDescent="0.3">
      <c r="A139" s="33"/>
      <c r="O139" s="86">
        <v>7</v>
      </c>
      <c r="P139" s="65"/>
      <c r="Q139" s="65"/>
      <c r="R139" s="65"/>
      <c r="S139" s="65"/>
      <c r="T139" s="66"/>
      <c r="AJ139" s="31" t="s">
        <v>1172</v>
      </c>
    </row>
    <row r="140" spans="1:38" x14ac:dyDescent="0.3">
      <c r="A140" s="33"/>
      <c r="O140" s="133">
        <v>8</v>
      </c>
      <c r="P140" s="60"/>
      <c r="Q140" s="60"/>
      <c r="R140" s="60"/>
      <c r="S140" s="60"/>
      <c r="T140" s="63"/>
      <c r="AJ140" s="58" t="str">
        <f ca="1">IF(AK140=0," ",_xlfn.RANK.EQ(AK140,$AK$140:$AK$149))</f>
        <v xml:space="preserve"> </v>
      </c>
      <c r="AK140" s="60">
        <f t="shared" ref="AK140:AK149" ca="1" si="64">IF(AL140=" ", 0,RAND())</f>
        <v>0</v>
      </c>
      <c r="AL140" s="29" t="str">
        <f t="shared" ref="AL140:AL149" ca="1" si="65">T334</f>
        <v xml:space="preserve"> </v>
      </c>
    </row>
    <row r="141" spans="1:38" x14ac:dyDescent="0.3">
      <c r="A141" s="33"/>
      <c r="O141" s="86">
        <v>9</v>
      </c>
      <c r="P141" s="65"/>
      <c r="Q141" s="65"/>
      <c r="R141" s="65"/>
      <c r="S141" s="65"/>
      <c r="T141" s="66"/>
      <c r="AJ141" s="58" t="str">
        <f t="shared" ref="AJ141:AJ149" ca="1" si="66">IF(AK141=0," ",_xlfn.RANK.EQ(AK141,$AK$140:$AK$149))</f>
        <v xml:space="preserve"> </v>
      </c>
      <c r="AK141" s="60">
        <f t="shared" ca="1" si="64"/>
        <v>0</v>
      </c>
      <c r="AL141" s="29" t="str">
        <f t="shared" ca="1" si="65"/>
        <v xml:space="preserve"> </v>
      </c>
    </row>
    <row r="142" spans="1:38" ht="19.5" thickBot="1" x14ac:dyDescent="0.35">
      <c r="A142" s="33"/>
      <c r="O142" s="134">
        <v>10</v>
      </c>
      <c r="P142" s="67"/>
      <c r="Q142" s="67"/>
      <c r="R142" s="67"/>
      <c r="S142" s="67"/>
      <c r="T142" s="68"/>
      <c r="AJ142" s="58" t="str">
        <f t="shared" ca="1" si="66"/>
        <v xml:space="preserve"> </v>
      </c>
      <c r="AK142" s="60">
        <f t="shared" ca="1" si="64"/>
        <v>0</v>
      </c>
      <c r="AL142" s="29" t="str">
        <f t="shared" ca="1" si="65"/>
        <v xml:space="preserve"> </v>
      </c>
    </row>
    <row r="143" spans="1:38" ht="19.5" thickBot="1" x14ac:dyDescent="0.35">
      <c r="AJ143" s="58" t="str">
        <f t="shared" ca="1" si="66"/>
        <v xml:space="preserve"> </v>
      </c>
      <c r="AK143" s="60">
        <f t="shared" ca="1" si="64"/>
        <v>0</v>
      </c>
      <c r="AL143" s="29" t="str">
        <f t="shared" ca="1" si="65"/>
        <v xml:space="preserve"> </v>
      </c>
    </row>
    <row r="144" spans="1:38" ht="30.75" thickBot="1" x14ac:dyDescent="0.45">
      <c r="B144" s="105" t="s">
        <v>1335</v>
      </c>
      <c r="AJ144" s="58" t="str">
        <f t="shared" ca="1" si="66"/>
        <v xml:space="preserve"> </v>
      </c>
      <c r="AK144" s="60">
        <f t="shared" ca="1" si="64"/>
        <v>0</v>
      </c>
      <c r="AL144" s="29" t="str">
        <f t="shared" ca="1" si="65"/>
        <v xml:space="preserve"> </v>
      </c>
    </row>
    <row r="145" spans="1:38" x14ac:dyDescent="0.3">
      <c r="B145" s="79"/>
      <c r="C145" s="27"/>
      <c r="D145" s="27"/>
      <c r="E145" s="27"/>
      <c r="F145" s="27"/>
      <c r="G145" s="27"/>
      <c r="H145" s="27"/>
      <c r="I145" s="27"/>
      <c r="J145" s="27"/>
      <c r="K145" s="27"/>
      <c r="L145" s="27"/>
      <c r="M145" s="27"/>
      <c r="N145" s="27"/>
      <c r="O145" s="27"/>
      <c r="P145" s="76" t="s">
        <v>1124</v>
      </c>
      <c r="Q145" s="76" t="s">
        <v>1166</v>
      </c>
      <c r="R145" s="76" t="s">
        <v>1167</v>
      </c>
      <c r="S145" s="76" t="s">
        <v>1168</v>
      </c>
      <c r="T145" s="77" t="s">
        <v>676</v>
      </c>
      <c r="AJ145" s="58" t="str">
        <f t="shared" ca="1" si="66"/>
        <v xml:space="preserve"> </v>
      </c>
      <c r="AK145" s="60">
        <f t="shared" ca="1" si="64"/>
        <v>0</v>
      </c>
      <c r="AL145" s="29" t="str">
        <f t="shared" ca="1" si="65"/>
        <v xml:space="preserve"> </v>
      </c>
    </row>
    <row r="146" spans="1:38" x14ac:dyDescent="0.3">
      <c r="B146" s="86" t="str">
        <f ca="1">IF(R15="way of the four elements","Way of the Four Elements",IF(AND(Q11="paladin",Q12&gt;=3),"Oath Spells",IF(AND(R15="moon",Q12&gt;=14),"Thousand Forms",IF(R15="way of the shadow","Shadow Arts",IF(AND(Q11="druid",R15="land"),"Land Circle Spells",IF(Q11="cleric","Domain Spells",IF(Q11="bard","Magical Secrets",IF(R15="path of the totem warrior","Totem Warrior Spells",IF(AND(Q11="warlock",Q12&gt;=2),"Mystic Arcanum and Invocation",IF(R15="arcane trickster","4th,8th,14th,20th non E&amp;I spells",IF(R15="eldritch knight","4th,8th,14th,20th non A&amp;E spells"," ")))))))))))</f>
        <v xml:space="preserve"> </v>
      </c>
      <c r="C146" s="33"/>
      <c r="D146" s="33"/>
      <c r="E146" s="33"/>
      <c r="F146" s="33"/>
      <c r="G146" s="33"/>
      <c r="H146" s="33"/>
      <c r="I146" s="33"/>
      <c r="J146" s="33"/>
      <c r="K146" s="33"/>
      <c r="L146" s="33"/>
      <c r="M146" s="33"/>
      <c r="N146" s="33"/>
      <c r="O146" s="34">
        <v>1</v>
      </c>
      <c r="P146" s="33" t="str">
        <f ca="1">IF(R15="school of illusion","Minor Illusion",IF(Q16="pact of the tome",INDEX('Spell Tables'!$BD$19:$BD$37,MATCH(1,('Spell Tables'!$BB$19:$BB$37),0)),IF(R15="way of the shadow","Minor Illusion (free)",IF(R15="land",INDEX('Spell Tables'!P48:P55,MATCH(8,('Spell Tables'!N48:N55),0)),IF(R15="nature",INDEX('Spell Tables'!P48:P55,MATCH(6,('Spell Tables'!N48:N55),0)),IF(R15="light","Light",IF(AND(Q11="bard",AL191="c"),INDEX('Spell Tables'!$BD$2:$BD$16,MATCH(10,('Spell Tables'!$BB$2:$BB$16),0))," ")))))))</f>
        <v xml:space="preserve"> </v>
      </c>
      <c r="Q146" s="33" t="str">
        <f ca="1">IF(COUNTIF(R18:R21,"*"&amp;"Fist of Four Thunders"&amp;"*"),"Thunderwave (2 ki)",IF(COUNTIF($Q$18:$Q$22,"*"&amp;"armor of shadows"&amp;"*"),"Mage Armor*",IF(R15="oath of vengeance","Bane",IF(R15="Oath of the Ancients","Ensnaring Strike",IF(R15="Oath of Devotion","Protection from Good and Evil",IF(AND(R15="war",Q12&gt;=1),"Divine Favor",IF(AND(R15="Trickery",Q12&gt;=1),"Charm Person",IF(AND(R15="tempest",Q12&gt;=1),"Fog Cloud",IF(AND(R15="nature",Q12&gt;=1),"Animal Friendship",IF(AND(R15="light",Q12&gt;=1),"Burning Hands",IF(R15="life","Bless",IF(R15="knowledge","Command",IF(AND(Q11="bard",AL155=1),INDEX('Spell Tables'!$BH$2:$BH$41,MATCH($O$120,('Spell Tables'!$BF$2:$BF$41),0)),IF(R15="arcane trickster",INDEX('Spell Tables'!$X$141:$X$163,MATCH(O120,('Spell Tables'!$V$141:$V$163),0)),IF(R15="path of the totem warrior","Speak with Animals (as ritual)",IF(R15="eldritch knight",INDEX('Spell Tables'!$X$70:$X$90,MATCH($O$120,('Spell Tables'!$V$70:W90),0))," "))))))))))))))))</f>
        <v xml:space="preserve"> </v>
      </c>
      <c r="R146" s="33" t="str">
        <f ca="1">IF(COUNTIF(R18:R21,"*"&amp;"Clench of the North Wind"&amp;"*"),"Hold Person (3 ki)",IF(COUNTIF(Q18:Q22,"*"&amp;"ascendant step"&amp;"*"),"Levitate*",IF(AND(R15="oath of vengeance",Q12&gt;=5),"Hold Person",IF(AND(R15="Oath of the Ancients",Q12&gt;=5),"Moonbeam",IF(AND(R15="Oath of Devotion",Q12&gt;=5),"Lesser Restoration",IF(AND(R15="moon",Q12&gt;=14),"Alter Self",IF(R15="Way of the Shadow","Darkness",IF(AND($P$20="Underdark",Q12&gt;=3),"Spider Climb",IF(AND($P$20="Swamp",Q12&gt;=3),"Darkness",IF(AND($P$20="Mountain",Q12&gt;=3),"Spider Climb",IF(AND($P$20="Grassland",Q12&gt;=3),"Invisibility",IF(AND($P$20="Forest",Q12&gt;=3),"Barkskin",IF(AND($P$20="Desert",Q12&gt;=3),"Blur",IF(AND($P$20="Coast",Q12&gt;=3),"Mirror Image",IF(AND($P$20="arctic",Q12&gt;=3),"Hold Person",IF(AND(R15="war",Q12&gt;=3),"Magic Weapon",IF(AND(R15="Trickery",Q12&gt;=3),"Mirror Image",IF(AND(R15="tempest",Q12&gt;=3),"Gust of Wind",IF(AND(R15="nature",Q12&gt;=3),"Barkskin",IF(AND(R15="light",Q12&gt;=3),"Flaming Sphere",IF(AND(R15="Life",Q12&gt;=3),"Lesser Restoration",IF(AND(R15="knowledge",Q12&gt;=3),"Augury",IF(AND(Q11="bard",AL155=2),INDEX('Spell Tables'!BL2:BL37,MATCH(O120,('Spell Tables'!BJ2:BJ37),0)),IF(R15="path of the totem warrior","Beast Sense (as ritual)",IF(AND(R15="eldritch knight",Q12&gt;=8),INDEX('Spell Tables'!AF70:AF94,MATCH(#REF!,('Spell Tables'!AD70:AD94),0)),IF(AND(R15="arcane trickster",Q12&gt;=8),INDEX('Spell Tables'!AF141:AF165,MATCH(#REF!,('Spell Tables'!AD141:AD165),0))," "))))))))))))))))))))))))))</f>
        <v xml:space="preserve"> </v>
      </c>
      <c r="S146" s="33" t="str">
        <f ca="1">IF(COUNTIF(Q18:Q22,"*"&amp;"mire the mind"&amp;"*"),"Slow**",IF(AND(R15="oath of vengeance",Q12&gt;=9),"Haste",IF(AND(R15="Oath of the Ancients",Q12&gt;=9),"Plant Growth",IF(AND(R15="Oath of Devotion",Q12&gt;=9),"Beacon of Hope",IF(AND($P$20="Underdark",Q12&gt;=5),"Gaseous Form",IF(AND($P$20="Swamp",Q12&gt;=5),"Water Walk",IF(AND($P$20="Mountain",Q12&gt;=5),"Lightning Bolt",IF(AND($P$20="Grassland",Q12&gt;=5),"Daylight",IF(AND($P$20="Forest",Q12&gt;=5),"Call Lightning",IF(AND($P$20="Desert",Q12&gt;=5),"Create Food and Water",IF(AND($P$20="Coast",Q12&gt;=5),"Water Breathing",IF(AND($P$20="arctic",Q12&gt;=5),"Sleet Storm",IF(AND(R15="war",Q12&gt;=5),"Crusader's Mantle",IF(AND(R15="trickery",Q12&gt;=5),"Blink",IF(AND(R15="tempest",Q12&gt;=5),"Call Lightning",IF(AND(R15="nature",Q12&gt;=5),"Plant Growth",IF(AND(R15="light",Q12&gt;=5),"Daylight",IF(AND(R15="life",Q12&gt;=5),"Beacon of Hope",IF(AND(R15="knowledge",Q12&gt;=5),"Nondetection",IF(AND(Q11="bard",AL155=3),INDEX('Spell Tables'!BP2:BP35,MATCH(O120,('Spell Tables'!BN2:BN35),0)),IF(AND(R15="arcane trickster",Q12&gt;=14),INDEX('Spell Tables'!AN141:AN165,MATCH(O120,('Spell Tables'!AL141:AL165),0)),IF(AND(R15="eldritch knight",Q12&gt;=14),INDEX('Spell Tables'!AN70:AN88,MATCH(O120,('Spell Tables'!AL70:AL88),0))," "))))))))))))))))))))))</f>
        <v xml:space="preserve"> </v>
      </c>
      <c r="T146" s="72" t="str">
        <f ca="1">IF(COUNTIF(Q18:Q22,"*"&amp;"bewitching whispers"&amp;"*"),"Compulsion**",IF(AND(R15="oath of vengeance",Q12&gt;=13),"Banishment",IF(AND(R15="Oath of the Ancients",Q12&gt;=13),"Ice Storm",IF(AND(R15="Oath of Devotion",Q12&gt;=13),"Freedom of Movement",IF(AND($P$20="Underdark",Q12&gt;=7),"Greater Invisibility",IF(AND($P$20="Swamp",Q12&gt;=7),"Freedom of Movement",IF(AND($P$20="Mountain",Q12&gt;=7),"Stone Shape",IF(AND($P$20="Grassland",Q12&gt;=7),"Divination",IF(AND($P$20="Forest",Q12&gt;=7),"Divination",IF(AND($P$20="Desert",Q12&gt;=7),"Blight",IF(AND($P$20="Coast",Q12&gt;=7),"Control Water",IF(AND($P$20="arctic",Q12&gt;=7),"Freedom of Movement",IF(AND(R15="war",Q12&gt;=7),"Freedom of Movement",IF(AND(R15="trickery",Q12&gt;=7),"Dimension Door",IF(AND(R15="tempest",Q12&gt;=7),"Control Water",IF(AND(R15="nature",Q12&gt;=7),"Dominate Beast",IF(AND(R15="light",Q12&gt;=7),"Guardian of Faith",IF(AND(R15="life",Q12&gt;=7),"Death Ward",IF(AND(R15="knowledge",Q12&gt;=7),"Arcane Eye",IF(AND(Q11="bard",AL155=4),INDEX('Spell Tables'!BT2:BT29,MATCH(O120,('Spell Tables'!BR2:BR29),0)),IF(AND(R15="arcane trickster",Q12&gt;=20),INDEX('Spell Tables'!AV141:AV159,MATCH(O120,('Spell Tables'!AT267:AT285),0)),IF(AND(R15="eldritch knight",Q12&gt;=20),INDEX('Spell Tables'!AV70:AV86,MATCH(O120,('Spell Tables'!AT70:AT86),0))," "))))))))))))))))))))))</f>
        <v xml:space="preserve"> </v>
      </c>
      <c r="AJ146" s="58" t="str">
        <f t="shared" ca="1" si="66"/>
        <v xml:space="preserve"> </v>
      </c>
      <c r="AK146" s="60">
        <f t="shared" ca="1" si="64"/>
        <v>0</v>
      </c>
      <c r="AL146" s="29" t="str">
        <f t="shared" ca="1" si="65"/>
        <v xml:space="preserve"> </v>
      </c>
    </row>
    <row r="147" spans="1:38" x14ac:dyDescent="0.3">
      <c r="B147" s="79" t="str">
        <f ca="1">IF(R15="way of the four elements","Elemental Disciplines - cost ki",IF(AND(Q11="warlock",Q12&gt;=2),"* = at will - no slot use",IF(R15="land",$P$20," ")))</f>
        <v xml:space="preserve"> </v>
      </c>
      <c r="C147" s="33"/>
      <c r="D147" s="33"/>
      <c r="E147" s="33"/>
      <c r="F147" s="33"/>
      <c r="G147" s="33"/>
      <c r="H147" s="33"/>
      <c r="I147" s="33"/>
      <c r="J147" s="33"/>
      <c r="K147" s="33"/>
      <c r="L147" s="33"/>
      <c r="M147" s="33"/>
      <c r="N147" s="33"/>
      <c r="O147" s="34">
        <v>2</v>
      </c>
      <c r="P147" s="33" t="str">
        <f ca="1">IF(Q16="pact of the tome",INDEX('Spell Tables'!$BD$19:$BD$37,MATCH(2,('Spell Tables'!$BB$19:$BB$37),0)),IF(AND(Q11="bard",AL192="c"),INDEX('Spell Tables'!$BD$2:$BD$16,MATCH(11,('Spell Tables'!$BB$2:$BB$16),0))," "))</f>
        <v xml:space="preserve"> </v>
      </c>
      <c r="Q147" s="33" t="str">
        <f ca="1">IF(COUNTIF(R18:R21,"*"&amp;"Sweeping Cinder Strike"&amp;"*"),"Burning Hands (2 ki)",IF(COUNTIF(Q18:Q22,"*"&amp;"beast speech"&amp;"*"),"Speak with Animals*",IF(R15="Oath of the Ancients","Speak with Animals",IF(R15="Oath of vengeance","Hunter's Mark",IF(R15="Oath of Devotion","Sanctuary",IF(AND(R15="war",Q12&gt;=1),"Shield of Faith",IF(AND(R15="trickery",Q12&gt;=1),"Disguise Self",IF(AND(R15="tempest",Q12&gt;=1),"Thunderwave",IF(AND(R15="Nature",Q12&gt;=1),"Speak with Animals",IF(AND(R15="light",Q12&gt;=1),"Faerie Fire",IF(R15="life","Cure Wounds",IF(R15="knowledge","Identify",IF(AND(Q11="bard",AL156=1),INDEX('Spell Tables'!$BH$2:$BH$41,MATCH(O121,('Spell Tables'!$BF$2:$BF$41),0))," ")))))))))))))</f>
        <v xml:space="preserve"> </v>
      </c>
      <c r="R147" s="33" t="str">
        <f ca="1">IF(COUNTIF(R18:R21,"*"&amp;"Gong of the Summit"&amp;"*"),"Shatter (3 ki)",IF(COUNTIF(Q18:Q22,"*"&amp;"master of myriad forms"&amp;"*"),"Alter Self*",IF(AND(R15="oath of vengeance",Q12&gt;=5),"Misty Step",IF(AND(R15="Oath of the Ancients",Q12&gt;=5),"Misty Step",IF(AND(R15="Oath of Devotion",Q12&gt;=5),"Zone of Truth",IF(R15="way of the shadow","Darkvision",IF(AND($P$20="Underdark",Q12&gt;=3),"Web",IF(AND($P$20="Swamp",Q12&gt;=3),"Melf's Acid Arrow",IF(AND($P$20="Mountain",Q12&gt;=3),"Spike Growth",IF(AND($P$20="Grassland",Q12&gt;=3),"Pass Without Trace",IF(AND($P$20="Forest",Q12&gt;=3),"Spider Climb",IF(AND($P$20="Desert",Q12&gt;=3),"Silence",IF(AND($P$20="Coast",Q12&gt;=3),"Misty Step",IF(AND($P$20="arctic",Q12&gt;=3),"Spike Growth",IF(AND(R15="war",Q12&gt;=3),"Spiritual Weapon",IF(AND(R15="trickery",Q12&gt;=3),"Pass Without Trace",IF(AND(R15="tempest",Q12&gt;=3),"Shatter",IF(AND(R15="nature",Q12&gt;=3),"Spike Growth",IF(AND(R15="light",Q12&gt;=3),"Scorching Ray",IF(AND(R15="life",Q12&gt;=3),"Spiritual Weapon",IF(AND(R15="knowledge",Q12&gt;=3),"Suggestion",IF(AND(Q11="bard",AL156=2),INDEX('Spell Tables'!$BL$2:$BL$37,MATCH(O121,('Spell Tables'!$BJ$2:$BJ$37),0))," "))))))))))))))))))))))</f>
        <v xml:space="preserve"> </v>
      </c>
      <c r="S147" s="33" t="str">
        <f ca="1">IF(COUNTIF(Q18:Q22,"*"&amp;"sign of ill omen"&amp;"*"),"Bestow Curse**",IF(AND(R15="oath of vengeance",Q12&gt;=9),"Protection from Energy",IF(AND(R15="Oath of the Ancients",Q12&gt;=9),"Protection from Energy",IF(AND(R15="Oath of Devotion",Q12&gt;=9),"Dispel Magic",IF(AND($P$20="Underdark",Q12&gt;=5),"Stinking Cloud",IF(AND($P$20="Swamp",Q12&gt;=5),"Stinking Cloud",IF(AND($P$20="Mountain",Q12&gt;=5),"Meld Into Stone",IF(AND($P$20="Grassland",Q12&gt;=5),"Haste",IF(AND($P$20="Forest",Q12&gt;=5),"Plant Growth",IF(AND($P$20="Desert",Q12&gt;=5),"Protection from Energy",IF(AND($P$20="Coast",Q12&gt;=5),"Water Walk",IF(AND($P$20="arctic",Q12&gt;=5),"Slow",IF(AND(R15="war",Q12&gt;=5),"Spirit Guardians",IF(AND(R15="trickery",Q12&gt;=5),"Dispel Magic",IF(AND(R15="Tempest",Q12&gt;=5),"Sleet Storm",IF(AND(R15="nature",Q12&gt;=5),"Wind Wall",IF(AND(R15="light",Q12&gt;=5),"Fireball",IF(AND(R15="life",Q12&gt;=5),"Revivify",IF(AND(R15="knowledge",Q12&gt;=5),"Speak with Dead",IF(AND(Q11="bard",AL156=3),INDEX('Spell Tables'!$BP$2:$BP$35,MATCH(O121,('Spell Tables'!$BN$2:$BN$35),0))," "))))))))))))))))))))</f>
        <v xml:space="preserve"> </v>
      </c>
      <c r="T147" s="72" t="str">
        <f ca="1">IF(COUNTIF(Q18:Q22,"*"&amp;"dreadful word"&amp;"*"),"Confusion**",IF(AND(R15="oath of vengeance",Q12&gt;=13),"Dimension Door",IF(AND(R15="Oath of the Ancients",Q12&gt;=13),"Stoneskin",IF(AND(R15="Oath of Devotion",Q12&gt;=13),"Guardian of Faith",IF(AND($P$20="Underdark",Q12&gt;=7),"Stone Shape",IF(AND($P$20="Swamp",Q12&gt;=7),"Locate Creature",IF(AND($P$20="Mountain",Q12&gt;=7),"Stonekin",IF(AND($P$20="Grassland",Q12&gt;=7),"Freedom of Movement",IF(AND($P$20="Forest",Q12&gt;=7),"Freedom of Movement",IF(AND($P$20="Desert",Q12&gt;=7),"Hallucinatory Terrain",IF(AND($P$20="Coast",Q12&gt;=7),"Freedom of Movement",IF(AND($P$20="arctic",Q12&gt;=7),"Ice Storm",IF(AND(R15="war",Q12&gt;=7),"Stoneskin",IF(AND(R15="trickery",Q12&gt;=7),"Polymorph",IF(AND(R15="tempest",Q12&gt;=7),"Ice Storm",IF(AND(R15="nature",Q12&gt;=7),"Grasping Vine",IF(AND(R15="light",Q12&gt;=7),"Wall of Fire",IF(AND(R15="life",Q12&gt;=7),"Guardian of Faith",IF(AND(R15="knowledge",Q12&gt;=7),"Confusion",IF(AND(Q11="bard",AL156=4),INDEX('Spell Tables'!$BT$2:$BT$29,MATCH(O121,('Spell Tables'!$BR$2:$BR$29),0))," "))))))))))))))))))))</f>
        <v xml:space="preserve"> </v>
      </c>
      <c r="AJ147" s="58" t="str">
        <f t="shared" ca="1" si="66"/>
        <v xml:space="preserve"> </v>
      </c>
      <c r="AK147" s="60">
        <f t="shared" ca="1" si="64"/>
        <v>0</v>
      </c>
      <c r="AL147" s="29" t="str">
        <f t="shared" ca="1" si="65"/>
        <v xml:space="preserve"> </v>
      </c>
    </row>
    <row r="148" spans="1:38" x14ac:dyDescent="0.3">
      <c r="B148" s="79" t="str">
        <f ca="1">IF(AND(Q11="warlock",Q12&gt;=2),"** = once per long rest - uses slot",IF(AND(Q11="paladin",Q12&gt;=3),"Free Preparation",IF(AND(R15="moon",Q12&gt;=14),"At Will",IF(R15="way of the shadow","Cost 2 Ki Points",IF(OR(R15="land",Q11="cleric"),"Free Preparation",IF(AND(Q11="bard",Q12&gt;=10),"Count Toward Known"," "))))))</f>
        <v xml:space="preserve"> </v>
      </c>
      <c r="C148" s="33"/>
      <c r="D148" s="33"/>
      <c r="E148" s="33"/>
      <c r="F148" s="33"/>
      <c r="G148" s="33"/>
      <c r="H148" s="33"/>
      <c r="I148" s="33"/>
      <c r="J148" s="33"/>
      <c r="K148" s="33"/>
      <c r="L148" s="33"/>
      <c r="M148" s="33"/>
      <c r="N148" s="33"/>
      <c r="O148" s="34">
        <v>3</v>
      </c>
      <c r="P148" s="33" t="str">
        <f ca="1">IF(Q16="pact of the tome",INDEX('Spell Tables'!$BD$19:$BD$37,MATCH(3,('Spell Tables'!$BB$19:$BB$37),0))," ")</f>
        <v xml:space="preserve"> </v>
      </c>
      <c r="Q148" s="33" t="str">
        <f ca="1">IF(COUNTIF(Q18:Q22,"*"&amp;"eldritch sight"&amp;"*"),"Detect Magic*"," ")</f>
        <v xml:space="preserve"> </v>
      </c>
      <c r="R148" s="33" t="str">
        <f ca="1">IF(COUNTIF(R18:R21,"*"&amp;"Rush of the Gale Spirits"&amp;"*"),"Gust of Wind (2 ki)",IF(R15="way of the shadow","Pass Without Trace"," "))</f>
        <v xml:space="preserve"> </v>
      </c>
      <c r="S148" s="33" t="str">
        <f ca="1">IF(COUNTIF(Q18:Q22,"*"&amp;"whispers of the grave"&amp;"*"),"Speak with Dead*"," ")</f>
        <v xml:space="preserve"> </v>
      </c>
      <c r="T148" s="72" t="str">
        <f ca="1">IF(COUNTIF(Q18:Q22,"*"&amp;"Sculptor of Flesh"&amp;"*"),"Polymorph**"," ")</f>
        <v xml:space="preserve"> </v>
      </c>
      <c r="AJ148" s="58" t="str">
        <f t="shared" ca="1" si="66"/>
        <v xml:space="preserve"> </v>
      </c>
      <c r="AK148" s="60">
        <f t="shared" ca="1" si="64"/>
        <v>0</v>
      </c>
      <c r="AL148" s="29" t="str">
        <f t="shared" ca="1" si="65"/>
        <v xml:space="preserve"> </v>
      </c>
    </row>
    <row r="149" spans="1:38" x14ac:dyDescent="0.3">
      <c r="B149" s="79"/>
      <c r="O149" s="81">
        <v>4</v>
      </c>
      <c r="Q149" s="29" t="str">
        <f ca="1">IF(COUNTIF(Q18:Q22,"*"&amp;"fiendish vigor"&amp;"*"),"False Life*"," ")</f>
        <v xml:space="preserve"> </v>
      </c>
      <c r="R149" s="29" t="str">
        <f ca="1">IF(R15="way of the shadow","Silence"," ")</f>
        <v xml:space="preserve"> </v>
      </c>
      <c r="T149" s="72" t="str">
        <f ca="1">IF(COUNTIF(Q18:Q22,"*"&amp;"visions of distant realms"&amp;"*"),"Arcane Eye*"," ")</f>
        <v xml:space="preserve"> </v>
      </c>
      <c r="AJ149" s="58" t="str">
        <f t="shared" ca="1" si="66"/>
        <v xml:space="preserve"> </v>
      </c>
      <c r="AK149" s="60">
        <f t="shared" ca="1" si="64"/>
        <v>0</v>
      </c>
      <c r="AL149" s="29" t="str">
        <f t="shared" ca="1" si="65"/>
        <v xml:space="preserve"> </v>
      </c>
    </row>
    <row r="150" spans="1:38" x14ac:dyDescent="0.3">
      <c r="B150" s="79"/>
      <c r="O150" s="81">
        <v>5</v>
      </c>
      <c r="Q150" s="29" t="str">
        <f ca="1">IF(COUNTIF(Q18:Q22,"*"&amp;"mask of many faces"&amp;"*"),"Disguise Self*","")</f>
        <v/>
      </c>
      <c r="T150" s="72"/>
    </row>
    <row r="151" spans="1:38" x14ac:dyDescent="0.3">
      <c r="B151" s="79"/>
      <c r="O151" s="81">
        <v>6</v>
      </c>
      <c r="Q151" s="29" t="str">
        <f ca="1">IF(COUNTIF(Q18:Q22,"*"&amp;"misty vision"&amp;"*"),"Silent Image*"," " )</f>
        <v xml:space="preserve"> </v>
      </c>
      <c r="T151" s="72"/>
      <c r="AJ151" s="31" t="s">
        <v>1666</v>
      </c>
    </row>
    <row r="152" spans="1:38" x14ac:dyDescent="0.3">
      <c r="B152" s="79"/>
      <c r="O152" s="81">
        <v>7</v>
      </c>
      <c r="Q152" s="29" t="str">
        <f ca="1">IF(COUNTIF(Q18:Q22,"*"&amp;"otherworldly leap"&amp;"*"),"Jump*"," ")</f>
        <v xml:space="preserve"> </v>
      </c>
      <c r="T152" s="72"/>
      <c r="AJ152" s="29">
        <v>1</v>
      </c>
      <c r="AK152" s="29">
        <v>1</v>
      </c>
    </row>
    <row r="153" spans="1:38" x14ac:dyDescent="0.3">
      <c r="B153" s="79"/>
      <c r="O153" s="81">
        <v>8</v>
      </c>
      <c r="Q153" s="29" t="str">
        <f ca="1">IF(COUNTIF(Q18:Q22,"*"&amp;"thief of five fates"&amp;"*"),"Bane**"," ")</f>
        <v xml:space="preserve"> </v>
      </c>
      <c r="T153" s="72"/>
      <c r="AJ153" s="29">
        <v>2</v>
      </c>
      <c r="AK153" s="29">
        <v>2</v>
      </c>
    </row>
    <row r="154" spans="1:38" x14ac:dyDescent="0.3">
      <c r="B154" s="79" t="str">
        <f ca="1">IF(AND(Q16="pact of the tome",COUNTIF($O$13:$O$13,"*"&amp;"book of ancient secrets"&amp;"*")),"Book of Ancient Secrets"," ")</f>
        <v xml:space="preserve"> </v>
      </c>
      <c r="O154" s="81">
        <v>9</v>
      </c>
      <c r="Q154" s="29" t="str">
        <f ca="1">IF(AND(Q16="pact of the tome",COUNTIF(Q18:Q22,"*"&amp;"book of ancient secrets"&amp;"*")),INDEX('Spell Tables'!BD40:BD46,MATCH(1,('Spell Tables'!BB40:BB46),0))," ")</f>
        <v xml:space="preserve"> </v>
      </c>
      <c r="T154" s="72"/>
      <c r="AJ154" s="29">
        <v>3</v>
      </c>
      <c r="AK154" s="29">
        <v>3</v>
      </c>
    </row>
    <row r="155" spans="1:38" ht="19.5" thickBot="1" x14ac:dyDescent="0.35">
      <c r="B155" s="80" t="str">
        <f ca="1">IF(Q16="pact of the chain",Q16,IF(OR(P155="minor illusion",S155="animate dead",T155="polymorph"),"School Spells - in Spellbook"," "))</f>
        <v xml:space="preserve"> </v>
      </c>
      <c r="C155" s="38"/>
      <c r="D155" s="38"/>
      <c r="E155" s="38"/>
      <c r="F155" s="38"/>
      <c r="G155" s="38"/>
      <c r="H155" s="38"/>
      <c r="I155" s="38"/>
      <c r="J155" s="38"/>
      <c r="K155" s="38"/>
      <c r="L155" s="38"/>
      <c r="M155" s="38"/>
      <c r="N155" s="38"/>
      <c r="O155" s="82">
        <v>10</v>
      </c>
      <c r="P155" s="38" t="str">
        <f ca="1">IF(AND(R15="school of Illusion",COUNTIF(P315:P324,"*Minor Illusion*"))," ",IF(R15="school of illusion","Minor Illusion"," "))</f>
        <v xml:space="preserve"> </v>
      </c>
      <c r="Q155" s="38" t="str">
        <f ca="1">IF(AND(Q16="pact of the tome",COUNTIF(Q18:Q22,"*"&amp;"book of ancient secrets"&amp;"*")),INDEX('Spell Tables'!BD40:BD46,MATCH(2,('Spell Tables'!BB40:BB46),0)),IF(Q16="pact of the chain","Find Familiar (as ritual)"," "))</f>
        <v xml:space="preserve"> </v>
      </c>
      <c r="R155" s="38"/>
      <c r="S155" s="38" t="str">
        <f ca="1">IF(AND(R15="school of necromancy",Q12&gt;=6,COUNTIF(S315:S324,"*"&amp;"Animate Dead"&amp;"*"))," ",IF(AND(R15="school of necromancy",Q12&gt;=6),"Animate Dead"," "))</f>
        <v xml:space="preserve"> </v>
      </c>
      <c r="T155" s="73" t="str">
        <f ca="1">IF(AND(R15="school of transmutation",Q12&gt;=10,COUNTIF(T315:T324,"*"&amp;"Polymorph"&amp;"*"))," ",IF(AND(R15="school of transmutation",Q12&gt;=6),"Polymorph"," "))</f>
        <v xml:space="preserve"> </v>
      </c>
      <c r="AJ155" s="29">
        <v>4</v>
      </c>
      <c r="AK155" s="29">
        <v>3</v>
      </c>
      <c r="AL155" s="29" t="str">
        <f ca="1">IF(AND(O11="bard",O12&gt;=10),VLOOKUP(RANDBETWEEN(1,10),Table219344458800857914330387889[],2),IF(AND(Q11="bard",Q12&gt;=10),VLOOKUP(RANDBETWEEN(1,10),Table219344458800857914330387889[],2)," "))</f>
        <v xml:space="preserve"> </v>
      </c>
    </row>
    <row r="156" spans="1:38" ht="19.5" thickBot="1" x14ac:dyDescent="0.35">
      <c r="B156" s="27"/>
      <c r="O156" s="99"/>
      <c r="AJ156" s="29">
        <v>5</v>
      </c>
      <c r="AK156" s="29">
        <v>4</v>
      </c>
      <c r="AL156" s="29" t="str">
        <f ca="1">IF(AND(O11="bard",O12&gt;=10),VLOOKUP(RANDBETWEEN(1,10),Table219344458800857914330387889[],2),IF(AND(Q11="bard",Q12&gt;=10),VLOOKUP(RANDBETWEEN(1,10),Table219344458800857914330387889[],2)," "))</f>
        <v xml:space="preserve"> </v>
      </c>
    </row>
    <row r="157" spans="1:38" x14ac:dyDescent="0.3">
      <c r="A157" s="33"/>
      <c r="B157" s="72"/>
      <c r="P157" s="76" t="s">
        <v>1169</v>
      </c>
      <c r="Q157" s="76" t="s">
        <v>1170</v>
      </c>
      <c r="R157" s="76" t="s">
        <v>1171</v>
      </c>
      <c r="S157" s="76" t="s">
        <v>677</v>
      </c>
      <c r="T157" s="104" t="s">
        <v>1172</v>
      </c>
      <c r="AJ157" s="29">
        <v>6</v>
      </c>
      <c r="AK157" s="29">
        <v>4</v>
      </c>
    </row>
    <row r="158" spans="1:38" x14ac:dyDescent="0.3">
      <c r="A158" s="33"/>
      <c r="B158" s="72"/>
      <c r="O158" s="83">
        <v>1</v>
      </c>
      <c r="P158" s="65" t="str">
        <f ca="1">IF(COUNTIF(Q18:Q22,"*"&amp;"chains of carceri"&amp;"*"),"Hold Monster**(c,f,e only)",IF(AND(R15="oath of vengeance",Q12&gt;=17),"Hold Monster",IF(AND(R15="Oath of the Ancients",Q12&gt;=17),"Commune with Nature",IF(AND(R15="Oath of Devotion",Q12&gt;=17),"Commune",IF(AND($P$20="Underdark",Q12&gt;=9),"Cloudkill",IF(AND($P$20="Swamp",Q12&gt;=9),"Insect Plague",IF(AND($P$20="Mountain",Q12&gt;=9),"Passwall",IF(AND($P$20="Grassland",Q12&gt;=9),"Dream",IF(AND($P$20="Forest",Q12&gt;=9),"Commune with Nature",IF(AND($P$20="Desert",Q12&gt;=9),"Insect Plague",IF(AND($P$20="Coast",Q12&gt;=9),"Conjure Elemental",IF(AND($P$20="arctic",Q12&gt;=9),"Commune with Nature",IF(AND(R15="war",Q12&gt;=9),"Flame Strike",IF(AND(R15="trickery",Q12&gt;=9),"Dominate Person",IF(AND(R15="tempest",Q12&gt;=9),"Destructive Wave",IF(AND(R15="nature",Q12&gt;=9),"Insect Plague",IF(AND(R15="light",Q12&gt;=9),"Flame Strike",IF(AND(R15="life",Q12&gt;=9),"Mass Cure Wounds",IF(AND(R15="knowledge",Q12&gt;=9),"Legend Lore",IF(AND(Q11="bard",AL155=5),INDEX('Spell Tables'!BX2:BX24,MATCH(O120,('Spell Tables'!BV2:BV24),0)),IF(AND(R15="path of the totem warrior",Q12&gt;=10),"Commune with Nature (as ritual)"," ")))))))))))))))))))))</f>
        <v xml:space="preserve"> </v>
      </c>
      <c r="Q158" s="65" t="str">
        <f ca="1">IF(AND(Q11="bard",AL167=6),INDEX('Spell Tables'!CB2:CB27,MATCH(O120,('Spell Tables'!BZ2:BZ27),0)),IF(AND(Q11="warlock",Q12&gt;=11),INDEX('Spell Tables'!AN194:AN201,MATCH(1,('Spell Tables'!AL194:AL201),0))," "))</f>
        <v xml:space="preserve"> </v>
      </c>
      <c r="R158" s="65" t="str">
        <f ca="1">IF(AND(Q11="bard",AL167=7),INDEX('Spell Tables'!CF2:CF11,MATCH(O120,('Spell Tables'!CD2:CD11),0)),IF(AND(Q11="warlock",Q12&gt;=13),INDEX('Spell Tables'!AR194:AR197,MATCH(1,('Spell Tables'!AP194:AP197),0))," "))</f>
        <v xml:space="preserve"> </v>
      </c>
      <c r="S158" s="65" t="str">
        <f ca="1">IF(AND(Q11="bard",AL179=8),INDEX('Spell Tables'!CJ2:CJ14,MATCH(O120,('Spell Tables'!CH2:CH14),0)),IF(AND(Q11="warlock",Q12&gt;=15),INDEX('Spell Tables'!AV194:AV198,MATCH(1,('Spell Tables'!AT295:AT299),0))," "))</f>
        <v xml:space="preserve"> </v>
      </c>
      <c r="T158" s="66" t="str">
        <f ca="1">IF(AND(Q11="bard",AL179=9),INDEX('Spell Tables'!CN2:CN11,MATCH(O120,('Spell Tables'!CL2:CL11),0)),IF(AND(Q11="warlock",Q12&gt;=17),INDEX('Spell Tables'!AZ194:AZ198,MATCH(1,('Spell Tables'!AX194:AX198),0))," "))</f>
        <v xml:space="preserve"> </v>
      </c>
      <c r="AJ158" s="29">
        <v>7</v>
      </c>
      <c r="AK158" s="29">
        <v>4</v>
      </c>
    </row>
    <row r="159" spans="1:38" x14ac:dyDescent="0.3">
      <c r="A159" s="33"/>
      <c r="B159" s="72"/>
      <c r="O159" s="84">
        <v>2</v>
      </c>
      <c r="P159" s="60" t="str">
        <f ca="1">IF(COUNTIF(Q18:Q22,"*"&amp;"minions of chaos"&amp;"*"),"Conjure Elemental**",IF(AND(R15="oath of vengeance",Q12&gt;=17),"Scrying",IF(AND(R15="Oath of the Ancients",Q12&gt;=17),"Tree Stride",IF(AND(R15="Oath of Devotion",Q12&gt;=17),"Flame Strike",IF(AND($P$20="Underdark",Q12&gt;=9),"Insect Plague",IF(AND($P$20="Swamp",Q12&gt;=9),"Scrying",IF(AND($P$20="Mountain",Q12&gt;=9),"Wall of Stone",IF(AND($P$20="Grassland",Q12&gt;=9),"Insect Plague",IF(AND($P$20="Forest",Q12&gt;=9),"Tree Stride",IF(AND($P$20="Desert",Q12&gt;=9),"Wall of Stone",IF(AND($P$20="Coast",Q12&gt;=9),"Scrying",IF(AND($P$20="arctic",Q12&gt;=9),"Cone of Cold",IF(AND(R15="war",Q12&gt;=9),"Hold Monster",IF(AND(R15="trickery",Q12&gt;=9),"Modify Memory",IF(AND(R15="tempest",Q12&gt;=9),"Insect Plague",IF(AND(R15="nature",Q12&gt;=9),"Tree Stride",IF(AND(R15="light",Q12&gt;=9),"Scrying",IF(AND(R15="life",Q12&gt;=9),"Raise Dead",IF(AND(R15="knowledge",Q12&gt;=9),"Scrying",IF(AND(Q11="bard",AL156=5),INDEX('Spell Tables'!$BX$2:$BX$24,MATCH(O121,('Spell Tables'!$BV$2:$BV$24),0))," "))))))))))))))))))))</f>
        <v xml:space="preserve"> </v>
      </c>
      <c r="Q159" s="60" t="str">
        <f ca="1">IF(AND(Q11="bard",AL168=6),INDEX('Spell Tables'!CB2:CB27,MATCH(O121,('Spell Tables'!BZ2:BZ27),0))," ")</f>
        <v xml:space="preserve"> </v>
      </c>
      <c r="R159" s="60" t="str">
        <f ca="1">IF(AND(Q11="bard",AL168=7),INDEX('Spell Tables'!CF2:CF11,MATCH(O121,('Spell Tables'!CD2:CD11),0))," ")</f>
        <v xml:space="preserve"> </v>
      </c>
      <c r="S159" s="60" t="str">
        <f ca="1">IF(AND(Q11="bard",AL180=8),INDEX('Spell Tables'!CJ2:CJ14,MATCH(O121,('Spell Tables'!CH2:CH14),0))," ")</f>
        <v xml:space="preserve"> </v>
      </c>
      <c r="T159" s="63" t="str">
        <f ca="1">IF(AND(Q11="bard",AL180=9),INDEX('Spell Tables'!CN2:CN11,MATCH(O121,('Spell Tables'!CL2:CL11),0))," ")</f>
        <v xml:space="preserve"> </v>
      </c>
      <c r="AJ159" s="29">
        <v>8</v>
      </c>
      <c r="AK159" s="29">
        <v>5</v>
      </c>
    </row>
    <row r="160" spans="1:38" x14ac:dyDescent="0.3">
      <c r="A160" s="33"/>
      <c r="B160" s="72"/>
      <c r="O160" s="83">
        <v>3</v>
      </c>
      <c r="P160" s="65"/>
      <c r="Q160" s="65"/>
      <c r="R160" s="65"/>
      <c r="S160" s="65"/>
      <c r="T160" s="66"/>
      <c r="AJ160" s="29">
        <v>9</v>
      </c>
      <c r="AK160" s="29">
        <v>5</v>
      </c>
    </row>
    <row r="161" spans="1:38" x14ac:dyDescent="0.3">
      <c r="A161" s="33"/>
      <c r="B161" s="72"/>
      <c r="O161" s="84">
        <v>4</v>
      </c>
      <c r="P161" s="60"/>
      <c r="Q161" s="60"/>
      <c r="R161" s="60"/>
      <c r="S161" s="60"/>
      <c r="T161" s="63"/>
      <c r="AJ161" s="29">
        <v>10</v>
      </c>
      <c r="AK161" s="29">
        <v>5</v>
      </c>
    </row>
    <row r="162" spans="1:38" x14ac:dyDescent="0.3">
      <c r="A162" s="33"/>
      <c r="B162" s="72"/>
      <c r="O162" s="83">
        <v>5</v>
      </c>
      <c r="P162" s="65"/>
      <c r="Q162" s="65"/>
      <c r="R162" s="65"/>
      <c r="S162" s="65"/>
      <c r="T162" s="66"/>
    </row>
    <row r="163" spans="1:38" x14ac:dyDescent="0.3">
      <c r="A163" s="33"/>
      <c r="B163" s="72"/>
      <c r="O163" s="84">
        <v>6</v>
      </c>
      <c r="P163" s="60"/>
      <c r="Q163" s="60"/>
      <c r="R163" s="60"/>
      <c r="S163" s="60"/>
      <c r="T163" s="63"/>
      <c r="AJ163" s="31" t="s">
        <v>1667</v>
      </c>
    </row>
    <row r="164" spans="1:38" x14ac:dyDescent="0.3">
      <c r="A164" s="33"/>
      <c r="B164" s="72"/>
      <c r="O164" s="83">
        <v>7</v>
      </c>
      <c r="P164" s="65"/>
      <c r="Q164" s="65"/>
      <c r="R164" s="65"/>
      <c r="S164" s="65"/>
      <c r="T164" s="66"/>
      <c r="AJ164" s="29">
        <v>1</v>
      </c>
      <c r="AK164" s="29">
        <v>6</v>
      </c>
    </row>
    <row r="165" spans="1:38" x14ac:dyDescent="0.3">
      <c r="A165" s="33"/>
      <c r="B165" s="72"/>
      <c r="O165" s="84">
        <v>8</v>
      </c>
      <c r="P165" s="60"/>
      <c r="Q165" s="60"/>
      <c r="R165" s="60"/>
      <c r="S165" s="60"/>
      <c r="T165" s="63"/>
      <c r="AJ165" s="29">
        <v>2</v>
      </c>
      <c r="AK165" s="29">
        <v>6</v>
      </c>
    </row>
    <row r="166" spans="1:38" x14ac:dyDescent="0.3">
      <c r="A166" s="33"/>
      <c r="B166" s="72"/>
      <c r="O166" s="83">
        <v>9</v>
      </c>
      <c r="P166" s="65"/>
      <c r="Q166" s="65"/>
      <c r="R166" s="65"/>
      <c r="S166" s="65"/>
      <c r="T166" s="66"/>
      <c r="U166" s="57"/>
      <c r="V166" s="57"/>
      <c r="W166" s="57"/>
      <c r="X166" s="57"/>
      <c r="AJ166" s="29">
        <v>3</v>
      </c>
      <c r="AK166" s="29">
        <v>6</v>
      </c>
    </row>
    <row r="167" spans="1:38" ht="19.5" thickBot="1" x14ac:dyDescent="0.35">
      <c r="A167" s="33"/>
      <c r="B167" s="72"/>
      <c r="O167" s="85">
        <v>10</v>
      </c>
      <c r="P167" s="67"/>
      <c r="Q167" s="67"/>
      <c r="R167" s="67"/>
      <c r="S167" s="67"/>
      <c r="T167" s="68"/>
      <c r="AJ167" s="29">
        <v>4</v>
      </c>
      <c r="AK167" s="29">
        <v>6</v>
      </c>
      <c r="AL167" s="29" t="str">
        <f ca="1">IF(AND(O11="bard",O12&gt;=14),VLOOKUP(RANDBETWEEN(1,10),Table220345459801858915331388890[],2)," ")</f>
        <v xml:space="preserve"> </v>
      </c>
    </row>
    <row r="168" spans="1:38" ht="19.5" thickBot="1" x14ac:dyDescent="0.35">
      <c r="AJ168" s="29">
        <v>5</v>
      </c>
      <c r="AK168" s="29">
        <v>7</v>
      </c>
      <c r="AL168" s="29" t="str">
        <f ca="1">IF(AND(O11="bard",O12&gt;=14),VLOOKUP(RANDBETWEEN(1,10),Table220345459801858915331388890[],2)," ")</f>
        <v xml:space="preserve"> </v>
      </c>
    </row>
    <row r="169" spans="1:38" ht="30.75" thickBot="1" x14ac:dyDescent="0.45">
      <c r="B169" s="105" t="s">
        <v>1243</v>
      </c>
      <c r="AJ169" s="29">
        <v>6</v>
      </c>
      <c r="AK169" s="29">
        <v>7</v>
      </c>
    </row>
    <row r="170" spans="1:38" ht="19.5" thickBot="1" x14ac:dyDescent="0.35">
      <c r="B170" s="79"/>
      <c r="C170" s="27"/>
      <c r="D170" s="27"/>
      <c r="E170" s="27"/>
      <c r="F170" s="27"/>
      <c r="G170" s="27"/>
      <c r="H170" s="27"/>
      <c r="I170" s="27"/>
      <c r="J170" s="27"/>
      <c r="K170" s="27"/>
      <c r="L170" s="27"/>
      <c r="M170" s="27"/>
      <c r="N170" s="27"/>
      <c r="O170" s="27"/>
      <c r="P170" s="87" t="s">
        <v>1341</v>
      </c>
      <c r="Q170" s="88" t="str">
        <f ca="1">IF($O$11="warlock",INDEX('Spell Tables'!$D$194:$D$213,MATCH($O$12,('Spell Tables'!$A$194:$A$213),0))," ")</f>
        <v xml:space="preserve"> </v>
      </c>
      <c r="R170" s="89" t="s">
        <v>1340</v>
      </c>
      <c r="S170" s="90" t="str">
        <f ca="1">IF($O$11="warlock",INDEX('Spell Tables'!$E$194:$E$213,MATCH($O$12,('Spell Tables'!$A$194:$A$213),0))," ")</f>
        <v xml:space="preserve"> </v>
      </c>
      <c r="T170" s="91"/>
      <c r="AJ170" s="29">
        <v>7</v>
      </c>
      <c r="AK170" s="29">
        <v>7</v>
      </c>
    </row>
    <row r="171" spans="1:38" x14ac:dyDescent="0.3">
      <c r="B171" s="112"/>
      <c r="C171" s="33"/>
      <c r="D171" s="33"/>
      <c r="E171" s="33"/>
      <c r="F171" s="33"/>
      <c r="G171" s="33"/>
      <c r="H171" s="33"/>
      <c r="I171" s="33"/>
      <c r="J171" s="33"/>
      <c r="K171" s="33"/>
      <c r="L171" s="33"/>
      <c r="M171" s="33"/>
      <c r="N171" s="33"/>
      <c r="O171" s="33"/>
      <c r="P171" s="92" t="s">
        <v>1342</v>
      </c>
      <c r="Q171" s="33" t="str">
        <f ca="1">IF(AND(AF14=2,OR(O11="monk",O11="barbarian",O11="warlock"),OR(Q11="fighter",Q11="rogue"),OR(P15&lt;&gt;"arcane trickster",R15&lt;&gt;"arcane trickster",P15&lt;&gt;"eldritch knight",R15&lt;&gt;"eldritch knight")),0,IF(AND(AF14=2,OR(O11="monk",O11="barbarian",O11="warlock"),OR(Q11="monk",Q11="barbarian",Q11="warlock")),0,IF(AND(AF14=2,OR(O11="monk",O11="barbarian",O11="warlock",Q11="monk",Q11="barbarian",Q11="warlock"),OR(P15="arcane trickster",R15="arcane trickster",P15="eldritch knight",R15="eldritch knight")),INDEX('Spell Tables'!D141:D160,MATCH(AF18,('Spell Tables'!A141:A160),0)),IF(AND(AF14=2,OR(O11="monk",O11="barbarian",O11="warlock",Q11="monk",Q11="barbarian",Q11="warlock"),OR(O11="paladin",Q11="paladin",O11="ranger",Q11="ranger")),INDEX('Spell Tables'!D119:D138,MATCH(AF18,('Spell Tables'!B119:B138),0)),IF(AF14=2,INDEX('Spell Tables'!D242:D261,MATCH(AF18,('Spell Tables'!B242:B261),0)),IF(AND(AF14=1,$P$15="arcane trickster"),INDEX('Spell Tables'!$D$141:$D$161,MATCH($O$12,('Spell Tables'!$A$141:$A$160),0)),IF(AND(AF14=1,(OR($O$11="bard",$O$11="cleric",$O$11="druid",$O$11="sorcerer",$O$11="wizard"))),INDEX('Spell Tables'!$D$2:$D$21,MATCH($O$12,('Spell Tables'!$A$2:$A$21),0)),IF(AND(AF14=1,$P$15)="Eldritch Knight",INDEX('Spell Tables'!$D$70:$D$89,MATCH($O$12,('Spell Tables'!$A$70:$A$89),0))," "))))))))</f>
        <v xml:space="preserve"> </v>
      </c>
      <c r="R171" s="33" t="str">
        <f ca="1">IF(AND(AF14=2,OR(O11="monk",O11="barbarian",O11="warlock"),OR(Q11="fighter",Q11="rogue"),OR(P15&lt;&gt;"arcane trickster",R15&lt;&gt;"arcane trickster",P15&lt;&gt;"eldritch knight",R15&lt;&gt;"eldritch knight")),0,IF(AND(AF14=2,OR(O11="monk",O11="barbarian",O11="warlock"),OR(Q11="monk",Q11="barbarian",Q11="warlock")),0,IF(AND(AF14=2,OR(O11="monk",O11="barbarian",O11="warlock",Q11="monk",Q11="barbarian",Q11="warlock"),OR(P15="arcane trickster",R15="arcane trickster",P15="eldritch knight",R15="eldritch knight")),INDEX('Spell Tables'!E141:E160,MATCH(AF18,('Spell Tables'!A141:A160),0)),IF(AND(AF14=2,OR(O11="monk",O11="barbarian",O11="warlock",Q11="monk",Q11="barbarian",Q11="warlock"),OR(O11="paladin",Q11="paladin",O11="ranger",Q11="ranger")),INDEX('Spell Tables'!E119:E138,MATCH(AF18,('Spell Tables'!B119:B138),0)),IF(AF14=2,INDEX('Spell Tables'!E242:E261,MATCH(AF18,('Spell Tables'!B242:B261),0)),IF($P$15="arcane trickster",INDEX('Spell Tables'!$E$141:$E$161,MATCH($O$12,('Spell Tables'!$A$141:$A$160),0)),IF(OR($O$11="bard",$O$11="cleric",$O$11="druid",O11="sorcerer",O11="wizard"),INDEX('Spell Tables'!E$2:E$21,MATCH($O$12,('Spell Tables'!$A$2:$A$21),0)),IF($P$15="Eldritch Knight",INDEX('Spell Tables'!E70:E89,MATCH($O$12,('Spell Tables'!$A$70:$A$89),0))," "))))))))</f>
        <v xml:space="preserve"> </v>
      </c>
      <c r="S171" s="33" t="str">
        <f ca="1">IF(AND(AF14=2,OR(O11="monk",O11="barbarian",O11="warlock"),OR(Q11="fighter",Q11="rogue"),OR(P15&lt;&gt;"arcane trickster",R15&lt;&gt;"arcane trickster",P15&lt;&gt;"eldritch knight",R15&lt;&gt;"eldritch knight")),0,IF(AND(AF14=2,OR(O11="monk",O11="barbarian",O11="warlock"),OR(Q11="monk",Q11="barbarian",Q11="warlock")),0,IF(AND(AF14=2,OR(O11="monk",O11="barbarian",O11="warlock",Q11="monk",Q11="barbarian",Q11="warlock"),OR(P15="arcane trickster",R15="arcane trickster",P15="eldritch knight",R15="eldritch knight")),INDEX('Spell Tables'!F141:F160,MATCH(AF18,('Spell Tables'!A141:A160),0)),IF(AND(AF14=2,OR(O11="monk",O11="barbarian",O11="warlock",Q11="monk",Q11="barbarian",Q11="warlock"),OR(O11="paladin",Q11="paladin",O11="ranger",Q11="ranger")),INDEX('Spell Tables'!F119:F1383,MATCH(AF18,('Spell Tables'!B119:B138),0)),IF(AF14=2,INDEX('Spell Tables'!F242:F261,MATCH(AF18,('Spell Tables'!B242:B261),0)),IF($P$15="arcane trickster",INDEX('Spell Tables'!$F$141:$F$161,MATCH($O$12,('Spell Tables'!$A$141:$A$160),0)),IF(OR($O$11="bard",$O$11="cleric",$O$11="druid",O11="sorcerer",O11="wizard"),INDEX('Spell Tables'!F$2:F$21,MATCH($O$12,('Spell Tables'!$A$2:$A$21),0)),IF($P$15="Eldritch Knight",INDEX('Spell Tables'!F70:F89,MATCH($O$12,('Spell Tables'!$A$70:$A$89),0))," "))))))))</f>
        <v xml:space="preserve"> </v>
      </c>
      <c r="T171" s="72" t="str">
        <f ca="1">IF(AND(AF14=2,OR(O11="monk",O11="barbarian",O11="warlock"),OR(Q11="fighter",Q11="rogue"),OR(P15&lt;&gt;"arcane trickster",R15&lt;&gt;"arcane trickster",P15&lt;&gt;"eldritch knight",R15&lt;&gt;"eldritch knight")),0,IF(AND(AF14=2,OR(O11="monk",O11="barbarian",O11="warlock"),OR(Q11="monk",Q11="barbarian",Q11="warlock")),0,IF(AND(AF14=2,OR(O11="monk",O11="barbarian",O11="warlock",Q11="monk",Q11="barbarian",Q11="warlock"),OR(P15="arcane trickster",R15="arcane trickster",P15="eldritch knight",R15="eldritch knight")),INDEX('Spell Tables'!G141:G160,MATCH(AF18,('Spell Tables'!A141:A160),0)),IF(AND(AF14=2,OR(O11="monk",O11="barbarian",O11="warlock",Q11="monk",Q11="barbarian",Q11="warlock"),OR(O11="paladin",Q11="paladin",O11="ranger",Q11="ranger")),INDEX('Spell Tables'!G119:G138,MATCH(AF18,('Spell Tables'!B119:B138),0)),IF(AF14=2,INDEX('Spell Tables'!G242:G261,MATCH(AF18,('Spell Tables'!B242:B261),0)),IF($P$15="arcane trickster",INDEX('Spell Tables'!$G$141:$G$161,MATCH($O$12,('Spell Tables'!$A$141:$A$160),0)),IF(OR($O$11="bard",$O$11="cleric",$O$11="druid",O11="sorcerer",O11="wizard"),INDEX('Spell Tables'!G$2:G$21,MATCH($O$12,('Spell Tables'!$A$2:$A$21),0)),IF($P$15="Eldritch Knight",INDEX('Spell Tables'!G70:G89,MATCH($O$12,('Spell Tables'!$A$70:$A$89),0))," "))))))))</f>
        <v xml:space="preserve"> </v>
      </c>
      <c r="AJ171" s="29">
        <v>8</v>
      </c>
      <c r="AK171" s="29">
        <v>7</v>
      </c>
    </row>
    <row r="172" spans="1:38" hidden="1" x14ac:dyDescent="0.3">
      <c r="B172" s="112" t="s">
        <v>1270</v>
      </c>
      <c r="C172" s="33"/>
      <c r="D172" s="33"/>
      <c r="E172" s="33"/>
      <c r="F172" s="33"/>
      <c r="G172" s="33"/>
      <c r="H172" s="33"/>
      <c r="I172" s="33"/>
      <c r="J172" s="33"/>
      <c r="K172" s="33"/>
      <c r="L172" s="33"/>
      <c r="M172" s="33"/>
      <c r="N172" s="33"/>
      <c r="O172" s="33" t="s">
        <v>530</v>
      </c>
      <c r="P172" s="92" t="s">
        <v>530</v>
      </c>
      <c r="Q172" s="33" t="str">
        <f ca="1">IF(AND(O11="wizard",O12&gt;=3),"x",IF(O11="wizard","xx"," "))</f>
        <v xml:space="preserve"> </v>
      </c>
      <c r="R172" s="33" t="str">
        <f ca="1">IF(AND(O11="wizard",O12&gt;=5),"x",IF(AND($O$11="wizard",$O$12&gt;3),"xx",IF(AND(O11="wizard",O12=3),"xxx"," ")))</f>
        <v xml:space="preserve"> </v>
      </c>
      <c r="S172" s="33" t="str">
        <f ca="1">IF(AND(O11="Wizard",O12&gt;=7),"x",IF(AND($O$11="wizard",$O$12&gt;5),"xx",IF(AND(O11="wizard",O12=5),"xxx"," ")))</f>
        <v xml:space="preserve"> </v>
      </c>
      <c r="T172" s="33" t="str">
        <f ca="1">IF(AND(O11="wizard",O12&gt;=9),"x",IF(AND($O$11="wizard",$O$12&gt;7),"xx",IF(AND(O11="wizard",O12=7),"xxx"," ")))</f>
        <v xml:space="preserve"> </v>
      </c>
      <c r="AJ172" s="29">
        <v>9</v>
      </c>
      <c r="AK172" s="29">
        <v>7</v>
      </c>
    </row>
    <row r="173" spans="1:38" hidden="1" x14ac:dyDescent="0.3">
      <c r="B173" s="112" t="s">
        <v>1272</v>
      </c>
      <c r="C173" s="33"/>
      <c r="D173" s="33"/>
      <c r="E173" s="33"/>
      <c r="F173" s="33"/>
      <c r="G173" s="33"/>
      <c r="H173" s="33"/>
      <c r="I173" s="33"/>
      <c r="J173" s="33"/>
      <c r="K173" s="33"/>
      <c r="L173" s="33"/>
      <c r="M173" s="33"/>
      <c r="N173" s="33"/>
      <c r="O173" s="33" t="str">
        <f ca="1">IF(O11="wizard",P41+O12," ")</f>
        <v xml:space="preserve"> </v>
      </c>
      <c r="P173" s="92">
        <f ca="1">IF(O11="wizard",INDEX('Spell Tables'!C242:C261,MATCH(O12,('Spell Tables'!B242:B261),0)),0)</f>
        <v>0</v>
      </c>
      <c r="Q173" s="33">
        <f ca="1">IF($Q172="x",RANDBETWEEN(1,2),IF($Q172="xx",$O$173,0))</f>
        <v>0</v>
      </c>
      <c r="R173" s="33">
        <f ca="1">IF(R172="x",RANDBETWEEN(1,2),IF(R172="xx",$O$173-Q173,0))</f>
        <v>0</v>
      </c>
      <c r="S173" s="33">
        <f ca="1">IF(S172="x",O173-SUM(Q173:R173,U122:X122),IF(S172="xx",$O$173-SUM(Q173:R173),0))</f>
        <v>0</v>
      </c>
      <c r="T173" s="33">
        <f ca="1">IF(T172="x",RANDBETWEEN(1,2),IF(T172="xx",RANDBETWEEN(2,3),IF(T172="xxx",RANDBETWEEN(1,2),0)))</f>
        <v>0</v>
      </c>
      <c r="AJ173" s="29">
        <v>10</v>
      </c>
      <c r="AK173" s="29">
        <v>7</v>
      </c>
    </row>
    <row r="174" spans="1:38" hidden="1" x14ac:dyDescent="0.3">
      <c r="B174" s="112" t="s">
        <v>1269</v>
      </c>
      <c r="C174" s="33"/>
      <c r="D174" s="33"/>
      <c r="E174" s="33"/>
      <c r="F174" s="33"/>
      <c r="G174" s="33"/>
      <c r="H174" s="33"/>
      <c r="I174" s="33"/>
      <c r="J174" s="33"/>
      <c r="K174" s="33"/>
      <c r="L174" s="33"/>
      <c r="M174" s="33"/>
      <c r="N174" s="33"/>
      <c r="O174" s="33" t="s">
        <v>530</v>
      </c>
      <c r="P174" s="92" t="s">
        <v>530</v>
      </c>
      <c r="Q174" s="33" t="str">
        <f ca="1">IF(AND($O$11="warlock",$O$12&gt;=3),"x",IF(O11="warlock","xx"," "))</f>
        <v xml:space="preserve"> </v>
      </c>
      <c r="R174" s="33" t="str">
        <f ca="1">IF(AND($O$11="warlock",$O$12&gt;=5),"x",IF(AND($O$11="warlock",$O$12&gt;=3),"xx"," "))</f>
        <v xml:space="preserve"> </v>
      </c>
      <c r="S174" s="33" t="str">
        <f ca="1">IF(AND($O$11="warlock",$O$12&gt;=7),"x",IF(AND($O$11="warlock",$O$12&gt;=5),"xx"," "))</f>
        <v xml:space="preserve"> </v>
      </c>
      <c r="T174" s="33" t="str">
        <f ca="1">IF(AND($O$11="warlock",$O$12&gt;=9),"x",IF(AND($O$11="warlock",$O$12&gt;=7),"xx"," "))</f>
        <v xml:space="preserve"> </v>
      </c>
    </row>
    <row r="175" spans="1:38" hidden="1" x14ac:dyDescent="0.3">
      <c r="B175" s="112" t="s">
        <v>1268</v>
      </c>
      <c r="C175" s="33"/>
      <c r="D175" s="33"/>
      <c r="E175" s="33"/>
      <c r="F175" s="33"/>
      <c r="G175" s="33"/>
      <c r="H175" s="33"/>
      <c r="I175" s="33"/>
      <c r="J175" s="33"/>
      <c r="K175" s="33"/>
      <c r="L175" s="33"/>
      <c r="M175" s="33"/>
      <c r="N175" s="33"/>
      <c r="O175" s="33" t="str">
        <f ca="1">IF(O11="warlock",INDEX('Spell Tables'!C194:C213,MATCH($O$12,('Spell Tables'!A194:A213),0))," ")</f>
        <v xml:space="preserve"> </v>
      </c>
      <c r="P175" s="92">
        <f ca="1">IF($O$11="warlock",INDEX('Spell Tables'!B194:B213,MATCH($O$12,('Spell Tables'!A194:A213),0)),0)</f>
        <v>0</v>
      </c>
      <c r="Q175" s="33">
        <f ca="1">IF($Q174="x",RANDBETWEEN(1,2),IF($Q174="xx",$O$175,0))</f>
        <v>0</v>
      </c>
      <c r="R175" s="33">
        <f ca="1">IF(R174="x",RANDBETWEEN(1,2),IF(R174="xx",$O$175-Q175,0))</f>
        <v>0</v>
      </c>
      <c r="S175" s="33">
        <f ca="1">IF(S174="x",O175-SUM(Q175:R175,U124:X124),IF(S174="xx",$O$175-SUM(Q175:R175),0))</f>
        <v>0</v>
      </c>
      <c r="T175" s="33">
        <f ca="1">IF(T174="x",RANDBETWEEN(1,2),IF(T174="xx",RANDBETWEEN(2,3),0))</f>
        <v>0</v>
      </c>
      <c r="AJ175" s="31" t="s">
        <v>1668</v>
      </c>
    </row>
    <row r="176" spans="1:38" hidden="1" x14ac:dyDescent="0.3">
      <c r="B176" s="112" t="s">
        <v>1267</v>
      </c>
      <c r="C176" s="33"/>
      <c r="D176" s="33"/>
      <c r="E176" s="33"/>
      <c r="F176" s="33"/>
      <c r="G176" s="33"/>
      <c r="H176" s="33"/>
      <c r="I176" s="33"/>
      <c r="J176" s="33"/>
      <c r="K176" s="33"/>
      <c r="L176" s="33"/>
      <c r="M176" s="33"/>
      <c r="N176" s="33"/>
      <c r="O176" s="33" t="s">
        <v>530</v>
      </c>
      <c r="P176" s="92" t="s">
        <v>530</v>
      </c>
      <c r="Q176" s="33" t="str">
        <f ca="1">IF(AND($O$11="sorcerer",$O$12&gt;=3),"x",IF($O$11="sorcerer","xx"," "))</f>
        <v xml:space="preserve"> </v>
      </c>
      <c r="R176" s="33" t="str">
        <f ca="1">IF(AND($O$11="sorcerer",$O$12&gt;=5),"x",IF(AND($O$11="sorcerer",$O$12&gt;=3),"xx"," "))</f>
        <v xml:space="preserve"> </v>
      </c>
      <c r="S176" s="33" t="str">
        <f ca="1">IF(AND($O$11="sorcerer",$O$12&gt;=7),"x",IF(AND($O$11="sorcerer",$O$12&gt;=5),"xx"," "))</f>
        <v xml:space="preserve"> </v>
      </c>
      <c r="T176" s="33" t="str">
        <f ca="1">IF(AND($O$11="sorcerer",$O$12&gt;=9),"x",IF(AND($O$11="sorcerer",$O$12&gt;=7),"xx"," "))</f>
        <v xml:space="preserve"> </v>
      </c>
      <c r="AJ176" s="29">
        <v>1</v>
      </c>
      <c r="AK176" s="29">
        <v>8</v>
      </c>
    </row>
    <row r="177" spans="2:38" hidden="1" x14ac:dyDescent="0.3">
      <c r="B177" s="112" t="s">
        <v>1266</v>
      </c>
      <c r="C177" s="33"/>
      <c r="D177" s="33"/>
      <c r="E177" s="33"/>
      <c r="F177" s="33"/>
      <c r="G177" s="33"/>
      <c r="H177" s="33"/>
      <c r="I177" s="33"/>
      <c r="J177" s="33"/>
      <c r="K177" s="33"/>
      <c r="L177" s="33"/>
      <c r="M177" s="33"/>
      <c r="N177" s="33"/>
      <c r="O177" s="33" t="str">
        <f ca="1">IF(O11="sorcerer",INDEX('Spell Tables'!C168:C187,MATCH($O$12,('Spell Tables'!A168:A187),0))," ")</f>
        <v xml:space="preserve"> </v>
      </c>
      <c r="P177" s="92">
        <f ca="1">IF($O$11="sorcerer",INDEX('Spell Tables'!B168:B187,MATCH($O$12,('Spell Tables'!A168:A187),0)),0)</f>
        <v>0</v>
      </c>
      <c r="Q177" s="33">
        <f ca="1">IF($Q176="x",RANDBETWEEN(1,2),IF($Q176="xx",$O$177,0))</f>
        <v>0</v>
      </c>
      <c r="R177" s="33">
        <f ca="1">IF(R176="x",RANDBETWEEN(1,2),IF(R176="xx",$O$177-Q177,0))</f>
        <v>0</v>
      </c>
      <c r="S177" s="33">
        <f ca="1">IF(S176="x",O177-SUM(Q177:R177,U126:X126),IF(S176="xx",$O$177-SUM(Q177:R177),0))</f>
        <v>0</v>
      </c>
      <c r="T177" s="33">
        <f ca="1">IF(T176="x",RANDBETWEEN(1,2),IF(T176="xx",RANDBETWEEN(2,3),0))</f>
        <v>0</v>
      </c>
      <c r="AJ177" s="29">
        <v>2</v>
      </c>
      <c r="AK177" s="29">
        <v>8</v>
      </c>
    </row>
    <row r="178" spans="2:38" hidden="1" x14ac:dyDescent="0.3">
      <c r="B178" s="112" t="s">
        <v>1254</v>
      </c>
      <c r="C178" s="33"/>
      <c r="D178" s="33"/>
      <c r="E178" s="33"/>
      <c r="F178" s="33"/>
      <c r="G178" s="33"/>
      <c r="H178" s="33"/>
      <c r="I178" s="33"/>
      <c r="J178" s="33"/>
      <c r="K178" s="33"/>
      <c r="L178" s="33"/>
      <c r="M178" s="33"/>
      <c r="N178" s="33"/>
      <c r="O178" s="33" t="s">
        <v>530</v>
      </c>
      <c r="P178" s="92" t="s">
        <v>530</v>
      </c>
      <c r="Q178" s="33" t="str">
        <f ca="1">IF(AND(P15="arcane trickster",O12&gt;=7),"x",IF(P15="arcane trickster","xx"," "))</f>
        <v xml:space="preserve"> </v>
      </c>
      <c r="R178" s="33" t="str">
        <f ca="1">IF(AND(P15="arcane trickster",O12=13),"x",IF(AND(P15="arcane trickster",$O$12&gt;=7),"xx"," "))</f>
        <v xml:space="preserve"> </v>
      </c>
      <c r="S178" s="33" t="str">
        <f ca="1">IF(AND(P15="arcane trickster",O12&gt;=19),"x",IF(AND(P15="arcane trickster",$O$12&gt;=13),"xx"," "))</f>
        <v xml:space="preserve"> </v>
      </c>
      <c r="T178" s="33" t="str">
        <f ca="1">IF(AND(P15="arcane trickster",$O$12&gt;=19),"xx"," ")</f>
        <v xml:space="preserve"> </v>
      </c>
      <c r="AJ178" s="29">
        <v>3</v>
      </c>
      <c r="AK178" s="29">
        <v>8</v>
      </c>
    </row>
    <row r="179" spans="2:38" hidden="1" x14ac:dyDescent="0.3">
      <c r="B179" s="112" t="s">
        <v>1253</v>
      </c>
      <c r="C179" s="33"/>
      <c r="D179" s="33"/>
      <c r="E179" s="33"/>
      <c r="F179" s="33"/>
      <c r="G179" s="33"/>
      <c r="H179" s="33"/>
      <c r="I179" s="33"/>
      <c r="J179" s="33"/>
      <c r="K179" s="33"/>
      <c r="L179" s="33"/>
      <c r="M179" s="33"/>
      <c r="N179" s="33"/>
      <c r="O179" s="33" t="str">
        <f ca="1">IF(P15="arcane trickster",INDEX('Spell Tables'!C141:C160,MATCH($O$12,('Spell Tables'!A141:A160),0))," ")</f>
        <v xml:space="preserve"> </v>
      </c>
      <c r="P179" s="92">
        <f ca="1">IF($P$15="arcane trickster",INDEX('Spell Tables'!B141:B160,MATCH($O$12,('Spell Tables'!A141:A160),0)),0)</f>
        <v>0</v>
      </c>
      <c r="Q179" s="33">
        <f ca="1">IF($Q178="x",RANDBETWEEN(2,3),IF($Q178="xx",$O$179,0))</f>
        <v>0</v>
      </c>
      <c r="R179" s="33">
        <f ca="1">IF(R178="x",RANDBETWEEN(2,3),IF(R178="xx",$O$179-Q179,0))</f>
        <v>0</v>
      </c>
      <c r="S179" s="33">
        <f ca="1">IF(S178="x",O179-SUM(Q179:R179,U128:X128),IF(S178="xx",$O$179-SUM(Q179:R179),0))</f>
        <v>0</v>
      </c>
      <c r="T179" s="33">
        <f ca="1">IF(T178="x",RANDBETWEEN(1,2),IF(T178="xx",RANDBETWEEN(2,3),0))</f>
        <v>0</v>
      </c>
      <c r="AJ179" s="29">
        <v>4</v>
      </c>
      <c r="AK179" s="29">
        <v>8</v>
      </c>
      <c r="AL179" s="29" t="str">
        <f ca="1">IF(AND(O11="bard",O12&gt;=18),VLOOKUP(RANDBETWEEN(1,10),Table222346460802859916332389891[],2)," ")</f>
        <v xml:space="preserve"> </v>
      </c>
    </row>
    <row r="180" spans="2:38" hidden="1" x14ac:dyDescent="0.3">
      <c r="B180" s="112" t="s">
        <v>1247</v>
      </c>
      <c r="C180" s="33"/>
      <c r="D180" s="33"/>
      <c r="E180" s="33"/>
      <c r="F180" s="33"/>
      <c r="G180" s="33"/>
      <c r="H180" s="33"/>
      <c r="I180" s="33"/>
      <c r="J180" s="33"/>
      <c r="K180" s="33"/>
      <c r="L180" s="33"/>
      <c r="M180" s="33"/>
      <c r="N180" s="33"/>
      <c r="O180" s="33" t="s">
        <v>530</v>
      </c>
      <c r="P180" s="92" t="s">
        <v>1324</v>
      </c>
      <c r="Q180" s="33" t="str">
        <f ca="1">IF(AND($O$11="ranger",$O$12&gt;=5),"x",IF(AND(O11="ranger",O12&gt;=2),"xx"," "))</f>
        <v xml:space="preserve"> </v>
      </c>
      <c r="R180" s="33" t="str">
        <f ca="1">IF(AND($O$11="ranger",$O$12&gt;=9),"x",IF(AND($O$11="ranger",$O$12&gt;=5),"xx"," "))</f>
        <v xml:space="preserve"> </v>
      </c>
      <c r="S180" s="33" t="str">
        <f ca="1">IF(AND($O$11="ranger",$O$12&gt;=13),"x",IF(AND($O$11="ranger",$O$12&gt;=9),"xx"," "))</f>
        <v xml:space="preserve"> </v>
      </c>
      <c r="T180" s="33" t="str">
        <f ca="1">IF(AND($O$11="ranger",$O$12&gt;=17),"x",IF(AND($O$11="ranger",$O$12&gt;=13),"xx"," "))</f>
        <v xml:space="preserve"> </v>
      </c>
      <c r="AJ180" s="29">
        <v>5</v>
      </c>
      <c r="AK180" s="29">
        <v>9</v>
      </c>
      <c r="AL180" s="29" t="str">
        <f ca="1">IF(AND(O11="bard",O12&gt;=18),VLOOKUP(RANDBETWEEN(1,10),Table222346460802859916332389891[],2)," ")</f>
        <v xml:space="preserve"> </v>
      </c>
    </row>
    <row r="181" spans="2:38" hidden="1" x14ac:dyDescent="0.3">
      <c r="B181" s="112" t="s">
        <v>1246</v>
      </c>
      <c r="C181" s="33"/>
      <c r="D181" s="33"/>
      <c r="E181" s="33"/>
      <c r="F181" s="33"/>
      <c r="G181" s="33"/>
      <c r="H181" s="33"/>
      <c r="I181" s="33"/>
      <c r="J181" s="33"/>
      <c r="K181" s="33"/>
      <c r="L181" s="33"/>
      <c r="M181" s="33"/>
      <c r="N181" s="33"/>
      <c r="O181" s="33" t="str">
        <f ca="1">IF($O$11="ranger",INDEX('Spell Tables'!C119:C138,MATCH($O$12,('Spell Tables'!B119:B138),0))," ")</f>
        <v xml:space="preserve"> </v>
      </c>
      <c r="P181" s="92" t="s">
        <v>1324</v>
      </c>
      <c r="Q181" s="33">
        <f ca="1">IF($Q180="x",RANDBETWEEN(1,2),IF($Q180="xx",$O$181,0))</f>
        <v>0</v>
      </c>
      <c r="R181" s="33">
        <f ca="1">IF(R180="x",RANDBETWEEN(1,2),IF(R180="xx",$O$181-Q181,0))</f>
        <v>0</v>
      </c>
      <c r="S181" s="33">
        <f ca="1">IF(S180="x",O181-SUM(Q181:R181,T130:X130),IF(S180="xx",$O$181-SUM(Q181:R181),0))</f>
        <v>0</v>
      </c>
      <c r="T181" s="33">
        <f ca="1">IF(T180="x",RANDBETWEEN(1,2),IF(T180="xx",RANDBETWEEN(2,3),0))</f>
        <v>0</v>
      </c>
      <c r="AJ181" s="29">
        <v>6</v>
      </c>
      <c r="AK181" s="29">
        <v>9</v>
      </c>
    </row>
    <row r="182" spans="2:38" hidden="1" x14ac:dyDescent="0.3">
      <c r="B182" s="112" t="s">
        <v>1245</v>
      </c>
      <c r="C182" s="33"/>
      <c r="D182" s="33"/>
      <c r="E182" s="33"/>
      <c r="F182" s="33"/>
      <c r="G182" s="33"/>
      <c r="H182" s="33"/>
      <c r="I182" s="33"/>
      <c r="J182" s="33"/>
      <c r="K182" s="33"/>
      <c r="L182" s="33"/>
      <c r="M182" s="33"/>
      <c r="N182" s="33"/>
      <c r="O182" s="33" t="s">
        <v>530</v>
      </c>
      <c r="P182" s="92" t="s">
        <v>1324</v>
      </c>
      <c r="Q182" s="33" t="str">
        <f ca="1">IF(AND($O$11="paladin",$O$12&gt;=5),"x",IF($O$11="paladin","xx"," "))</f>
        <v xml:space="preserve"> </v>
      </c>
      <c r="R182" s="33" t="str">
        <f ca="1">IF(AND(O11="paladin",O12&gt;=9),"x",IF(AND($O$11="paladin",$O$12&gt;=5),"xx"," "))</f>
        <v xml:space="preserve"> </v>
      </c>
      <c r="S182" s="33" t="str">
        <f ca="1">IF(AND(O11="paladin",O12&gt;=13),"x",IF(AND($O$11="paladin",$O$12&gt;=9),"xx"," "))</f>
        <v xml:space="preserve"> </v>
      </c>
      <c r="T182" s="33" t="str">
        <f ca="1">IF(AND(O11="paladin",O12&gt;=17),"x",IF(AND($O$11="paladin",$O$12&gt;=13),"xx"," "))</f>
        <v xml:space="preserve"> </v>
      </c>
      <c r="AJ182" s="29">
        <v>7</v>
      </c>
      <c r="AK182" s="29">
        <v>9</v>
      </c>
    </row>
    <row r="183" spans="2:38" hidden="1" x14ac:dyDescent="0.3">
      <c r="B183" s="112" t="s">
        <v>1244</v>
      </c>
      <c r="C183" s="33"/>
      <c r="D183" s="33"/>
      <c r="E183" s="33"/>
      <c r="F183" s="33"/>
      <c r="G183" s="33"/>
      <c r="H183" s="33"/>
      <c r="I183" s="33"/>
      <c r="J183" s="33"/>
      <c r="K183" s="33"/>
      <c r="L183" s="33"/>
      <c r="M183" s="33"/>
      <c r="N183" s="33"/>
      <c r="O183" s="33" t="str">
        <f ca="1">IF(O11="paladin",ROUNDDOWN(P43+(O12*0.5),0)," ")</f>
        <v xml:space="preserve"> </v>
      </c>
      <c r="P183" s="92" t="s">
        <v>1324</v>
      </c>
      <c r="Q183" s="33">
        <f ca="1">IF($Q182="x",RANDBETWEEN(1,2),IF($Q182="xx",$O$183,0))</f>
        <v>0</v>
      </c>
      <c r="R183" s="33">
        <f ca="1">IF(R182="x",RANDBETWEEN(1,2),IF(R182="xx",$O$183-Q183,0))</f>
        <v>0</v>
      </c>
      <c r="S183" s="33">
        <f ca="1">IF(S182="x",O183-SUM(Q183:R183,U132:X132),IF(S182="xx",$O$183-SUM(Q183:R183),0))</f>
        <v>0</v>
      </c>
      <c r="T183" s="33">
        <f ca="1">IF(T182="x",RANDBETWEEN(1,2),IF(T182="xx",RANDBETWEEN(2,3),0))</f>
        <v>0</v>
      </c>
      <c r="AJ183" s="29">
        <v>8</v>
      </c>
      <c r="AK183" s="29">
        <v>9</v>
      </c>
    </row>
    <row r="184" spans="2:38" hidden="1" x14ac:dyDescent="0.3">
      <c r="B184" s="112" t="s">
        <v>1226</v>
      </c>
      <c r="C184" s="33"/>
      <c r="D184" s="33"/>
      <c r="E184" s="33"/>
      <c r="F184" s="33"/>
      <c r="G184" s="33"/>
      <c r="H184" s="33"/>
      <c r="I184" s="33"/>
      <c r="J184" s="33"/>
      <c r="K184" s="33"/>
      <c r="L184" s="33"/>
      <c r="M184" s="33"/>
      <c r="N184" s="33"/>
      <c r="O184" s="33" t="s">
        <v>530</v>
      </c>
      <c r="P184" s="92" t="s">
        <v>530</v>
      </c>
      <c r="Q184" s="33" t="str">
        <f ca="1">IF(AND(P15="eldritch knight",O12&gt;=7),"x",IF(P15="eldritch knight","xx"," "))</f>
        <v xml:space="preserve"> </v>
      </c>
      <c r="R184" s="33" t="str">
        <f ca="1">IF(AND(P15="eldritch knight",O12&gt;=13),"x",IF(AND(P15="eldritch knight",$O$12&gt;=7),"xx"," "))</f>
        <v xml:space="preserve"> </v>
      </c>
      <c r="S184" s="33" t="str">
        <f ca="1">IF(AND(P15="eldritch knight",O12&gt;=19),"x",IF(AND(P15="eldritch knight",$O$12&gt;=13),"xx"," "))</f>
        <v xml:space="preserve"> </v>
      </c>
      <c r="T184" s="33" t="str">
        <f ca="1">IF(AND(P15="eldritch knight",$O$12&gt;=19),"xx"," ")</f>
        <v xml:space="preserve"> </v>
      </c>
      <c r="AJ184" s="29">
        <v>9</v>
      </c>
      <c r="AK184" s="29">
        <v>9</v>
      </c>
    </row>
    <row r="185" spans="2:38" hidden="1" x14ac:dyDescent="0.3">
      <c r="B185" s="112" t="s">
        <v>1222</v>
      </c>
      <c r="C185" s="33"/>
      <c r="D185" s="33"/>
      <c r="E185" s="33"/>
      <c r="F185" s="33"/>
      <c r="G185" s="33"/>
      <c r="H185" s="33"/>
      <c r="I185" s="33"/>
      <c r="J185" s="33"/>
      <c r="K185" s="33"/>
      <c r="L185" s="33"/>
      <c r="M185" s="33"/>
      <c r="N185" s="33"/>
      <c r="O185" s="33" t="str">
        <f ca="1">IF($P$15="eldritch knight",INDEX('Spell Tables'!C70:C89,MATCH($O$12,('Spell Tables'!$A$70:$A$89),0))," ")</f>
        <v xml:space="preserve"> </v>
      </c>
      <c r="P185" s="92">
        <f ca="1">IF($P$15="eldritch knight",INDEX('Spell Tables'!B70:B89,MATCH($O$12,('Spell Tables'!A70:A89),0)),0)</f>
        <v>0</v>
      </c>
      <c r="Q185" s="33">
        <f ca="1">IF($Q184="x",RANDBETWEEN(2,3),IF($Q184="xx",$O$185,0))</f>
        <v>0</v>
      </c>
      <c r="R185" s="33">
        <f ca="1">IF(R184="x",RANDBETWEEN(2,3),IF(R184="xx",$O$185-Q185,0))</f>
        <v>0</v>
      </c>
      <c r="S185" s="33">
        <f ca="1">IF(S184="x",O185-SUM(Q185:R185,U134:X134),IF(S184="xx",$O$185-SUM(Q185:R185),0))</f>
        <v>0</v>
      </c>
      <c r="T185" s="33">
        <f ca="1">IF(T184="x",RANDBETWEEN(1,2),IF(T184="xx",RANDBETWEEN(2,3),0))</f>
        <v>0</v>
      </c>
      <c r="AJ185" s="29">
        <v>10</v>
      </c>
      <c r="AK185" s="29">
        <v>9</v>
      </c>
    </row>
    <row r="186" spans="2:38" hidden="1" x14ac:dyDescent="0.3">
      <c r="B186" s="112" t="s">
        <v>1219</v>
      </c>
      <c r="C186" s="33"/>
      <c r="D186" s="33"/>
      <c r="E186" s="33"/>
      <c r="F186" s="33"/>
      <c r="G186" s="33"/>
      <c r="H186" s="33"/>
      <c r="I186" s="33"/>
      <c r="J186" s="33"/>
      <c r="K186" s="33"/>
      <c r="L186" s="33"/>
      <c r="M186" s="33"/>
      <c r="N186" s="33"/>
      <c r="O186" s="33" t="s">
        <v>530</v>
      </c>
      <c r="P186" s="92" t="s">
        <v>530</v>
      </c>
      <c r="Q186" s="33" t="str">
        <f ca="1">IF(AND($O$11="druid",$O$12&gt;=3),"x",IF($O$11="druid","xx"," "))</f>
        <v xml:space="preserve"> </v>
      </c>
      <c r="R186" s="33" t="str">
        <f ca="1">IF(AND($O$11="druid",$O$12&gt;=5),"x",IF(AND($O$11="druid",$O$12&gt;=3),"xx"," "))</f>
        <v xml:space="preserve"> </v>
      </c>
      <c r="S186" s="33" t="str">
        <f ca="1">IF(AND($O$11="druid",$O$12&gt;=7),"x",IF(AND($O$11="druid",$O$12&gt;=5),"xx"," "))</f>
        <v xml:space="preserve"> </v>
      </c>
      <c r="T186" s="33" t="str">
        <f ca="1">IF(AND($O$11="druid",$O$12&gt;=9),"x",IF(AND($O$11="druid",$O$12&gt;=7),"xx"," "))</f>
        <v xml:space="preserve"> </v>
      </c>
    </row>
    <row r="187" spans="2:38" hidden="1" x14ac:dyDescent="0.3">
      <c r="B187" s="112" t="s">
        <v>1220</v>
      </c>
      <c r="C187" s="33"/>
      <c r="D187" s="33"/>
      <c r="E187" s="33"/>
      <c r="F187" s="33"/>
      <c r="G187" s="33"/>
      <c r="H187" s="33"/>
      <c r="I187" s="33"/>
      <c r="J187" s="33"/>
      <c r="K187" s="33"/>
      <c r="L187" s="33"/>
      <c r="M187" s="33"/>
      <c r="N187" s="33"/>
      <c r="O187" s="33" t="str">
        <f ca="1">IF(O11="druid",O12+P42," ")</f>
        <v xml:space="preserve"> </v>
      </c>
      <c r="P187" s="92">
        <f ca="1">IF($O$11="druid",INDEX('Spell Tables'!C48:C67,MATCH($O$12,('Spell Tables'!B48:B67),0)),0)</f>
        <v>0</v>
      </c>
      <c r="Q187" s="33">
        <f ca="1">IF($Q186="x",RANDBETWEEN(1,2),IF($Q186="xx",$O$187,0))</f>
        <v>0</v>
      </c>
      <c r="R187" s="33">
        <f ca="1">IF(R186="x",RANDBETWEEN(1,2),IF(R186="xx",$O$187-Q187,0))</f>
        <v>0</v>
      </c>
      <c r="S187" s="33">
        <f ca="1">IF(S186="x",O187-SUM(Q187:R187,U136:X136),IF(S186="xx",$O$187-SUM(Q187:R187),0))</f>
        <v>0</v>
      </c>
      <c r="T187" s="33">
        <f ca="1">IF(T186="x",RANDBETWEEN(1,2),IF(T186="xx",RANDBETWEEN(2,3),0))</f>
        <v>0</v>
      </c>
      <c r="AJ187" s="31" t="s">
        <v>1670</v>
      </c>
    </row>
    <row r="188" spans="2:38" hidden="1" x14ac:dyDescent="0.3">
      <c r="B188" s="112" t="s">
        <v>1143</v>
      </c>
      <c r="C188" s="33"/>
      <c r="D188" s="33"/>
      <c r="E188" s="33"/>
      <c r="F188" s="33"/>
      <c r="G188" s="33"/>
      <c r="H188" s="33"/>
      <c r="I188" s="33"/>
      <c r="J188" s="33"/>
      <c r="K188" s="33"/>
      <c r="L188" s="33"/>
      <c r="M188" s="33"/>
      <c r="N188" s="33"/>
      <c r="O188" s="33" t="s">
        <v>530</v>
      </c>
      <c r="P188" s="92" t="s">
        <v>530</v>
      </c>
      <c r="Q188" s="33" t="str">
        <f ca="1">IF(AND(O11="cleric",O12&gt;=3),"x",IF(O11="cleric","xx"," "))</f>
        <v xml:space="preserve"> </v>
      </c>
      <c r="R188" s="33" t="str">
        <f ca="1">IF(AND(O11="cleric",O12&gt;=5),"x",IF(AND($O$11="cleric",$O$12&gt;=3),"xx"," "))</f>
        <v xml:space="preserve"> </v>
      </c>
      <c r="S188" s="33" t="str">
        <f ca="1">IF(AND(O11="cleric",O12&gt;=7),"x",IF(AND($O$11="cleric",$O$12&gt;=5),"xx"," "))</f>
        <v xml:space="preserve"> </v>
      </c>
      <c r="T188" s="33" t="str">
        <f ca="1">IF(AND(O11="cleric",O12&gt;=9),"x",IF(AND($O$11="cleric",$O$12&gt;=7),"xx"," "))</f>
        <v xml:space="preserve"> </v>
      </c>
      <c r="AJ188" s="29">
        <v>1</v>
      </c>
      <c r="AK188" s="29" t="s">
        <v>1671</v>
      </c>
    </row>
    <row r="189" spans="2:38" hidden="1" x14ac:dyDescent="0.3">
      <c r="B189" s="112" t="s">
        <v>1142</v>
      </c>
      <c r="C189" s="33"/>
      <c r="D189" s="33"/>
      <c r="E189" s="33"/>
      <c r="F189" s="33"/>
      <c r="G189" s="33"/>
      <c r="H189" s="33"/>
      <c r="I189" s="33"/>
      <c r="J189" s="33"/>
      <c r="K189" s="33"/>
      <c r="L189" s="33"/>
      <c r="M189" s="33"/>
      <c r="N189" s="33"/>
      <c r="O189" s="33" t="str">
        <f ca="1">IF(O11="cleric",O12+P42," ")</f>
        <v xml:space="preserve"> </v>
      </c>
      <c r="P189" s="92">
        <f ca="1">IF($O$11="cleric",INDEX('Spell Tables'!C26:C45,MATCH($O$12,('Spell Tables'!B26:B45),0)),0)</f>
        <v>0</v>
      </c>
      <c r="Q189" s="33">
        <f ca="1">IF($Q188="x",RANDBETWEEN(1,2),IF($Q188="xx",$O$189,0))</f>
        <v>0</v>
      </c>
      <c r="R189" s="33">
        <f ca="1">IF(R188="x",RANDBETWEEN(1,2),IF(R188="xx",$O$189-Q189,0))</f>
        <v>0</v>
      </c>
      <c r="S189" s="33">
        <f ca="1">IF(S188="x",O189-SUM(Q189:R189,U138:X138),IF(S188="xx",$O$189-SUM(Q189:R189),0))</f>
        <v>0</v>
      </c>
      <c r="T189" s="33">
        <f ca="1">IF(T188="x",RANDBETWEEN(1,2),IF(T188="xx",RANDBETWEEN(2,3),0))</f>
        <v>0</v>
      </c>
      <c r="AJ189" s="29">
        <v>2</v>
      </c>
      <c r="AK189" s="29">
        <v>1</v>
      </c>
    </row>
    <row r="190" spans="2:38" hidden="1" x14ac:dyDescent="0.3">
      <c r="B190" s="112" t="s">
        <v>1248</v>
      </c>
      <c r="C190" s="33"/>
      <c r="D190" s="33"/>
      <c r="E190" s="33"/>
      <c r="F190" s="33"/>
      <c r="G190" s="33"/>
      <c r="H190" s="33"/>
      <c r="I190" s="33"/>
      <c r="J190" s="33"/>
      <c r="K190" s="33"/>
      <c r="L190" s="33"/>
      <c r="M190" s="33"/>
      <c r="N190" s="33"/>
      <c r="O190" s="33" t="s">
        <v>530</v>
      </c>
      <c r="P190" s="92" t="s">
        <v>530</v>
      </c>
      <c r="Q190" s="33" t="str">
        <f ca="1">IF(AND($O$11="bard",$O$12&gt;=3),"x",IF($O$11="bard","xx"," "))</f>
        <v xml:space="preserve"> </v>
      </c>
      <c r="R190" s="33" t="str">
        <f ca="1">IF(AND($O$11="bard",$O$12&gt;=5),"x",IF(AND($O$11="bard",$O$12&gt;=3),"xx"," "))</f>
        <v xml:space="preserve"> </v>
      </c>
      <c r="S190" s="33" t="str">
        <f ca="1">IF(AND($O$11="bard",$O$12&gt;=7),"x",IF(AND($O$11="bard",$O$12&gt;=5),"xx"," "))</f>
        <v xml:space="preserve"> </v>
      </c>
      <c r="T190" s="33" t="str">
        <f ca="1">IF(AND($O$11="bard",$O$12&gt;=9),"x",IF(AND($O$11="bard",$O$12&gt;=7),"xx"," "))</f>
        <v xml:space="preserve"> </v>
      </c>
      <c r="AJ190" s="29">
        <v>3</v>
      </c>
      <c r="AK190" s="29">
        <v>1</v>
      </c>
    </row>
    <row r="191" spans="2:38" hidden="1" x14ac:dyDescent="0.3">
      <c r="B191" s="112" t="s">
        <v>1141</v>
      </c>
      <c r="C191" s="33"/>
      <c r="D191" s="33"/>
      <c r="E191" s="33"/>
      <c r="F191" s="33"/>
      <c r="G191" s="33"/>
      <c r="H191" s="33"/>
      <c r="I191" s="33"/>
      <c r="J191" s="33"/>
      <c r="K191" s="33"/>
      <c r="L191" s="33"/>
      <c r="M191" s="33"/>
      <c r="N191" s="33"/>
      <c r="O191" s="33" t="str">
        <f ca="1">IF($O$11="bard",INDEX('Spell Tables'!C$2:C$21,MATCH($O$12,('Spell Tables'!$A$2:$A$21),0))," ")</f>
        <v xml:space="preserve"> </v>
      </c>
      <c r="P191" s="92">
        <f ca="1">IF($O$11="bard",INDEX('Spell Tables'!B2:B21,MATCH($O$12,('Spell Tables'!A2:A21),0)),0)</f>
        <v>0</v>
      </c>
      <c r="Q191" s="33">
        <f ca="1">IF($Q190="x",RANDBETWEEN(1,2),IF($Q190="xx",$O$191,0))</f>
        <v>0</v>
      </c>
      <c r="R191" s="33">
        <f ca="1">IF(R190="x",RANDBETWEEN(1,2),IF(R190="xx",$O$191-Q191,0))</f>
        <v>0</v>
      </c>
      <c r="S191" s="33">
        <f ca="1">IF(S190="x",O191-SUM(Q191:R191,U140:X140),IF(S190="xx",$O$191-SUM(Q191:R191),0))</f>
        <v>0</v>
      </c>
      <c r="T191" s="33">
        <f ca="1">IF(T190="x",RANDBETWEEN(1,2),IF(T190="xx",RANDBETWEEN(2,3),0))</f>
        <v>0</v>
      </c>
      <c r="AJ191" s="29">
        <v>4</v>
      </c>
      <c r="AK191" s="29">
        <v>2</v>
      </c>
      <c r="AL191" s="29" t="str">
        <f ca="1">IF(AND(P15="college of lore",O12&gt;=6),VLOOKUP(RANDBETWEEN(1,10),Table250347461803860917333390892[],2),IF(AND(R15="college of lore",Q12&gt;=6),VLOOKUP(RANDBETWEEN(1,10),Table250347461803860917333390892[],2)," "))</f>
        <v xml:space="preserve"> </v>
      </c>
    </row>
    <row r="192" spans="2:38" x14ac:dyDescent="0.3">
      <c r="B192" s="112" t="s">
        <v>1122</v>
      </c>
      <c r="C192" s="33"/>
      <c r="D192" s="33"/>
      <c r="E192" s="33"/>
      <c r="F192" s="33"/>
      <c r="G192" s="33"/>
      <c r="H192" s="33"/>
      <c r="I192" s="33"/>
      <c r="J192" s="33"/>
      <c r="K192" s="33"/>
      <c r="L192" s="33"/>
      <c r="M192" s="33"/>
      <c r="N192" s="33"/>
      <c r="O192" s="33"/>
      <c r="P192" s="92" t="s">
        <v>1124</v>
      </c>
      <c r="Q192" s="92" t="s">
        <v>1326</v>
      </c>
      <c r="R192" s="92" t="s">
        <v>1167</v>
      </c>
      <c r="S192" s="92" t="s">
        <v>1168</v>
      </c>
      <c r="T192" s="92" t="s">
        <v>676</v>
      </c>
      <c r="AJ192" s="29">
        <v>5</v>
      </c>
      <c r="AK192" s="29">
        <v>2</v>
      </c>
      <c r="AL192" s="29" t="str">
        <f ca="1">IF(AND(P15="college of lore",O12&gt;=6),VLOOKUP(RANDBETWEEN(1,10),Table250347461803860917333390892[],2),IF(AND(R15="college of lore",Q12&gt;=6),VLOOKUP(RANDBETWEEN(1,10),Table250347461803860917333390892[],2)," "))</f>
        <v xml:space="preserve"> </v>
      </c>
    </row>
    <row r="193" spans="2:37" x14ac:dyDescent="0.3">
      <c r="B193" s="79" t="str">
        <f ca="1">IF(OR(O11="bard",O11="paladin",O11="sorcerer",O11="warlock"),8+$P$8+$P$43,IF(OR(O11="druid",O11="cleric",O11="ranger"),8+P8+P42,IF(OR(P15="eldritch knight",P15="arcane trickster",O11="wizard"),8+P8+P41," ")))</f>
        <v xml:space="preserve"> </v>
      </c>
      <c r="C193" s="33"/>
      <c r="D193" s="33"/>
      <c r="E193" s="33"/>
      <c r="F193" s="33"/>
      <c r="G193" s="33"/>
      <c r="H193" s="33"/>
      <c r="I193" s="33"/>
      <c r="J193" s="33"/>
      <c r="K193" s="33"/>
      <c r="L193" s="33"/>
      <c r="M193" s="33"/>
      <c r="N193" s="33"/>
      <c r="O193" s="34">
        <v>1</v>
      </c>
      <c r="P193" s="33" t="str">
        <f ca="1">IF(P$173&gt;=O193,INDEX('Spell Tables'!$P$242:$P$257,MATCH(O193,('Spell Tables'!$N$242:$N$257),0)),IF(P$175&gt;=O193,INDEX('Spell Tables'!$P$194:$P$201,MATCH(O193,('Spell Tables'!$N$194:$N$201),0)),IF(P$177&gt;=O193,INDEX('Spell Tables'!$P$168:$P$183,MATCH(O193,('Spell Tables'!$N$168:$N$183),0)),IF(P$179&gt;=O193,INDEX('Spell Tables'!$P$141:$P$156,MATCH(O193,('Spell Tables'!$N$141:$N$157),0)),IF(P$185&gt;=O193,INDEX('Spell Tables'!$P$70:$P$83,MATCH(O193,('Spell Tables'!$N$70:$N$83),0)),IF(P$187&gt;=O193,INDEX('Spell Tables'!$P$48:$P$55,MATCH(O193,('Spell Tables'!$N$48:$N$55),0)),IF(P$189&gt;=O193,INDEX('Spell Tables'!$P$26:$P$32,MATCH(O193,('Spell Tables'!$N$26:$N$32),0)),IF(P$191&gt;=O193,INDEX('Spell Tables'!$P$2:$P$12,MATCH(O193,('Spell Tables'!$N$2:$N$12),0))," "))))))))</f>
        <v xml:space="preserve"> </v>
      </c>
      <c r="Q193" s="33" t="str">
        <f ca="1">IF(AND($O$15="Otherworldly patron - great old one",Q$175&gt;=O193),INDEX('Spell Tables'!$T$226:$T$238,MATCH(O193,('Spell Tables'!$R$226:$R$238),0)),IF(AND($O$15="Otherworldly patron - fiend",Q$175&gt;=O193),INDEX('Spell Tables'!$T$210:$T$222,MATCH(O193,('Spell Tables'!$R$210:$R$222),0)),IF(Q$173&gt;=O193,INDEX($AL$44:$AL$53,MATCH(O193,($AJ$44:$AJ$53),0)),IF(AND($O$15="Otherworldly patron - archfey",Q$175&gt;=O193),INDEX('Spell Tables'!$T$194:$T$206,MATCH(O193,('Spell Tables'!$R$194:$R$206),0)),IF(Q$177&gt;=O193,INDEX('Spell Tables'!$T$168:$T$187,MATCH(O193,('Spell Tables'!$R$168:$R$187),0)),IF(Q$179&gt;=O193,INDEX('Spell Tables'!$T$141:$T$147,MATCH(O193,('Spell Tables'!$R$141:$R$147),0)),IF(Q$181&gt;=O193,INDEX('Spell Tables'!$P$119:$P$131,MATCH(O193,('Spell Tables'!$N$119:$N$131),0)),IF(Q$183&gt;=O193,INDEX('Spell Tables'!$P$97:$P$111,MATCH(O193,('Spell Tables'!$N$97:$N$111),0)),IF(Q$185&gt;=O193,INDEX('Spell Tables'!$T$70:$T$78,MATCH(O193,('Spell Tables'!$R$70:$R$78),0)),IF(Q$187&gt;=O193,INDEX('Spell Tables'!$T$48:$T$63,MATCH(O193,('Spell Tables'!$R$48:$R$63),0)),IF(Q$189&gt;=O193,INDEX('Spell Tables'!$T$26:$T$40,MATCH(O193,('Spell Tables'!$R$26:$R$40),0)),IF(Q$191&gt;=O193,INDEX('Spell Tables'!$T$2:$T$22,MATCH(O193,('Spell Tables'!$R$2:$R$22),0))," "))))))))))))</f>
        <v xml:space="preserve"> </v>
      </c>
      <c r="R193" s="33" t="str">
        <f ca="1">IF(AND($O$15="Otherworldly patron - great old one",R$175&gt;=O193),INDEX('Spell Tables'!$X$226:$X$239,MATCH(O193,('Spell Tables'!$V$226:$V$239),0)),IF(AND($O$15="Otherworldly patron - fiend",R$175&gt;=O193),INDEX('Spell Tables'!$X$210:$X$223,MATCH(O193,('Spell Tables'!$V$210:$V$223),0)),IF(AND($O$15="Otherworldly patron - archfey",R$175&gt;=O193),INDEX('Spell Tables'!$X$194:$X$207,MATCH(O193,('Spell Tables'!$V$194:$V$207),0)),IF($R$173&gt;=O193,INDEX($AL$56:$AL$65,MATCH(O193,($AJ$56:$AJ$65),0)),IF($R$177&gt;=O193,INDEX('Spell Tables'!$X$168:$X$191,MATCH(O193,('Spell Tables'!$V$168:$V$191),0)),IF($R$179&gt;=O193,INDEX('Spell Tables'!$AB$141:$AB$149,MATCH(O193,('Spell Tables'!$Z$141:$Z$149),0)),IF($R$181&gt;=O193,INDEX('Spell Tables'!$T$119:$T$131,MATCH(O193,('Spell Tables'!$R$119:$R$131),0)),IF($R$183&gt;=O193,INDEX('Spell Tables'!$T$97:$T$104,MATCH(O193,('Spell Tables'!$R$97:$R$104),0)),IF($R$185&gt;=O193,INDEX('Spell Tables'!$AB$70:$AB$75,MATCH(O193,('Spell Tables'!$Z$70:$Z$75),0)),IF($R$187&gt;=O193,INDEX('Spell Tables'!$X$48:$X$65,MATCH(O193,('Spell Tables'!$V$48:$V$65),0)),IF($R$189&gt;=O193,INDEX('Spell Tables'!$X$26:$X$42,MATCH(O193,('Spell Tables'!$V$26:$V$42),0)),IF($R$191&gt;=O193,INDEX('Spell Tables'!$X$2:$X$23,MATCH(O193,('Spell Tables'!$V$2:$V$23),0))," "))))))))))))</f>
        <v xml:space="preserve"> </v>
      </c>
      <c r="S193" s="33" t="str">
        <f ca="1">IF(AND($O$15="Otherworldly patron - great old one",S$175&gt;=O193),INDEX('Spell Tables'!$AB$226:$AB$238,MATCH(O193,('Spell Tables'!$Z$226:$Z$238),0)),IF(AND($O$15="Otherworldly patron - fiend",S$175&gt;=O193),INDEX('Spell Tables'!$AB$210:$AB$222,MATCH(O193,('Spell Tables'!$Z$210:$Z$222),0)),IF(AND($O$15="Otherworldly patron - archfey",S$175&gt;=O193),INDEX('Spell Tables'!$AB$194:$AB$206,MATCH(O193,('Spell Tables'!$Z$194:$Z$206),0)),IF($S$173&gt;=O193,INDEX($AL$68:$AL$77,MATCH(O193,($AJ$68:$AJ$77),0)),IF($S$177&gt;=O193,INDEX('Spell Tables'!$AB$168:$AB$187,MATCH(O193,('Spell Tables'!$Z$168:$Z$187),0)),IF($S$179&gt;=O193,INDEX('Spell Tables'!$AJ$141:$AJ$144,MATCH(O193,('Spell Tables'!$AH$141:$AH$144),0)),IF($S$181&gt;=O193,INDEX('Spell Tables'!$X$119:$X$129,MATCH(O193,('Spell Tables'!$V$119:$V$129),0)),IF($S$183&gt;=O193,INDEX('Spell Tables'!$X$97:$X$106,MATCH(O193,('Spell Tables'!$V$97:$V$106),0)),IF($S$185&gt;=O193,INDEX('Spell Tables'!$AJ$70:$AJ$79,MATCH(O193,('Spell Tables'!$AH$70:$AH$79),0)),IF($S$187&gt;=O193,INDEX('Spell Tables'!$AB$48:$AB$60,MATCH(O193,('Spell Tables'!$Z$48:$Z$60),0)),IF($S$189&gt;=O193,INDEX('Spell Tables'!$AB$26:$AB$45,MATCH(O193,('Spell Tables'!$Z$26:$Z$45),0)),IF($S$191&gt;=O193,INDEX('Spell Tables'!$AB$2:$AB$17,MATCH(O193,('Spell Tables'!$Z$2:$Z$17),0))," "))))))))))))</f>
        <v xml:space="preserve"> </v>
      </c>
      <c r="T193" s="33" t="str">
        <f ca="1">IF(AND($O$15="Otherworldly patron - great old one",T$175&gt;=O193),INDEX('Spell Tables'!$AF$226:$AF$231,MATCH(O193,('Spell Tables'!$AD$226:$AD$231),0)),IF(AND($O$15="Otherworldly patron - fiend",T$175&gt;=O193),INDEX('Spell Tables'!$AF$210:$AF$215,MATCH(O193,('Spell Tables'!$AD$210:$AD$215),0)),IF(AND($O$15="Otherworldly patron - archfey",T$175&gt;=O193),INDEX('Spell Tables'!$AF$194:$AF$199,MATCH(O193,('Spell Tables'!$AD$194:$AD$199),0)),IF($T$173&gt;=O193,INDEX($AL$80:$AL$89,MATCH(O193,($AJ$80:$AJ$89),0)),IF($T$177&gt;=O193,INDEX('Spell Tables'!$AF$168:$AF$177,MATCH(O193,('Spell Tables'!$AD$168:$AD$177),0)),IF($T$179&gt;=O193,INDEX('Spell Tables'!$AR$141:$AR$144,MATCH(O193,('Spell Tables'!$AP$141:$AP$144),0)),IF($T$181&gt;=O193,INDEX('Spell Tables'!$AB$119:$AB$123,MATCH(O193,('Spell Tables'!$Z$119:$Z$123),0)),IF($T$183&gt;=O193,INDEX('Spell Tables'!$AB$97:$AB$102,MATCH(O193,('Spell Tables'!$Z$97:$Z$102),0)),IF($T$185&gt;=O193,INDEX('Spell Tables'!$AR$70:$AR$75,MATCH(O193,('Spell Tables'!$AP$70:$AP$75),0)),IF($T$187&gt;=O193,INDEX('Spell Tables'!$AF$48:$AF$63,MATCH(O193,('Spell Tables'!$AD$48:$AD$63),0)),IF($T$189&gt;=O193,INDEX('Spell Tables'!$AF$26:$AF$33,MATCH(O193,('Spell Tables'!$AD$26:$AD$33),0)),IF($T$191&gt;=O193,INDEX('Spell Tables'!$AF$2:$AF$9,MATCH(O193,('Spell Tables'!$AD$2:$AD$9),0))," "))))))))))))</f>
        <v xml:space="preserve"> </v>
      </c>
      <c r="AJ193" s="29">
        <v>6</v>
      </c>
      <c r="AK193" s="29">
        <v>2</v>
      </c>
    </row>
    <row r="194" spans="2:37" x14ac:dyDescent="0.3">
      <c r="B194" s="112" t="s">
        <v>1123</v>
      </c>
      <c r="C194" s="33"/>
      <c r="D194" s="33"/>
      <c r="E194" s="33"/>
      <c r="F194" s="33"/>
      <c r="G194" s="33"/>
      <c r="H194" s="33"/>
      <c r="I194" s="33"/>
      <c r="J194" s="33"/>
      <c r="K194" s="33"/>
      <c r="L194" s="33"/>
      <c r="M194" s="33"/>
      <c r="N194" s="33"/>
      <c r="O194" s="34">
        <v>2</v>
      </c>
      <c r="P194" s="33" t="str">
        <f ca="1">IF(P$173&gt;=O194,INDEX('Spell Tables'!$P$242:$P$257,MATCH(O194,('Spell Tables'!$N$242:$N$257),0)),IF(P$175&gt;=O194,INDEX('Spell Tables'!$P$194:$P$201,MATCH(O194,('Spell Tables'!$N$194:$N$201),0)),IF(P$177&gt;=O194,INDEX('Spell Tables'!$P$168:$P$183,MATCH(O194,('Spell Tables'!$N$168:$N$183),0)),IF(P$179&gt;=O194,INDEX('Spell Tables'!$P$141:$P$156,MATCH(O194,('Spell Tables'!$N$141:$N$157),0)),IF(P$185&gt;=O194,INDEX('Spell Tables'!$P$70:$P$83,MATCH(O194,('Spell Tables'!$N$70:$N$83),0)),IF(P$187&gt;=O194,INDEX('Spell Tables'!$P$48:$P$55,MATCH(O194,('Spell Tables'!$N$48:$N$55),0)),IF(P$189&gt;=O194,INDEX('Spell Tables'!$P$26:$P$32,MATCH(O194,('Spell Tables'!$N$26:$N$32),0)),IF(P$191&gt;=O194,INDEX('Spell Tables'!$P$2:$P$12,MATCH(O194,('Spell Tables'!$N$2:$N$12),0))," "))))))))</f>
        <v xml:space="preserve"> </v>
      </c>
      <c r="Q194" s="33" t="str">
        <f ca="1">IF(AND($O$15="Otherworldly patron - great old one",Q$175&gt;=O194),INDEX('Spell Tables'!$T$226:$T$238,MATCH(O194,('Spell Tables'!$R$226:$R$238),0)),IF(AND($O$15="Otherworldly patron - fiend",Q$175&gt;=O194),INDEX('Spell Tables'!$T$210:$T$222,MATCH(O194,('Spell Tables'!$R$210:$R$222),0)),IF(Q$173&gt;=O194,INDEX($AL$44:$AL$53,MATCH(O194,($AJ$44:$AJ$53),0)),IF(AND($O$15="Otherworldly patron - archfey",Q$175&gt;=O194),INDEX('Spell Tables'!$T$194:$T$206,MATCH(O194,('Spell Tables'!$R$194:$R$206),0)),IF(Q$177&gt;=O194,INDEX('Spell Tables'!$T$168:$T$187,MATCH(O194,('Spell Tables'!$R$168:$R$187),0)),IF(Q$179&gt;=O194,INDEX('Spell Tables'!$T$141:$T$147,MATCH(O194,('Spell Tables'!$R$141:$R$147),0)),IF(Q$181&gt;=O194,INDEX('Spell Tables'!$P$119:$P$131,MATCH(O194,('Spell Tables'!$N$119:$N$131),0)),IF(Q$183&gt;=O194,INDEX('Spell Tables'!$P$97:$P$111,MATCH(O194,('Spell Tables'!$N$97:$N$111),0)),IF(Q$185&gt;=O194,INDEX('Spell Tables'!$T$70:$T$78,MATCH(O194,('Spell Tables'!$R$70:$R$78),0)),IF(Q$187&gt;=O194,INDEX('Spell Tables'!$T$48:$T$63,MATCH(O194,('Spell Tables'!$R$48:$R$63),0)),IF(Q$189&gt;=O194,INDEX('Spell Tables'!$T$26:$T$40,MATCH(O194,('Spell Tables'!$R$26:$R$40),0)),IF(Q$191&gt;=O194,INDEX('Spell Tables'!$T$2:$T$22,MATCH(O194,('Spell Tables'!$R$2:$R$22),0))," "))))))))))))</f>
        <v xml:space="preserve"> </v>
      </c>
      <c r="R194" s="33" t="str">
        <f ca="1">IF(AND($O$15="Otherworldly patron - great old one",R$175&gt;=O194),INDEX('Spell Tables'!$X$226:$X$239,MATCH(O194,('Spell Tables'!$V$226:$V$239),0)),IF(AND($O$15="Otherworldly patron - fiend",R$175&gt;=O194),INDEX('Spell Tables'!$X$210:$X$223,MATCH(O194,('Spell Tables'!$V$210:$V$223),0)),IF(AND($O$15="Otherworldly patron - archfey",R$175&gt;=O194),INDEX('Spell Tables'!$X$194:$X$207,MATCH(O194,('Spell Tables'!$V$194:$V$207),0)),IF($R$173&gt;=O194,INDEX($AL$56:$AL$65,MATCH(O194,($AJ$56:$AJ$65),0)),IF($R$177&gt;=O194,INDEX('Spell Tables'!$X$168:$X$191,MATCH(O194,('Spell Tables'!$V$168:$V$191),0)),IF($R$179&gt;=O194,INDEX('Spell Tables'!$AB$141:$AB$149,MATCH(O194,('Spell Tables'!$Z$141:$Z$149),0)),IF($R$181&gt;=O194,INDEX('Spell Tables'!$T$119:$T$131,MATCH(O194,('Spell Tables'!$R$119:$R$131),0)),IF($R$183&gt;=O194,INDEX('Spell Tables'!$T$97:$T$104,MATCH(O194,('Spell Tables'!$R$97:$R$104),0)),IF($R$185&gt;=O194,INDEX('Spell Tables'!$AB$70:$AB$75,MATCH(O194,('Spell Tables'!$Z$70:$Z$75),0)),IF($R$187&gt;=O194,INDEX('Spell Tables'!$X$48:$X$65,MATCH(O194,('Spell Tables'!$V$48:$V$65),0)),IF($R$189&gt;=O194,INDEX('Spell Tables'!$X$26:$X$42,MATCH(O194,('Spell Tables'!$V$26:$V$42),0)),IF($R$191&gt;=O194,INDEX('Spell Tables'!$X$2:$X$23,MATCH(O194,('Spell Tables'!$V$2:$V$23),0))," "))))))))))))</f>
        <v xml:space="preserve"> </v>
      </c>
      <c r="S194" s="33" t="str">
        <f ca="1">IF(AND($O$15="Otherworldly patron - great old one",S$175&gt;=O194),INDEX('Spell Tables'!$AB$226:$AB$238,MATCH(O194,('Spell Tables'!$Z$226:$Z$238),0)),IF(AND($O$15="Otherworldly patron - fiend",S$175&gt;=O194),INDEX('Spell Tables'!$AB$210:$AB$222,MATCH(O194,('Spell Tables'!$Z$210:$Z$222),0)),IF(AND($O$15="Otherworldly patron - archfey",S$175&gt;=O194),INDEX('Spell Tables'!$AB$194:$AB$206,MATCH(O194,('Spell Tables'!$Z$194:$Z$206),0)),IF($S$173&gt;=O194,INDEX($AL$68:$AL$77,MATCH(O194,($AJ$68:$AJ$77),0)),IF($S$177&gt;=O194,INDEX('Spell Tables'!$AB$168:$AB$187,MATCH(O194,('Spell Tables'!$Z$168:$Z$187),0)),IF($S$179&gt;=O194,INDEX('Spell Tables'!$AJ$141:$AJ$144,MATCH(O194,('Spell Tables'!$AH$141:$AH$144),0)),IF($S$181&gt;=O194,INDEX('Spell Tables'!$X$119:$X$129,MATCH(O194,('Spell Tables'!$V$119:$V$129),0)),IF($S$183&gt;=O194,INDEX('Spell Tables'!$X$97:$X$106,MATCH(O194,('Spell Tables'!$V$97:$V$106),0)),IF($S$185&gt;=O194,INDEX('Spell Tables'!$AJ$70:$AJ$79,MATCH(O194,('Spell Tables'!$AH$70:$AH$79),0)),IF($S$187&gt;=O194,INDEX('Spell Tables'!$AB$48:$AB$60,MATCH(O194,('Spell Tables'!$Z$48:$Z$60),0)),IF($S$189&gt;=O194,INDEX('Spell Tables'!$AB$26:$AB$45,MATCH(O194,('Spell Tables'!$Z$26:$Z$45),0)),IF($S$191&gt;=O194,INDEX('Spell Tables'!$AB$2:$AB$17,MATCH(O194,('Spell Tables'!$Z$2:$Z$17),0))," "))))))))))))</f>
        <v xml:space="preserve"> </v>
      </c>
      <c r="T194" s="33" t="str">
        <f ca="1">IF(AND($O$15="Otherworldly patron - great old one",T$175&gt;=O194),INDEX('Spell Tables'!$AF$226:$AF$231,MATCH(O194,('Spell Tables'!$AD$226:$AD$231),0)),IF(AND($O$15="Otherworldly patron - fiend",T$175&gt;=O194),INDEX('Spell Tables'!$AF$210:$AF$215,MATCH(O194,('Spell Tables'!$AD$210:$AD$215),0)),IF(AND($O$15="Otherworldly patron - archfey",T$175&gt;=O194),INDEX('Spell Tables'!$AF$194:$AF$199,MATCH(O194,('Spell Tables'!$AD$194:$AD$199),0)),IF($T$173&gt;=O194,INDEX($AL$80:$AL$89,MATCH(O194,($AJ$80:$AJ$89),0)),IF($T$177&gt;=O194,INDEX('Spell Tables'!$AF$168:$AF$177,MATCH(O194,('Spell Tables'!$AD$168:$AD$177),0)),IF($T$179&gt;=O194,INDEX('Spell Tables'!$AR$141:$AR$144,MATCH(O194,('Spell Tables'!$AP$141:$AP$144),0)),IF($T$181&gt;=O194,INDEX('Spell Tables'!$AB$119:$AB$123,MATCH(O194,('Spell Tables'!$Z$119:$Z$123),0)),IF($T$183&gt;=O194,INDEX('Spell Tables'!$AB$97:$AB$102,MATCH(O194,('Spell Tables'!$Z$97:$Z$102),0)),IF($T$185&gt;=O194,INDEX('Spell Tables'!$AR$70:$AR$75,MATCH(O194,('Spell Tables'!$AP$70:$AP$75),0)),IF($T$187&gt;=O194,INDEX('Spell Tables'!$AF$48:$AF$63,MATCH(O194,('Spell Tables'!$AD$48:$AD$63),0)),IF($T$189&gt;=O194,INDEX('Spell Tables'!$AF$26:$AF$33,MATCH(O194,('Spell Tables'!$AD$26:$AD$33),0)),IF($T$191&gt;=O194,INDEX('Spell Tables'!$AF$2:$AF$9,MATCH(O194,('Spell Tables'!$AD$2:$AD$9),0))," "))))))))))))</f>
        <v xml:space="preserve"> </v>
      </c>
      <c r="AJ194" s="29">
        <v>7</v>
      </c>
      <c r="AK194" s="29">
        <v>3</v>
      </c>
    </row>
    <row r="195" spans="2:37" x14ac:dyDescent="0.3">
      <c r="B195" s="79" t="str">
        <f ca="1">IF(OR(O11="bard",O11="paladin",O11="sorcerer",O11="warlock"),P8+$P$43,IF(OR(O11="druid",O11="cleric",O11="ranger"),P8+P42,IF(OR(P15="eldritch knight",P15="arcane trickster",O11="wizard"),P8+P41," ")))</f>
        <v xml:space="preserve"> </v>
      </c>
      <c r="C195" s="33"/>
      <c r="D195" s="33"/>
      <c r="E195" s="33"/>
      <c r="F195" s="33"/>
      <c r="G195" s="33"/>
      <c r="H195" s="33"/>
      <c r="I195" s="33"/>
      <c r="J195" s="33"/>
      <c r="K195" s="33"/>
      <c r="L195" s="33"/>
      <c r="M195" s="33"/>
      <c r="N195" s="33"/>
      <c r="O195" s="34">
        <v>3</v>
      </c>
      <c r="P195" s="33" t="str">
        <f ca="1">IF(P$173&gt;=O195,INDEX('Spell Tables'!$P$242:$P$257,MATCH(O195,('Spell Tables'!$N$242:$N$257),0)),IF(P$175&gt;=O195,INDEX('Spell Tables'!$P$194:$P$201,MATCH(O195,('Spell Tables'!$N$194:$N$201),0)),IF(P$177&gt;=O195,INDEX('Spell Tables'!$P$168:$P$183,MATCH(O195,('Spell Tables'!$N$168:$N$183),0)),IF(P$179&gt;=O195,INDEX('Spell Tables'!$P$141:$P$156,MATCH(O195,('Spell Tables'!$N$141:$N$157),0)),IF(P$185&gt;=O195,INDEX('Spell Tables'!$P$70:$P$83,MATCH(O195,('Spell Tables'!$N$70:$N$83),0)),IF(P$187&gt;=O195,INDEX('Spell Tables'!$P$48:$P$55,MATCH(O195,('Spell Tables'!$N$48:$N$55),0)),IF(P$189&gt;=O195,INDEX('Spell Tables'!$P$26:$P$32,MATCH(O195,('Spell Tables'!$N$26:$N$32),0)),IF(P$191&gt;=O195,INDEX('Spell Tables'!$P$2:$P$12,MATCH(O195,('Spell Tables'!$N$2:$N$12),0))," "))))))))</f>
        <v xml:space="preserve"> </v>
      </c>
      <c r="Q195" s="33" t="str">
        <f ca="1">IF(AND($O$15="Otherworldly patron - great old one",Q$175&gt;=O195),INDEX('Spell Tables'!$T$226:$T$238,MATCH(O195,('Spell Tables'!$R$226:$R$238),0)),IF(AND($O$15="Otherworldly patron - fiend",Q$175&gt;=O195),INDEX('Spell Tables'!$T$210:$T$222,MATCH(O195,('Spell Tables'!$R$210:$R$222),0)),IF(Q$173&gt;=O195,INDEX($AL$44:$AL$53,MATCH(O195,($AJ$44:$AJ$53),0)),IF(AND($O$15="Otherworldly patron - archfey",Q$175&gt;=O195),INDEX('Spell Tables'!$T$194:$T$206,MATCH(O195,('Spell Tables'!$R$194:$R$206),0)),IF(Q$177&gt;=O195,INDEX('Spell Tables'!$T$168:$T$187,MATCH(O195,('Spell Tables'!$R$168:$R$187),0)),IF(Q$179&gt;=O195,INDEX('Spell Tables'!$T$141:$T$147,MATCH(O195,('Spell Tables'!$R$141:$R$147),0)),IF(Q$181&gt;=O195,INDEX('Spell Tables'!$P$119:$P$131,MATCH(O195,('Spell Tables'!$N$119:$N$131),0)),IF(Q$183&gt;=O195,INDEX('Spell Tables'!$P$97:$P$111,MATCH(O195,('Spell Tables'!$N$97:$N$111),0)),IF(Q$185&gt;=O195,INDEX('Spell Tables'!$T$70:$T$78,MATCH(O195,('Spell Tables'!$R$70:$R$78),0)),IF(Q$187&gt;=O195,INDEX('Spell Tables'!$T$48:$T$63,MATCH(O195,('Spell Tables'!$R$48:$R$63),0)),IF(Q$189&gt;=O195,INDEX('Spell Tables'!$T$26:$T$40,MATCH(O195,('Spell Tables'!$R$26:$R$40),0)),IF(Q$191&gt;=O195,INDEX('Spell Tables'!$T$2:$T$22,MATCH(O195,('Spell Tables'!$R$2:$R$22),0))," "))))))))))))</f>
        <v xml:space="preserve"> </v>
      </c>
      <c r="R195" s="33" t="str">
        <f ca="1">IF(AND($O$15="Otherworldly patron - great old one",R$175&gt;=O195),INDEX('Spell Tables'!$X$226:$X$239,MATCH(O195,('Spell Tables'!$V$226:$V$239),0)),IF(AND($O$15="Otherworldly patron - fiend",R$175&gt;=O195),INDEX('Spell Tables'!$X$210:$X$223,MATCH(O195,('Spell Tables'!$V$210:$V$223),0)),IF(AND($O$15="Otherworldly patron - archfey",R$175&gt;=O195),INDEX('Spell Tables'!$X$194:$X$207,MATCH(O195,('Spell Tables'!$V$194:$V$207),0)),IF($R$173&gt;=O195,INDEX($AL$56:$AL$65,MATCH(O195,($AJ$56:$AJ$65),0)),IF($R$177&gt;=O195,INDEX('Spell Tables'!$X$168:$X$191,MATCH(O195,('Spell Tables'!$V$168:$V$191),0)),IF($R$179&gt;=O195,INDEX('Spell Tables'!$AB$141:$AB$149,MATCH(O195,('Spell Tables'!$Z$141:$Z$149),0)),IF($R$181&gt;=O195,INDEX('Spell Tables'!$T$119:$T$131,MATCH(O195,('Spell Tables'!$R$119:$R$131),0)),IF($R$183&gt;=O195,INDEX('Spell Tables'!$T$97:$T$104,MATCH(O195,('Spell Tables'!$R$97:$R$104),0)),IF($R$185&gt;=O195,INDEX('Spell Tables'!$AB$70:$AB$75,MATCH(O195,('Spell Tables'!$Z$70:$Z$75),0)),IF($R$187&gt;=O195,INDEX('Spell Tables'!$X$48:$X$65,MATCH(O195,('Spell Tables'!$V$48:$V$65),0)),IF($R$189&gt;=O195,INDEX('Spell Tables'!$X$26:$X$42,MATCH(O195,('Spell Tables'!$V$26:$V$42),0)),IF($R$191&gt;=O195,INDEX('Spell Tables'!$X$2:$X$23,MATCH(O195,('Spell Tables'!$V$2:$V$23),0))," "))))))))))))</f>
        <v xml:space="preserve"> </v>
      </c>
      <c r="S195" s="33" t="str">
        <f ca="1">IF(AND($O$15="Otherworldly patron - great old one",S$175&gt;=O195),INDEX('Spell Tables'!$AB$226:$AB$238,MATCH(O195,('Spell Tables'!$Z$226:$Z$238),0)),IF(AND($O$15="Otherworldly patron - fiend",S$175&gt;=O195),INDEX('Spell Tables'!$AB$210:$AB$222,MATCH(O195,('Spell Tables'!$Z$210:$Z$222),0)),IF(AND($O$15="Otherworldly patron - archfey",S$175&gt;=O195),INDEX('Spell Tables'!$AB$194:$AB$206,MATCH(O195,('Spell Tables'!$Z$194:$Z$206),0)),IF($S$173&gt;=O197,INDEX($AL$68:$AL$77,MATCH(O195,($AJ$68:$AJ$77),0)),IF($S$177&gt;=O195,INDEX('Spell Tables'!$AB$168:$AB$187,MATCH(O195,('Spell Tables'!$Z$168:$Z$187),0)),IF($S$179&gt;=O195,INDEX('Spell Tables'!$AJ$141:$AJ$144,MATCH(O195,('Spell Tables'!$AH$141:$AH$144),0)),IF($S$181&gt;=O195,INDEX('Spell Tables'!$X$119:$X$129,MATCH(O195,('Spell Tables'!$V$119:$V$129),0)),IF($S$183&gt;=O195,INDEX('Spell Tables'!$X$97:$X$106,MATCH(O195,('Spell Tables'!$V$97:$V$106),0)),IF($S$185&gt;=O195,INDEX('Spell Tables'!$AJ$70:$AJ$79,MATCH(O195,('Spell Tables'!$AH$70:$AH$79),0)),IF($S$187&gt;=O195,INDEX('Spell Tables'!$AB$48:$AB$60,MATCH(O195,('Spell Tables'!$Z$48:$Z$60),0)),IF($S$189&gt;=O195,INDEX('Spell Tables'!$AB$26:$AB$45,MATCH(O195,('Spell Tables'!$Z$26:$Z$45),0)),IF($S$191&gt;=O195,INDEX('Spell Tables'!$AB$2:$AB$17,MATCH(O195,('Spell Tables'!$Z$2:$Z$17),0))," "))))))))))))</f>
        <v xml:space="preserve"> </v>
      </c>
      <c r="T195" s="33" t="str">
        <f ca="1">IF(AND($O$15="Otherworldly patron - great old one",T$175&gt;=O195),INDEX('Spell Tables'!$AF$226:$AF$231,MATCH(O195,('Spell Tables'!$AD$226:$AD$231),0)),IF(AND($O$15="Otherworldly patron - fiend",T$175&gt;=O195),INDEX('Spell Tables'!$AF$210:$AF$215,MATCH(O195,('Spell Tables'!$AD$210:$AD$215),0)),IF(AND($O$15="Otherworldly patron - archfey",T$175&gt;=O195),INDEX('Spell Tables'!$AF$194:$AF$199,MATCH(O195,('Spell Tables'!$AD$194:$AD$199),0)),IF($T$173&gt;=O195,INDEX($AL$80:$AL$89,MATCH(O195,($AJ$80:$AJ$89),0)),IF($T$177&gt;=O195,INDEX('Spell Tables'!$AF$168:$AF$177,MATCH(O195,('Spell Tables'!$AD$168:$AD$177),0)),IF($T$179&gt;=O195,INDEX('Spell Tables'!$AR$141:$AR$144,MATCH(O195,('Spell Tables'!$AP$141:$AP$144),0)),IF($T$181&gt;=O195,INDEX('Spell Tables'!$AB$119:$AB$123,MATCH(O195,('Spell Tables'!$Z$119:$Z$123),0)),IF($T$183&gt;=O195,INDEX('Spell Tables'!$AB$97:$AB$102,MATCH(O195,('Spell Tables'!$Z$97:$Z$102),0)),IF($T$185&gt;=O195,INDEX('Spell Tables'!$AR$70:$AR$75,MATCH(O195,('Spell Tables'!$AP$70:$AP$75),0)),IF($T$187&gt;=O195,INDEX('Spell Tables'!$AF$48:$AF$63,MATCH(O195,('Spell Tables'!$AD$48:$AD$63),0)),IF($T$189&gt;=O195,INDEX('Spell Tables'!$AF$26:$AF$33,MATCH(O195,('Spell Tables'!$AD$26:$AD$33),0)),IF($T$191&gt;=O195,INDEX('Spell Tables'!$AF$2:$AF$9,MATCH(O195,('Spell Tables'!$AD$2:$AD$9),0))," "))))))))))))</f>
        <v xml:space="preserve"> </v>
      </c>
      <c r="AJ195" s="29">
        <v>8</v>
      </c>
      <c r="AK195" s="29">
        <v>3</v>
      </c>
    </row>
    <row r="196" spans="2:37" x14ac:dyDescent="0.3">
      <c r="B196" s="79"/>
      <c r="C196" s="33"/>
      <c r="D196" s="33"/>
      <c r="E196" s="33"/>
      <c r="F196" s="33"/>
      <c r="G196" s="33"/>
      <c r="H196" s="33"/>
      <c r="I196" s="33"/>
      <c r="J196" s="33"/>
      <c r="K196" s="33"/>
      <c r="L196" s="33"/>
      <c r="M196" s="33"/>
      <c r="N196" s="33"/>
      <c r="O196" s="34">
        <v>4</v>
      </c>
      <c r="P196" s="33" t="str">
        <f ca="1">IF(P$173&gt;=O196,INDEX('Spell Tables'!$P$242:$P$257,MATCH(O196,('Spell Tables'!$N$242:$N$257),0)),IF(P$175&gt;=O196,INDEX('Spell Tables'!$P$194:$P$201,MATCH(O196,('Spell Tables'!$N$194:$N$201),0)),IF(P$177&gt;=O196,INDEX('Spell Tables'!$P$168:$P$183,MATCH(O196,('Spell Tables'!$N$168:$N$183),0)),IF(P$179&gt;=O196,INDEX('Spell Tables'!$P$141:$P$156,MATCH(O196,('Spell Tables'!$N$141:$N$157),0)),IF(P$185&gt;=O196,INDEX('Spell Tables'!$P$70:$P$83,MATCH(O196,('Spell Tables'!$N$70:$N$83),0)),IF(P$187&gt;=O196,INDEX('Spell Tables'!$P$48:$P$55,MATCH(O196,('Spell Tables'!$N$48:$N$55),0)),IF(P$189&gt;=O196,INDEX('Spell Tables'!$P$26:$P$32,MATCH(O196,('Spell Tables'!$N$26:$N$32),0)),IF(P$191&gt;=O196,INDEX('Spell Tables'!$P$2:$P$12,MATCH(O196,('Spell Tables'!$N$2:$N$12),0))," "))))))))</f>
        <v xml:space="preserve"> </v>
      </c>
      <c r="Q196" s="33" t="str">
        <f ca="1">IF(AND($O$15="Otherworldly patron - great old one",Q$175&gt;=O196),INDEX('Spell Tables'!$T$226:$T$238,MATCH(O196,('Spell Tables'!$R$226:$R$238),0)),IF(AND($O$15="Otherworldly patron - fiend",Q$175&gt;=O196),INDEX('Spell Tables'!$T$210:$T$222,MATCH(O196,('Spell Tables'!$R$210:$R$222),0)),IF(Q$173&gt;=O196,INDEX($AL$44:$AL$53,MATCH(O196,($AJ$44:$AJ$53),0)),IF(AND($O$15="Otherworldly patron - archfey",Q$175&gt;=O196),INDEX('Spell Tables'!$T$194:$T$206,MATCH(O196,('Spell Tables'!$R$194:$R$206),0)),IF(Q$177&gt;=O196,INDEX('Spell Tables'!$T$168:$T$187,MATCH(O196,('Spell Tables'!$R$168:$R$187),0)),IF(Q$179&gt;=O196,INDEX('Spell Tables'!$T$141:$T$147,MATCH(O196,('Spell Tables'!$R$141:$R$147),0)),IF(Q$181&gt;=O196,INDEX('Spell Tables'!$P$119:$P$131,MATCH(O196,('Spell Tables'!$N$119:$N$131),0)),IF(Q$183&gt;=O196,INDEX('Spell Tables'!$P$97:$P$111,MATCH(O196,('Spell Tables'!$N$97:$N$111),0)),IF(Q$185&gt;=O196,INDEX('Spell Tables'!$T$70:$T$78,MATCH(O196,('Spell Tables'!$R$70:$R$78),0)),IF(Q$187&gt;=O196,INDEX('Spell Tables'!$T$48:$T$63,MATCH(O196,('Spell Tables'!$R$48:$R$63),0)),IF(Q$189&gt;=O196,INDEX('Spell Tables'!$T$26:$T$40,MATCH(O196,('Spell Tables'!$R$26:$R$40),0)),IF(Q$191&gt;=O196,INDEX('Spell Tables'!$T$2:$T$22,MATCH(O196,('Spell Tables'!$R$2:$R$22),0))," "))))))))))))</f>
        <v xml:space="preserve"> </v>
      </c>
      <c r="R196" s="33" t="str">
        <f ca="1">IF(AND($O$15="Otherworldly patron - great old one",R$175&gt;=O196),INDEX('Spell Tables'!$X$226:$X$239,MATCH(O196,('Spell Tables'!$V$226:$V$239),0)),IF(AND($O$15="Otherworldly patron - fiend",R$175&gt;=O196),INDEX('Spell Tables'!$X$210:$X$223,MATCH(O196,('Spell Tables'!$V$210:$V$223),0)),IF(AND($O$15="Otherworldly patron - archfey",R$175&gt;=O196),INDEX('Spell Tables'!$X$194:$X$207,MATCH(O196,('Spell Tables'!$V$194:$V$207),0)),IF($R$173&gt;=O196,INDEX($AL$56:$AL$65,MATCH(O196,($AJ$56:$AJ$65),0)),IF($R$177&gt;=O196,INDEX('Spell Tables'!$X$168:$X$191,MATCH(O196,('Spell Tables'!$V$168:$V$191),0)),IF($R$179&gt;=O196,INDEX('Spell Tables'!$AB$141:$AB$149,MATCH(O196,('Spell Tables'!$Z$141:$Z$149),0)),IF($R$181&gt;=O196,INDEX('Spell Tables'!$T$119:$T$131,MATCH(O196,('Spell Tables'!$R$119:$R$131),0)),IF($R$183&gt;=O196,INDEX('Spell Tables'!$T$97:$T$104,MATCH(O196,('Spell Tables'!$R$97:$R$104),0)),IF($R$185&gt;=O196,INDEX('Spell Tables'!$AB$70:$AB$75,MATCH(O196,('Spell Tables'!$Z$70:$Z$75),0)),IF($R$187&gt;=O196,INDEX('Spell Tables'!$X$48:$X$65,MATCH(O196,('Spell Tables'!$V$48:$V$65),0)),IF($R$189&gt;=O196,INDEX('Spell Tables'!$X$26:$X$42,MATCH(O196,('Spell Tables'!$V$26:$V$42),0)),IF($R$191&gt;=O196,INDEX('Spell Tables'!$X$2:$X$23,MATCH(O196,('Spell Tables'!$V$2:$V$23),0))," "))))))))))))</f>
        <v xml:space="preserve"> </v>
      </c>
      <c r="S196" s="33" t="str">
        <f ca="1">IF(AND($O$15="Otherworldly patron - great old one",S$175&gt;=O196),INDEX('Spell Tables'!$AB$226:$AB$238,MATCH(O196,('Spell Tables'!$Z$226:$Z$238),0)),IF(AND($O$15="Otherworldly patron - fiend",S$175&gt;=O196),INDEX('Spell Tables'!$AB$210:$AB$222,MATCH(O196,('Spell Tables'!$Z$210:$Z$222),0)),IF(AND($O$15="Otherworldly patron - archfey",S$175&gt;=O196),INDEX('Spell Tables'!$AB$194:$AB$206,MATCH(O196,('Spell Tables'!$Z$194:$Z$206),0)),IF($S$173&gt;=O196,INDEX($AL$68:$AL$77,MATCH(O196,($AJ$68:$AJ$77),0)),IF($S$177&gt;=O196,INDEX('Spell Tables'!$AB$168:$AB$187,MATCH(O196,('Spell Tables'!$Z$168:$Z$187),0)),IF($S$179&gt;=O196,INDEX('Spell Tables'!$AJ$141:$AJ$144,MATCH(O196,('Spell Tables'!$AH$141:$AH$144),0)),IF($S$181&gt;=O196,INDEX('Spell Tables'!$X$119:$X$129,MATCH(O196,('Spell Tables'!$V$119:$V$129),0)),IF($S$183&gt;=O196,INDEX('Spell Tables'!$X$97:$X$106,MATCH(O196,('Spell Tables'!$V$97:$V$106),0)),IF($S$185&gt;=O196,INDEX('Spell Tables'!$AJ$70:$AJ$79,MATCH(O196,('Spell Tables'!$AH$70:$AH$79),0)),IF($S$187&gt;=O196,INDEX('Spell Tables'!$AB$48:$AB$60,MATCH(O196,('Spell Tables'!$Z$48:$Z$60),0)),IF($S$189&gt;=O196,INDEX('Spell Tables'!$AB$26:$AB$45,MATCH(O196,('Spell Tables'!$Z$26:$Z$45),0)),IF($S$191&gt;=O196,INDEX('Spell Tables'!$AB$2:$AB$17,MATCH(O196,('Spell Tables'!$Z$2:$Z$17),0))," "))))))))))))</f>
        <v xml:space="preserve"> </v>
      </c>
      <c r="T196" s="33" t="str">
        <f ca="1">IF(AND($O$15="Otherworldly patron - great old one",T$175&gt;=O196),INDEX('Spell Tables'!$AF$226:$AF$231,MATCH(O196,('Spell Tables'!$AD$226:$AD$231),0)),IF(AND($O$15="Otherworldly patron - fiend",T$175&gt;=O196),INDEX('Spell Tables'!$AF$210:$AF$215,MATCH(O196,('Spell Tables'!$AD$210:$AD$215),0)),IF(AND($O$15="Otherworldly patron - archfey",T$175&gt;=O196),INDEX('Spell Tables'!$AF$194:$AF$199,MATCH(O196,('Spell Tables'!$AD$194:$AD$199),0)),IF($T$173&gt;=O196,INDEX($AL$80:$AL$89,MATCH(O196,($AJ$80:$AJ$89),0)),IF($T$177&gt;=O196,INDEX('Spell Tables'!$AF$168:$AF$177,MATCH(O196,('Spell Tables'!$AD$168:$AD$177),0)),IF($T$179&gt;=O196,INDEX('Spell Tables'!$AR$141:$AR$144,MATCH(O196,('Spell Tables'!$AP$141:$AP$144),0)),IF($T$181&gt;=O196,INDEX('Spell Tables'!$AB$119:$AB$123,MATCH(O196,('Spell Tables'!$Z$119:$Z$123),0)),IF($T$183&gt;=O196,INDEX('Spell Tables'!$AB$97:$AB$102,MATCH(O196,('Spell Tables'!$Z$97:$Z$102),0)),IF($T$185&gt;=O196,INDEX('Spell Tables'!$AR$70:$AR$75,MATCH(O196,('Spell Tables'!$AP$70:$AP$75),0)),IF($T$187&gt;=O196,INDEX('Spell Tables'!$AF$48:$AF$63,MATCH(O196,('Spell Tables'!$AD$48:$AD$63),0)),IF($T$189&gt;=O196,INDEX('Spell Tables'!$AF$26:$AF$33,MATCH(O196,('Spell Tables'!$AD$26:$AD$33),0)),IF($T$191&gt;=O196,INDEX('Spell Tables'!$AF$2:$AF$9,MATCH(O196,('Spell Tables'!$AD$2:$AD$9),0))," "))))))))))))</f>
        <v xml:space="preserve"> </v>
      </c>
      <c r="AJ196" s="29">
        <v>9</v>
      </c>
      <c r="AK196" s="29">
        <v>3</v>
      </c>
    </row>
    <row r="197" spans="2:37" x14ac:dyDescent="0.3">
      <c r="B197" s="79"/>
      <c r="C197" s="33"/>
      <c r="D197" s="33"/>
      <c r="E197" s="33"/>
      <c r="F197" s="33"/>
      <c r="G197" s="33"/>
      <c r="H197" s="33"/>
      <c r="I197" s="33"/>
      <c r="J197" s="33"/>
      <c r="K197" s="33"/>
      <c r="L197" s="33"/>
      <c r="M197" s="33"/>
      <c r="N197" s="33"/>
      <c r="O197" s="34">
        <v>5</v>
      </c>
      <c r="P197" s="33" t="str">
        <f ca="1">IF(P$173&gt;=O197,INDEX('Spell Tables'!$P$242:$P$257,MATCH(O197,('Spell Tables'!$N$242:$N$257),0)),IF(P$175&gt;=O197,INDEX('Spell Tables'!$P$194:$P$201,MATCH(O197,('Spell Tables'!$N$194:$N$201),0)),IF(P$177&gt;=O197,INDEX('Spell Tables'!$P$168:$P$183,MATCH(O197,('Spell Tables'!$N$168:$N$183),0)),IF(P$179&gt;=O197,INDEX('Spell Tables'!$P$141:$P$156,MATCH(O197,('Spell Tables'!$N$141:$N$157),0)),IF(P$185&gt;=O197,INDEX('Spell Tables'!$P$70:$P$83,MATCH(O197,('Spell Tables'!$N$70:$N$83),0)),IF(P$187&gt;=O197,INDEX('Spell Tables'!$P$48:$P$55,MATCH(O197,('Spell Tables'!$N$48:$N$55),0)),IF(P$189&gt;=O197,INDEX('Spell Tables'!$P$26:$P$32,MATCH(O197,('Spell Tables'!$N$26:$N$32),0)),IF(P$191&gt;=O197,INDEX('Spell Tables'!$P$2:$P$12,MATCH(O197,('Spell Tables'!$N$2:$N$12),0))," "))))))))</f>
        <v xml:space="preserve"> </v>
      </c>
      <c r="Q197" s="33" t="str">
        <f ca="1">IF(AND($O$15="Otherworldly patron - great old one",Q$175&gt;=O197),INDEX('Spell Tables'!$T$226:$T$238,MATCH(O197,('Spell Tables'!$R$226:$R$238),0)),IF(AND($O$15="Otherworldly patron - fiend",Q$175&gt;=O197),INDEX('Spell Tables'!$T$210:$T$222,MATCH(O197,('Spell Tables'!$R$210:$R$222),0)),IF(Q$173&gt;=O197,INDEX($AL$44:$AL$53,MATCH(O197,($AJ$44:$AJ$53),0)),IF(AND($O$15="Otherworldly patron - archfey",Q$175&gt;=O197),INDEX('Spell Tables'!$T$194:$T$206,MATCH(O197,('Spell Tables'!$R$194:$R$206),0)),IF(Q$177&gt;=O197,INDEX('Spell Tables'!$T$168:$T$187,MATCH(O197,('Spell Tables'!$R$168:$R$187),0)),IF(Q$179&gt;=O197,INDEX('Spell Tables'!$T$141:$T$147,MATCH(O197,('Spell Tables'!$R$141:$R$147),0)),IF(Q$181&gt;=O197,INDEX('Spell Tables'!$P$119:$P$131,MATCH(O197,('Spell Tables'!$N$119:$N$131),0)),IF(Q$183&gt;=O197,INDEX('Spell Tables'!$P$97:$P$111,MATCH(O197,('Spell Tables'!$N$97:$N$111),0)),IF(Q$185&gt;=O197,INDEX('Spell Tables'!$T$70:$T$78,MATCH(O197,('Spell Tables'!$R$70:$R$78),0)),IF(Q$187&gt;=O197,INDEX('Spell Tables'!$T$48:$T$63,MATCH(O197,('Spell Tables'!$R$48:$R$63),0)),IF(Q$189&gt;=O197,INDEX('Spell Tables'!$T$26:$T$40,MATCH(O197,('Spell Tables'!$R$26:$R$40),0)),IF(Q$191&gt;=O197,INDEX('Spell Tables'!$T$2:$T$22,MATCH(O197,('Spell Tables'!$R$2:$R$22),0))," "))))))))))))</f>
        <v xml:space="preserve"> </v>
      </c>
      <c r="R197" s="33" t="str">
        <f ca="1">IF(AND($O$15="Otherworldly patron - great old one",R$175&gt;=O197),INDEX('Spell Tables'!$X$226:$X$239,MATCH(O197,('Spell Tables'!$V$226:$V$239),0)),IF(AND($O$15="Otherworldly patron - fiend",R$175&gt;=O197),INDEX('Spell Tables'!$X$210:$X$223,MATCH(O197,('Spell Tables'!$V$210:$V$223),0)),IF(AND($O$15="Otherworldly patron - archfey",R$175&gt;=O197),INDEX('Spell Tables'!$X$194:$X$207,MATCH(O197,('Spell Tables'!$V$194:$V$207),0)),IF($R$173&gt;=O197,INDEX($AL$56:$AL$65,MATCH(O197,($AJ$56:$AJ$65),0)),IF($R$177&gt;=O197,INDEX('Spell Tables'!$X$168:$X$191,MATCH(O197,('Spell Tables'!$V$168:$V$191),0)),IF($R$179&gt;=O197,INDEX('Spell Tables'!$AB$141:$AB$149,MATCH(O197,('Spell Tables'!$Z$141:$Z$149),0)),IF($R$181&gt;=O197,INDEX('Spell Tables'!$T$119:$T$131,MATCH(O197,('Spell Tables'!$R$119:$R$131),0)),IF($R$183&gt;=O197,INDEX('Spell Tables'!$T$97:$T$104,MATCH(O197,('Spell Tables'!$R$97:$R$104),0)),IF($R$185&gt;=O197,INDEX('Spell Tables'!$AB$70:$AB$75,MATCH(O197,('Spell Tables'!$Z$70:$Z$75),0)),IF($R$187&gt;=O197,INDEX('Spell Tables'!$X$48:$X$65,MATCH(O197,('Spell Tables'!$V$48:$V$65),0)),IF($R$189&gt;=O197,INDEX('Spell Tables'!$X$26:$X$42,MATCH(O197,('Spell Tables'!$V$26:$V$42),0)),IF($R$191&gt;=O197,INDEX('Spell Tables'!$X$2:$X$23,MATCH(O197,('Spell Tables'!$V$2:$V$23),0))," "))))))))))))</f>
        <v xml:space="preserve"> </v>
      </c>
      <c r="S197" s="33" t="str">
        <f ca="1">IF(AND($O$15="Otherworldly patron - great old one",S$175&gt;=O197),INDEX('Spell Tables'!$AB$226:$AB$238,MATCH(O197,('Spell Tables'!$Z$226:$Z$238),0)),IF(AND($O$15="Otherworldly patron - fiend",S$175&gt;=O197),INDEX('Spell Tables'!$AB$210:$AB$222,MATCH(O197,('Spell Tables'!$Z$210:$Z$222),0)),IF(AND($O$15="Otherworldly patron - archfey",S$175&gt;=O197),INDEX('Spell Tables'!$AB$194:$AB$206,MATCH(O197,('Spell Tables'!$Z$194:$Z$206),0)),IF($S$173&gt;=O197,INDEX($AL$68:$AL$77,MATCH(O197,($AJ$68:$AJ$77),0)),IF($S$177&gt;=O197,INDEX('Spell Tables'!$AB$168:$AB$187,MATCH(O197,('Spell Tables'!$Z$168:$Z$187),0)),IF($S$179&gt;=O197,INDEX('Spell Tables'!$AJ$141:$AJ$144,MATCH(O197,('Spell Tables'!$AH$141:$AH$144),0)),IF($S$181&gt;=O197,INDEX('Spell Tables'!$X$119:$X$129,MATCH(O197,('Spell Tables'!$V$119:$V$129),0)),IF($S$183&gt;=O197,INDEX('Spell Tables'!$X$97:$X$106,MATCH(O197,('Spell Tables'!$V$97:$V$106),0)),IF($S$185&gt;=O197,INDEX('Spell Tables'!$AJ$70:$AJ$79,MATCH(O197,('Spell Tables'!$AH$70:$AH$79),0)),IF($S$187&gt;=O197,INDEX('Spell Tables'!$AB$48:$AB$60,MATCH(O197,('Spell Tables'!$Z$48:$Z$60),0)),IF($S$189&gt;=O197,INDEX('Spell Tables'!$AB$26:$AB$45,MATCH(O197,('Spell Tables'!$Z$26:$Z$45),0)),IF($S$191&gt;=O197,INDEX('Spell Tables'!$AB$2:$AB$17,MATCH(O197,('Spell Tables'!$Z$2:$Z$17),0))," "))))))))))))</f>
        <v xml:space="preserve"> </v>
      </c>
      <c r="T197" s="33" t="str">
        <f ca="1">IF(AND($O$15="Otherworldly patron - great old one",T$175&gt;=O197),INDEX('Spell Tables'!$AF$226:$AF$231,MATCH(O197,('Spell Tables'!$AD$226:$AD$231),0)),IF(AND($O$15="Otherworldly patron - fiend",T$175&gt;=O197),INDEX('Spell Tables'!$AF$210:$AF$215,MATCH(O197,('Spell Tables'!$AD$210:$AD$215),0)),IF(AND($O$15="Otherworldly patron - archfey",T$175&gt;=O197),INDEX('Spell Tables'!$AF$194:$AF$199,MATCH(O197,('Spell Tables'!$AD$194:$AD$199),0)),IF($T$173&gt;=O197,INDEX($AL$80:$AL$89,MATCH(O197,($AJ$80:$AJ$89),0)),IF($T$177&gt;=O197,INDEX('Spell Tables'!$AF$168:$AF$177,MATCH(O197,('Spell Tables'!$AD$168:$AD$177),0)),IF($T$179&gt;=O197,INDEX('Spell Tables'!$AR$141:$AR$144,MATCH(O197,('Spell Tables'!$AP$141:$AP$144),0)),IF($T$181&gt;=O197,INDEX('Spell Tables'!$AB$119:$AB$123,MATCH(O197,('Spell Tables'!$Z$119:$Z$123),0)),IF($T$183&gt;=O197,INDEX('Spell Tables'!$AB$97:$AB$102,MATCH(O197,('Spell Tables'!$Z$97:$Z$102),0)),IF($T$185&gt;=O197,INDEX('Spell Tables'!$AR$70:$AR$75,MATCH(O197,('Spell Tables'!$AP$70:$AP$75),0)),IF($T$187&gt;=O197,INDEX('Spell Tables'!$AF$48:$AF$63,MATCH(O197,('Spell Tables'!$AD$48:$AD$63),0)),IF($T$189&gt;=O197,INDEX('Spell Tables'!$AF$26:$AF$33,MATCH(O197,('Spell Tables'!$AD$26:$AD$33),0)),IF($T$191&gt;=O197,INDEX('Spell Tables'!$AF$2:$AF$9,MATCH(O197,('Spell Tables'!$AD$2:$AD$9),0))," "))))))))))))</f>
        <v xml:space="preserve"> </v>
      </c>
      <c r="AJ197" s="29">
        <v>10</v>
      </c>
      <c r="AK197" s="29">
        <v>3</v>
      </c>
    </row>
    <row r="198" spans="2:37" x14ac:dyDescent="0.3">
      <c r="B198" s="33"/>
      <c r="C198" s="33"/>
      <c r="D198" s="33"/>
      <c r="E198" s="33"/>
      <c r="F198" s="33"/>
      <c r="G198" s="33"/>
      <c r="H198" s="33"/>
      <c r="I198" s="33"/>
      <c r="J198" s="33"/>
      <c r="K198" s="33"/>
      <c r="L198" s="33"/>
      <c r="M198" s="33"/>
      <c r="N198" s="33"/>
      <c r="O198" s="34">
        <v>6</v>
      </c>
      <c r="P198" s="33" t="str">
        <f ca="1">IF(P$173&gt;=O198,INDEX('Spell Tables'!$P$242:$P$257,MATCH(O198,('Spell Tables'!$N$242:$N$257),0)),IF(P$175&gt;=O198,INDEX('Spell Tables'!$P$194:$P$201,MATCH(O198,('Spell Tables'!$N$194:$N$201),0)),IF(P$177&gt;=O198,INDEX('Spell Tables'!$P$168:$P$183,MATCH(O198,('Spell Tables'!$N$168:$N$183),0)),IF(P$179&gt;=O198,INDEX('Spell Tables'!$P$141:$P$156,MATCH(O198,('Spell Tables'!$N$141:$N$157),0)),IF(P$185&gt;=O198,INDEX('Spell Tables'!$P$70:$P$83,MATCH(O198,('Spell Tables'!$N$70:$N$83),0)),IF(P$187&gt;=O198,INDEX('Spell Tables'!$P$48:$P$55,MATCH(O198,('Spell Tables'!$N$48:$N$55),0)),IF(P$189&gt;=O198,INDEX('Spell Tables'!$P$26:$P$32,MATCH(O198,('Spell Tables'!$N$26:$N$32),0)),IF(P$191&gt;=O198,INDEX('Spell Tables'!$P$2:$P$12,MATCH(O198,('Spell Tables'!$N$2:$N$12),0))," "))))))))</f>
        <v xml:space="preserve"> </v>
      </c>
      <c r="Q198" s="33" t="str">
        <f ca="1">IF(AND($O$15="Otherworldly patron - great old one",Q$175&gt;=O198),INDEX('Spell Tables'!$T$226:$T$238,MATCH(O198,('Spell Tables'!$R$226:$R$238),0)),IF(AND($O$15="Otherworldly patron - fiend",Q$175&gt;=O198),INDEX('Spell Tables'!$T$210:$T$222,MATCH(O198,('Spell Tables'!$R$210:$R$222),0)),IF(Q$173&gt;=O198,INDEX($AL$44:$AL$53,MATCH(O198,($AJ$44:$AJ$53),0)),IF(AND($O$15="Otherworldly patron - archfey",Q$175&gt;=O198),INDEX('Spell Tables'!$T$194:$T$206,MATCH(O198,('Spell Tables'!$R$194:$R$206),0)),IF(Q$177&gt;=O198,INDEX('Spell Tables'!$T$168:$T$187,MATCH(O198,('Spell Tables'!$R$168:$R$187),0)),IF(Q$179&gt;=O198,INDEX('Spell Tables'!$T$141:$T$147,MATCH(O198,('Spell Tables'!$R$141:$R$147),0)),IF(Q$181&gt;=O198,INDEX('Spell Tables'!$P$119:$P$131,MATCH(O198,('Spell Tables'!$N$119:$N$131),0)),IF(Q$183&gt;=O198,INDEX('Spell Tables'!$P$97:$P$111,MATCH(O198,('Spell Tables'!$N$97:$N$111),0)),IF(Q$185&gt;=O198,INDEX('Spell Tables'!$T$70:$T$78,MATCH(O198,('Spell Tables'!$R$70:$R$78),0)),IF(Q$187&gt;=O198,INDEX('Spell Tables'!$T$48:$T$63,MATCH(O198,('Spell Tables'!$R$48:$R$63),0)),IF(Q$189&gt;=O198,INDEX('Spell Tables'!$T$26:$T$40,MATCH(O198,('Spell Tables'!$R$26:$R$40),0)),IF(Q$191&gt;=O198,INDEX('Spell Tables'!$T$2:$T$22,MATCH(O198,('Spell Tables'!$R$2:$R$22),0))," "))))))))))))</f>
        <v xml:space="preserve"> </v>
      </c>
      <c r="R198" s="33" t="str">
        <f ca="1">IF(AND($O$15="Otherworldly patron - great old one",R$175&gt;=O198),INDEX('Spell Tables'!$X$226:$X$239,MATCH(O198,('Spell Tables'!$V$226:$V$239),0)),IF(AND($O$15="Otherworldly patron - fiend",R$175&gt;=O198),INDEX('Spell Tables'!$X$210:$X$223,MATCH(O198,('Spell Tables'!$V$210:$V$223),0)),IF(AND($O$15="Otherworldly patron - archfey",R$175&gt;=O198),INDEX('Spell Tables'!$X$194:$X$207,MATCH(O198,('Spell Tables'!$V$194:$V$207),0)),IF($R$173&gt;=O198,INDEX($AL$56:$AL$65,MATCH(O198,($AJ$56:$AJ$65),0)),IF($R$177&gt;=O198,INDEX('Spell Tables'!$X$168:$X$191,MATCH(O198,('Spell Tables'!$V$168:$V$191),0)),IF($R$179&gt;=O198,INDEX('Spell Tables'!$AB$141:$AB$149,MATCH(O198,('Spell Tables'!$Z$141:$Z$149),0)),IF($R$181&gt;=O198,INDEX('Spell Tables'!$T$119:$T$131,MATCH(O198,('Spell Tables'!$R$119:$R$131),0)),IF($R$183&gt;=O198,INDEX('Spell Tables'!$T$97:$T$104,MATCH(O198,('Spell Tables'!$R$97:$R$104),0)),IF($R$185&gt;=O198,INDEX('Spell Tables'!$AB$70:$AB$75,MATCH(O198,('Spell Tables'!$Z$70:$Z$75),0)),IF($R$187&gt;=O198,INDEX('Spell Tables'!$X$48:$X$65,MATCH(O198,('Spell Tables'!$V$48:$V$65),0)),IF($R$189&gt;=O198,INDEX('Spell Tables'!$X$26:$X$42,MATCH(O198,('Spell Tables'!$V$26:$V$42),0)),IF($R$191&gt;=O198,INDEX('Spell Tables'!$X$2:$X$23,MATCH(O198,('Spell Tables'!$V$2:$V$23),0))," "))))))))))))</f>
        <v xml:space="preserve"> </v>
      </c>
      <c r="S198" s="33" t="str">
        <f ca="1">IF(AND($O$15="Otherworldly patron - great old one",S$175&gt;=O198),INDEX('Spell Tables'!$AB$226:$AB$238,MATCH(O198,('Spell Tables'!$Z$226:$Z$238),0)),IF(AND($O$15="Otherworldly patron - fiend",S$175&gt;=O198),INDEX('Spell Tables'!$AB$210:$AB$222,MATCH(O198,('Spell Tables'!$Z$210:$Z$222),0)),IF(AND($O$15="Otherworldly patron - archfey",S$175&gt;=O198),INDEX('Spell Tables'!$AB$194:$AB$206,MATCH(O198,('Spell Tables'!$Z$194:$Z$206),0)),IF($S$173&gt;=O198,INDEX($AL$68:$AL$77,MATCH(O198,($AJ$68:$AJ$77),0)),IF($S$177&gt;=O198,INDEX('Spell Tables'!$AB$168:$AB$187,MATCH(O198,('Spell Tables'!$Z$168:$Z$187),0)),IF($S$179&gt;=O198,INDEX('Spell Tables'!$AJ$141:$AJ$144,MATCH(O198,('Spell Tables'!$AH$141:$AH$144),0)),IF($S$181&gt;=O198,INDEX('Spell Tables'!$X$119:$X$129,MATCH(O198,('Spell Tables'!$V$119:$V$129),0)),IF($S$183&gt;=O198,INDEX('Spell Tables'!$X$97:$X$106,MATCH(O198,('Spell Tables'!$V$97:$V$106),0)),IF($S$185&gt;=O198,INDEX('Spell Tables'!$AJ$70:$AJ$79,MATCH(O198,('Spell Tables'!$AH$70:$AH$79),0)),IF($S$187&gt;=O198,INDEX('Spell Tables'!$AB$48:$AB$60,MATCH(O198,('Spell Tables'!$Z$48:$Z$60),0)),IF($S$189&gt;=O198,INDEX('Spell Tables'!$AB$26:$AB$45,MATCH(O198,('Spell Tables'!$Z$26:$Z$45),0)),IF($S$191&gt;=O198,INDEX('Spell Tables'!$AB$2:$AB$17,MATCH(O198,('Spell Tables'!$Z$2:$Z$17),0))," "))))))))))))</f>
        <v xml:space="preserve"> </v>
      </c>
      <c r="T198" s="33" t="str">
        <f ca="1">IF(AND($O$15="Otherworldly patron - great old one",T$175&gt;=O198),INDEX('Spell Tables'!$AF$226:$AF$231,MATCH(O198,('Spell Tables'!$AD$226:$AD$231),0)),IF(AND($O$15="Otherworldly patron - fiend",T$175&gt;=O198),INDEX('Spell Tables'!$AF$210:$AF$215,MATCH(O198,('Spell Tables'!$AD$210:$AD$215),0)),IF(AND($O$15="Otherworldly patron - archfey",T$175&gt;=O198),INDEX('Spell Tables'!$AF$194:$AF$199,MATCH(O198,('Spell Tables'!$AD$194:$AD$199),0)),IF($T$173&gt;=O198,INDEX($AL$80:$AL$89,MATCH(O198,($AJ$80:$AJ$89),0)),IF($T$177&gt;=O198,INDEX('Spell Tables'!$AF$168:$AF$177,MATCH(O198,('Spell Tables'!$AD$168:$AD$177),0)),IF($T$179&gt;=O198,INDEX('Spell Tables'!$AR$141:$AR$144,MATCH(O198,('Spell Tables'!$AP$141:$AP$144),0)),IF($T$181&gt;=O198,INDEX('Spell Tables'!$AB$119:$AB$123,MATCH(O198,('Spell Tables'!$Z$119:$Z$123),0)),IF($T$183&gt;=O198,INDEX('Spell Tables'!$AB$97:$AB$102,MATCH(O198,('Spell Tables'!$Z$97:$Z$102),0)),IF($T$185&gt;=O198,INDEX('Spell Tables'!$AR$70:$AR$75,MATCH(O198,('Spell Tables'!$AP$70:$AP$75),0)),IF($T$187&gt;=O198,INDEX('Spell Tables'!$AF$48:$AF$63,MATCH(O198,('Spell Tables'!$AD$48:$AD$63),0)),IF($T$189&gt;=O198,INDEX('Spell Tables'!$AF$26:$AF$33,MATCH(O198,('Spell Tables'!$AD$26:$AD$33),0)),IF($T$191&gt;=O198,INDEX('Spell Tables'!$AF$2:$AF$9,MATCH(O198,('Spell Tables'!$AD$2:$AD$9),0))," "))))))))))))</f>
        <v xml:space="preserve"> </v>
      </c>
    </row>
    <row r="199" spans="2:37" x14ac:dyDescent="0.3">
      <c r="B199" s="33"/>
      <c r="C199" s="33"/>
      <c r="D199" s="33"/>
      <c r="E199" s="33"/>
      <c r="F199" s="33"/>
      <c r="G199" s="33"/>
      <c r="H199" s="33"/>
      <c r="I199" s="33"/>
      <c r="J199" s="33"/>
      <c r="K199" s="33"/>
      <c r="L199" s="33"/>
      <c r="M199" s="33"/>
      <c r="N199" s="33"/>
      <c r="O199" s="34">
        <v>7</v>
      </c>
      <c r="P199" s="33" t="str">
        <f ca="1">IF(P$173&gt;=O199,INDEX('Spell Tables'!$P$242:$P$257,MATCH(O199,('Spell Tables'!$N$242:$N$257),0)),IF(P$175&gt;=O199,INDEX('Spell Tables'!$P$194:$P$201,MATCH(O199,('Spell Tables'!$N$194:$N$201),0)),IF(P$177&gt;=O199,INDEX('Spell Tables'!$P$168:$P$183,MATCH(O199,('Spell Tables'!$N$168:$N$183),0)),IF(P$179&gt;=O199,INDEX('Spell Tables'!$P$141:$P$156,MATCH(O199,('Spell Tables'!$N$141:$N$157),0)),IF(P$185&gt;=O199,INDEX('Spell Tables'!$P$70:$P$83,MATCH(O199,('Spell Tables'!$N$70:$N$83),0)),IF(P$187&gt;=O199,INDEX('Spell Tables'!$P$48:$P$55,MATCH(O199,('Spell Tables'!$N$48:$N$55),0)),IF(P$189&gt;=O199,INDEX('Spell Tables'!$P$26:$P$32,MATCH(O199,('Spell Tables'!$N$26:$N$32),0)),IF(P$191&gt;=O199,INDEX('Spell Tables'!$P$2:$P$12,MATCH(O199,('Spell Tables'!$N$2:$N$12),0))," "))))))))</f>
        <v xml:space="preserve"> </v>
      </c>
      <c r="Q199" s="33" t="str">
        <f ca="1">IF(AND($O$15="Otherworldly patron - great old one",Q$175&gt;=O199),INDEX('Spell Tables'!$T$226:$T$238,MATCH(O199,('Spell Tables'!$R$226:$R$238),0)),IF(AND($O$15="Otherworldly patron - fiend",Q$175&gt;=O199),INDEX('Spell Tables'!$T$210:$T$222,MATCH(O199,('Spell Tables'!$R$210:$R$222),0)),IF(Q$173&gt;=O199,INDEX($AL$44:$AL$53,MATCH(O199,($AJ$44:$AJ$53),0)),IF(AND($O$15="Otherworldly patron - archfey",Q$175&gt;=O199),INDEX('Spell Tables'!$T$194:$T$206,MATCH(O199,('Spell Tables'!$R$194:$R$206),0)),IF(Q$177&gt;=O199,INDEX('Spell Tables'!$T$168:$T$187,MATCH(O199,('Spell Tables'!$R$168:$R$187),0)),IF(Q$179&gt;=O199,INDEX('Spell Tables'!$T$141:$T$147,MATCH(O199,('Spell Tables'!$R$141:$R$147),0)),IF(Q$181&gt;=O199,INDEX('Spell Tables'!$P$119:$P$131,MATCH(O199,('Spell Tables'!$N$119:$N$131),0)),IF(Q$183&gt;=O199,INDEX('Spell Tables'!$P$97:$P$111,MATCH(O199,('Spell Tables'!$N$97:$N$111),0)),IF(Q$185&gt;=O199,INDEX('Spell Tables'!$T$70:$T$78,MATCH(O199,('Spell Tables'!$R$70:$R$78),0)),IF(Q$187&gt;=O199,INDEX('Spell Tables'!$T$48:$T$63,MATCH(O199,('Spell Tables'!$R$48:$R$63),0)),IF(Q$189&gt;=O199,INDEX('Spell Tables'!$T$26:$T$40,MATCH(O199,('Spell Tables'!$R$26:$R$40),0)),IF(Q$191&gt;=O199,INDEX('Spell Tables'!$T$2:$T$22,MATCH(O199,('Spell Tables'!$R$2:$R$22),0))," "))))))))))))</f>
        <v xml:space="preserve"> </v>
      </c>
      <c r="R199" s="33" t="str">
        <f ca="1">IF(AND($O$15="Otherworldly patron - great old one",R$175&gt;=O199),INDEX('Spell Tables'!$X$226:$X$239,MATCH(O199,('Spell Tables'!$V$226:$V$239),0)),IF(AND($O$15="Otherworldly patron - fiend",R$175&gt;=O199),INDEX('Spell Tables'!$X$210:$X$223,MATCH(O199,('Spell Tables'!$V$210:$V$223),0)),IF(AND($O$15="Otherworldly patron - archfey",R$175&gt;=O199),INDEX('Spell Tables'!$X$194:$X$207,MATCH(O199,('Spell Tables'!$V$194:$V$207),0)),IF($R$173&gt;=O199,INDEX($AL$56:$AL$65,MATCH(O199,($AJ$56:$AJ$65),0)),IF($R$177&gt;=O199,INDEX('Spell Tables'!$X$168:$X$191,MATCH(O199,('Spell Tables'!$V$168:$V$191),0)),IF($R$179&gt;=O199,INDEX('Spell Tables'!$AB$141:$AB$149,MATCH(O199,('Spell Tables'!$Z$141:$Z$149),0)),IF($R$181&gt;=O199,INDEX('Spell Tables'!$T$119:$T$131,MATCH(O199,('Spell Tables'!$R$119:$R$131),0)),IF($R$183&gt;=O199,INDEX('Spell Tables'!$T$97:$T$104,MATCH(O199,('Spell Tables'!$R$97:$R$104),0)),IF($R$185&gt;=O199,INDEX('Spell Tables'!$AB$70:$AB$75,MATCH(O199,('Spell Tables'!$Z$70:$Z$75),0)),IF($R$187&gt;=O199,INDEX('Spell Tables'!$X$48:$X$65,MATCH(O199,('Spell Tables'!$V$48:$V$65),0)),IF($R$189&gt;=O199,INDEX('Spell Tables'!$X$26:$X$42,MATCH(O199,('Spell Tables'!$V$26:$V$42),0)),IF($R$191&gt;=O199,INDEX('Spell Tables'!$X$2:$X$23,MATCH(O199,('Spell Tables'!$V$2:$V$23),0))," "))))))))))))</f>
        <v xml:space="preserve"> </v>
      </c>
      <c r="S199" s="33" t="str">
        <f ca="1">IF(AND($O$15="Otherworldly patron - great old one",S$175&gt;=O199),INDEX('Spell Tables'!$AB$226:$AB$238,MATCH(O199,('Spell Tables'!$Z$226:$Z$238),0)),IF(AND($O$15="Otherworldly patron - fiend",S$175&gt;=O199),INDEX('Spell Tables'!$AB$210:$AB$222,MATCH(O199,('Spell Tables'!$Z$210:$Z$222),0)),IF(AND($O$15="Otherworldly patron - archfey",S$175&gt;=O199),INDEX('Spell Tables'!$AB$194:$AB$206,MATCH(O199,('Spell Tables'!$Z$194:$Z$206),0)),IF($S$173&gt;=O199,INDEX($AL$68:$AL$77,MATCH(O199,($AJ$68:$AJ$77),0)),IF($S$177&gt;=O199,INDEX('Spell Tables'!$AB$168:$AB$187,MATCH(O199,('Spell Tables'!$Z$168:$Z$187),0)),IF($S$179&gt;=O199,INDEX('Spell Tables'!$AJ$141:$AJ$144,MATCH(O199,('Spell Tables'!$AH$141:$AH$144),0)),IF($S$181&gt;=O199,INDEX('Spell Tables'!$X$119:$X$129,MATCH(O199,('Spell Tables'!$V$119:$V$129),0)),IF($S$183&gt;=O199,INDEX('Spell Tables'!$X$97:$X$106,MATCH(O199,('Spell Tables'!$V$97:$V$106),0)),IF($S$185&gt;=O199,INDEX('Spell Tables'!$AJ$70:$AJ$79,MATCH(O199,('Spell Tables'!$AH$70:$AH$79),0)),IF($S$187&gt;=O199,INDEX('Spell Tables'!$AB$48:$AB$60,MATCH(O199,('Spell Tables'!$Z$48:$Z$60),0)),IF($S$189&gt;=O199,INDEX('Spell Tables'!$AB$26:$AB$45,MATCH(O199,('Spell Tables'!$Z$26:$Z$45),0)),IF($S$191&gt;=O199,INDEX('Spell Tables'!$AB$2:$AB$17,MATCH(O199,('Spell Tables'!$Z$2:$Z$17),0))," "))))))))))))</f>
        <v xml:space="preserve"> </v>
      </c>
      <c r="T199" s="33" t="str">
        <f ca="1">IF(AND($O$15="Otherworldly patron - great old one",T$175&gt;=O199),INDEX('Spell Tables'!$AF$226:$AF$231,MATCH(O199,('Spell Tables'!$AD$226:$AD$231),0)),IF(AND($O$15="Otherworldly patron - fiend",T$175&gt;=O199),INDEX('Spell Tables'!$AF$210:$AF$215,MATCH(O199,('Spell Tables'!$AD$210:$AD$215),0)),IF(AND($O$15="Otherworldly patron - archfey",T$175&gt;=O199),INDEX('Spell Tables'!$AF$194:$AF$199,MATCH(O199,('Spell Tables'!$AD$194:$AD$199),0)),IF($T$173&gt;=O199,INDEX($AL$80:$AL$89,MATCH(O199,($AJ$80:$AJ$89),0)),IF($T$177&gt;=O199,INDEX('Spell Tables'!$AF$168:$AF$177,MATCH(O199,('Spell Tables'!$AD$168:$AD$177),0)),IF($T$179&gt;=O199,INDEX('Spell Tables'!$AR$141:$AR$144,MATCH(O199,('Spell Tables'!$AP$141:$AP$144),0)),IF($T$181&gt;=O199,INDEX('Spell Tables'!$AB$119:$AB$123,MATCH(O199,('Spell Tables'!$Z$119:$Z$123),0)),IF($T$183&gt;=O199,INDEX('Spell Tables'!$AB$97:$AB$102,MATCH(O199,('Spell Tables'!$Z$97:$Z$102),0)),IF($T$185&gt;=O199,INDEX('Spell Tables'!$AR$70:$AR$75,MATCH(O199,('Spell Tables'!$AP$70:$AP$75),0)),IF($T$187&gt;=O199,INDEX('Spell Tables'!$AF$48:$AF$63,MATCH(O199,('Spell Tables'!$AD$48:$AD$63),0)),IF($T$189&gt;=O199,INDEX('Spell Tables'!$AF$26:$AF$33,MATCH(O199,('Spell Tables'!$AD$26:$AD$33),0)),IF($T$191&gt;=O199,INDEX('Spell Tables'!$AF$2:$AF$9,MATCH(O199,('Spell Tables'!$AD$2:$AD$9),0))," "))))))))))))</f>
        <v xml:space="preserve"> </v>
      </c>
    </row>
    <row r="200" spans="2:37" x14ac:dyDescent="0.3">
      <c r="B200" s="33"/>
      <c r="C200" s="33"/>
      <c r="D200" s="33"/>
      <c r="E200" s="33"/>
      <c r="F200" s="33"/>
      <c r="G200" s="33"/>
      <c r="H200" s="33"/>
      <c r="I200" s="33"/>
      <c r="J200" s="33"/>
      <c r="K200" s="33"/>
      <c r="L200" s="33"/>
      <c r="M200" s="33"/>
      <c r="N200" s="33"/>
      <c r="O200" s="34">
        <v>8</v>
      </c>
      <c r="P200" s="33" t="str">
        <f ca="1">IF(P$173&gt;=O200,INDEX('Spell Tables'!$P$242:$P$257,MATCH(O200,('Spell Tables'!$N$242:$N$257),0)),IF(P$175&gt;=O200,INDEX('Spell Tables'!$P$194:$P$201,MATCH(O200,('Spell Tables'!$N$194:$N$201),0)),IF(P$177&gt;=O200,INDEX('Spell Tables'!$P$168:$P$183,MATCH(O200,('Spell Tables'!$N$168:$N$183),0)),IF(P$179&gt;=O200,INDEX('Spell Tables'!$P$141:$P$156,MATCH(O200,('Spell Tables'!$N$141:$N$157),0)),IF(P$185&gt;=O200,INDEX('Spell Tables'!$P$70:$P$83,MATCH(O200,('Spell Tables'!$N$70:$N$83),0)),IF(P$187&gt;=O200,INDEX('Spell Tables'!$P$48:$P$55,MATCH(O200,('Spell Tables'!$N$48:$N$55),0)),IF(P$189&gt;=O200,INDEX('Spell Tables'!$P$26:$P$32,MATCH(O200,('Spell Tables'!$N$26:$N$32),0)),IF(P$191&gt;=O200,INDEX('Spell Tables'!$P$2:$P$12,MATCH(O200,('Spell Tables'!$N$2:$N$12),0))," "))))))))</f>
        <v xml:space="preserve"> </v>
      </c>
      <c r="Q200" s="33" t="str">
        <f ca="1">IF(AND($O$15="Otherworldly patron - great old one",Q$175&gt;=O200),INDEX('Spell Tables'!$T$226:$T$238,MATCH(O200,('Spell Tables'!$R$226:$R$238),0)),IF(AND($O$15="Otherworldly patron - fiend",Q$175&gt;=O200),INDEX('Spell Tables'!$T$210:$T$222,MATCH(O200,('Spell Tables'!$R$210:$R$222),0)),IF(Q$173&gt;=O200,INDEX($AL$44:$AL$53,MATCH(O200,($AJ$44:$AJ$53),0)),IF(AND($O$15="Otherworldly patron - archfey",Q$175&gt;=O200),INDEX('Spell Tables'!$T$194:$T$206,MATCH(O200,('Spell Tables'!$R$194:$R$206),0)),IF(Q$177&gt;=O200,INDEX('Spell Tables'!$T$168:$T$187,MATCH(O200,('Spell Tables'!$R$168:$R$187),0)),IF(Q$179&gt;=O200,INDEX('Spell Tables'!$T$141:$T$147,MATCH(O200,('Spell Tables'!$R$141:$R$147),0)),IF(Q$181&gt;=O200,INDEX('Spell Tables'!$P$119:$P$131,MATCH(O200,('Spell Tables'!$N$119:$N$131),0)),IF(Q$183&gt;=O200,INDEX('Spell Tables'!$P$97:$P$111,MATCH(O200,('Spell Tables'!$N$97:$N$111),0)),IF(Q$185&gt;=O200,INDEX('Spell Tables'!$T$70:$T$78,MATCH(O200,('Spell Tables'!$R$70:$R$78),0)),IF(Q$187&gt;=O200,INDEX('Spell Tables'!$T$48:$T$63,MATCH(O200,('Spell Tables'!$R$48:$R$63),0)),IF(Q$189&gt;=O200,INDEX('Spell Tables'!$T$26:$T$40,MATCH(O200,('Spell Tables'!$R$26:$R$40),0)),IF(Q$191&gt;=O200,INDEX('Spell Tables'!$T$2:$T$22,MATCH(O200,('Spell Tables'!$R$2:$R$22),0))," "))))))))))))</f>
        <v xml:space="preserve"> </v>
      </c>
      <c r="R200" s="33" t="str">
        <f ca="1">IF(AND($O$15="Otherworldly patron - great old one",R$175&gt;=O200),INDEX('Spell Tables'!$X$226:$X$239,MATCH(O200,('Spell Tables'!$V$226:$V$239),0)),IF(AND($O$15="Otherworldly patron - fiend",R$175&gt;=O200),INDEX('Spell Tables'!$X$210:$X$223,MATCH(O200,('Spell Tables'!$V$210:$V$223),0)),IF(AND($O$15="Otherworldly patron - archfey",R$175&gt;=O200),INDEX('Spell Tables'!$X$194:$X$207,MATCH(O200,('Spell Tables'!$V$194:$V$207),0)),IF($R$173&gt;=O200,INDEX($AL$56:$AL$65,MATCH(O200,($AJ$56:$AJ$65),0)),IF($R$177&gt;=O200,INDEX('Spell Tables'!$X$168:$X$191,MATCH(O200,('Spell Tables'!$V$168:$V$191),0)),IF($R$179&gt;=O200,INDEX('Spell Tables'!$AB$141:$AB$149,MATCH(O200,('Spell Tables'!$Z$141:$Z$149),0)),IF($R$181&gt;=O200,INDEX('Spell Tables'!$T$119:$T$131,MATCH(O200,('Spell Tables'!$R$119:$R$131),0)),IF($R$183&gt;=O200,INDEX('Spell Tables'!$T$97:$T$104,MATCH(O200,('Spell Tables'!$R$97:$R$104),0)),IF($R$185&gt;=O200,INDEX('Spell Tables'!$AB$70:$AB$75,MATCH(O200,('Spell Tables'!$Z$70:$Z$75),0)),IF($R$187&gt;=O200,INDEX('Spell Tables'!$X$48:$X$65,MATCH(O200,('Spell Tables'!$V$48:$V$65),0)),IF($R$189&gt;=O200,INDEX('Spell Tables'!$X$26:$X$42,MATCH(O200,('Spell Tables'!$V$26:$V$42),0)),IF($R$191&gt;=O200,INDEX('Spell Tables'!$X$2:$X$23,MATCH(O200,('Spell Tables'!$V$2:$V$23),0))," "))))))))))))</f>
        <v xml:space="preserve"> </v>
      </c>
      <c r="S200" s="33" t="str">
        <f ca="1">IF(AND($O$15="Otherworldly patron - great old one",S$175&gt;=O200),INDEX('Spell Tables'!$AB$226:$AB$238,MATCH(O200,('Spell Tables'!$Z$226:$Z$238),0)),IF(AND($O$15="Otherworldly patron - fiend",S$175&gt;=O200),INDEX('Spell Tables'!$AB$210:$AB$222,MATCH(O200,('Spell Tables'!$Z$210:$Z$222),0)),IF(AND($O$15="Otherworldly patron - archfey",S$175&gt;=O200),INDEX('Spell Tables'!$AB$194:$AB$206,MATCH(O200,('Spell Tables'!$Z$194:$Z$206),0)),IF($S$173&gt;=O200,INDEX($AL$68:$AL$77,MATCH(O200,($AJ$68:$AJ$77),0)),IF($S$177&gt;=O200,INDEX('Spell Tables'!$AB$168:$AB$187,MATCH(O200,('Spell Tables'!$Z$168:$Z$187),0)),IF($S$179&gt;=O200,INDEX('Spell Tables'!$AJ$141:$AJ$144,MATCH(O200,('Spell Tables'!$AH$141:$AH$144),0)),IF($S$181&gt;=O200,INDEX('Spell Tables'!$X$119:$X$129,MATCH(O200,('Spell Tables'!$V$119:$V$129),0)),IF($S$183&gt;=O200,INDEX('Spell Tables'!$X$97:$X$106,MATCH(O200,('Spell Tables'!$V$97:$V$106),0)),IF($S$185&gt;=O200,INDEX('Spell Tables'!$AJ$70:$AJ$79,MATCH(O200,('Spell Tables'!$AH$70:$AH$79),0)),IF($S$187&gt;=O200,INDEX('Spell Tables'!$AB$48:$AB$60,MATCH(O200,('Spell Tables'!$Z$48:$Z$60),0)),IF($S$189&gt;=O200,INDEX('Spell Tables'!$AB$26:$AB$45,MATCH(O200,('Spell Tables'!$Z$26:$Z$45),0)),IF($S$191&gt;=O200,INDEX('Spell Tables'!$AB$2:$AB$17,MATCH(O200,('Spell Tables'!$Z$2:$Z$17),0))," "))))))))))))</f>
        <v xml:space="preserve"> </v>
      </c>
      <c r="T200" s="33" t="str">
        <f ca="1">IF(AND($O$15="Otherworldly patron - great old one",T$175&gt;=O200),INDEX('Spell Tables'!$AF$226:$AF$231,MATCH(O200,('Spell Tables'!$AD$226:$AD$231),0)),IF(AND($O$15="Otherworldly patron - fiend",T$175&gt;=O200),INDEX('Spell Tables'!$AF$210:$AF$215,MATCH(O200,('Spell Tables'!$AD$210:$AD$215),0)),IF(AND($O$15="Otherworldly patron - archfey",T$175&gt;=O200),INDEX('Spell Tables'!$AF$194:$AF$199,MATCH(O200,('Spell Tables'!$AD$194:$AD$199),0)),IF($T$173&gt;=O200,INDEX($AL$80:$AL$89,MATCH(O200,($AJ$80:$AJ$89),0)),IF($T$177&gt;=O200,INDEX('Spell Tables'!$AF$168:$AF$177,MATCH(O200,('Spell Tables'!$AD$168:$AD$177),0)),IF($T$179&gt;=O200,INDEX('Spell Tables'!$AR$141:$AR$144,MATCH(O200,('Spell Tables'!$AP$141:$AP$144),0)),IF($T$181&gt;=O200,INDEX('Spell Tables'!$AB$119:$AB$123,MATCH(O200,('Spell Tables'!$Z$119:$Z$123),0)),IF($T$183&gt;=O200,INDEX('Spell Tables'!$AB$97:$AB$102,MATCH(O200,('Spell Tables'!$Z$97:$Z$102),0)),IF($T$185&gt;=O200,INDEX('Spell Tables'!$AR$70:$AR$75,MATCH(O200,('Spell Tables'!$AP$70:$AP$75),0)),IF($T$187&gt;=O200,INDEX('Spell Tables'!$AF$48:$AF$63,MATCH(O200,('Spell Tables'!$AD$48:$AD$63),0)),IF($T$189&gt;=O200,INDEX('Spell Tables'!$AF$26:$AF$33,MATCH(O200,('Spell Tables'!$AD$26:$AD$33),0)),IF($T$191&gt;=O200,INDEX('Spell Tables'!$AF$2:$AF$9,MATCH(O200,('Spell Tables'!$AD$2:$AD$9),0))," "))))))))))))</f>
        <v xml:space="preserve"> </v>
      </c>
    </row>
    <row r="201" spans="2:37" x14ac:dyDescent="0.3">
      <c r="B201" s="33"/>
      <c r="C201" s="33"/>
      <c r="D201" s="33"/>
      <c r="E201" s="33"/>
      <c r="F201" s="33"/>
      <c r="G201" s="33"/>
      <c r="H201" s="33"/>
      <c r="I201" s="33"/>
      <c r="J201" s="33"/>
      <c r="K201" s="33"/>
      <c r="L201" s="33"/>
      <c r="M201" s="33"/>
      <c r="N201" s="33"/>
      <c r="O201" s="34">
        <v>9</v>
      </c>
      <c r="P201" s="33" t="str">
        <f ca="1">IF(P$173&gt;=O201,INDEX('Spell Tables'!$P$242:$P$257,MATCH(O201,('Spell Tables'!$N$242:$N$257),0)),IF(P$175&gt;=O201,INDEX('Spell Tables'!$P$194:$P$201,MATCH(O201,('Spell Tables'!$N$194:$N$201),0)),IF(P$177&gt;=O201,INDEX('Spell Tables'!$P$168:$P$183,MATCH(O201,('Spell Tables'!$N$168:$N$183),0)),IF(P$179&gt;=O201,INDEX('Spell Tables'!$P$141:$P$156,MATCH(O201,('Spell Tables'!$N$141:$N$157),0)),IF(P$185&gt;=O201,INDEX('Spell Tables'!$P$70:$P$83,MATCH(O201,('Spell Tables'!$N$70:$N$83),0)),IF(P$187&gt;=O201,INDEX('Spell Tables'!$P$48:$P$55,MATCH(O201,('Spell Tables'!$N$48:$N$55),0)),IF(P$189&gt;=O201,INDEX('Spell Tables'!$P$26:$P$32,MATCH(O201,('Spell Tables'!$N$26:$N$32),0)),IF(P$191&gt;=O201,INDEX('Spell Tables'!$P$2:$P$12,MATCH(O201,('Spell Tables'!$N$2:$N$12),0))," "))))))))</f>
        <v xml:space="preserve"> </v>
      </c>
      <c r="Q201" s="33" t="str">
        <f ca="1">IF(AND($O$15="Otherworldly patron - great old one",Q$175&gt;=O201),INDEX('Spell Tables'!$T$226:$T$238,MATCH(O201,('Spell Tables'!$R$226:$R$238),0)),IF(AND($O$15="Otherworldly patron - fiend",Q$175&gt;=O201),INDEX('Spell Tables'!$T$210:$T$222,MATCH(O201,('Spell Tables'!$R$210:$R$222),0)),IF(Q$173&gt;=O201,INDEX($AL$44:$AL$53,MATCH(O201,($AJ$44:$AJ$53),0)),IF(AND($O$15="Otherworldly patron - archfey",Q$175&gt;=O201),INDEX('Spell Tables'!$T$194:$T$206,MATCH(O201,('Spell Tables'!$R$194:$R$206),0)),IF(Q$177&gt;=O201,INDEX('Spell Tables'!$T$168:$T$187,MATCH(O201,('Spell Tables'!$R$168:$R$187),0)),IF(Q$179&gt;=O201,INDEX('Spell Tables'!$T$141:$T$147,MATCH(O201,('Spell Tables'!$R$141:$R$147),0)),IF(Q$181&gt;=O201,INDEX('Spell Tables'!$P$119:$P$131,MATCH(O201,('Spell Tables'!$N$119:$N$131),0)),IF(Q$183&gt;=O201,INDEX('Spell Tables'!$P$97:$P$111,MATCH(O201,('Spell Tables'!$N$97:$N$111),0)),IF(Q$185&gt;=O201,INDEX('Spell Tables'!$T$70:$T$78,MATCH(O201,('Spell Tables'!$R$70:$R$78),0)),IF(Q$187&gt;=O201,INDEX('Spell Tables'!$T$48:$T$63,MATCH(O201,('Spell Tables'!$R$48:$R$63),0)),IF(Q$189&gt;=O201,INDEX('Spell Tables'!$T$26:$T$40,MATCH(O201,('Spell Tables'!$R$26:$R$40),0)),IF(Q$191&gt;=O201,INDEX('Spell Tables'!$T$2:$T$22,MATCH(O201,('Spell Tables'!$R$2:$R$22),0))," "))))))))))))</f>
        <v xml:space="preserve"> </v>
      </c>
      <c r="R201" s="33" t="str">
        <f ca="1">IF(AND($O$15="Otherworldly patron - great old one",R$175&gt;=O201),INDEX('Spell Tables'!$X$226:$X$239,MATCH(O201,('Spell Tables'!$V$226:$V$239),0)),IF(AND($O$15="Otherworldly patron - fiend",R$175&gt;=O201),INDEX('Spell Tables'!$X$210:$X$223,MATCH(O201,('Spell Tables'!$V$210:$V$223),0)),IF(AND($O$15="Otherworldly patron - archfey",R$175&gt;=O201),INDEX('Spell Tables'!$X$194:$X$207,MATCH(O201,('Spell Tables'!$V$194:$V$207),0)),IF($R$173&gt;=O201,INDEX($AL$56:$AL$65,MATCH(O201,($AJ$56:$AJ$65),0)),IF($R$177&gt;=O201,INDEX('Spell Tables'!$X$168:$X$191,MATCH(O201,('Spell Tables'!$V$168:$V$191),0)),IF($R$179&gt;=O201,INDEX('Spell Tables'!$AB$141:$AB$149,MATCH(O201,('Spell Tables'!$Z$141:$Z$149),0)),IF($R$181&gt;=O201,INDEX('Spell Tables'!$T$119:$T$131,MATCH(O201,('Spell Tables'!$R$119:$R$131),0)),IF($R$183&gt;=O201,INDEX('Spell Tables'!$T$97:$T$104,MATCH(O201,('Spell Tables'!$R$97:$R$104),0)),IF($R$185&gt;=O201,INDEX('Spell Tables'!$AB$70:$AB$75,MATCH(O201,('Spell Tables'!$Z$70:$Z$75),0)),IF($R$187&gt;=O201,INDEX('Spell Tables'!$X$48:$X$65,MATCH(O201,('Spell Tables'!$V$48:$V$65),0)),IF($R$189&gt;=O201,INDEX('Spell Tables'!$X$26:$X$42,MATCH(O201,('Spell Tables'!$V$26:$V$42),0)),IF($R$191&gt;=O201,INDEX('Spell Tables'!$X$2:$X$23,MATCH(O201,('Spell Tables'!$V$2:$V$23),0))," "))))))))))))</f>
        <v xml:space="preserve"> </v>
      </c>
      <c r="S201" s="33" t="str">
        <f ca="1">IF(AND($O$15="Otherworldly patron - great old one",S$175&gt;=O201),INDEX('Spell Tables'!$AB$226:$AB$238,MATCH(O201,('Spell Tables'!$Z$226:$Z$238),0)),IF(AND($O$15="Otherworldly patron - fiend",S$175&gt;=O201),INDEX('Spell Tables'!$AB$210:$AB$222,MATCH(O201,('Spell Tables'!$Z$210:$Z$222),0)),IF(AND($O$15="Otherworldly patron - archfey",S$175&gt;=O201),INDEX('Spell Tables'!$AB$194:$AB$206,MATCH(O201,('Spell Tables'!$Z$194:$Z$206),0)),IF($S$173&gt;=O201,INDEX($AL$68:$AL$77,MATCH(O201,($AJ$68:$AJ$77),0)),IF($S$177&gt;=O201,INDEX('Spell Tables'!$AB$168:$AB$187,MATCH(O201,('Spell Tables'!$Z$168:$Z$187),0)),IF($S$179&gt;=O201,INDEX('Spell Tables'!$AJ$141:$AJ$144,MATCH(O201,('Spell Tables'!$AH$141:$AH$144),0)),IF($S$181&gt;=O201,INDEX('Spell Tables'!$X$119:$X$129,MATCH(O201,('Spell Tables'!$V$119:$V$129),0)),IF($S$183&gt;=O201,INDEX('Spell Tables'!$X$97:$X$106,MATCH(O201,('Spell Tables'!$V$97:$V$106),0)),IF($S$185&gt;=O201,INDEX('Spell Tables'!$AJ$70:$AJ$79,MATCH(O201,('Spell Tables'!$AH$70:$AH$79),0)),IF($S$187&gt;=O201,INDEX('Spell Tables'!$AB$48:$AB$60,MATCH(O201,('Spell Tables'!$Z$48:$Z$60),0)),IF($S$189&gt;=O201,INDEX('Spell Tables'!$AB$26:$AB$45,MATCH(O201,('Spell Tables'!$Z$26:$Z$45),0)),IF($S$191&gt;=O201,INDEX('Spell Tables'!$AB$2:$AB$17,MATCH(O201,('Spell Tables'!$Z$2:$Z$17),0))," "))))))))))))</f>
        <v xml:space="preserve"> </v>
      </c>
      <c r="T201" s="33" t="str">
        <f ca="1">IF(AND($O$15="Otherworldly patron - great old one",T$175&gt;=O201),INDEX('Spell Tables'!$AF$226:$AF$231,MATCH(O201,('Spell Tables'!$AD$226:$AD$231),0)),IF(AND($O$15="Otherworldly patron - fiend",T$175&gt;=O201),INDEX('Spell Tables'!$AF$210:$AF$215,MATCH(O201,('Spell Tables'!$AD$210:$AD$215),0)),IF(AND($O$15="Otherworldly patron - archfey",T$175&gt;=O201),INDEX('Spell Tables'!$AF$194:$AF$199,MATCH(O201,('Spell Tables'!$AD$194:$AD$199),0)),IF($T$173&gt;=O201,INDEX($AL$80:$AL$89,MATCH(O201,($AJ$80:$AJ$89),0)),IF($T$177&gt;=O201,INDEX('Spell Tables'!$AF$168:$AF$177,MATCH(O201,('Spell Tables'!$AD$168:$AD$177),0)),IF($T$179&gt;=O201,INDEX('Spell Tables'!$AR$141:$AR$144,MATCH(O201,('Spell Tables'!$AP$141:$AP$144),0)),IF($T$181&gt;=O201,INDEX('Spell Tables'!$AB$119:$AB$123,MATCH(O201,('Spell Tables'!$Z$119:$Z$123),0)),IF($T$183&gt;=O201,INDEX('Spell Tables'!$AB$97:$AB$102,MATCH(O201,('Spell Tables'!$Z$97:$Z$102),0)),IF($T$185&gt;=O201,INDEX('Spell Tables'!$AR$70:$AR$75,MATCH(O201,('Spell Tables'!$AP$70:$AP$75),0)),IF($T$187&gt;=O201,INDEX('Spell Tables'!$AF$48:$AF$63,MATCH(O201,('Spell Tables'!$AD$48:$AD$63),0)),IF($T$189&gt;=O201,INDEX('Spell Tables'!$AF$26:$AF$33,MATCH(O201,('Spell Tables'!$AD$26:$AD$33),0)),IF($T$191&gt;=O201,INDEX('Spell Tables'!$AF$2:$AF$9,MATCH(O201,('Spell Tables'!$AD$2:$AD$9),0))," "))))))))))))</f>
        <v xml:space="preserve"> </v>
      </c>
    </row>
    <row r="202" spans="2:37" x14ac:dyDescent="0.3">
      <c r="B202" s="33"/>
      <c r="C202" s="33"/>
      <c r="D202" s="33"/>
      <c r="E202" s="33"/>
      <c r="F202" s="33"/>
      <c r="G202" s="33"/>
      <c r="H202" s="33"/>
      <c r="I202" s="33"/>
      <c r="J202" s="33"/>
      <c r="K202" s="33"/>
      <c r="L202" s="33"/>
      <c r="M202" s="33"/>
      <c r="N202" s="33"/>
      <c r="O202" s="34">
        <v>10</v>
      </c>
      <c r="P202" s="33" t="str">
        <f ca="1">IF(P$173&gt;=O202,INDEX('Spell Tables'!$P$242:$P$257,MATCH(O202,('Spell Tables'!$N$242:$N$257),0)),IF(P$175&gt;=O202,INDEX('Spell Tables'!$P$194:$P$201,MATCH(O202,('Spell Tables'!$N$194:$N$201),0)),IF(P$177&gt;=O202,INDEX('Spell Tables'!$P$168:$P$183,MATCH(O202,('Spell Tables'!$N$168:$N$183),0)),IF(P$179&gt;=O202,INDEX('Spell Tables'!$P$141:$P$156,MATCH(O202,('Spell Tables'!$N$141:$N$157),0)),IF(P$185&gt;=O202,INDEX('Spell Tables'!$P$70:$P$83,MATCH(O202,('Spell Tables'!$N$70:$N$83),0)),IF(P$187&gt;=O202,INDEX('Spell Tables'!$P$48:$P$55,MATCH(O202,('Spell Tables'!$N$48:$N$55),0)),IF(P$189&gt;=O202,INDEX('Spell Tables'!$P$26:$P$32,MATCH(O202,('Spell Tables'!$N$26:$N$32),0)),IF(P$191&gt;=O202,INDEX('Spell Tables'!$P$2:$P$12,MATCH(O202,('Spell Tables'!$N$2:$N$12),0))," "))))))))</f>
        <v xml:space="preserve"> </v>
      </c>
      <c r="Q202" s="33" t="str">
        <f ca="1">IF(AND($O$15="Otherworldly patron - great old one",Q$175&gt;=O202),INDEX('Spell Tables'!$T$226:$T$238,MATCH(O202,('Spell Tables'!$R$226:$R$238),0)),IF(AND($O$15="Otherworldly patron - fiend",Q$175&gt;=O202),INDEX('Spell Tables'!$T$210:$T$222,MATCH(O202,('Spell Tables'!$R$210:$R$222),0)),IF(Q$173&gt;=O202,INDEX($AL$44:$AL$53,MATCH(O202,($AJ$44:$AJ$53),0)),IF(AND($O$15="Otherworldly patron - archfey",Q$175&gt;=O202),INDEX('Spell Tables'!$T$194:$T$206,MATCH(O202,('Spell Tables'!$R$194:$R$206),0)),IF(Q$177&gt;=O202,INDEX('Spell Tables'!$T$168:$T$187,MATCH(O202,('Spell Tables'!$R$168:$R$187),0)),IF(Q$179&gt;=O202,INDEX('Spell Tables'!$T$141:$T$147,MATCH(O202,('Spell Tables'!$R$141:$R$147),0)),IF(Q$181&gt;=O202,INDEX('Spell Tables'!$P$119:$P$131,MATCH(O202,('Spell Tables'!$N$119:$N$131),0)),IF(Q$183&gt;=O202,INDEX('Spell Tables'!$P$97:$P$111,MATCH(O202,('Spell Tables'!$N$97:$N$111),0)),IF(Q$185&gt;=O202,INDEX('Spell Tables'!$T$70:$T$78,MATCH(O202,('Spell Tables'!$R$70:$R$78),0)),IF(Q$187&gt;=O202,INDEX('Spell Tables'!$T$48:$T$63,MATCH(O202,('Spell Tables'!$R$48:$R$63),0)),IF(Q$189&gt;=O202,INDEX('Spell Tables'!$T$26:$T$40,MATCH(O202,('Spell Tables'!$R$26:$R$40),0)),IF(Q$191&gt;=O202,INDEX('Spell Tables'!$T$2:$T$22,MATCH(O202,('Spell Tables'!$R$2:$R$22),0))," "))))))))))))</f>
        <v xml:space="preserve"> </v>
      </c>
      <c r="R202" s="33" t="str">
        <f ca="1">IF(AND($O$15="Otherworldly patron - great old one",R$175&gt;=O202),INDEX('Spell Tables'!$X$226:$X$239,MATCH(O202,('Spell Tables'!$V$226:$V$239),0)),IF(AND($O$15="Otherworldly patron - fiend",R$175&gt;=O202),INDEX('Spell Tables'!$X$210:$X$223,MATCH(O202,('Spell Tables'!$V$210:$V$223),0)),IF(AND($O$15="Otherworldly patron - archfey",R$175&gt;=O202),INDEX('Spell Tables'!$X$194:$X$207,MATCH(O202,('Spell Tables'!$V$194:$V$207),0)),IF($R$173&gt;=O202,INDEX($AL$56:$AL$65,MATCH(O202,($AJ$56:$AJ$65),0)),IF($R$177&gt;=O202,INDEX('Spell Tables'!$X$168:$X$191,MATCH(O202,('Spell Tables'!$V$168:$V$191),0)),IF($R$179&gt;=O202,INDEX('Spell Tables'!$AB$141:$AB$149,MATCH(O202,('Spell Tables'!$Z$141:$Z$149),0)),IF($R$181&gt;=O202,INDEX('Spell Tables'!$T$119:$T$131,MATCH(O202,('Spell Tables'!$R$119:$R$131),0)),IF($R$183&gt;=O202,INDEX('Spell Tables'!$T$97:$T$104,MATCH(O202,('Spell Tables'!$R$97:$R$104),0)),IF($R$185&gt;=O202,INDEX('Spell Tables'!$AB$70:$AB$75,MATCH(O202,('Spell Tables'!$Z$70:$Z$75),0)),IF($R$187&gt;=O202,INDEX('Spell Tables'!$X$48:$X$65,MATCH(O202,('Spell Tables'!$V$48:$V$65),0)),IF($R$189&gt;=O202,INDEX('Spell Tables'!$X$26:$X$42,MATCH(O202,('Spell Tables'!$V$26:$V$42),0)),IF($R$191&gt;=O202,INDEX('Spell Tables'!$X$2:$X$23,MATCH(O202,('Spell Tables'!$V$2:$V$23),0))," "))))))))))))</f>
        <v xml:space="preserve"> </v>
      </c>
      <c r="S202" s="33" t="str">
        <f ca="1">IF(AND($O$15="Otherworldly patron - great old one",S$175&gt;=O202),INDEX('Spell Tables'!$AB$226:$AB$238,MATCH(O202,('Spell Tables'!$Z$226:$Z$238),0)),IF(AND($O$15="Otherworldly patron - fiend",S$175&gt;=O202),INDEX('Spell Tables'!$AB$210:$AB$222,MATCH(O202,('Spell Tables'!$Z$210:$Z$222),0)),IF(AND($O$15="Otherworldly patron - archfey",S$175&gt;=O202),INDEX('Spell Tables'!$AB$194:$AB$206,MATCH(O202,('Spell Tables'!$Z$194:$Z$206),0)),IF($S$173&gt;=O202,INDEX($AL$68:$AL$77,MATCH(O202,($AJ$68:$AJ$77),0)),IF($S$177&gt;=O202,INDEX('Spell Tables'!$AB$168:$AB$187,MATCH(O202,('Spell Tables'!$Z$168:$Z$187),0)),IF($S$179&gt;=O202,INDEX('Spell Tables'!$AJ$141:$AJ$144,MATCH(O202,('Spell Tables'!$AH$141:$AH$144),0)),IF($S$181&gt;=O202,INDEX('Spell Tables'!$X$119:$X$129,MATCH(O202,('Spell Tables'!$V$119:$V$129),0)),IF($S$183&gt;=O202,INDEX('Spell Tables'!$X$97:$X$106,MATCH(O202,('Spell Tables'!$V$97:$V$106),0)),IF($S$185&gt;=O202,INDEX('Spell Tables'!$AJ$70:$AJ$79,MATCH(O202,('Spell Tables'!$AH$70:$AH$79),0)),IF($S$187&gt;=O202,INDEX('Spell Tables'!$AB$48:$AB$60,MATCH(O202,('Spell Tables'!$Z$48:$Z$60),0)),IF($S$189&gt;=O202,INDEX('Spell Tables'!$AB$26:$AB$45,MATCH(O202,('Spell Tables'!$Z$26:$Z$45),0)),IF($S$191&gt;=O202,INDEX('Spell Tables'!$AB$2:$AB$17,MATCH(O202,('Spell Tables'!$Z$2:$Z$17),0))," "))))))))))))</f>
        <v xml:space="preserve"> </v>
      </c>
      <c r="T202" s="33" t="str">
        <f ca="1">IF(AND($O$15="Otherworldly patron - great old one",T$175&gt;=O202),INDEX('Spell Tables'!$AF$226:$AF$231,MATCH(O202,('Spell Tables'!$AD$226:$AD$231),0)),IF(AND($O$15="Otherworldly patron - fiend",T$175&gt;=O202),INDEX('Spell Tables'!$AF$210:$AF$215,MATCH(O202,('Spell Tables'!$AD$210:$AD$215),0)),IF(AND($O$15="Otherworldly patron - archfey",T$175&gt;=O202),INDEX('Spell Tables'!$AF$194:$AF$199,MATCH(O202,('Spell Tables'!$AD$194:$AD$199),0)),IF($T$173&gt;=O202,INDEX('Spell Tables'!$AF$242:$AF$264,MATCH(O202,('Spell Tables'!$AD$242:$AD$264),0)),IF($T$177&gt;=O202,INDEX('Spell Tables'!$AF$168:$AF$177,MATCH(O202,('Spell Tables'!$AD$168:$AD$177),0)),IF($T$179&gt;=O202,INDEX('Spell Tables'!$AR$141:$AR$144,MATCH(O202,('Spell Tables'!$AP$141:$AP$144),0)),IF($T$181&gt;=O202,INDEX('Spell Tables'!$AB$119:$AB$123,MATCH(O202,('Spell Tables'!$Z$119:$Z$123),0)),IF($T$183&gt;=O202,INDEX('Spell Tables'!$AB$97:$AB$102,MATCH(O202,('Spell Tables'!$Z$97:$Z$102),0)),IF($T$185&gt;=O202,INDEX('Spell Tables'!$AR$70:$AR$75,MATCH(O202,('Spell Tables'!$AP$70:$AP$75),0)),IF($T$187&gt;=O202,INDEX('Spell Tables'!$AF$48:$AF$63,MATCH(O202,('Spell Tables'!$AD$48:$AD$63),0)),IF($T$189&gt;=O202,INDEX('Spell Tables'!$AF$26:$AF$33,MATCH(O202,('Spell Tables'!$AD$26:$AD$33),0)),IF($T$191&gt;=O202,INDEX('Spell Tables'!$AF$2:$AF$9,MATCH(O202,('Spell Tables'!$AD$2:$AD$9),0))," "))))))))))))</f>
        <v xml:space="preserve"> </v>
      </c>
    </row>
    <row r="204" spans="2:37" ht="19.5" thickBot="1" x14ac:dyDescent="0.35">
      <c r="C204" s="38"/>
      <c r="D204" s="38"/>
      <c r="E204" s="38"/>
      <c r="F204" s="38"/>
      <c r="G204" s="38"/>
      <c r="H204" s="38"/>
      <c r="I204" s="38"/>
      <c r="J204" s="38"/>
      <c r="K204" s="38"/>
      <c r="L204" s="38"/>
      <c r="M204" s="38"/>
      <c r="O204" s="38"/>
      <c r="P204" s="38"/>
      <c r="Q204" s="38"/>
      <c r="R204" s="38"/>
      <c r="S204" s="38"/>
      <c r="T204" s="38"/>
    </row>
    <row r="205" spans="2:37" hidden="1" x14ac:dyDescent="0.3">
      <c r="N205" s="72"/>
      <c r="P205" s="27"/>
      <c r="Q205" s="27"/>
      <c r="R205" s="27"/>
      <c r="S205" s="91"/>
    </row>
    <row r="206" spans="2:37" x14ac:dyDescent="0.3">
      <c r="N206" s="72"/>
      <c r="O206" s="135" t="s">
        <v>1342</v>
      </c>
      <c r="P206" s="65" t="str">
        <f ca="1">IF(AND(AF14=2,OR(O11="monk",O11="barbarian",O11="warlock"),OR(Q11="fighter",Q11="rogue"),OR(P15&lt;&gt;"arcane trickster",R15&lt;&gt;"arcane trickster",P15&lt;&gt;"eldritch knight",R15&lt;&gt;"eldritch knight")),0,IF(AND(AF14=2,OR(O11="monk",O11="barbarian",O11="warlock"),OR(Q11="monk",Q11="barbarian",Q11="warlock")),0,IF(AND(AF14=2,OR(O11="monk",O11="barbarian",O11="warlock",Q11="monk",Q11="barbarian",Q11="warlock"),OR(O11="paladin",Q11="paladin",O11="ranger",Q11="ranger")),INDEX('Spell Tables'!H119:H138,MATCH(AF18,('Spell Tables'!B119:B138),0)),IF(AF14=2,INDEX('Spell Tables'!H242:H261,MATCH(AF18,('Spell Tables'!B242:B261),0)),IF(OR($O$11="bard",$O$11="cleric",$O$11="druid",O11="sorcerer",O11="wizard"),INDEX('Spell Tables'!H$2:H$21,MATCH($O$12,('Spell Tables'!$A$2:$A$21),0))," ")))))</f>
        <v xml:space="preserve"> </v>
      </c>
      <c r="Q206" s="65" t="str">
        <f ca="1">IF(AND(AF14=2,OR(O11="monk",O11="barbarian",O11="warlock"),OR(Q11="fighter",Q11="rogue"),OR(P15&lt;&gt;"arcane trickster",R15&lt;&gt;"arcane trickster",P15&lt;&gt;"eldritch knight",R15&lt;&gt;"eldritch knight")),0,IF(AND(AF14=2,OR(O11="monk",O11="barbarian",O11="warlock"),OR(Q11="monk",Q11="barbarian",Q11="warlock")),0,IF(AF14=2,INDEX('Spell Tables'!I242:I261,MATCH(AF18,('Spell Tables'!B242:B261),0)),IF(OR($O$11="bard",$O$11="cleric",$O$11="druid",O11="sorcerer",O11="wizard"),INDEX('Spell Tables'!I$2:I$21,MATCH($O$12,('Spell Tables'!$A$2:$A$21),0))," "))))</f>
        <v xml:space="preserve"> </v>
      </c>
      <c r="R206" s="65" t="str">
        <f ca="1">IF(AND(AF14=2,OR(O11="monk",O11="barbarian",O11="warlock"),OR(Q11="fighter",Q11="rogue"),OR(P15&lt;&gt;"arcane trickster",R15&lt;&gt;"arcane trickster",P15&lt;&gt;"eldritch knight",R15&lt;&gt;"eldritch knight")),0,IF(AND(AF14=2,OR(O11="monk",O11="barbarian",O11="warlock"),OR(Q11="monk",Q11="barbarian",Q11="warlock")),0,IF(AF14=2,INDEX('Spell Tables'!J242:J261,MATCH(AF18,('Spell Tables'!B242:B261),0)),IF(OR($O$11="bard",$O$11="cleric",$O$11="druid",O11="sorcerer",O11="wizard"),INDEX('Spell Tables'!J$2:J$21,MATCH($O$12,('Spell Tables'!$A$2:$A$21),0))," "))))</f>
        <v xml:space="preserve"> </v>
      </c>
      <c r="S206" s="65" t="str">
        <f ca="1">IF(AND(AF14=2,OR(O11="monk",O11="barbarian",O11="warlock"),OR(Q11="fighter",Q11="rogue"),OR(P15&lt;&gt;"arcane trickster",R15&lt;&gt;"arcane trickster",P15&lt;&gt;"eldritch knight",R15&lt;&gt;"eldritch knight")),0,IF(AND(AF14=2,OR(O11="monk",O11="barbarian",O11="warlock"),OR(Q11="monk",Q11="barbarian",Q11="warlock")),0,IF(AF14=2,INDEX('Spell Tables'!K242:K261,MATCH(AF18,('Spell Tables'!B242:B261),0)),IF(OR($O$11="bard",$O$11="cleric",$O$11="druid",O11="sorcerer",O11="wizard"),INDEX('Spell Tables'!K$2:K$21,MATCH($O$12,('Spell Tables'!$A$2:$A$21),0))," "))))</f>
        <v xml:space="preserve"> </v>
      </c>
      <c r="T206" s="66" t="str">
        <f ca="1">IF(AND(AF14=2,OR(O11="monk",O11="barbarian",O11="warlock"),OR(Q11="fighter",Q11="rogue"),OR(P15&lt;&gt;"arcane trickster",R15&lt;&gt;"arcane trickster",P15&lt;&gt;"eldritch knight",R15&lt;&gt;"eldritch knight")),0,IF(AND(AF14=2,OR(O11="monk",O11="barbarian",O11="warlock"),OR(Q11="monk",Q11="barbarian",Q11="warlock")),0,IF(AF14=2,INDEX('Spell Tables'!L242:L261,MATCH(AF18,('Spell Tables'!B242:B261),0)),IF(OR($O$11="bard",$O$11="cleric",$O$11="druid",O11="sorcerer",O11="wizard"),INDEX('Spell Tables'!L$2:L$21,MATCH($O$12,('Spell Tables'!$A$2:$A$21),0))," "))))</f>
        <v xml:space="preserve"> </v>
      </c>
    </row>
    <row r="207" spans="2:37" hidden="1" x14ac:dyDescent="0.3">
      <c r="N207" s="72"/>
      <c r="O207" s="79"/>
      <c r="P207" s="29" t="str">
        <f ca="1">IF(AND(O11="wizard",O12&gt;=11),"x",IF(AND($O$11="wizard",$O$12&gt;9),"xx",IF(AND(O11="wizard",O12=9),"xxx"," ")))</f>
        <v xml:space="preserve"> </v>
      </c>
      <c r="Q207" s="29" t="str">
        <f ca="1">IF(AND(O11="wizard",O12&gt;=13),"x",IF(AND($O$11="wizard",$O$12&gt;11),"xx",IF(AND(O11="wizard",O12=11),"xxx"," ")))</f>
        <v xml:space="preserve"> </v>
      </c>
      <c r="R207" s="29" t="str">
        <f ca="1">IF(AND(O11="wizard",O12&gt;=15),"x",IF(AND($O$11="wizard",$O$12&gt;13),"xx",IF(AND(O11="wizard",O12=13),"xxx"," ")))</f>
        <v xml:space="preserve"> </v>
      </c>
      <c r="S207" s="29" t="str">
        <f ca="1">IF(AND(O11="wizard",O12&gt;=17),"x",IF(AND($O$11="wizard",$O$12&gt;15),"xx",IF(AND(O11="wizard",O12=15),"xxx"," ")))</f>
        <v xml:space="preserve"> </v>
      </c>
      <c r="T207" s="72" t="str">
        <f ca="1">IF(AND($O$11="wizard",$O$12&gt;17),"xx",IF(AND(O11="wizard",O12=17),"xxx"," "))</f>
        <v xml:space="preserve"> </v>
      </c>
    </row>
    <row r="208" spans="2:37" hidden="1" x14ac:dyDescent="0.3">
      <c r="N208" s="72"/>
      <c r="O208" s="79"/>
      <c r="P208" s="29">
        <f ca="1">IF(P207="x",RANDBETWEEN(2,3),IF(P207="xx",RANDBETWEEN(2,3),IF(P207="xxx",RANDBETWEEN(1,2),0)))</f>
        <v>0</v>
      </c>
      <c r="Q208" s="29">
        <f ca="1">IF(Q207="x",RANDBETWEEN(2,3),IF(Q207="xx",RANDBETWEEN(2,3),IF(Q207="xxx",RANDBETWEEN(1,2),0)))</f>
        <v>0</v>
      </c>
      <c r="R208" s="29">
        <f ca="1">IF(R207="x",RANDBETWEEN(1,2),IF(R207="xx",RANDBETWEEN(1,2),IF(R207="xxx",RANDBETWEEN(1,2),0)))</f>
        <v>0</v>
      </c>
      <c r="S208" s="29">
        <f ca="1">IF(OR(S207="x",S207="xx"),RANDBETWEEN(1,2),IF(S207="xxx",RANDBETWEEN(1,2),0))</f>
        <v>0</v>
      </c>
      <c r="T208" s="72">
        <f ca="1">IF(T207="xx",RANDBETWEEN(1,2),IF(T207="xxx",RANDBETWEEN(1,2),0))</f>
        <v>0</v>
      </c>
    </row>
    <row r="209" spans="14:20" hidden="1" x14ac:dyDescent="0.3">
      <c r="N209" s="72"/>
      <c r="O209" s="79"/>
      <c r="P209" s="29" t="str">
        <f ca="1">IF(AND($O$11="warlock",$O$12&gt;=9),"xx"," ")</f>
        <v xml:space="preserve"> </v>
      </c>
      <c r="T209" s="72"/>
    </row>
    <row r="210" spans="14:20" hidden="1" x14ac:dyDescent="0.3">
      <c r="N210" s="72"/>
      <c r="O210" s="79"/>
      <c r="P210" s="29">
        <f ca="1">IF(P209="x",RANDBETWEEN(2,3),IF(P209="xx",RANDBETWEEN(2,3),0))</f>
        <v>0</v>
      </c>
      <c r="T210" s="72"/>
    </row>
    <row r="211" spans="14:20" hidden="1" x14ac:dyDescent="0.3">
      <c r="N211" s="72"/>
      <c r="O211" s="79"/>
      <c r="P211" s="29" t="str">
        <f ca="1">IF(AND($O$11="sorcerer",$O$12&gt;=11),"x",IF(AND($O$11="sorcerer",$O$12&gt;=9),"xx"," "))</f>
        <v xml:space="preserve"> </v>
      </c>
      <c r="Q211" s="29" t="str">
        <f ca="1">IF(AND($O$11="sorcerer",$O$12&gt;=13),"x",IF(AND($O$11="sorcerer",$O$12&gt;=11),"xx"," "))</f>
        <v xml:space="preserve"> </v>
      </c>
      <c r="R211" s="29" t="str">
        <f ca="1">IF(AND($O$11="sorcerer",$O$12&gt;=15),"x",IF(AND($O$11="sorcerer",$O$12&gt;=13),"xx"," "))</f>
        <v xml:space="preserve"> </v>
      </c>
      <c r="S211" s="29" t="str">
        <f ca="1">IF(AND($O$11="sorcerer",$O$12&gt;=17),"x",IF(AND($O$11="sorcerer",$O$12&gt;15),"xx"," "))</f>
        <v xml:space="preserve"> </v>
      </c>
      <c r="T211" s="72" t="str">
        <f ca="1">IF(AND($O$11="sorcerer",$O$12&gt;=17),"xx"," ")</f>
        <v xml:space="preserve"> </v>
      </c>
    </row>
    <row r="212" spans="14:20" hidden="1" x14ac:dyDescent="0.3">
      <c r="N212" s="72"/>
      <c r="O212" s="79"/>
      <c r="P212" s="29">
        <f ca="1">IF(P211="x",RANDBETWEEN(2,3),IF(P211="xx",RANDBETWEEN(2,3),0))</f>
        <v>0</v>
      </c>
      <c r="Q212" s="29">
        <f ca="1">IF(Q211="x",RANDBETWEEN(2,3),IF(Q211="xx",RANDBETWEEN(2,3),0))</f>
        <v>0</v>
      </c>
      <c r="R212" s="29">
        <f ca="1">IF(R211="x",RANDBETWEEN(1,2),IF(R211="xx",RANDBETWEEN(1,2),0))</f>
        <v>0</v>
      </c>
      <c r="S212" s="29">
        <f ca="1">IF(OR(S211="x",S211="xx"),RANDBETWEEN(1,2),0)</f>
        <v>0</v>
      </c>
      <c r="T212" s="72">
        <f ca="1">IF(T211="xx",RANDBETWEEN(1,2),0)</f>
        <v>0</v>
      </c>
    </row>
    <row r="213" spans="14:20" hidden="1" x14ac:dyDescent="0.3">
      <c r="N213" s="72"/>
      <c r="O213" s="79"/>
      <c r="T213" s="72"/>
    </row>
    <row r="214" spans="14:20" hidden="1" x14ac:dyDescent="0.3">
      <c r="N214" s="72"/>
      <c r="O214" s="79"/>
      <c r="T214" s="72"/>
    </row>
    <row r="215" spans="14:20" hidden="1" x14ac:dyDescent="0.3">
      <c r="N215" s="72"/>
      <c r="O215" s="79"/>
      <c r="P215" s="29" t="str">
        <f ca="1">IF(AND($O$11="ranger",$O$12&gt;=17),"xx"," ")</f>
        <v xml:space="preserve"> </v>
      </c>
      <c r="T215" s="72"/>
    </row>
    <row r="216" spans="14:20" hidden="1" x14ac:dyDescent="0.3">
      <c r="N216" s="72"/>
      <c r="O216" s="79"/>
      <c r="P216" s="29">
        <f ca="1">IF(P215="x",RANDBETWEEN(2,3),IF(P215="xx",RANDBETWEEN(2,3),0))</f>
        <v>0</v>
      </c>
      <c r="T216" s="72"/>
    </row>
    <row r="217" spans="14:20" hidden="1" x14ac:dyDescent="0.3">
      <c r="N217" s="72"/>
      <c r="O217" s="79"/>
      <c r="P217" s="29" t="str">
        <f ca="1">IF(AND(O11="paladin",O12&gt;=17),"xx"," ")</f>
        <v xml:space="preserve"> </v>
      </c>
      <c r="T217" s="72"/>
    </row>
    <row r="218" spans="14:20" hidden="1" x14ac:dyDescent="0.3">
      <c r="N218" s="72"/>
      <c r="O218" s="79"/>
      <c r="P218" s="29">
        <f ca="1">IF(P217="x",RANDBETWEEN(2,3),IF(P217="xx",RANDBETWEEN(2,3),0))</f>
        <v>0</v>
      </c>
      <c r="T218" s="72"/>
    </row>
    <row r="219" spans="14:20" hidden="1" x14ac:dyDescent="0.3">
      <c r="N219" s="72"/>
      <c r="O219" s="79"/>
      <c r="T219" s="72"/>
    </row>
    <row r="220" spans="14:20" hidden="1" x14ac:dyDescent="0.3">
      <c r="N220" s="72"/>
      <c r="O220" s="79"/>
      <c r="T220" s="72"/>
    </row>
    <row r="221" spans="14:20" hidden="1" x14ac:dyDescent="0.3">
      <c r="N221" s="72"/>
      <c r="O221" s="79"/>
      <c r="P221" s="29" t="str">
        <f ca="1">IF(AND($O$11="druid",$O$12&gt;=11),"x",IF(AND($O$11="druid",$O$12&gt;=9),"xx"," "))</f>
        <v xml:space="preserve"> </v>
      </c>
      <c r="Q221" s="29" t="str">
        <f ca="1">IF(AND($O$11="druid",$O$12&gt;=13),"x",IF(AND($O$11="druid",$O$12&gt;=11),"xx"," "))</f>
        <v xml:space="preserve"> </v>
      </c>
      <c r="R221" s="29" t="str">
        <f ca="1">IF(AND($O$11="druid",$O$12&gt;=15),"x",IF(AND($O$11="druid",$O$12&gt;=13),"xx"," "))</f>
        <v xml:space="preserve"> </v>
      </c>
      <c r="S221" s="29" t="str">
        <f ca="1">IF(AND($O$11="druid",$O$12&gt;=17),"x",IF(AND($O$11="druid",$O$12&gt;15),"xx"," "))</f>
        <v xml:space="preserve"> </v>
      </c>
      <c r="T221" s="72" t="str">
        <f ca="1">IF(AND($O$11="druid",$O$12&gt;=17),"xx"," ")</f>
        <v xml:space="preserve"> </v>
      </c>
    </row>
    <row r="222" spans="14:20" hidden="1" x14ac:dyDescent="0.3">
      <c r="N222" s="72"/>
      <c r="O222" s="79"/>
      <c r="P222" s="29">
        <f ca="1">IF(P221="x",RANDBETWEEN(2,3),IF(P221="xx",RANDBETWEEN(2,3),0))</f>
        <v>0</v>
      </c>
      <c r="Q222" s="29">
        <f ca="1">IF(Q221="x",RANDBETWEEN(2,3),IF(Q221="xx",RANDBETWEEN(2,3),0))</f>
        <v>0</v>
      </c>
      <c r="R222" s="29">
        <f ca="1">IF(R221="x",RANDBETWEEN(1,2),IF(R221="xx",RANDBETWEEN(1,2),0))</f>
        <v>0</v>
      </c>
      <c r="S222" s="29">
        <f ca="1">IF(OR(S221="x",S221="xx"),RANDBETWEEN(1,2),0)</f>
        <v>0</v>
      </c>
      <c r="T222" s="72">
        <f ca="1">IF(T221="xx",RANDBETWEEN(1,2),0)</f>
        <v>0</v>
      </c>
    </row>
    <row r="223" spans="14:20" hidden="1" x14ac:dyDescent="0.3">
      <c r="N223" s="72"/>
      <c r="O223" s="79"/>
      <c r="P223" s="29" t="str">
        <f ca="1">IF(AND(O11="cleric",O12&gt;=11),"x",IF(AND($O$11="cleric",$O$12&gt;=9),"xx"," "))</f>
        <v xml:space="preserve"> </v>
      </c>
      <c r="Q223" s="29" t="str">
        <f ca="1">IF(AND(O11="cleric",O12&gt;=13),"x",IF(AND($O$11="cleric",$O$12&gt;=11),"xx"," "))</f>
        <v xml:space="preserve"> </v>
      </c>
      <c r="R223" s="29" t="str">
        <f ca="1">IF(AND(O11="cleric",O12&gt;=15),"x",IF(AND($O$11="cleric",$O$12&gt;=13),"xx"," "))</f>
        <v xml:space="preserve"> </v>
      </c>
      <c r="S223" s="29" t="str">
        <f ca="1">IF(AND(O11="cleric",O12&gt;=17),"x",IF(AND($O$11="cleric",$O$12&gt;15),"xx"," "))</f>
        <v xml:space="preserve"> </v>
      </c>
      <c r="T223" s="72" t="str">
        <f ca="1">IF(AND($O$11="cleric",$O$12&gt;=17),"xx"," ")</f>
        <v xml:space="preserve"> </v>
      </c>
    </row>
    <row r="224" spans="14:20" hidden="1" x14ac:dyDescent="0.3">
      <c r="N224" s="72"/>
      <c r="O224" s="79"/>
      <c r="P224" s="29">
        <f ca="1">IF(P223="x",RANDBETWEEN(2,3),IF(P223="xx",RANDBETWEEN(2,3),0))</f>
        <v>0</v>
      </c>
      <c r="Q224" s="29">
        <f ca="1">IF(Q223="x",RANDBETWEEN(2,3),IF(Q223="xx",RANDBETWEEN(2,3),0))</f>
        <v>0</v>
      </c>
      <c r="R224" s="29">
        <f ca="1">IF(R223="x",RANDBETWEEN(1,2),IF(R223="xx",RANDBETWEEN(1,2),0))</f>
        <v>0</v>
      </c>
      <c r="S224" s="29">
        <f ca="1">IF(OR(S223="x",S223="xx"),RANDBETWEEN(1,2),0)</f>
        <v>0</v>
      </c>
      <c r="T224" s="72">
        <f ca="1">IF(T223="xx",RANDBETWEEN(1,2),0)</f>
        <v>0</v>
      </c>
    </row>
    <row r="225" spans="2:20" hidden="1" x14ac:dyDescent="0.3">
      <c r="N225" s="72"/>
      <c r="O225" s="79"/>
      <c r="P225" s="29" t="str">
        <f ca="1">IF(AND($O$11="bard",$O$12&gt;=11),"x",IF(AND($O$11="bard",$O$12&gt;=9),"xx"," "))</f>
        <v xml:space="preserve"> </v>
      </c>
      <c r="Q225" s="29" t="str">
        <f ca="1">IF(AND($O$11="bard",$O$12&gt;=13),"x",IF(AND($O$11="bard",$O$12&gt;=11),"xx"," "))</f>
        <v xml:space="preserve"> </v>
      </c>
      <c r="R225" s="29" t="str">
        <f ca="1">IF(AND($O$11="bard",$O$12&gt;=15),"x",IF(AND($O$11="bard",$O$12&gt;=13),"xx"," "))</f>
        <v xml:space="preserve"> </v>
      </c>
      <c r="S225" s="29" t="str">
        <f ca="1">IF(AND($O$11="bard",$O$12&gt;=17),"x",IF(AND($O$11="bard",$O$12&gt;15),"xx"," "))</f>
        <v xml:space="preserve"> </v>
      </c>
      <c r="T225" s="72" t="str">
        <f ca="1">IF(AND($O$11="bard",$O$12&gt;=17),"xx"," ")</f>
        <v xml:space="preserve"> </v>
      </c>
    </row>
    <row r="226" spans="2:20" hidden="1" x14ac:dyDescent="0.3">
      <c r="N226" s="72"/>
      <c r="O226" s="79"/>
      <c r="P226" s="29">
        <f ca="1">IF(P225="x",RANDBETWEEN(2,3),IF(P225="xx",RANDBETWEEN(2,3),0))</f>
        <v>0</v>
      </c>
      <c r="Q226" s="29">
        <f ca="1">IF(Q225="x",RANDBETWEEN(2,3),IF(Q225="xx",RANDBETWEEN(2,3),0))</f>
        <v>0</v>
      </c>
      <c r="R226" s="29">
        <f ca="1">IF(R225="x",RANDBETWEEN(1,2),IF(R225="xx",RANDBETWEEN(1,2),0))</f>
        <v>0</v>
      </c>
      <c r="S226" s="29">
        <f ca="1">IF(OR(S225="x",S225="xx"),RANDBETWEEN(1,2),0)</f>
        <v>0</v>
      </c>
      <c r="T226" s="72">
        <f ca="1">IF(T225="xx",RANDBETWEEN(1,2),0)</f>
        <v>0</v>
      </c>
    </row>
    <row r="227" spans="2:20" x14ac:dyDescent="0.3">
      <c r="N227" s="72"/>
      <c r="O227" s="79"/>
      <c r="P227" s="107" t="s">
        <v>1169</v>
      </c>
      <c r="Q227" s="107" t="s">
        <v>1170</v>
      </c>
      <c r="R227" s="107" t="s">
        <v>1171</v>
      </c>
      <c r="S227" s="107" t="s">
        <v>677</v>
      </c>
      <c r="T227" s="93" t="s">
        <v>1172</v>
      </c>
    </row>
    <row r="228" spans="2:20" x14ac:dyDescent="0.3">
      <c r="N228" s="72"/>
      <c r="O228" s="86">
        <v>1</v>
      </c>
      <c r="P228" s="65" t="str">
        <f ca="1">IF(AND($O$15="Otherworldly patron - great old one",P$210&gt;=O193),INDEX('Spell Tables'!$AJ$226:$AJ$231,MATCH(O193,('Spell Tables'!$AH$226:$AH$231),0)),IF(AND($O$15="Otherworldly patron - fiend",P$210&gt;=O193),INDEX('Spell Tables'!$AJ$210:$AJ$215,MATCH(O193,('Spell Tables'!$AH$210:$AH$215),0)),IF(AND($O$15="Otherworldly patron - archfey",P$210&gt;=O193),INDEX('Spell Tables'!$AJ$194:$AJ$199,MATCH(O193,('Spell Tables'!$AH$194:$AH$199),0)),IF($P$208&gt;=O193,INDEX($AL$92:$AL$101,MATCH(O193,($AJ$92:$AJ$101),0)),IF($P$212&gt;=O193,INDEX('Spell Tables'!$AJ$168:$AJ$178,MATCH(O193,('Spell Tables'!$AH$168:$AH$178),0)),IF($P$216&gt;=O193,INDEX('Spell Tables'!$AF$119:$AF$122,MATCH(O193,('Spell Tables'!$AD$119:$AD$122),0)),IF($P$218&gt;=O193,INDEX('Spell Tables'!$AF$97:$AF$102,MATCH(O193,('Spell Tables'!$AD$97:$AD$102),0)),IF($P$222&gt;=O193,INDEX('Spell Tables'!$AJ$48:$AJ$61,MATCH(O193,('Spell Tables'!$AH$48:$AH$61),0)),IF($P$224&gt;=O193,INDEX('Spell Tables'!$AJ$26:$AJ$38,MATCH(O193,('Spell Tables'!$AH$26:$AH$38),0)),IF($P$226&gt;=O193,INDEX('Spell Tables'!$AJ$2:$AJ$17,MATCH(O193,('Spell Tables'!$AH$2:$AH$17),0))," "))))))))))</f>
        <v xml:space="preserve"> </v>
      </c>
      <c r="Q228" s="65" t="str">
        <f ca="1">IF($Q$208&gt;=O193,INDEX($AL$104:$AL$113,MATCH(O193,($AJ$104:$AJ$113),0)),IF($Q$212&gt;=O193,INDEX('Spell Tables'!$AN$168:$AN$177,MATCH(O193,('Spell Tables'!$AL$168:$AL$177),0)),IF($Q$222&gt;=O193,INDEX('Spell Tables'!$AN$48:$AN$56,MATCH(O193,('Spell Tables'!$AL$48:$AL$56),0)),IF($Q$224&gt;=O193,INDEX('Spell Tables'!$AN$26:$AN$35,MATCH(O193,('Spell Tables'!$AL$26:$AL$35),0)),IF($Q$226&gt;=O193,INDEX('Spell Tables'!$AN$2:$AN$8,MATCH(O193,('Spell Tables'!$AL$2:$AL$8),0))," ")))))</f>
        <v xml:space="preserve"> </v>
      </c>
      <c r="R228" s="65" t="str">
        <f ca="1">IF($R$208&gt;=O193,INDEX($AL$116:$AL$125,MATCH(O193,($AJ$116:$AJ$125),0)),IF($R$212&gt;=O193,INDEX('Spell Tables'!$AR$168:$AR$175,MATCH(O193,('Spell Tables'!$AP$168:$AP$175),0)),IF($R$222&gt;=O193,INDEX('Spell Tables'!$AR$48:$AR$52,MATCH(O193,('Spell Tables'!$AP$48:$AP$52),0)),IF($R$224&gt;=O193,INDEX('Spell Tables'!$AR$26:$AR$33,MATCH(O193,('Spell Tables'!$AP$26:$AP$33),0)),IF($R$226&gt;=O193,INDEX('Spell Tables'!$AR$2:$AR$11,MATCH(O193,('Spell Tables'!$AL$2:$AL$11),0))," ")))))</f>
        <v xml:space="preserve"> </v>
      </c>
      <c r="S228" s="65" t="str">
        <f ca="1">IF($S$208&gt;=O193,INDEX($AL$128:$AL$137,MATCH(O193,($AJ$128:$AJ$137),0)),IF($S$212&gt;=O193,INDEX('Spell Tables'!$AV$168:$AV$172,MATCH(O193,('Spell Tables'!$AT$168:$AT$172),0)),IF($S$222&gt;=O193,INDEX('Spell Tables'!$AV$48:$AV$54,MATCH(O193,('Spell Tables'!$AT$48:$AT$54),0)),IF($S$224&gt;=O193,INDEX('Spell Tables'!$AV$26:$AV$29,MATCH(O193,('Spell Tables'!$AT$26:$AT$29),0)),IF($S$226&gt;=O193,INDEX('Spell Tables'!$AV$2:$AV$6,MATCH(O193,('Spell Tables'!$AT$2:$AT$6),0))," ")))))</f>
        <v xml:space="preserve"> </v>
      </c>
      <c r="T228" s="66" t="str">
        <f ca="1">IF($T$222&gt;=O193,INDEX('Spell Tables'!$AZ$48:$AZ$51,MATCH(O193,('Spell Tables'!$AX$48:$AX$51),0)),IF($T$208&gt;=O193,INDEX($AL$140:$AL$149,MATCH(O193,($AJ$140:$AJ$149),0)),IF($T$212&gt;=O193,INDEX('Spell Tables'!$AZ$168:$AZ$172,MATCH(O193,('Spell Tables'!$AX$168:$AX$172),0)),IF($T$224&gt;=O193,INDEX('Spell Tables'!$AZ$26:$AZ$29,MATCH(O193,('Spell Tables'!$AX$26:$AX$29),0)),IF($T$226&gt;=O193,INDEX('Spell Tables'!$AZ$2:$AZ$5,MATCH(O193,('Spell Tables'!$AX$2:$AX$5),0))," ")))))</f>
        <v xml:space="preserve"> </v>
      </c>
    </row>
    <row r="229" spans="2:20" x14ac:dyDescent="0.3">
      <c r="N229" s="72"/>
      <c r="O229" s="133">
        <v>2</v>
      </c>
      <c r="P229" s="60" t="str">
        <f ca="1">IF(AND($O$15="Otherworldly patron - great old one",P$210&gt;=O194),INDEX('Spell Tables'!$AJ$226:$AJ$231,MATCH(O194,('Spell Tables'!$AH$226:$AH$231),0)),IF(AND($O$15="Otherworldly patron - fiend",P$210&gt;=O194),INDEX('Spell Tables'!$AJ$210:$AJ$215,MATCH(O194,('Spell Tables'!$AH$210:$AH$215),0)),IF(AND($O$15="Otherworldly patron - archfey",P$210&gt;=O194),INDEX('Spell Tables'!$AJ$194:$AJ$199,MATCH(O194,('Spell Tables'!$AH$194:$AH$199),0)),IF($P$208&gt;=O194,INDEX($AL$92:$AL$101,MATCH(O194,($AJ$92:$AJ$101),0)),IF($P$212&gt;=O194,INDEX('Spell Tables'!$AJ$168:$AJ$178,MATCH(O194,('Spell Tables'!$AH$168:$AH$178),0)),IF($P$216&gt;=O194,INDEX('Spell Tables'!$AF$119:$AF$122,MATCH(O194,('Spell Tables'!$AD$119:$AD$122),0)),IF($P$218&gt;=O194,INDEX('Spell Tables'!$AF$97:$AF$102,MATCH(O194,('Spell Tables'!$AD$97:$AD$102),0)),IF($P$222&gt;=O194,INDEX('Spell Tables'!$AJ$48:$AJ$61,MATCH(O194,('Spell Tables'!$AH$48:$AH$61),0)),IF($P$224&gt;=O194,INDEX('Spell Tables'!$AJ$26:$AJ$38,MATCH(O194,('Spell Tables'!$AH$26:$AH$38),0)),IF($P$226&gt;=O194,INDEX('Spell Tables'!$AJ$2:$AJ$17,MATCH(O194,('Spell Tables'!$AH$2:$AH$17),0))," "))))))))))</f>
        <v xml:space="preserve"> </v>
      </c>
      <c r="Q229" s="60" t="str">
        <f ca="1">IF($Q$208&gt;=O194,INDEX($AL$104:$AL$113,MATCH(O194,($AJ$104:$AJ$113),0)),IF($Q$212&gt;=O194,INDEX('Spell Tables'!$AN$168:$AN$177,MATCH(O194,('Spell Tables'!$AL$168:$AL$177),0)),IF($Q$222&gt;=O194,INDEX('Spell Tables'!$AN$48:$AN$56,MATCH(O194,('Spell Tables'!$AL$48:$AL$56),0)),IF($Q$224&gt;=O194,INDEX('Spell Tables'!$AN$26:$AN$35,MATCH(O194,('Spell Tables'!$AL$26:$AL$35),0)),IF($Q$226&gt;=O194,INDEX('Spell Tables'!$AN$2:$AN$8,MATCH(O194,('Spell Tables'!$AL$2:$AL$8),0))," ")))))</f>
        <v xml:space="preserve"> </v>
      </c>
      <c r="R229" s="60" t="str">
        <f ca="1">IF($R$208&gt;=O194,INDEX($AL$116:$AL$125,MATCH(O194,($AJ$116:$AJ$125),0)),IF($R$212&gt;=O194,INDEX('Spell Tables'!$AR$168:$AR$175,MATCH(O194,('Spell Tables'!$AP$168:$AP$175),0)),IF($R$222&gt;=O194,INDEX('Spell Tables'!$AR$48:$AR$52,MATCH(O194,('Spell Tables'!$AP$48:$AP$52),0)),IF($R$224&gt;=O194,INDEX('Spell Tables'!$AR$26:$AR$33,MATCH(O194,('Spell Tables'!$AP$26:$AP$33),0)),IF($R$226&gt;=O194,INDEX('Spell Tables'!$AR$2:$AR$11,MATCH(O194,('Spell Tables'!$AL$2:$AL$11),0))," ")))))</f>
        <v xml:space="preserve"> </v>
      </c>
      <c r="S229" s="60" t="str">
        <f ca="1">IF($S$208&gt;=O194,INDEX($AL$128:$AL$137,MATCH(O194,($AJ$128:$AJ$137),0)),IF($S$212&gt;=O194,INDEX('Spell Tables'!$AV$168:$AV$172,MATCH(O194,('Spell Tables'!$AT$168:$AT$172),0)),IF($S$222&gt;=O194,INDEX('Spell Tables'!$AV$48:$AV$54,MATCH(O194,('Spell Tables'!$AT$48:$AT$54),0)),IF($S$224&gt;=O194,INDEX('Spell Tables'!$AV$26:$AV$29,MATCH(O194,('Spell Tables'!$AT$26:$AT$29),0)),IF($S$226&gt;=O194,INDEX('Spell Tables'!$AV$2:$AV$6,MATCH(O194,('Spell Tables'!$AT$2:$AT$6),0))," ")))))</f>
        <v xml:space="preserve"> </v>
      </c>
      <c r="T229" s="63" t="str">
        <f ca="1">IF($T$222&gt;=O194,INDEX('Spell Tables'!$AZ$48:$AZ$51,MATCH(O194,('Spell Tables'!$AX$48:$AX$51),0)),IF($T$208&gt;=O194,INDEX($AL$140:$AL$149,MATCH(O194,($AJ$140:$AJ$149),0)),IF($T$212&gt;=O194,INDEX('Spell Tables'!$AZ$168:$AZ$172,MATCH(O194,('Spell Tables'!$AX$168:$AX$172),0)),IF($T$224&gt;=O194,INDEX('Spell Tables'!$AZ$26:$AZ$29,MATCH(O194,('Spell Tables'!$AX$26:$AX$29),0)),IF($T$226&gt;=O194,INDEX('Spell Tables'!$AZ$2:$AZ$5,MATCH(O194,('Spell Tables'!$AX$2:$AX$5),0))," ")))))</f>
        <v xml:space="preserve"> </v>
      </c>
    </row>
    <row r="230" spans="2:20" x14ac:dyDescent="0.3">
      <c r="N230" s="72"/>
      <c r="O230" s="86">
        <v>3</v>
      </c>
      <c r="P230" s="65" t="str">
        <f ca="1">IF(AND($O$15="Otherworldly patron - great old one",P$210&gt;=O195),INDEX('Spell Tables'!$AJ$226:$AJ$231,MATCH(O195,('Spell Tables'!$AH$226:$AH$231),0)),IF(AND($O$15="Otherworldly patron - fiend",P$210&gt;=O195),INDEX('Spell Tables'!$AJ$210:$AJ$215,MATCH(O195,('Spell Tables'!$AH$210:$AH$215),0)),IF(AND($O$15="Otherworldly patron - archfey",P$210&gt;=O195),INDEX('Spell Tables'!$AJ$194:$AJ$199,MATCH(O195,('Spell Tables'!$AH$194:$AH$199),0)),IF($P$208&gt;=O195,INDEX($AL$92:$AL$101,MATCH(O195,($AJ$92:$AJ$101),0)),IF($P$212&gt;=O195,INDEX('Spell Tables'!$AJ$168:$AJ$178,MATCH(O195,('Spell Tables'!$AH$168:$AH$178),0)),IF($P$216&gt;=O195,INDEX('Spell Tables'!$AF$119:$AF$122,MATCH(O195,('Spell Tables'!$AD$119:$AD$122),0)),IF($P$218&gt;=O195,INDEX('Spell Tables'!$AF$97:$AF$102,MATCH(O195,('Spell Tables'!$AD$97:$AD$102),0)),IF($P$222&gt;=O195,INDEX('Spell Tables'!$AJ$48:$AJ$61,MATCH(O195,('Spell Tables'!$AH$48:$AH$61),0)),IF($P$224&gt;=O195,INDEX('Spell Tables'!$AJ$26:$AJ$38,MATCH(O195,('Spell Tables'!$AH$26:$AH$38),0)),IF($P$226&gt;=O195,INDEX('Spell Tables'!$AJ$2:$AJ$17,MATCH(O195,('Spell Tables'!$AH$2:$AH$17),0))," "))))))))))</f>
        <v xml:space="preserve"> </v>
      </c>
      <c r="Q230" s="65" t="str">
        <f ca="1">IF($Q$208&gt;=O195,INDEX($AL$104:$AL$113,MATCH(O195,($AJ$104:$AJ$113),0)),IF($Q$212&gt;=O195,INDEX('Spell Tables'!$AN$168:$AN$177,MATCH(O195,('Spell Tables'!$AL$168:$AL$177),0)),IF($Q$222&gt;=O195,INDEX('Spell Tables'!$AN$48:$AN$56,MATCH(O195,('Spell Tables'!$AL$48:$AL$56),0)),IF($Q$224&gt;=O195,INDEX('Spell Tables'!$AN$26:$AN$35,MATCH(O195,('Spell Tables'!$AL$26:$AL$35),0)),IF($Q$226&gt;=O195,INDEX('Spell Tables'!$AN$2:$AN$8,MATCH(O195,('Spell Tables'!$AL$2:$AL$8),0))," ")))))</f>
        <v xml:space="preserve"> </v>
      </c>
      <c r="R230" s="65" t="str">
        <f ca="1">IF($R$208&gt;=O195,INDEX($AL$116:$AL$125,MATCH(O195,($AJ$116:$AJ$125),0)),IF($R$212&gt;=O195,INDEX('Spell Tables'!$AR$168:$AR$175,MATCH(O195,('Spell Tables'!$AP$168:$AP$175),0)),IF($R$222&gt;=O195,INDEX('Spell Tables'!$AR$48:$AR$52,MATCH(O195,('Spell Tables'!$AP$48:$AP$52),0)),IF($R$224&gt;=O195,INDEX('Spell Tables'!$AR$26:$AR$33,MATCH(O195,('Spell Tables'!$AP$26:$AP$33),0)),IF($R$226&gt;=O195,INDEX('Spell Tables'!$AR$2:$AR$11,MATCH(O195,('Spell Tables'!$AL$2:$AL$11),0))," ")))))</f>
        <v xml:space="preserve"> </v>
      </c>
      <c r="S230" s="65" t="str">
        <f ca="1">IF($S$208&gt;=O195,INDEX($AL$128:$AL$137,MATCH(O195,($AJ$128:$AJ$137),0)),IF($S$212&gt;=O195,INDEX('Spell Tables'!$AV$168:$AV$172,MATCH(O195,('Spell Tables'!$AT$168:$AT$172),0)),IF($S$222&gt;=O195,INDEX('Spell Tables'!$AV$48:$AV$54,MATCH(O195,('Spell Tables'!$AT$48:$AT$54),0)),IF($S$224&gt;=O195,INDEX('Spell Tables'!$AV$26:$AV$29,MATCH(O195,('Spell Tables'!$AT$26:$AT$29),0)),IF($S$226&gt;=O195,INDEX('Spell Tables'!$AV$2:$AV$6,MATCH(O195,('Spell Tables'!$AT$2:$AT$6),0))," ")))))</f>
        <v xml:space="preserve"> </v>
      </c>
      <c r="T230" s="66" t="str">
        <f ca="1">IF($T$222&gt;=O195,INDEX('Spell Tables'!$AZ$48:$AZ$51,MATCH(O195,('Spell Tables'!$AX$48:$AX$51),0)),IF($T$208&gt;=O195,INDEX($AL$140:$AL$149,MATCH(O195,($AJ$140:$AJ$149),0)),IF($T$212&gt;=O195,INDEX('Spell Tables'!$AZ$168:$AZ$172,MATCH(O195,('Spell Tables'!$AX$168:$AX$172),0)),IF($T$224&gt;=O195,INDEX('Spell Tables'!$AZ$26:$AZ$29,MATCH(O195,('Spell Tables'!$AX$26:$AX$29),0)),IF($T$226&gt;=O195,INDEX('Spell Tables'!$AZ$2:$AZ$5,MATCH(O195,('Spell Tables'!$AX$2:$AX$5),0))," ")))))</f>
        <v xml:space="preserve"> </v>
      </c>
    </row>
    <row r="231" spans="2:20" x14ac:dyDescent="0.3">
      <c r="N231" s="72"/>
      <c r="O231" s="133">
        <v>4</v>
      </c>
      <c r="P231" s="60" t="str">
        <f ca="1">IF(AND($O$15="Otherworldly patron - great old one",P$210&gt;=O196),INDEX('Spell Tables'!$AJ$226:$AJ$231,MATCH(O196,('Spell Tables'!$AH$226:$AH$231),0)),IF(AND($O$15="Otherworldly patron - fiend",P$210&gt;=O196),INDEX('Spell Tables'!$AJ$210:$AJ$215,MATCH(O196,('Spell Tables'!$AH$210:$AH$215),0)),IF(AND($O$15="Otherworldly patron - archfey",P$210&gt;=O196),INDEX('Spell Tables'!$AJ$194:$AJ$199,MATCH(O196,('Spell Tables'!$AH$194:$AH$199),0)),IF($P$208&gt;=O196,INDEX($AL$92:$AL$101,MATCH(O196,($AJ$92:$AJ$101),0)),IF($P$212&gt;=O196,INDEX('Spell Tables'!$AJ$168:$AJ$178,MATCH(O196,('Spell Tables'!$AH$168:$AH$178),0)),IF($P$216&gt;=O196,INDEX('Spell Tables'!$AF$119:$AF$122,MATCH(O196,('Spell Tables'!$AD$119:$AD$122),0)),IF($P$218&gt;=O196,INDEX('Spell Tables'!$AF$97:$AF$102,MATCH(O196,('Spell Tables'!$AD$97:$AD$102),0)),IF($P$222&gt;=O196,INDEX('Spell Tables'!$AJ$48:$AJ$61,MATCH(O196,('Spell Tables'!$AH$48:$AH$61),0)),IF($P$224&gt;=O196,INDEX('Spell Tables'!$AJ$26:$AJ$38,MATCH(O196,('Spell Tables'!$AH$26:$AH$38),0)),IF($P$226&gt;=O196,INDEX('Spell Tables'!$AJ$2:$AJ$17,MATCH(O196,('Spell Tables'!$AH$2:$AH$17),0))," "))))))))))</f>
        <v xml:space="preserve"> </v>
      </c>
      <c r="Q231" s="60" t="str">
        <f ca="1">IF($Q$208&gt;=O196,INDEX($AL$104:$AL$113,MATCH(O196,($AJ$104:$AJ$113),0)),IF($Q$212&gt;=O196,INDEX('Spell Tables'!$AN$168:$AN$177,MATCH(O196,('Spell Tables'!$AL$168:$AL$177),0)),IF($Q$222&gt;=O196,INDEX('Spell Tables'!$AN$48:$AN$56,MATCH(O196,('Spell Tables'!$AL$48:$AL$56),0)),IF($Q$224&gt;=O196,INDEX('Spell Tables'!$AN$26:$AN$35,MATCH(O196,('Spell Tables'!$AL$26:$AL$35),0)),IF($Q$226&gt;=O196,INDEX('Spell Tables'!$AN$2:$AN$8,MATCH(O196,('Spell Tables'!$AL$2:$AL$8),0))," ")))))</f>
        <v xml:space="preserve"> </v>
      </c>
      <c r="R231" s="60" t="str">
        <f ca="1">IF($R$208&gt;=O196,INDEX($AL$116:$AL$125,MATCH(O196,($AJ$116:$AJ$125),0)),IF($R$212&gt;=O196,INDEX('Spell Tables'!$AR$168:$AR$175,MATCH(O196,('Spell Tables'!$AP$168:$AP$175),0)),IF($R$222&gt;=O196,INDEX('Spell Tables'!$AR$48:$AR$52,MATCH(O196,('Spell Tables'!$AP$48:$AP$52),0)),IF($R$224&gt;=O196,INDEX('Spell Tables'!$AR$26:$AR$33,MATCH(O196,('Spell Tables'!$AP$26:$AP$33),0)),IF($R$226&gt;=O196,INDEX('Spell Tables'!$AR$2:$AR$11,MATCH(O196,('Spell Tables'!$AL$2:$AL$11),0))," ")))))</f>
        <v xml:space="preserve"> </v>
      </c>
      <c r="S231" s="60" t="str">
        <f ca="1">IF($S$208&gt;=O196,INDEX($AL$128:$AL$137,MATCH(O196,($AJ$128:$AJ$137),0)),IF($S$212&gt;=O196,INDEX('Spell Tables'!$AV$168:$AV$172,MATCH(O196,('Spell Tables'!$AT$168:$AT$172),0)),IF($S$222&gt;=O196,INDEX('Spell Tables'!$AV$48:$AV$54,MATCH(O196,('Spell Tables'!$AT$48:$AT$54),0)),IF($S$224&gt;=O196,INDEX('Spell Tables'!$AV$26:$AV$29,MATCH(O196,('Spell Tables'!$AT$26:$AT$29),0)),IF($S$226&gt;=O196,INDEX('Spell Tables'!$AV$2:$AV$6,MATCH(O196,('Spell Tables'!$AT$2:$AT$6),0))," ")))))</f>
        <v xml:space="preserve"> </v>
      </c>
      <c r="T231" s="63" t="str">
        <f ca="1">IF($T$222&gt;=O196,INDEX('Spell Tables'!$AZ$48:$AZ$51,MATCH(O196,('Spell Tables'!$AX$48:$AX$51),0)),IF($T$208&gt;=O196,INDEX($AL$140:$AL$149,MATCH(O196,($AJ$140:$AJ$149),0)),IF($T$212&gt;=O196,INDEX('Spell Tables'!$AZ$168:$AZ$172,MATCH(O196,('Spell Tables'!$AX$168:$AX$172),0)),IF($T$224&gt;=O196,INDEX('Spell Tables'!$AZ$26:$AZ$29,MATCH(O196,('Spell Tables'!$AX$26:$AX$29),0)),IF($T$226&gt;=O196,INDEX('Spell Tables'!$AZ$2:$AZ$5,MATCH(O196,('Spell Tables'!$AX$2:$AX$5),0))," ")))))</f>
        <v xml:space="preserve"> </v>
      </c>
    </row>
    <row r="232" spans="2:20" x14ac:dyDescent="0.3">
      <c r="N232" s="72"/>
      <c r="O232" s="86">
        <v>5</v>
      </c>
      <c r="P232" s="65" t="str">
        <f ca="1">IF(AND($O$15="Otherworldly patron - great old one",P$210&gt;=O197),INDEX('Spell Tables'!$AJ$226:$AJ$231,MATCH(O197,('Spell Tables'!$AH$226:$AH$231),0)),IF(AND($O$15="Otherworldly patron - fiend",P$210&gt;=O197),INDEX('Spell Tables'!$AJ$210:$AJ$215,MATCH(O197,('Spell Tables'!$AH$210:$AH$215),0)),IF(AND($O$15="Otherworldly patron - archfey",P$210&gt;=O197),INDEX('Spell Tables'!$AJ$194:$AJ$199,MATCH(O197,('Spell Tables'!$AH$194:$AH$199),0)),IF($P$208&gt;=O197,INDEX($AL$92:$AL$101,MATCH(O197,($AJ$92:$AJ$101),0)),IF($P$212&gt;=O197,INDEX('Spell Tables'!$AJ$168:$AJ$178,MATCH(O197,('Spell Tables'!$AH$168:$AH$178),0)),IF($P$216&gt;=O197,INDEX('Spell Tables'!$AF$119:$AF$122,MATCH(O197,('Spell Tables'!$AD$119:$AD$122),0)),IF($P$218&gt;=O197,INDEX('Spell Tables'!$AF$97:$AF$102,MATCH(O197,('Spell Tables'!$AD$97:$AD$102),0)),IF($P$222&gt;=O197,INDEX('Spell Tables'!$AJ$48:$AJ$61,MATCH(O197,('Spell Tables'!$AH$48:$AH$61),0)),IF($P$224&gt;=O197,INDEX('Spell Tables'!$AJ$26:$AJ$38,MATCH(O197,('Spell Tables'!$AH$26:$AH$38),0)),IF($P$226&gt;=O197,INDEX('Spell Tables'!$AJ$2:$AJ$17,MATCH(O197,('Spell Tables'!$AH$2:$AH$17),0))," "))))))))))</f>
        <v xml:space="preserve"> </v>
      </c>
      <c r="Q232" s="65" t="str">
        <f ca="1">IF($Q$208&gt;=O197,INDEX($AL$104:$AL$113,MATCH(O197,($AJ$104:$AJ$113),0)),IF($Q$212&gt;=O197,INDEX('Spell Tables'!$AN$168:$AN$177,MATCH(O197,('Spell Tables'!$AL$168:$AL$177),0)),IF($Q$222&gt;=O197,INDEX('Spell Tables'!$AN$48:$AN$56,MATCH(O197,('Spell Tables'!$AL$48:$AL$56),0)),IF($Q$224&gt;=O197,INDEX('Spell Tables'!$AN$26:$AN$35,MATCH(O197,('Spell Tables'!$AL$26:$AL$35),0)),IF($Q$226&gt;=O197,INDEX('Spell Tables'!$AN$2:$AN$8,MATCH(O197,('Spell Tables'!$AL$2:$AL$8),0))," ")))))</f>
        <v xml:space="preserve"> </v>
      </c>
      <c r="R232" s="65" t="str">
        <f ca="1">IF($R$208&gt;=O197,INDEX($AL$116:$AL$125,MATCH(O197,($AJ$116:$AJ$125),0)),IF($R$212&gt;=O197,INDEX('Spell Tables'!$AR$168:$AR$175,MATCH(O197,('Spell Tables'!$AP$168:$AP$175),0)),IF($R$222&gt;=O197,INDEX('Spell Tables'!$AR$48:$AR$52,MATCH(O197,('Spell Tables'!$AP$48:$AP$52),0)),IF($R$224&gt;=O197,INDEX('Spell Tables'!$AR$26:$AR$33,MATCH(O197,('Spell Tables'!$AP$26:$AP$33),0)),IF($R$226&gt;=O197,INDEX('Spell Tables'!$AR$2:$AR$11,MATCH(O197,('Spell Tables'!$AL$2:$AL$11),0))," ")))))</f>
        <v xml:space="preserve"> </v>
      </c>
      <c r="S232" s="65" t="str">
        <f ca="1">IF($S$208&gt;=O197,INDEX($AL$128:$AL$137,MATCH(O197,($AJ$128:$AJ$137),0)),IF($S$212&gt;=O197,INDEX('Spell Tables'!$AV$168:$AV$172,MATCH(O197,('Spell Tables'!$AT$168:$AT$172),0)),IF($S$222&gt;=O197,INDEX('Spell Tables'!$AV$48:$AV$54,MATCH(O197,('Spell Tables'!$AT$48:$AT$54),0)),IF($S$224&gt;=O197,INDEX('Spell Tables'!$AV$26:$AV$29,MATCH(O197,('Spell Tables'!$AT$26:$AT$29),0)),IF($S$226&gt;=O197,INDEX('Spell Tables'!$AV$2:$AV$6,MATCH(O197,('Spell Tables'!$AT$2:$AT$6),0))," ")))))</f>
        <v xml:space="preserve"> </v>
      </c>
      <c r="T232" s="66" t="str">
        <f ca="1">IF($T$222&gt;=O197,INDEX('Spell Tables'!$AZ$48:$AZ$51,MATCH(O197,('Spell Tables'!$AX$48:$AX$51),0)),IF($T$208&gt;=O197,INDEX($AL$140:$AL$149,MATCH(O197,($AJ$140:$AJ$149),0)),IF($T$212&gt;=O197,INDEX('Spell Tables'!$AZ$168:$AZ$172,MATCH(O197,('Spell Tables'!$AX$168:$AX$172),0)),IF($T$224&gt;=O197,INDEX('Spell Tables'!$AZ$26:$AZ$29,MATCH(O197,('Spell Tables'!$AX$26:$AX$29),0)),IF($T$226&gt;=O197,INDEX('Spell Tables'!$AZ$2:$AZ$5,MATCH(O197,('Spell Tables'!$AX$2:$AX$5),0))," ")))))</f>
        <v xml:space="preserve"> </v>
      </c>
    </row>
    <row r="233" spans="2:20" x14ac:dyDescent="0.3">
      <c r="N233" s="72"/>
      <c r="O233" s="133">
        <v>6</v>
      </c>
      <c r="P233" s="60" t="str">
        <f ca="1">IF(AND($O$15="Otherworldly patron - great old one",P$210&gt;=O198),INDEX('Spell Tables'!$AJ$226:$AJ$231,MATCH(O198,('Spell Tables'!$AH$226:$AH$231),0)),IF(AND($O$15="Otherworldly patron - fiend",P$210&gt;=O198),INDEX('Spell Tables'!$AJ$210:$AJ$215,MATCH(O198,('Spell Tables'!$AH$210:$AH$215),0)),IF(AND($O$15="Otherworldly patron - archfey",P$210&gt;=O198),INDEX('Spell Tables'!$AJ$194:$AJ$199,MATCH(O198,('Spell Tables'!$AH$194:$AH$199),0)),IF($P$208&gt;=O198,INDEX($AL$92:$AL$101,MATCH(O198,($AJ$92:$AJ$101),0)),IF($P$212&gt;=O198,INDEX('Spell Tables'!$AJ$168:$AJ$178,MATCH(O198,('Spell Tables'!$AH$168:$AH$178),0)),IF($P$216&gt;=O198,INDEX('Spell Tables'!$AF$119:$AF$122,MATCH(O198,('Spell Tables'!$AD$119:$AD$122),0)),IF($P$218&gt;=O198,INDEX('Spell Tables'!$AF$97:$AF$102,MATCH(O198,('Spell Tables'!$AD$97:$AD$102),0)),IF($P$222&gt;=O198,INDEX('Spell Tables'!$AJ$48:$AJ$61,MATCH(O198,('Spell Tables'!$AH$48:$AH$61),0)),IF($P$224&gt;=O198,INDEX('Spell Tables'!$AJ$26:$AJ$38,MATCH(O198,('Spell Tables'!$AH$26:$AH$38),0)),IF($P$226&gt;=O198,INDEX('Spell Tables'!$AJ$2:$AJ$17,MATCH(O198,('Spell Tables'!$AH$2:$AH$17),0))," "))))))))))</f>
        <v xml:space="preserve"> </v>
      </c>
      <c r="Q233" s="60" t="str">
        <f ca="1">IF($Q$208&gt;=O198,INDEX($AL$104:$AL$113,MATCH(O198,($AJ$104:$AJ$113),0)),IF($Q$212&gt;=O198,INDEX('Spell Tables'!$AN$168:$AN$177,MATCH(O198,('Spell Tables'!$AL$168:$AL$177),0)),IF($Q$222&gt;=O198,INDEX('Spell Tables'!$AN$48:$AN$56,MATCH(O198,('Spell Tables'!$AL$48:$AL$56),0)),IF($Q$224&gt;=O198,INDEX('Spell Tables'!$AN$26:$AN$35,MATCH(O198,('Spell Tables'!$AL$26:$AL$35),0)),IF($Q$226&gt;=O198,INDEX('Spell Tables'!$AN$2:$AN$8,MATCH(O198,('Spell Tables'!$AL$2:$AL$8),0))," ")))))</f>
        <v xml:space="preserve"> </v>
      </c>
      <c r="R233" s="60" t="str">
        <f ca="1">IF($R$208&gt;=O198,INDEX($AL$116:$AL$125,MATCH(O198,($AJ$116:$AJ$125),0)),IF($R$212&gt;=O198,INDEX('Spell Tables'!$AR$168:$AR$175,MATCH(O198,('Spell Tables'!$AP$168:$AP$175),0)),IF($R$222&gt;=O198,INDEX('Spell Tables'!$AR$48:$AR$52,MATCH(O198,('Spell Tables'!$AP$48:$AP$52),0)),IF($R$224&gt;=O198,INDEX('Spell Tables'!$AR$26:$AR$33,MATCH(O198,('Spell Tables'!$AP$26:$AP$33),0)),IF($R$226&gt;=O198,INDEX('Spell Tables'!$AR$2:$AR$11,MATCH(O198,('Spell Tables'!$AL$2:$AL$11),0))," ")))))</f>
        <v xml:space="preserve"> </v>
      </c>
      <c r="S233" s="60" t="str">
        <f ca="1">IF($S$208&gt;=O198,INDEX($AL$128:$AL$137,MATCH(O198,($AJ$128:$AJ$137),0)),IF($S$212&gt;=O198,INDEX('Spell Tables'!$AV$168:$AV$172,MATCH(O198,('Spell Tables'!$AT$168:$AT$172),0)),IF($S$222&gt;=O198,INDEX('Spell Tables'!$AV$48:$AV$54,MATCH(O198,('Spell Tables'!$AT$48:$AT$54),0)),IF($S$224&gt;=O198,INDEX('Spell Tables'!$AV$26:$AV$29,MATCH(O198,('Spell Tables'!$AT$26:$AT$29),0)),IF($S$226&gt;=O198,INDEX('Spell Tables'!$AV$2:$AV$6,MATCH(O198,('Spell Tables'!$AT$2:$AT$6),0))," ")))))</f>
        <v xml:space="preserve"> </v>
      </c>
      <c r="T233" s="63" t="str">
        <f ca="1">IF($T$222&gt;=O198,INDEX('Spell Tables'!$AZ$48:$AZ$51,MATCH(O198,('Spell Tables'!$AX$48:$AX$51),0)),IF($T$208&gt;=O198,INDEX($AL$140:$AL$149,MATCH(O198,($AJ$140:$AJ$149),0)),IF($T$212&gt;=O198,INDEX('Spell Tables'!$AZ$168:$AZ$172,MATCH(O198,('Spell Tables'!$AX$168:$AX$172),0)),IF($T$224&gt;=O198,INDEX('Spell Tables'!$AZ$26:$AZ$29,MATCH(O198,('Spell Tables'!$AX$26:$AX$29),0)),IF($T$226&gt;=O198,INDEX('Spell Tables'!$AZ$2:$AZ$5,MATCH(O198,('Spell Tables'!$AX$2:$AX$5),0))," ")))))</f>
        <v xml:space="preserve"> </v>
      </c>
    </row>
    <row r="234" spans="2:20" x14ac:dyDescent="0.3">
      <c r="N234" s="72"/>
      <c r="O234" s="86">
        <v>7</v>
      </c>
      <c r="P234" s="65" t="str">
        <f ca="1">IF(AND($O$15="Otherworldly patron - great old one",P$210&gt;=O199),INDEX('Spell Tables'!$AJ$226:$AJ$231,MATCH(O199,('Spell Tables'!$AH$226:$AH$231),0)),IF(AND($O$15="Otherworldly patron - fiend",P$210&gt;=O199),INDEX('Spell Tables'!$AJ$210:$AJ$215,MATCH(O199,('Spell Tables'!$AH$210:$AH$215),0)),IF(AND($O$15="Otherworldly patron - archfey",P$210&gt;=O199),INDEX('Spell Tables'!$AJ$194:$AJ$199,MATCH(O199,('Spell Tables'!$AH$194:$AH$199),0)),IF($P$208&gt;=O199,INDEX($AL$92:$AL$101,MATCH(O199,($AJ$92:$AJ$101),0)),IF($P$212&gt;=O199,INDEX('Spell Tables'!$AJ$168:$AJ$178,MATCH(O199,('Spell Tables'!$AH$168:$AH$178),0)),IF($P$216&gt;=O199,INDEX('Spell Tables'!$AF$119:$AF$122,MATCH(O199,('Spell Tables'!$AD$119:$AD$122),0)),IF($P$218&gt;=O199,INDEX('Spell Tables'!$AF$97:$AF$102,MATCH(O199,('Spell Tables'!$AD$97:$AD$102),0)),IF($P$222&gt;=O199,INDEX('Spell Tables'!$AJ$48:$AJ$61,MATCH(O199,('Spell Tables'!$AH$48:$AH$61),0)),IF($P$224&gt;=O199,INDEX('Spell Tables'!$AJ$26:$AJ$38,MATCH(O199,('Spell Tables'!$AH$26:$AH$38),0)),IF($P$226&gt;=O199,INDEX('Spell Tables'!$AJ$2:$AJ$17,MATCH(O199,('Spell Tables'!$AH$2:$AH$17),0))," "))))))))))</f>
        <v xml:space="preserve"> </v>
      </c>
      <c r="Q234" s="65" t="str">
        <f ca="1">IF($Q$208&gt;=O199,INDEX($AL$104:$AL$113,MATCH(O199,($AJ$104:$AJ$113),0)),IF($Q$212&gt;=O199,INDEX('Spell Tables'!$AN$168:$AN$177,MATCH(O199,('Spell Tables'!$AL$168:$AL$177),0)),IF($Q$222&gt;=O199,INDEX('Spell Tables'!$AN$48:$AN$56,MATCH(O199,('Spell Tables'!$AL$48:$AL$56),0)),IF($Q$224&gt;=O199,INDEX('Spell Tables'!$AN$26:$AN$35,MATCH(O199,('Spell Tables'!$AL$26:$AL$35),0)),IF($Q$226&gt;=O199,INDEX('Spell Tables'!$AN$2:$AN$8,MATCH(O199,('Spell Tables'!$AL$2:$AL$8),0))," ")))))</f>
        <v xml:space="preserve"> </v>
      </c>
      <c r="R234" s="65" t="str">
        <f ca="1">IF($R$208&gt;=O199,INDEX($AL$116:$AL$125,MATCH(O199,($AJ$116:$AJ$125),0)),IF($R$212&gt;=O199,INDEX('Spell Tables'!$AR$168:$AR$175,MATCH(O199,('Spell Tables'!$AP$168:$AP$175),0)),IF($R$222&gt;=O199,INDEX('Spell Tables'!$AR$48:$AR$52,MATCH(O199,('Spell Tables'!$AP$48:$AP$52),0)),IF($R$224&gt;=O199,INDEX('Spell Tables'!$AR$26:$AR$33,MATCH(O199,('Spell Tables'!$AP$26:$AP$33),0)),IF($R$226&gt;=O199,INDEX('Spell Tables'!$AR$2:$AR$11,MATCH(O199,('Spell Tables'!$AL$2:$AL$11),0))," ")))))</f>
        <v xml:space="preserve"> </v>
      </c>
      <c r="S234" s="65" t="str">
        <f ca="1">IF($S$208&gt;=O199,INDEX($AL$128:$AL$137,MATCH(O199,($AJ$128:$AJ$137),0)),IF($S$212&gt;=O199,INDEX('Spell Tables'!$AV$168:$AV$172,MATCH(O199,('Spell Tables'!$AT$168:$AT$172),0)),IF($S$222&gt;=O199,INDEX('Spell Tables'!$AV$48:$AV$54,MATCH(O199,('Spell Tables'!$AT$48:$AT$54),0)),IF($S$224&gt;=O199,INDEX('Spell Tables'!$AV$26:$AV$29,MATCH(O199,('Spell Tables'!$AT$26:$AT$29),0)),IF($S$226&gt;=O199,INDEX('Spell Tables'!$AV$2:$AV$6,MATCH(O199,('Spell Tables'!$AT$2:$AT$6),0))," ")))))</f>
        <v xml:space="preserve"> </v>
      </c>
      <c r="T234" s="66" t="str">
        <f ca="1">IF($T$222&gt;=O199,INDEX('Spell Tables'!$AZ$48:$AZ$51,MATCH(O199,('Spell Tables'!$AX$48:$AX$51),0)),IF($T$208&gt;=O199,INDEX($AL$140:$AL$149,MATCH(O199,($AJ$140:$AJ$149),0)),IF($T$212&gt;=O199,INDEX('Spell Tables'!$AZ$168:$AZ$172,MATCH(O199,('Spell Tables'!$AX$168:$AX$172),0)),IF($T$224&gt;=O199,INDEX('Spell Tables'!$AZ$26:$AZ$29,MATCH(O199,('Spell Tables'!$AX$26:$AX$29),0)),IF($T$226&gt;=O199,INDEX('Spell Tables'!$AZ$2:$AZ$5,MATCH(O199,('Spell Tables'!$AX$2:$AX$5),0))," ")))))</f>
        <v xml:space="preserve"> </v>
      </c>
    </row>
    <row r="235" spans="2:20" x14ac:dyDescent="0.3">
      <c r="N235" s="72"/>
      <c r="O235" s="133">
        <v>8</v>
      </c>
      <c r="P235" s="60" t="str">
        <f ca="1">IF(AND($O$15="Otherworldly patron - great old one",P$210&gt;=O200),INDEX('Spell Tables'!$AJ$226:$AJ$231,MATCH(O200,('Spell Tables'!$AH$226:$AH$231),0)),IF(AND($O$15="Otherworldly patron - fiend",P$210&gt;=O200),INDEX('Spell Tables'!$AJ$210:$AJ$215,MATCH(O200,('Spell Tables'!$AH$210:$AH$215),0)),IF(AND($O$15="Otherworldly patron - archfey",P$210&gt;=O200),INDEX('Spell Tables'!$AJ$194:$AJ$199,MATCH(O200,('Spell Tables'!$AH$194:$AH$199),0)),IF($P$208&gt;=O200,INDEX($AL$92:$AL$101,MATCH(O200,($AJ$92:$AJ$101),0)),IF($P$212&gt;=O200,INDEX('Spell Tables'!$AJ$168:$AJ$178,MATCH(O200,('Spell Tables'!$AH$168:$AH$178),0)),IF($P$216&gt;=O200,INDEX('Spell Tables'!$AF$119:$AF$122,MATCH(O200,('Spell Tables'!$AD$119:$AD$122),0)),IF($P$218&gt;=O200,INDEX('Spell Tables'!$AF$97:$AF$102,MATCH(O200,('Spell Tables'!$AD$97:$AD$102),0)),IF($P$222&gt;=O200,INDEX('Spell Tables'!$AJ$48:$AJ$61,MATCH(O200,('Spell Tables'!$AH$48:$AH$61),0)),IF($P$224&gt;=O200,INDEX('Spell Tables'!$AJ$26:$AJ$38,MATCH(O200,('Spell Tables'!$AH$26:$AH$38),0)),IF($P$226&gt;=O200,INDEX('Spell Tables'!$AJ$2:$AJ$17,MATCH(O200,('Spell Tables'!$AH$2:$AH$17),0))," "))))))))))</f>
        <v xml:space="preserve"> </v>
      </c>
      <c r="Q235" s="60" t="str">
        <f ca="1">IF($Q$208&gt;=O200,INDEX($AL$104:$AL$113,MATCH(O200,($AJ$104:$AJ$113),0)),IF($Q$212&gt;=O200,INDEX('Spell Tables'!$AN$168:$AN$177,MATCH(O200,('Spell Tables'!$AL$168:$AL$177),0)),IF($Q$222&gt;=O200,INDEX('Spell Tables'!$AN$48:$AN$56,MATCH(O200,('Spell Tables'!$AL$48:$AL$56),0)),IF($Q$224&gt;=O200,INDEX('Spell Tables'!$AN$26:$AN$35,MATCH(O200,('Spell Tables'!$AL$26:$AL$35),0)),IF($Q$226&gt;=O200,INDEX('Spell Tables'!$AN$2:$AN$8,MATCH(O200,('Spell Tables'!$AL$2:$AL$8),0))," ")))))</f>
        <v xml:space="preserve"> </v>
      </c>
      <c r="R235" s="60" t="str">
        <f ca="1">IF($R$208&gt;=O200,INDEX($AL$116:$AL$125,MATCH(O200,($AJ$116:$AJ$125),0)),IF($R$212&gt;=O200,INDEX('Spell Tables'!$AR$168:$AR$175,MATCH(O200,('Spell Tables'!$AP$168:$AP$175),0)),IF($R$222&gt;=O200,INDEX('Spell Tables'!$AR$48:$AR$52,MATCH(O200,('Spell Tables'!$AP$48:$AP$52),0)),IF($R$224&gt;=O200,INDEX('Spell Tables'!$AR$26:$AR$33,MATCH(O200,('Spell Tables'!$AP$26:$AP$33),0)),IF($R$226&gt;=O200,INDEX('Spell Tables'!$AR$2:$AR$11,MATCH(O200,('Spell Tables'!$AL$2:$AL$11),0))," ")))))</f>
        <v xml:space="preserve"> </v>
      </c>
      <c r="S235" s="60" t="str">
        <f ca="1">IF($S$208&gt;=O200,INDEX($AL$128:$AL$137,MATCH(O200,($AJ$128:$AJ$137),0)),IF($S$212&gt;=O200,INDEX('Spell Tables'!$AV$168:$AV$172,MATCH(O200,('Spell Tables'!$AT$168:$AT$172),0)),IF($S$222&gt;=O200,INDEX('Spell Tables'!$AV$48:$AV$54,MATCH(O200,('Spell Tables'!$AT$48:$AT$54),0)),IF($S$224&gt;=O200,INDEX('Spell Tables'!$AV$26:$AV$29,MATCH(O200,('Spell Tables'!$AT$26:$AT$29),0)),IF($S$226&gt;=O200,INDEX('Spell Tables'!$AV$2:$AV$6,MATCH(O200,('Spell Tables'!$AT$2:$AT$6),0))," ")))))</f>
        <v xml:space="preserve"> </v>
      </c>
      <c r="T235" s="63" t="str">
        <f ca="1">IF($T$222&gt;=O200,INDEX('Spell Tables'!$AZ$48:$AZ$51,MATCH(O200,('Spell Tables'!$AX$48:$AX$51),0)),IF($T$208&gt;=O200,INDEX($AL$140:$AL$149,MATCH(O200,($AJ$140:$AJ$149),0)),IF($T$212&gt;=O200,INDEX('Spell Tables'!$AZ$168:$AZ$172,MATCH(O200,('Spell Tables'!$AX$168:$AX$172),0)),IF($T$224&gt;=O200,INDEX('Spell Tables'!$AZ$26:$AZ$29,MATCH(O200,('Spell Tables'!$AX$26:$AX$29),0)),IF($T$226&gt;=O200,INDEX('Spell Tables'!$AZ$2:$AZ$5,MATCH(O200,('Spell Tables'!$AX$2:$AX$5),0))," ")))))</f>
        <v xml:space="preserve"> </v>
      </c>
    </row>
    <row r="236" spans="2:20" x14ac:dyDescent="0.3">
      <c r="N236" s="72"/>
      <c r="O236" s="86">
        <v>9</v>
      </c>
      <c r="P236" s="65" t="str">
        <f ca="1">IF(AND($O$15="Otherworldly patron - great old one",P$210&gt;=O201),INDEX('Spell Tables'!$AJ$226:$AJ$231,MATCH(O201,('Spell Tables'!$AH$226:$AH$231),0)),IF(AND($O$15="Otherworldly patron - fiend",P$210&gt;=O201),INDEX('Spell Tables'!$AJ$210:$AJ$215,MATCH(O201,('Spell Tables'!$AH$210:$AH$215),0)),IF(AND($O$15="Otherworldly patron - archfey",P$210&gt;=O201),INDEX('Spell Tables'!$AJ$194:$AJ$199,MATCH(O201,('Spell Tables'!$AH$194:$AH$199),0)),IF($P$208&gt;=O201,INDEX($AL$92:$AL$101,MATCH(O201,($AJ$92:$AJ$101),0)),IF($P$212&gt;=O201,INDEX('Spell Tables'!$AJ$168:$AJ$178,MATCH(O201,('Spell Tables'!$AH$168:$AH$178),0)),IF($P$216&gt;=O201,INDEX('Spell Tables'!$AF$119:$AF$122,MATCH(O201,('Spell Tables'!$AD$119:$AD$122),0)),IF($P$218&gt;=O201,INDEX('Spell Tables'!$AF$97:$AF$102,MATCH(O201,('Spell Tables'!$AD$97:$AD$102),0)),IF($P$222&gt;=O201,INDEX('Spell Tables'!$AJ$48:$AJ$61,MATCH(O201,('Spell Tables'!$AH$48:$AH$61),0)),IF($P$224&gt;=O201,INDEX('Spell Tables'!$AJ$26:$AJ$38,MATCH(O201,('Spell Tables'!$AH$26:$AH$38),0)),IF($P$226&gt;=O201,INDEX('Spell Tables'!$AJ$2:$AJ$17,MATCH(O201,('Spell Tables'!$AH$2:$AH$17),0))," "))))))))))</f>
        <v xml:space="preserve"> </v>
      </c>
      <c r="Q236" s="65" t="str">
        <f ca="1">IF($Q$208&gt;=O201,INDEX($AL$104:$AL$113,MATCH(O201,($AJ$104:$AJ$113),0)),IF($Q$212&gt;=O201,INDEX('Spell Tables'!$AN$168:$AN$177,MATCH(O201,('Spell Tables'!$AL$168:$AL$177),0)),IF($Q$222&gt;=O201,INDEX('Spell Tables'!$AN$48:$AN$56,MATCH(O201,('Spell Tables'!$AL$48:$AL$56),0)),IF($Q$224&gt;=O201,INDEX('Spell Tables'!$AN$26:$AN$35,MATCH(O201,('Spell Tables'!$AL$26:$AL$35),0)),IF($Q$226&gt;=O201,INDEX('Spell Tables'!$AN$2:$AN$8,MATCH(O201,('Spell Tables'!$AL$2:$AL$8),0))," ")))))</f>
        <v xml:space="preserve"> </v>
      </c>
      <c r="R236" s="65" t="str">
        <f ca="1">IF($R$208&gt;=O201,INDEX($AL$116:$AL$125,MATCH(O201,($AJ$116:$AJ$125),0)),IF($R$212&gt;=O201,INDEX('Spell Tables'!$AR$168:$AR$175,MATCH(O201,('Spell Tables'!$AP$168:$AP$175),0)),IF($R$222&gt;=O201,INDEX('Spell Tables'!$AR$48:$AR$52,MATCH(O201,('Spell Tables'!$AP$48:$AP$52),0)),IF($R$224&gt;=O201,INDEX('Spell Tables'!$AR$26:$AR$33,MATCH(O201,('Spell Tables'!$AP$26:$AP$33),0)),IF($R$226&gt;=O201,INDEX('Spell Tables'!$AR$2:$AR$11,MATCH(O201,('Spell Tables'!$AL$2:$AL$11),0))," ")))))</f>
        <v xml:space="preserve"> </v>
      </c>
      <c r="S236" s="65" t="str">
        <f ca="1">IF($S$208&gt;=O201,INDEX($AL$128:$AL$137,MATCH(O201,($AJ$128:$AJ$137),0)),IF($S$212&gt;=O201,INDEX('Spell Tables'!$AV$168:$AV$172,MATCH(O201,('Spell Tables'!$AT$168:$AT$172),0)),IF($S$222&gt;=O201,INDEX('Spell Tables'!$AV$48:$AV$54,MATCH(O201,('Spell Tables'!$AT$48:$AT$54),0)),IF($S$224&gt;=O201,INDEX('Spell Tables'!$AV$26:$AV$29,MATCH(O201,('Spell Tables'!$AT$26:$AT$29),0)),IF($S$226&gt;=O201,INDEX('Spell Tables'!$AV$2:$AV$6,MATCH(O201,('Spell Tables'!$AT$2:$AT$6),0))," ")))))</f>
        <v xml:space="preserve"> </v>
      </c>
      <c r="T236" s="66" t="str">
        <f ca="1">IF($T$222&gt;=O201,INDEX('Spell Tables'!$AZ$48:$AZ$51,MATCH(O201,('Spell Tables'!$AX$48:$AX$51),0)),IF($T$208&gt;=O201,INDEX($AL$140:$AL$149,MATCH(O201,($AJ$140:$AJ$149),0)),IF($T$212&gt;=O201,INDEX('Spell Tables'!$AZ$168:$AZ$172,MATCH(O201,('Spell Tables'!$AX$168:$AX$172),0)),IF($T$224&gt;=O201,INDEX('Spell Tables'!$AZ$26:$AZ$29,MATCH(O201,('Spell Tables'!$AX$26:$AX$29),0)),IF($T$226&gt;=O201,INDEX('Spell Tables'!$AZ$2:$AZ$5,MATCH(O201,('Spell Tables'!$AX$2:$AX$5),0))," ")))))</f>
        <v xml:space="preserve"> </v>
      </c>
    </row>
    <row r="237" spans="2:20" ht="19.5" thickBot="1" x14ac:dyDescent="0.35">
      <c r="N237" s="72"/>
      <c r="O237" s="134">
        <v>10</v>
      </c>
      <c r="P237" s="67" t="str">
        <f ca="1">IF(AND($O$15="Otherworldly patron - great old one",P$210&gt;=O202),INDEX('Spell Tables'!$AJ$226:$AJ$231,MATCH(O202,('Spell Tables'!$AH$226:$AH$231),0)),IF(AND($O$15="Otherworldly patron - fiend",P$210&gt;=O202),INDEX('Spell Tables'!$AJ$210:$AJ$215,MATCH(O202,('Spell Tables'!$AH$210:$AH$215),0)),IF(AND($O$15="Otherworldly patron - archfey",P$210&gt;=O202),INDEX('Spell Tables'!$AJ$194:$AJ$199,MATCH(O202,('Spell Tables'!$AH$194:$AH$199),0)),IF($P$208&gt;=O202,INDEX($AL$92:$AL$101,MATCH(O202,($AJ$92:$AJ$101),0)),IF($P$212&gt;=O202,INDEX('Spell Tables'!$AJ$168:$AJ$178,MATCH(O202,('Spell Tables'!$AH$168:$AH$178),0)),IF($P$216&gt;=O202,INDEX('Spell Tables'!$AF$119:$AF$122,MATCH(O202,('Spell Tables'!$AD$119:$AD$122),0)),IF($P$218&gt;=O202,INDEX('Spell Tables'!$AF$97:$AF$102,MATCH(O202,('Spell Tables'!$AD$97:$AD$102),0)),IF($P$222&gt;=O202,INDEX('Spell Tables'!$AJ$48:$AJ$61,MATCH(O202,('Spell Tables'!$AH$48:$AH$61),0)),IF($P$224&gt;=O202,INDEX('Spell Tables'!$AJ$26:$AJ$38,MATCH(O202,('Spell Tables'!$AH$26:$AH$38),0)),IF($P$226&gt;=O202,INDEX('Spell Tables'!$AJ$2:$AJ$17,MATCH(O202,('Spell Tables'!$AH$2:$AH$17),0))," "))))))))))</f>
        <v xml:space="preserve"> </v>
      </c>
      <c r="Q237" s="67" t="str">
        <f ca="1">IF($Q$208&gt;=O202,INDEX($AL$104:$AL$113,MATCH(O202,($AJ$104:$AJ$113),0)),IF($Q$212&gt;=O202,INDEX('Spell Tables'!$AN$168:$AN$177,MATCH(O202,('Spell Tables'!$AL$168:$AL$177),0)),IF($Q$222&gt;=O202,INDEX('Spell Tables'!$AN$48:$AN$56,MATCH(O202,('Spell Tables'!$AL$48:$AL$56),0)),IF($Q$224&gt;=O202,INDEX('Spell Tables'!$AN$26:$AN$35,MATCH(O202,('Spell Tables'!$AL$26:$AL$35),0)),IF($Q$226&gt;=O202,INDEX('Spell Tables'!$AN$2:$AN$8,MATCH(O202,('Spell Tables'!$AL$2:$AL$8),0))," ")))))</f>
        <v xml:space="preserve"> </v>
      </c>
      <c r="R237" s="67" t="str">
        <f ca="1">IF($R$208&gt;=O202,INDEX($AL$116:$AL$125,MATCH(O202,($AJ$116:$AJ$125),0)),IF($R$212&gt;=O202,INDEX('Spell Tables'!$AR$168:$AR$175,MATCH(O202,('Spell Tables'!$AP$168:$AP$175),0)),IF($R$222&gt;=O202,INDEX('Spell Tables'!$AR$48:$AR$52,MATCH(O202,('Spell Tables'!$AP$48:$AP$52),0)),IF($R$224&gt;=O202,INDEX('Spell Tables'!$AR$26:$AR$33,MATCH(O202,('Spell Tables'!$AP$26:$AP$33),0)),IF($R$226&gt;=O202,INDEX('Spell Tables'!$AR$2:$AR$11,MATCH(O202,('Spell Tables'!$AL$2:$AL$11),0))," ")))))</f>
        <v xml:space="preserve"> </v>
      </c>
      <c r="S237" s="67" t="str">
        <f ca="1">IF($S$208&gt;=O202,INDEX($AL$128:$AL$137,MATCH(O202,($AJ$128:$AJ$137),0)),IF($S$212&gt;=O202,INDEX('Spell Tables'!$AV$168:$AV$172,MATCH(O202,('Spell Tables'!$AT$168:$AT$172),0)),IF($S$222&gt;=O202,INDEX('Spell Tables'!$AV$48:$AV$54,MATCH(O202,('Spell Tables'!$AT$48:$AT$54),0)),IF($S$224&gt;=O202,INDEX('Spell Tables'!$AV$26:$AV$29,MATCH(O202,('Spell Tables'!$AT$26:$AT$29),0)),IF($S$226&gt;=O202,INDEX('Spell Tables'!$AV$2:$AV$6,MATCH(O202,('Spell Tables'!$AT$2:$AT$6),0))," ")))))</f>
        <v xml:space="preserve"> </v>
      </c>
      <c r="T237" s="68" t="str">
        <f ca="1">IF($T$222&gt;=O202,INDEX('Spell Tables'!$AZ$48:$AZ$51,MATCH(O202,('Spell Tables'!$AX$48:$AX$51),0)),IF($T$208&gt;=O202,INDEX($AL$140:$AL$149,MATCH(O202,($AJ$140:$AJ$149),0)),IF($T$212&gt;=O202,INDEX('Spell Tables'!$AZ$168:$AZ$172,MATCH(O202,('Spell Tables'!$AX$168:$AX$172),0)),IF($T$224&gt;=O202,INDEX('Spell Tables'!$AZ$26:$AZ$29,MATCH(O202,('Spell Tables'!$AX$26:$AX$29),0)),IF($T$226&gt;=O202,INDEX('Spell Tables'!$AZ$2:$AZ$5,MATCH(O202,('Spell Tables'!$AX$2:$AX$5),0))," ")))))</f>
        <v xml:space="preserve"> </v>
      </c>
    </row>
    <row r="238" spans="2:20" ht="19.5" thickBot="1" x14ac:dyDescent="0.35"/>
    <row r="239" spans="2:20" ht="30.75" thickBot="1" x14ac:dyDescent="0.45">
      <c r="B239" s="105" t="s">
        <v>1323</v>
      </c>
      <c r="C239" s="57"/>
      <c r="D239" s="57"/>
      <c r="E239" s="57"/>
      <c r="F239" s="57"/>
      <c r="G239" s="57"/>
      <c r="H239" s="57"/>
      <c r="I239" s="57"/>
      <c r="J239" s="57"/>
      <c r="K239" s="57"/>
      <c r="L239" s="57"/>
      <c r="M239" s="57"/>
      <c r="N239" s="57"/>
      <c r="O239" s="57"/>
      <c r="P239" s="57"/>
      <c r="Q239" s="57"/>
      <c r="R239" s="57"/>
      <c r="S239" s="57"/>
    </row>
    <row r="240" spans="2:20" ht="19.5" thickBot="1" x14ac:dyDescent="0.35">
      <c r="B240" s="33"/>
      <c r="C240" s="27"/>
      <c r="D240" s="27"/>
      <c r="E240" s="27"/>
      <c r="F240" s="27"/>
      <c r="G240" s="27"/>
      <c r="H240" s="27"/>
      <c r="I240" s="27"/>
      <c r="J240" s="27"/>
      <c r="K240" s="27"/>
      <c r="L240" s="27"/>
      <c r="M240" s="27"/>
      <c r="O240" s="27"/>
      <c r="P240" s="87" t="s">
        <v>1341</v>
      </c>
      <c r="Q240" s="94" t="str">
        <f ca="1">IF($Q$11="warlock",INDEX('Spell Tables'!$D$194:$D$213,MATCH($Q$12,('Spell Tables'!$A$194:$A$213),0))," ")</f>
        <v xml:space="preserve"> </v>
      </c>
      <c r="R240" s="89" t="s">
        <v>1340</v>
      </c>
      <c r="S240" s="90" t="str">
        <f ca="1">IF($Q$11="warlock",INDEX('Spell Tables'!$E$194:$E$213,MATCH($Q$12,('Spell Tables'!$A$194:$A$213),0))," ")</f>
        <v xml:space="preserve"> </v>
      </c>
      <c r="T240" s="27"/>
    </row>
    <row r="241" spans="2:20" hidden="1" x14ac:dyDescent="0.3">
      <c r="B241" s="92" t="s">
        <v>1270</v>
      </c>
      <c r="C241" s="33"/>
      <c r="D241" s="33"/>
      <c r="E241" s="33"/>
      <c r="F241" s="33"/>
      <c r="G241" s="33"/>
      <c r="H241" s="33"/>
      <c r="I241" s="33"/>
      <c r="J241" s="33"/>
      <c r="K241" s="33"/>
      <c r="L241" s="33"/>
      <c r="M241" s="33"/>
      <c r="O241" s="33" t="s">
        <v>530</v>
      </c>
      <c r="P241" s="33" t="s">
        <v>530</v>
      </c>
      <c r="Q241" s="114" t="str">
        <f ca="1">IF(AND(Q11="wizard",Q12&gt;=3),"x",IF(Q11="wizard","xx"," "))</f>
        <v xml:space="preserve"> </v>
      </c>
      <c r="R241" s="114" t="str">
        <f ca="1">IF(AND(Q11="wizard",Q12&gt;=5),"x",IF(AND($Q$11="wizard",$Q$12&gt;=3),"xx"," "))</f>
        <v xml:space="preserve"> </v>
      </c>
      <c r="S241" s="114" t="str">
        <f ca="1">IF(AND(Q11="Wizard",Q12&gt;=7),"x",IF(AND($Q$11="wizard",$Q$12&gt;5),"xx",IF(AND(Q11="wizard",Q12=5),"xxx"," ")))</f>
        <v xml:space="preserve"> </v>
      </c>
      <c r="T241" s="114" t="str">
        <f ca="1">IF(AND(Q11="wizard",Q12&gt;=9),"x",IF(AND($Q$11="wizard",$Q$12&gt;7),"xx",IF(AND(Q11="wizard",Q12=7),"xxx"," ")))</f>
        <v xml:space="preserve"> </v>
      </c>
    </row>
    <row r="242" spans="2:20" hidden="1" x14ac:dyDescent="0.3">
      <c r="B242" s="92" t="s">
        <v>1272</v>
      </c>
      <c r="C242" s="33"/>
      <c r="D242" s="33"/>
      <c r="E242" s="33"/>
      <c r="F242" s="33"/>
      <c r="G242" s="33"/>
      <c r="H242" s="33"/>
      <c r="I242" s="33"/>
      <c r="J242" s="33"/>
      <c r="K242" s="33"/>
      <c r="L242" s="33"/>
      <c r="M242" s="33"/>
      <c r="O242" s="33" t="str">
        <f ca="1">IF(Q11="wizard",N41+Q12," ")</f>
        <v xml:space="preserve"> </v>
      </c>
      <c r="P242" s="33">
        <f ca="1">IF(Q11="wizard",INDEX('Spell Tables'!C242:C261,MATCH(Q12,('Spell Tables'!B242:B261),0)),0)</f>
        <v>0</v>
      </c>
      <c r="Q242" s="114">
        <f ca="1">IF($Q241="x",RANDBETWEEN(1,2),IF($Q241="xx",$O$242,0))</f>
        <v>0</v>
      </c>
      <c r="R242" s="114">
        <f ca="1">IF(R241="x",RANDBETWEEN(1,2),IF(R241="xx",$O$242-Q242,0))</f>
        <v>0</v>
      </c>
      <c r="S242" s="114">
        <f ca="1">IF(S241="x",O242-SUM(Q242:R242,U169:X169),IF(S241="xx",$O$242-SUM(Q242:R242),0))</f>
        <v>0</v>
      </c>
      <c r="T242" s="114">
        <f ca="1">IF(T241="x",RANDBETWEEN(1,2),IF(T241="xx",RANDBETWEEN(2,3),IF(T241="xxx",RANDBETWEEN(1,2),0)))</f>
        <v>0</v>
      </c>
    </row>
    <row r="243" spans="2:20" hidden="1" x14ac:dyDescent="0.3">
      <c r="B243" s="92" t="s">
        <v>1269</v>
      </c>
      <c r="C243" s="33"/>
      <c r="D243" s="33"/>
      <c r="E243" s="33"/>
      <c r="F243" s="33"/>
      <c r="G243" s="33"/>
      <c r="H243" s="33"/>
      <c r="I243" s="33"/>
      <c r="J243" s="33"/>
      <c r="K243" s="33"/>
      <c r="L243" s="33"/>
      <c r="M243" s="33"/>
      <c r="O243" s="33" t="s">
        <v>530</v>
      </c>
      <c r="P243" s="33" t="s">
        <v>530</v>
      </c>
      <c r="Q243" s="114" t="str">
        <f ca="1">IF(AND($Q$11="warlock",$Q$12&gt;=3),"x",IF(Q11="warlock","xx"," "))</f>
        <v xml:space="preserve"> </v>
      </c>
      <c r="R243" s="114" t="str">
        <f ca="1">IF(AND($Q$11="warlock",$Q$12&gt;=5),"x",IF(AND($Q$11="warlock",$Q$12&gt;=3),"xx"," "))</f>
        <v xml:space="preserve"> </v>
      </c>
      <c r="S243" s="114" t="str">
        <f ca="1">IF(AND($Q$11="warlock",$Q$12&gt;=7),"x",IF(AND($Q$11="warlock",$Q$12&gt;=5),"xx"," "))</f>
        <v xml:space="preserve"> </v>
      </c>
      <c r="T243" s="114" t="str">
        <f ca="1">IF(AND($Q$11="warlock",$Q$12&gt;=9),"x",IF(AND($Q$11="warlock",$Q$12&gt;=7),"xx"," "))</f>
        <v xml:space="preserve"> </v>
      </c>
    </row>
    <row r="244" spans="2:20" hidden="1" x14ac:dyDescent="0.3">
      <c r="B244" s="92" t="s">
        <v>1268</v>
      </c>
      <c r="C244" s="33"/>
      <c r="D244" s="33"/>
      <c r="E244" s="33"/>
      <c r="F244" s="33"/>
      <c r="G244" s="33"/>
      <c r="H244" s="33"/>
      <c r="I244" s="33"/>
      <c r="J244" s="33"/>
      <c r="K244" s="33"/>
      <c r="L244" s="33"/>
      <c r="M244" s="33"/>
      <c r="O244" s="33" t="str">
        <f ca="1">IF(Q11="warlock",INDEX('Spell Tables'!C194:C213,MATCH($Q$12,('Spell Tables'!A194:A213),0))," ")</f>
        <v xml:space="preserve"> </v>
      </c>
      <c r="P244" s="33">
        <f ca="1">IF($Q$11="warlock",INDEX('Spell Tables'!B194:B213,MATCH($Q$12,('Spell Tables'!A194:A213),0)),0)</f>
        <v>0</v>
      </c>
      <c r="Q244" s="114">
        <f ca="1">IF($Q243="x",RANDBETWEEN(1,2),IF($Q243="xx",$O$244,0))</f>
        <v>0</v>
      </c>
      <c r="R244" s="114">
        <f ca="1">IF(R243="x",RANDBETWEEN(1,2),IF(R243="xx",$O$244-Q244,0))</f>
        <v>0</v>
      </c>
      <c r="S244" s="114">
        <f ca="1">IF(S243="x",O244-SUM(Q244:R244,U171:X171),IF(S243="xx",$O$244-SUM(Q244:R244),0))</f>
        <v>0</v>
      </c>
      <c r="T244" s="114">
        <f ca="1">IF(T243="x",RANDBETWEEN(1,2),IF(T243="xx",RANDBETWEEN(2,3),0))</f>
        <v>0</v>
      </c>
    </row>
    <row r="245" spans="2:20" hidden="1" x14ac:dyDescent="0.3">
      <c r="B245" s="92" t="s">
        <v>1267</v>
      </c>
      <c r="C245" s="33"/>
      <c r="D245" s="33"/>
      <c r="E245" s="33"/>
      <c r="F245" s="33"/>
      <c r="G245" s="33"/>
      <c r="H245" s="33"/>
      <c r="I245" s="33"/>
      <c r="J245" s="33"/>
      <c r="K245" s="33"/>
      <c r="L245" s="33"/>
      <c r="M245" s="33"/>
      <c r="O245" s="33" t="s">
        <v>530</v>
      </c>
      <c r="P245" s="33" t="s">
        <v>530</v>
      </c>
      <c r="Q245" s="114" t="str">
        <f ca="1">IF(AND($Q$11="sorcerer",$Q$12&gt;=3),"x",IF($Q$11="sorcerer","xx"," "))</f>
        <v xml:space="preserve"> </v>
      </c>
      <c r="R245" s="114" t="str">
        <f ca="1">IF(AND($Q$11="sorcerer",$Q$12&gt;=5),"x",IF(AND($Q$11="sorcerer",$Q$12&gt;=3),"xx"," "))</f>
        <v xml:space="preserve"> </v>
      </c>
      <c r="S245" s="114" t="str">
        <f ca="1">IF(AND($Q$11="sorcerer",$Q$12&gt;=7),"x",IF(AND($Q$11="sorcerer",$Q$12&gt;=5),"xx"," "))</f>
        <v xml:space="preserve"> </v>
      </c>
      <c r="T245" s="114" t="str">
        <f ca="1">IF(AND($Q$11="sorcerer",$Q$12&gt;=9),"x",IF(AND($Q$11="sorcerer",$Q$12&gt;=7),"xx"," "))</f>
        <v xml:space="preserve"> </v>
      </c>
    </row>
    <row r="246" spans="2:20" hidden="1" x14ac:dyDescent="0.3">
      <c r="B246" s="92" t="s">
        <v>1266</v>
      </c>
      <c r="C246" s="33"/>
      <c r="D246" s="33"/>
      <c r="E246" s="33"/>
      <c r="F246" s="33"/>
      <c r="G246" s="33"/>
      <c r="H246" s="33"/>
      <c r="I246" s="33"/>
      <c r="J246" s="33"/>
      <c r="K246" s="33"/>
      <c r="L246" s="33"/>
      <c r="M246" s="33"/>
      <c r="O246" s="33" t="str">
        <f ca="1">IF(Q11="sorcerer",INDEX('Spell Tables'!C168:C187,MATCH($Q$12,('Spell Tables'!A168:A187),0))," ")</f>
        <v xml:space="preserve"> </v>
      </c>
      <c r="P246" s="33">
        <f ca="1">IF($Q$11="sorcerer",INDEX('Spell Tables'!B168:B187,MATCH($Q$12,('Spell Tables'!A168:A187),0)),0)</f>
        <v>0</v>
      </c>
      <c r="Q246" s="114">
        <f ca="1">IF($Q245="x",RANDBETWEEN(1,2),IF($Q245="xx",$O$246,0))</f>
        <v>0</v>
      </c>
      <c r="R246" s="114">
        <f ca="1">IF(R245="x",RANDBETWEEN(1,2),IF(R245="xx",$O$246-Q246,0))</f>
        <v>0</v>
      </c>
      <c r="S246" s="114">
        <f ca="1">IF(S245="x",O246-SUM(Q246:R246,U173:X173),IF(S245="xx",$O$246-SUM(Q246:R246),0))</f>
        <v>0</v>
      </c>
      <c r="T246" s="114">
        <f ca="1">IF(T245="x",RANDBETWEEN(1,2),IF(T245="xx",RANDBETWEEN(2,3),0))</f>
        <v>0</v>
      </c>
    </row>
    <row r="247" spans="2:20" hidden="1" x14ac:dyDescent="0.3">
      <c r="B247" s="92" t="s">
        <v>1254</v>
      </c>
      <c r="C247" s="33"/>
      <c r="D247" s="33"/>
      <c r="E247" s="33"/>
      <c r="F247" s="33"/>
      <c r="G247" s="33"/>
      <c r="H247" s="33"/>
      <c r="I247" s="33"/>
      <c r="J247" s="33"/>
      <c r="K247" s="33"/>
      <c r="L247" s="33"/>
      <c r="M247" s="33"/>
      <c r="O247" s="33" t="s">
        <v>530</v>
      </c>
      <c r="P247" s="33" t="s">
        <v>530</v>
      </c>
      <c r="Q247" s="114" t="str">
        <f ca="1">IF(AND(R15="arcane trickster",Q12&gt;=7),"x",IF(R15="arcane trickster","xx"," "))</f>
        <v xml:space="preserve"> </v>
      </c>
      <c r="R247" s="114" t="str">
        <f ca="1">IF(AND(R15="arcane trickster",Q12=13),"x",IF(AND(R15="arcane trickster",$Q$12&gt;=7),"xx"," "))</f>
        <v xml:space="preserve"> </v>
      </c>
      <c r="S247" s="114" t="str">
        <f ca="1">IF(AND(R15="arcane trickster",Q12&gt;=19),"x",IF(AND(R15="arcane trickster",$Q$12&gt;=13),"xx"," "))</f>
        <v xml:space="preserve"> </v>
      </c>
      <c r="T247" s="114" t="str">
        <f ca="1">IF(AND(R15="arcane trickster",$Q$12&gt;=19),"xx"," ")</f>
        <v xml:space="preserve"> </v>
      </c>
    </row>
    <row r="248" spans="2:20" hidden="1" x14ac:dyDescent="0.3">
      <c r="B248" s="92" t="s">
        <v>1253</v>
      </c>
      <c r="C248" s="33"/>
      <c r="D248" s="33"/>
      <c r="E248" s="33"/>
      <c r="F248" s="33"/>
      <c r="G248" s="33"/>
      <c r="H248" s="33"/>
      <c r="I248" s="33"/>
      <c r="J248" s="33"/>
      <c r="K248" s="33"/>
      <c r="L248" s="33"/>
      <c r="M248" s="33"/>
      <c r="O248" s="33" t="str">
        <f ca="1">IF(R15="arcane trickster",INDEX('Spell Tables'!C141:C160,MATCH($Q$12,('Spell Tables'!A141:A160),0))," ")</f>
        <v xml:space="preserve"> </v>
      </c>
      <c r="P248" s="33">
        <f ca="1">IF($R$15="arcane trickster",INDEX('Spell Tables'!B141:B160,MATCH($Q$12,('Spell Tables'!A141:A160),0)),0)</f>
        <v>0</v>
      </c>
      <c r="Q248" s="114">
        <f ca="1">IF($Q247="x",RANDBETWEEN(2,3),IF($Q247="xx",$O$248,0))</f>
        <v>0</v>
      </c>
      <c r="R248" s="114">
        <f ca="1">IF(R247="x",RANDBETWEEN(2,3),IF(R247="xx",$O$248-Q248,0))</f>
        <v>0</v>
      </c>
      <c r="S248" s="114">
        <f ca="1">IF(S247="x",O248-SUM(Q248:R248,U175:X175),IF(S247="xx",$O$248-SUM(Q248:R248),0))</f>
        <v>0</v>
      </c>
      <c r="T248" s="114">
        <f ca="1">IF(T247="x",RANDBETWEEN(1,2),IF(T247="xx",RANDBETWEEN(2,3),0))</f>
        <v>0</v>
      </c>
    </row>
    <row r="249" spans="2:20" hidden="1" x14ac:dyDescent="0.3">
      <c r="B249" s="92" t="s">
        <v>1247</v>
      </c>
      <c r="C249" s="33"/>
      <c r="D249" s="33"/>
      <c r="E249" s="33"/>
      <c r="F249" s="33"/>
      <c r="G249" s="33"/>
      <c r="H249" s="33"/>
      <c r="I249" s="33"/>
      <c r="J249" s="33"/>
      <c r="K249" s="33"/>
      <c r="L249" s="33"/>
      <c r="M249" s="33"/>
      <c r="O249" s="33" t="s">
        <v>530</v>
      </c>
      <c r="P249" s="33" t="s">
        <v>1324</v>
      </c>
      <c r="Q249" s="114" t="str">
        <f ca="1">IF(AND($Q$11="ranger",$Q$12&gt;=5),"x",IF(AND(Q11="ranger",Q12&gt;=2),"xx"," "))</f>
        <v xml:space="preserve"> </v>
      </c>
      <c r="R249" s="114" t="str">
        <f ca="1">IF(AND($Q$11="ranger",$Q$12&gt;=9),"x",IF(AND($Q$11="ranger",$Q$12&gt;=5),"xx"," "))</f>
        <v xml:space="preserve"> </v>
      </c>
      <c r="S249" s="114" t="str">
        <f ca="1">IF(AND($Q$11="ranger",$Q$12&gt;=13),"x",IF(AND($Q$11="ranger",$Q$12&gt;=9),"xx"," "))</f>
        <v xml:space="preserve"> </v>
      </c>
      <c r="T249" s="114" t="str">
        <f ca="1">IF(AND($Q$11="ranger",$Q$12&gt;=17),"x",IF(AND($Q$11="ranger",$Q$12&gt;=13),"xx"," "))</f>
        <v xml:space="preserve"> </v>
      </c>
    </row>
    <row r="250" spans="2:20" hidden="1" x14ac:dyDescent="0.3">
      <c r="B250" s="92" t="s">
        <v>1246</v>
      </c>
      <c r="C250" s="33"/>
      <c r="D250" s="33"/>
      <c r="E250" s="33"/>
      <c r="F250" s="33"/>
      <c r="G250" s="33"/>
      <c r="H250" s="33"/>
      <c r="I250" s="33"/>
      <c r="J250" s="33"/>
      <c r="K250" s="33"/>
      <c r="L250" s="33"/>
      <c r="M250" s="33"/>
      <c r="O250" s="33" t="str">
        <f ca="1">IF($Q$11="ranger",INDEX('Spell Tables'!C119:C138,MATCH($Q$12,('Spell Tables'!B119:B138),0))," ")</f>
        <v xml:space="preserve"> </v>
      </c>
      <c r="P250" s="33" t="s">
        <v>1324</v>
      </c>
      <c r="Q250" s="114">
        <f ca="1">IF($Q249="x",RANDBETWEEN(1,2),IF($Q249="xx",$O$250,0))</f>
        <v>0</v>
      </c>
      <c r="R250" s="114">
        <f ca="1">IF(R249="x",RANDBETWEEN(1,2),IF(R249="xx",$O$250-Q250,0))</f>
        <v>0</v>
      </c>
      <c r="S250" s="114">
        <f ca="1">IF(S249="x",O250-SUM(Q250:R250,U177:X177),IF(S249="xx",$O$250-SUM(Q250:R250),0))</f>
        <v>0</v>
      </c>
      <c r="T250" s="114">
        <f ca="1">IF(T249="x",RANDBETWEEN(1,2),IF(T249="xx",RANDBETWEEN(2,3),0))</f>
        <v>0</v>
      </c>
    </row>
    <row r="251" spans="2:20" hidden="1" x14ac:dyDescent="0.3">
      <c r="B251" s="92" t="s">
        <v>1245</v>
      </c>
      <c r="C251" s="33"/>
      <c r="D251" s="33"/>
      <c r="E251" s="33"/>
      <c r="F251" s="33"/>
      <c r="G251" s="33"/>
      <c r="H251" s="33"/>
      <c r="I251" s="33"/>
      <c r="J251" s="33"/>
      <c r="K251" s="33"/>
      <c r="L251" s="33"/>
      <c r="M251" s="33"/>
      <c r="O251" s="33" t="s">
        <v>530</v>
      </c>
      <c r="P251" s="33" t="s">
        <v>1324</v>
      </c>
      <c r="Q251" s="114" t="str">
        <f ca="1">IF(AND($Q$11="paladin",$Q$12&gt;=5),"x",IF($Q$11="paladin","xx"," "))</f>
        <v xml:space="preserve"> </v>
      </c>
      <c r="R251" s="114" t="str">
        <f ca="1">IF(AND(Q11="paladin",Q12&gt;=9),"x",IF(AND($Q$11="paladin",$Q$12&gt;=5),"xx"," "))</f>
        <v xml:space="preserve"> </v>
      </c>
      <c r="S251" s="114" t="str">
        <f ca="1">IF(AND(Q11="paladin",Q12&gt;=13),"x",IF(AND($Q$11="paladin",$Q$12&gt;=9),"xx"," "))</f>
        <v xml:space="preserve"> </v>
      </c>
      <c r="T251" s="114" t="str">
        <f ca="1">IF(AND(Q11="paladin",Q12&gt;=17),"x",IF(AND($Q$11="paladin",$Q$12&gt;=13),"xx"," "))</f>
        <v xml:space="preserve"> </v>
      </c>
    </row>
    <row r="252" spans="2:20" hidden="1" x14ac:dyDescent="0.3">
      <c r="B252" s="92" t="s">
        <v>1244</v>
      </c>
      <c r="C252" s="33"/>
      <c r="D252" s="33"/>
      <c r="E252" s="33"/>
      <c r="F252" s="33"/>
      <c r="G252" s="33"/>
      <c r="H252" s="33"/>
      <c r="I252" s="33"/>
      <c r="J252" s="33"/>
      <c r="K252" s="33"/>
      <c r="L252" s="33"/>
      <c r="M252" s="33"/>
      <c r="O252" s="33" t="str">
        <f ca="1">IF(Q11="paladin",ROUNDDOWN(N43+(Q12*0.5),0)," ")</f>
        <v xml:space="preserve"> </v>
      </c>
      <c r="P252" s="33" t="s">
        <v>1324</v>
      </c>
      <c r="Q252" s="114">
        <f ca="1">IF($Q251="x",RANDBETWEEN(1,2),IF($Q251="xx",$O$252,0))</f>
        <v>0</v>
      </c>
      <c r="R252" s="114">
        <f ca="1">IF(R251="x",RANDBETWEEN(1,2),IF(R251="xx",$O$252-Q252,0))</f>
        <v>0</v>
      </c>
      <c r="S252" s="114">
        <f ca="1">IF(S251="x",O252-SUM(Q252:R252,U179:X179),IF(S251="xx",$O$252-SUM(Q252:R252),0))</f>
        <v>0</v>
      </c>
      <c r="T252" s="114">
        <f ca="1">IF(T251="x",RANDBETWEEN(1,2),IF(T251="xx",RANDBETWEEN(2,3),0))</f>
        <v>0</v>
      </c>
    </row>
    <row r="253" spans="2:20" hidden="1" x14ac:dyDescent="0.3">
      <c r="B253" s="92" t="s">
        <v>1226</v>
      </c>
      <c r="C253" s="33"/>
      <c r="D253" s="33"/>
      <c r="E253" s="33"/>
      <c r="F253" s="33"/>
      <c r="G253" s="33"/>
      <c r="H253" s="33"/>
      <c r="I253" s="33"/>
      <c r="J253" s="33"/>
      <c r="K253" s="33"/>
      <c r="L253" s="33"/>
      <c r="M253" s="33"/>
      <c r="O253" s="33" t="s">
        <v>530</v>
      </c>
      <c r="P253" s="33" t="s">
        <v>530</v>
      </c>
      <c r="Q253" s="114" t="str">
        <f ca="1">IF(AND(R15="eldritch knight",Q12&gt;=7),"x",IF(R15="eldritch knight","xx"," "))</f>
        <v xml:space="preserve"> </v>
      </c>
      <c r="R253" s="114" t="str">
        <f ca="1">IF(AND(R15="eldritch knight",Q12&gt;=13),"x",IF(AND(R15="eldritch knight",$Q$12&gt;=7),"xx"," "))</f>
        <v xml:space="preserve"> </v>
      </c>
      <c r="S253" s="114" t="str">
        <f ca="1">IF(AND(R15="eldritch knight",Q12&gt;=19),"x",IF(AND(R15="eldritch knight",$Q$12&gt;=13),"xx"," "))</f>
        <v xml:space="preserve"> </v>
      </c>
      <c r="T253" s="114" t="str">
        <f ca="1">IF(AND(R15="eldritch knight",$Q$12&gt;=19),"xx"," ")</f>
        <v xml:space="preserve"> </v>
      </c>
    </row>
    <row r="254" spans="2:20" hidden="1" x14ac:dyDescent="0.3">
      <c r="B254" s="92" t="s">
        <v>1222</v>
      </c>
      <c r="C254" s="33"/>
      <c r="D254" s="33"/>
      <c r="E254" s="33"/>
      <c r="F254" s="33"/>
      <c r="G254" s="33"/>
      <c r="H254" s="33"/>
      <c r="I254" s="33"/>
      <c r="J254" s="33"/>
      <c r="K254" s="33"/>
      <c r="L254" s="33"/>
      <c r="M254" s="33"/>
      <c r="O254" s="33" t="str">
        <f ca="1">IF($R$15="eldritch knight",INDEX('Spell Tables'!C70:C89,MATCH($Q$12,('Spell Tables'!A70:A89),0))," ")</f>
        <v xml:space="preserve"> </v>
      </c>
      <c r="P254" s="33">
        <f ca="1">IF($R$15="eldritch knight",INDEX('Spell Tables'!B70:B89,MATCH($Q$12,('Spell Tables'!A70:A89),0)),0)</f>
        <v>0</v>
      </c>
      <c r="Q254" s="114">
        <f ca="1">IF($Q253="x",RANDBETWEEN(2,3),IF($Q253="xx",$O$254,0))</f>
        <v>0</v>
      </c>
      <c r="R254" s="114">
        <f ca="1">IF(R253="x",RANDBETWEEN(2,3),IF(R253="xx",$O$254-Q254,0))</f>
        <v>0</v>
      </c>
      <c r="S254" s="114">
        <f ca="1">IF(S253="x",O254-SUM(Q254:R254,U181:X181),IF(S253="xx",$O$254-SUM(Q254:R254),0))</f>
        <v>0</v>
      </c>
      <c r="T254" s="114">
        <f ca="1">IF(T253="x",RANDBETWEEN(1,2),IF(T253="xx",RANDBETWEEN(2,3),0))</f>
        <v>0</v>
      </c>
    </row>
    <row r="255" spans="2:20" hidden="1" x14ac:dyDescent="0.3">
      <c r="B255" s="92" t="s">
        <v>1219</v>
      </c>
      <c r="C255" s="33"/>
      <c r="D255" s="33"/>
      <c r="E255" s="33"/>
      <c r="F255" s="33"/>
      <c r="G255" s="33"/>
      <c r="H255" s="33"/>
      <c r="I255" s="33"/>
      <c r="J255" s="33"/>
      <c r="K255" s="33"/>
      <c r="L255" s="33"/>
      <c r="M255" s="33"/>
      <c r="O255" s="33" t="s">
        <v>530</v>
      </c>
      <c r="P255" s="33" t="s">
        <v>530</v>
      </c>
      <c r="Q255" s="114" t="str">
        <f ca="1">IF(AND($Q$11="druid",$Q$12&gt;=3),"x",IF($Q$11="druid","xx"," "))</f>
        <v xml:space="preserve"> </v>
      </c>
      <c r="R255" s="114" t="str">
        <f ca="1">IF(AND($Q$11="druid",$Q$12&gt;=5),"x",IF(AND($Q$11="druid",$Q$12&gt;=3),"xx"," "))</f>
        <v xml:space="preserve"> </v>
      </c>
      <c r="S255" s="114" t="str">
        <f ca="1">IF(AND($Q$11="druid",$Q$12&gt;=7),"x",IF(AND($Q$11="druid",$Q$12&gt;=5),"xx"," "))</f>
        <v xml:space="preserve"> </v>
      </c>
      <c r="T255" s="114" t="str">
        <f ca="1">IF(AND($Q$11="druid",$Q$12&gt;=9),"x",IF(AND($Q$11="druid",$Q$12&gt;=7),"xx"," "))</f>
        <v xml:space="preserve"> </v>
      </c>
    </row>
    <row r="256" spans="2:20" hidden="1" x14ac:dyDescent="0.3">
      <c r="B256" s="92" t="s">
        <v>1220</v>
      </c>
      <c r="C256" s="33"/>
      <c r="D256" s="33"/>
      <c r="E256" s="33"/>
      <c r="F256" s="33"/>
      <c r="G256" s="33"/>
      <c r="H256" s="33"/>
      <c r="I256" s="33"/>
      <c r="J256" s="95"/>
      <c r="K256" s="95"/>
      <c r="L256" s="95"/>
      <c r="M256" s="95"/>
      <c r="O256" s="33" t="str">
        <f ca="1">IF(Q11="druid",Q12+N42," ")</f>
        <v xml:space="preserve"> </v>
      </c>
      <c r="P256" s="33">
        <f ca="1">IF($Q$11="druid",INDEX('Spell Tables'!C48:C67,MATCH($Q$12,('Spell Tables'!B48:B67),0)),0)</f>
        <v>0</v>
      </c>
      <c r="Q256" s="114">
        <f ca="1">IF($Q255="x",RANDBETWEEN(1,2),IF($Q255="xx",$O$256,0))</f>
        <v>0</v>
      </c>
      <c r="R256" s="114">
        <f ca="1">IF(R255="x",RANDBETWEEN(1,2),IF(R255="xx",$O$256-Q256,0))</f>
        <v>0</v>
      </c>
      <c r="S256" s="114">
        <f ca="1">IF(S255="x",O256-SUM(Q256:R256,U183:X183),IF(S255="xx",$O$256-SUM(Q256:R256),0))</f>
        <v>0</v>
      </c>
      <c r="T256" s="114">
        <f ca="1">IF(T255="x",RANDBETWEEN(1,2),IF(T255="xx",RANDBETWEEN(2,3),0))</f>
        <v>0</v>
      </c>
    </row>
    <row r="257" spans="2:20" hidden="1" x14ac:dyDescent="0.3">
      <c r="B257" s="92" t="s">
        <v>1143</v>
      </c>
      <c r="C257" s="33"/>
      <c r="D257" s="33"/>
      <c r="E257" s="33"/>
      <c r="F257" s="33"/>
      <c r="G257" s="33"/>
      <c r="H257" s="33"/>
      <c r="I257" s="33"/>
      <c r="J257" s="33"/>
      <c r="K257" s="33"/>
      <c r="L257" s="33"/>
      <c r="M257" s="33"/>
      <c r="O257" s="33" t="s">
        <v>530</v>
      </c>
      <c r="P257" s="33" t="s">
        <v>530</v>
      </c>
      <c r="Q257" s="114" t="str">
        <f ca="1">IF(AND(Q11="cleric",Q12&gt;=3),"x",IF(Q11="cleric","xx"," "))</f>
        <v xml:space="preserve"> </v>
      </c>
      <c r="R257" s="114" t="str">
        <f ca="1">IF(AND(Q11="cleric",Q12&gt;=5),"x",IF(AND($Q$11="cleric",$Q$12&gt;=3),"xx"," "))</f>
        <v xml:space="preserve"> </v>
      </c>
      <c r="S257" s="114" t="str">
        <f ca="1">IF(AND(Q11="cleric",Q12&gt;=7),"x",IF(AND($Q$11="cleric",$Q$12&gt;=5),"xx"," "))</f>
        <v xml:space="preserve"> </v>
      </c>
      <c r="T257" s="114" t="str">
        <f ca="1">IF(AND(Q11="cleric",Q12&gt;=9),"x",IF(AND($Q$11="cleric",$Q$12&gt;=7),"xx"," "))</f>
        <v xml:space="preserve"> </v>
      </c>
    </row>
    <row r="258" spans="2:20" hidden="1" x14ac:dyDescent="0.3">
      <c r="B258" s="92" t="s">
        <v>1142</v>
      </c>
      <c r="C258" s="33"/>
      <c r="D258" s="33"/>
      <c r="E258" s="33"/>
      <c r="F258" s="33"/>
      <c r="G258" s="33"/>
      <c r="H258" s="33"/>
      <c r="I258" s="33"/>
      <c r="J258" s="33"/>
      <c r="K258" s="33"/>
      <c r="L258" s="33"/>
      <c r="M258" s="33"/>
      <c r="O258" s="33" t="str">
        <f ca="1">IF(Q11="cleric",Q12+N42," ")</f>
        <v xml:space="preserve"> </v>
      </c>
      <c r="P258" s="33">
        <f ca="1">IF($Q$11="cleric",INDEX('Spell Tables'!C26:C45,MATCH($Q$12,('Spell Tables'!B26:B45),0)),0)</f>
        <v>0</v>
      </c>
      <c r="Q258" s="114">
        <f ca="1">IF($Q257="x",RANDBETWEEN(1,2),IF($Q257="xx",$O$258,0))</f>
        <v>0</v>
      </c>
      <c r="R258" s="114">
        <f ca="1">IF(R257="x",RANDBETWEEN(1,2),IF(R257="xx",$O$258-Q258,0))</f>
        <v>0</v>
      </c>
      <c r="S258" s="114">
        <f ca="1">IF(S257="x",O258-SUM(Q258:R258,U185:X185),IF(S257="xx",$O$258-SUM(Q258:R258),0))</f>
        <v>0</v>
      </c>
      <c r="T258" s="114">
        <f ca="1">IF(T257="x",RANDBETWEEN(1,2),IF(T257="xx",RANDBETWEEN(2,3),0))</f>
        <v>0</v>
      </c>
    </row>
    <row r="259" spans="2:20" hidden="1" x14ac:dyDescent="0.3">
      <c r="B259" s="92" t="s">
        <v>1248</v>
      </c>
      <c r="C259" s="33"/>
      <c r="D259" s="33"/>
      <c r="E259" s="33"/>
      <c r="F259" s="33"/>
      <c r="G259" s="33"/>
      <c r="H259" s="33"/>
      <c r="I259" s="33"/>
      <c r="J259" s="33"/>
      <c r="K259" s="33"/>
      <c r="L259" s="33"/>
      <c r="M259" s="33"/>
      <c r="O259" s="33" t="s">
        <v>530</v>
      </c>
      <c r="P259" s="33" t="s">
        <v>530</v>
      </c>
      <c r="Q259" s="114" t="str">
        <f ca="1">IF(AND($Q$11="bard",$Q$12&gt;=3),"x",IF($Q$11="bard","xx"," "))</f>
        <v xml:space="preserve"> </v>
      </c>
      <c r="R259" s="114" t="str">
        <f ca="1">IF(AND($Q$11="bard",$Q$12&gt;=5),"x",IF(AND($Q$11="bard",$Q$12&gt;=3),"xx"," "))</f>
        <v xml:space="preserve"> </v>
      </c>
      <c r="S259" s="114" t="str">
        <f ca="1">IF(AND($Q$11="bard",$Q$12&gt;=7),"x",IF(AND($Q$11="bard",$Q$12&gt;=5),"xx"," "))</f>
        <v xml:space="preserve"> </v>
      </c>
      <c r="T259" s="114" t="str">
        <f ca="1">IF(AND($Q$11="bard",$Q$12&gt;=9),"x",IF(AND($Q$11="bard",$Q$12&gt;=7),"xx"," "))</f>
        <v xml:space="preserve"> </v>
      </c>
    </row>
    <row r="260" spans="2:20" hidden="1" x14ac:dyDescent="0.3">
      <c r="B260" s="92" t="s">
        <v>1141</v>
      </c>
      <c r="C260" s="33"/>
      <c r="D260" s="33"/>
      <c r="E260" s="33"/>
      <c r="F260" s="33"/>
      <c r="G260" s="33"/>
      <c r="H260" s="33"/>
      <c r="I260" s="33"/>
      <c r="J260" s="33"/>
      <c r="K260" s="33"/>
      <c r="L260" s="33"/>
      <c r="M260" s="33"/>
      <c r="O260" s="33" t="str">
        <f ca="1">IF($Q$11="bard",INDEX('Spell Tables'!C$2:C$21,MATCH($Q$12,('Spell Tables'!$A$2:$A$21),0))," ")</f>
        <v xml:space="preserve"> </v>
      </c>
      <c r="P260" s="33">
        <f ca="1">IF($Q$11="bard",INDEX('Spell Tables'!B2:B21,MATCH($Q$12,('Spell Tables'!A2:A21),0)),0)</f>
        <v>0</v>
      </c>
      <c r="Q260" s="114">
        <f ca="1">IF($Q259="x",RANDBETWEEN(1,2),IF($Q259="xx",$O$260,0))</f>
        <v>0</v>
      </c>
      <c r="R260" s="114">
        <f ca="1">IF(R259="x",RANDBETWEEN(1,2),IF(R259="xx",$O$260-Q260,0))</f>
        <v>0</v>
      </c>
      <c r="S260" s="114">
        <f ca="1">IF(S259="x",O260-SUM(Q260:R260,U187:X187),IF(S259="xx",$O$260-SUM(Q260:R260),0))</f>
        <v>0</v>
      </c>
      <c r="T260" s="114">
        <f ca="1">IF(T259="x",RANDBETWEEN(1,2),IF(T259="xx",RANDBETWEEN(2,3),0))</f>
        <v>0</v>
      </c>
    </row>
    <row r="261" spans="2:20" x14ac:dyDescent="0.3">
      <c r="B261" s="92" t="s">
        <v>1122</v>
      </c>
      <c r="C261" s="33"/>
      <c r="D261" s="33"/>
      <c r="E261" s="33"/>
      <c r="F261" s="33"/>
      <c r="G261" s="33"/>
      <c r="H261" s="33"/>
      <c r="I261" s="33"/>
      <c r="J261" s="33"/>
      <c r="K261" s="33"/>
      <c r="L261" s="33"/>
      <c r="M261" s="33"/>
      <c r="O261" s="33"/>
      <c r="P261" s="92" t="s">
        <v>1124</v>
      </c>
      <c r="Q261" s="92" t="s">
        <v>746</v>
      </c>
      <c r="R261" s="92" t="s">
        <v>747</v>
      </c>
      <c r="S261" s="92" t="s">
        <v>748</v>
      </c>
      <c r="T261" s="92" t="s">
        <v>749</v>
      </c>
    </row>
    <row r="262" spans="2:20" x14ac:dyDescent="0.3">
      <c r="B262" s="33" t="str">
        <f ca="1">IF(OR(Q11="bard",Q11="paladin",Q11="sorcerer",Q11="warlock"),8+$P$8+$N$43,IF(OR(Q11="druid",Q11="cleric",Q11="ranger"),8+P8+N42,IF(OR(R15="eldritch knight",R15="arcane trickster",Q11="wizard"),8+P8+N41," ")))</f>
        <v xml:space="preserve"> </v>
      </c>
      <c r="C262" s="33"/>
      <c r="D262" s="33"/>
      <c r="E262" s="33"/>
      <c r="F262" s="33"/>
      <c r="G262" s="33"/>
      <c r="H262" s="33"/>
      <c r="I262" s="33"/>
      <c r="J262" s="33"/>
      <c r="K262" s="33"/>
      <c r="L262" s="33"/>
      <c r="M262" s="33"/>
      <c r="O262" s="34">
        <v>1</v>
      </c>
      <c r="P262" s="33" t="str">
        <f ca="1">IF(P$242&gt;=O193,INDEX('Spell Tables'!$P$242:$P$257,MATCH(O193,('Spell Tables'!$N$242:$N$257),0)),IF(P$244&gt;=O193,INDEX('Spell Tables'!$P$194:$P$201,MATCH(O193,('Spell Tables'!$N$194:$N$201),0)),IF(P$246&gt;=O193,INDEX('Spell Tables'!$P$168:$P$183,MATCH(O193,('Spell Tables'!$N$168:$N$183),0)),IF(P$248&gt;=O193,INDEX('Spell Tables'!$P$141:$P$156,MATCH(O193,('Spell Tables'!$N$141:$N$157),0)),IF(P$254&gt;=O193,INDEX('Spell Tables'!$P$70:$P$83,MATCH(O193,('Spell Tables'!$N$70:$N$83),0)),IF(P$256&gt;=O193,INDEX('Spell Tables'!$P$48:$P$55,MATCH(O193,('Spell Tables'!$N$48:$N$55),0)),IF(P$258&gt;=O193,INDEX('Spell Tables'!$P$26:$P$32,MATCH(O193,('Spell Tables'!$N$26:$N$32),0)),IF(P$260&gt;=O193,INDEX('Spell Tables'!$P$2:$P$12,MATCH(O193,('Spell Tables'!$N$2:$N$12),0))," "))))))))</f>
        <v xml:space="preserve"> </v>
      </c>
      <c r="Q262" s="33" t="str">
        <f ca="1">IF(AND($Q$15="Otherworldly patron - great old one",Q$244&gt;=O193),INDEX('Spell Tables'!$T$226:$T$238,MATCH(O193,('Spell Tables'!$R$226:$R$238),0)),IF(AND($Q$15="Otherworldly patron - fiend",Q$244&gt;=O193),INDEX('Spell Tables'!$T$210:$T$222,MATCH(O193,('Spell Tables'!$R$210:$R$222),0)),IF(Q$242&gt;=O193,INDEX($AL$44:$AL$53,MATCH(O193,($AJ$44:$AJ$53),0)),IF(AND($Q$15="Otherworldly patron - archfey",Q$244&gt;=O193),INDEX('Spell Tables'!T$206:$T294,MATCH(O193,('Spell Tables'!$R$194:$R$206),0)),IF(Q$246&gt;=O193,INDEX('Spell Tables'!T268:T287,MATCH(O193,('Spell Tables'!$R$168:$R$187),0)),IF(Q$248&gt;=O193,INDEX('Spell Tables'!T241:T247,MATCH(O193,('Spell Tables'!$R$141:$R$147),0)),IF(Q$250&gt;=O193,INDEX('Spell Tables'!$P$119:$P$131,MATCH(O193,('Spell Tables'!$N$119:$N$131),0)),IF(Q$252&gt;=O193,INDEX('Spell Tables'!$P$97:$P$111,MATCH(O193,('Spell Tables'!$N$97:$N$111),0)),IF(Q$254&gt;=O193,INDEX('Spell Tables'!$T$70:$T$78,MATCH(O193,('Spell Tables'!$R$70:$R$78),0)),IF(Q$256&gt;=O193,INDEX('Spell Tables'!$T$48:$T$63,MATCH(O193,('Spell Tables'!$R$48:$R$63),0)),IF(Q$258&gt;=O193,INDEX('Spell Tables'!$T$26:$T$40,MATCH(O193,('Spell Tables'!$R$26:$R$40),0)),IF(Q$260&gt;=O193,INDEX('Spell Tables'!$T$2:$T$22,MATCH(O193,('Spell Tables'!$R$2:$R$22),0))," "))))))))))))</f>
        <v xml:space="preserve"> </v>
      </c>
      <c r="R262" s="33" t="str">
        <f ca="1">IF(AND($Q$15="Otherworldly patron - great old one",R$244&gt;=O193),INDEX('Spell Tables'!$X$226:$X$239,MATCH(O193,('Spell Tables'!$V$226:$V$239),0)),IF(AND($Q$15="Otherworldly patron - fiend",R$244&gt;=O193),INDEX('Spell Tables'!$X$210:$X$223,MATCH(O193,('Spell Tables'!$V$210:$V$223),0)),IF(AND($Q$15="Otherworldly patron - archfey",R$244&gt;=O193),INDEX('Spell Tables'!$X$194:$X$207,MATCH(O193,('Spell Tables'!$V$194:$V$207),0)),IF($R$242&gt;=O193,INDEX($AL$56:$AL$65,MATCH(O193,($AJ$56:$AJ$65),0)),IF($R$246&gt;=O193,INDEX('Spell Tables'!$X$168:$X$191,MATCH(O193,('Spell Tables'!$V$168:$V$191),0)),IF($R$248&gt;=O193,INDEX('Spell Tables'!$AB$141:$AB$149,MATCH(O193,('Spell Tables'!$Z$141:$Z$149),0)),IF($R$250&gt;=O193,INDEX('Spell Tables'!T219:T231,MATCH(O193,('Spell Tables'!$R$119:$R$131),0)),IF($R$252&gt;=O193,INDEX('Spell Tables'!$T$97:T204,MATCH(O193,('Spell Tables'!$R$97:$R$104),0)),IF($R$254&gt;=O193,INDEX('Spell Tables'!$AB$70:$AB$75,MATCH(O193,('Spell Tables'!$Z$70:$Z$75),0)),IF($R$256&gt;=O193,INDEX('Spell Tables'!$X$48:$X$65,MATCH(O193,('Spell Tables'!$V$48:$V$65),0)),IF($R$258&gt;=O193,INDEX('Spell Tables'!$X$26:$X$42,MATCH(O193,('Spell Tables'!$V$26:$V$42),0)),IF($R$260&gt;=O193,INDEX('Spell Tables'!$X$2:$X$23,MATCH(O193,('Spell Tables'!$V$2:$V$23),0))," "))))))))))))</f>
        <v xml:space="preserve"> </v>
      </c>
      <c r="S262" s="33" t="str">
        <f ca="1">IF(AND($Q$15="Otherworldly patron - great old one",S$244&gt;=O193),INDEX('Spell Tables'!$AB$226:$AB$238,MATCH(O193,('Spell Tables'!$Z$226:$Z$238),0)),IF(AND($Q$15="Otherworldly patron - fiend",S$244&gt;=O193),INDEX('Spell Tables'!$AB$210:$AB$222,MATCH(O193,('Spell Tables'!$Z$210:$Z$222),0)),IF(AND($Q$15="Otherworldly patron - archfey",S$244&gt;=O193),INDEX('Spell Tables'!$AB$194:$AB$206,MATCH(O193,('Spell Tables'!$Z$194:$Z$206),0)),IF($S$242&gt;=O193,INDEX($AL$68:$AL$77,MATCH(O193,($AJ$68:$AJ$77),0)),IF($S$246&gt;=O193,INDEX('Spell Tables'!$AB$168:$AB$187,MATCH(O193,('Spell Tables'!$Z$168:$Z$187),0)),IF($S$248&gt;=O193,INDEX('Spell Tables'!$AJ$141:$AJ$144,MATCH(O193,('Spell Tables'!$AH$141:$AH$144),0)),IF($S$250&gt;=O193,INDEX('Spell Tables'!$X$119:$X$129,MATCH(O193,('Spell Tables'!$V$119:$V$129),0)),IF($S$252&gt;=O193,INDEX('Spell Tables'!$X$97:$X$106,MATCH(O193,('Spell Tables'!$V$97:$V$106),0)),IF($S$254&gt;=O193,INDEX('Spell Tables'!$AJ$70:$AJ$79,MATCH(O193,('Spell Tables'!$AH$70:$AH$79),0)),IF($S$256&gt;=O193,INDEX('Spell Tables'!$AB$48:$AB$60,MATCH(O193,('Spell Tables'!$Z$48:$Z$60),0)),IF($S$258&gt;=O193,INDEX('Spell Tables'!$AB$26:$AB$45,MATCH(O193,('Spell Tables'!$Z$26:$Z$45),0)),IF($S$260&gt;=O193,INDEX('Spell Tables'!$AB$2:$AB$17,MATCH(O193,('Spell Tables'!$Z$2:$Z$17),0))," "))))))))))))</f>
        <v xml:space="preserve"> </v>
      </c>
      <c r="T262" s="33" t="str">
        <f ca="1">IF(AND($Q$15="Otherworldly patron - great old one",T$244&gt;=O193),INDEX('Spell Tables'!$AF$226:$AF$231,MATCH(O193,('Spell Tables'!$AD$226:$AD$231),0)),IF(AND($Q$15="Otherworldly patron - fiend",T$244&gt;=O193),INDEX('Spell Tables'!$AF$210:$AF$215,MATCH(O193,('Spell Tables'!$AD$210:$AD$215),0)),IF(AND($Q$15="Otherworldly patron - archfey",T$244&gt;=O193),INDEX('Spell Tables'!$AF$194:$AF$199,MATCH(O193,('Spell Tables'!$AD$194:$AD$199),0)),IF($T$242&gt;=O193,INDEX($AL$80:$AL$89,MATCH(O193,($AJ$80:$AJ$89),0)),IF($T$246&gt;=O193,INDEX('Spell Tables'!$AF$168:$AF$177,MATCH(O193,('Spell Tables'!$AD$168:$AD$177),0)),IF($T$248&gt;=O193,INDEX('Spell Tables'!$AR$141:$AR$144,MATCH(O193,('Spell Tables'!$AP$141:$AP$144),0)),IF($T$250&gt;=O193,INDEX('Spell Tables'!$AB$119:$AB$123,MATCH(O193,('Spell Tables'!$Z$119:$Z$123),0)),IF($T$252&gt;=O193,INDEX('Spell Tables'!$AB$97:$AB$102,MATCH(O193,('Spell Tables'!$Z$97:$Z$102),0)),IF($T$254&gt;=O193,INDEX('Spell Tables'!$AR$70:$AR$75,MATCH(O193,('Spell Tables'!$AP$70:$AP$75),0)),IF($T$256&gt;=O193,INDEX('Spell Tables'!$AF$48:$AF$63,MATCH(O193,('Spell Tables'!$AD$48:$AD$63),0)),IF($T$258&gt;=O193,INDEX('Spell Tables'!$AF$26:$AF$33,MATCH(O193,('Spell Tables'!$AD$26:$AD$33),0)),IF($T$260&gt;=O193,INDEX('Spell Tables'!$AF$2:$AF$9,MATCH(O193,('Spell Tables'!$AD$2:$AD$9),0))," "))))))))))))</f>
        <v xml:space="preserve"> </v>
      </c>
    </row>
    <row r="263" spans="2:20" x14ac:dyDescent="0.3">
      <c r="B263" s="92" t="s">
        <v>1123</v>
      </c>
      <c r="C263" s="33"/>
      <c r="D263" s="33"/>
      <c r="E263" s="33"/>
      <c r="F263" s="33"/>
      <c r="G263" s="33"/>
      <c r="H263" s="33"/>
      <c r="I263" s="33"/>
      <c r="J263" s="33"/>
      <c r="K263" s="33"/>
      <c r="L263" s="33"/>
      <c r="M263" s="33"/>
      <c r="O263" s="34">
        <v>2</v>
      </c>
      <c r="P263" s="33" t="str">
        <f ca="1">IF(P$242&gt;=O194,INDEX('Spell Tables'!$P$242:$P$257,MATCH(O194,('Spell Tables'!$N$242:$N$257),0)),IF(P$244&gt;=O194,INDEX('Spell Tables'!$P$194:$P$201,MATCH(O194,('Spell Tables'!$N$194:$N$201),0)),IF(P$246&gt;=O194,INDEX('Spell Tables'!$P$168:$P$183,MATCH(O194,('Spell Tables'!$N$168:$N$183),0)),IF(P$248&gt;=O194,INDEX('Spell Tables'!$P$141:$P$156,MATCH(O194,('Spell Tables'!$N$141:$N$157),0)),IF(P$254&gt;=O194,INDEX('Spell Tables'!$P$70:$P$83,MATCH(O194,('Spell Tables'!$N$70:$N$83),0)),IF(P$256&gt;=O194,INDEX('Spell Tables'!$P$48:$P$55,MATCH(O194,('Spell Tables'!$N$48:$N$55),0)),IF(P$258&gt;=O194,INDEX('Spell Tables'!$P$26:$P$32,MATCH(O194,('Spell Tables'!$N$26:$N$32),0)),IF(P$260&gt;=O194,INDEX('Spell Tables'!$P$2:$P$12,MATCH(O194,('Spell Tables'!$N$2:$N$12),0))," "))))))))</f>
        <v xml:space="preserve"> </v>
      </c>
      <c r="Q263" s="33" t="str">
        <f ca="1">IF(AND($Q$15="Otherworldly patron - great old one",Q$244&gt;=O194),INDEX('Spell Tables'!$T$226:$T$238,MATCH(O194,('Spell Tables'!$R$226:$R$238),0)),IF(AND($Q$15="Otherworldly patron - fiend",Q$244&gt;=O194),INDEX('Spell Tables'!$T$210:$T$222,MATCH(O194,('Spell Tables'!$R$210:$R$222),0)),IF(Q$242&gt;=O194,INDEX($AL$44:$AL$53,MATCH(O194,($AJ$44:$AJ$53),0)),IF(AND($Q$15="Otherworldly patron - archfey",Q$244&gt;=O194),INDEX('Spell Tables'!T$206:$T295,MATCH(O194,('Spell Tables'!$R$194:$R$206),0)),IF(Q$246&gt;=O194,INDEX('Spell Tables'!T269:T288,MATCH(O194,('Spell Tables'!$R$168:$R$187),0)),IF(Q$248&gt;=O194,INDEX('Spell Tables'!T242:T248,MATCH(O194,('Spell Tables'!$R$141:$R$147),0)),IF(Q$250&gt;=O194,INDEX('Spell Tables'!$P$119:$P$131,MATCH(O194,('Spell Tables'!$N$119:$N$131),0)),IF(Q$252&gt;=O194,INDEX('Spell Tables'!$P$97:$P$111,MATCH(O194,('Spell Tables'!$N$97:$N$111),0)),IF(Q$254&gt;=O194,INDEX('Spell Tables'!$T$70:$T$78,MATCH(O194,('Spell Tables'!$R$70:$R$78),0)),IF(Q$256&gt;=O194,INDEX('Spell Tables'!$T$48:$T$63,MATCH(O194,('Spell Tables'!$R$48:$R$63),0)),IF(Q$258&gt;=O194,INDEX('Spell Tables'!$T$26:$T$40,MATCH(O194,('Spell Tables'!$R$26:$R$40),0)),IF(Q$260&gt;=O194,INDEX('Spell Tables'!$T$2:$T$22,MATCH(O194,('Spell Tables'!$R$2:$R$22),0))," "))))))))))))</f>
        <v xml:space="preserve"> </v>
      </c>
      <c r="R263" s="33" t="str">
        <f ca="1">IF(AND($Q$15="Otherworldly patron - great old one",R$244&gt;=O194),INDEX('Spell Tables'!$X$226:$X$239,MATCH(O194,('Spell Tables'!$V$226:$V$239),0)),IF(AND($Q$15="Otherworldly patron - fiend",R$244&gt;=O194),INDEX('Spell Tables'!$X$210:$X$223,MATCH(O194,('Spell Tables'!$V$210:$V$223),0)),IF(AND($Q$15="Otherworldly patron - archfey",R$244&gt;=O194),INDEX('Spell Tables'!$X$194:$X$207,MATCH(O194,('Spell Tables'!$V$194:$V$207),0)),IF($R$242&gt;=O194,INDEX($AL$56:$AL$65,MATCH(O194,($AJ$56:$AJ$65),0)),IF($R$246&gt;=O194,INDEX('Spell Tables'!$X$168:$X$191,MATCH(O194,('Spell Tables'!$V$168:$V$191),0)),IF($R$248&gt;=O194,INDEX('Spell Tables'!$AB$141:$AB$149,MATCH(O194,('Spell Tables'!$Z$141:$Z$149),0)),IF($R$250&gt;=O194,INDEX('Spell Tables'!T220:T232,MATCH(O194,('Spell Tables'!$R$119:$R$131),0)),IF($R$252&gt;=O194,INDEX('Spell Tables'!$T$97:T205,MATCH(O194,('Spell Tables'!$R$97:$R$104),0)),IF($R$254&gt;=O194,INDEX('Spell Tables'!$AB$70:$AB$75,MATCH(O194,('Spell Tables'!$Z$70:$Z$75),0)),IF($R$256&gt;=O194,INDEX('Spell Tables'!$X$48:$X$65,MATCH(O194,('Spell Tables'!$V$48:$V$65),0)),IF($R$258&gt;=O194,INDEX('Spell Tables'!$X$26:$X$42,MATCH(O194,('Spell Tables'!$V$26:$V$42),0)),IF($R$260&gt;=O194,INDEX('Spell Tables'!$X$2:$X$23,MATCH(O194,('Spell Tables'!$V$2:$V$23),0))," "))))))))))))</f>
        <v xml:space="preserve"> </v>
      </c>
      <c r="S263" s="33" t="str">
        <f ca="1">IF(AND($Q$15="Otherworldly patron - great old one",S$244&gt;=O194),INDEX('Spell Tables'!$AB$226:$AB$238,MATCH(O194,('Spell Tables'!$Z$226:$Z$238),0)),IF(AND($Q$15="Otherworldly patron - fiend",S$244&gt;=O194),INDEX('Spell Tables'!$AB$210:$AB$222,MATCH(O194,('Spell Tables'!$Z$210:$Z$222),0)),IF(AND($Q$15="Otherworldly patron - archfey",S$244&gt;=O194),INDEX('Spell Tables'!$AB$194:$AB$206,MATCH(O194,('Spell Tables'!$Z$194:$Z$206),0)),IF($S$242&gt;=O194,INDEX($AL$68:$AL$77,MATCH(O194,($AJ$68:$AJ$77),0)),IF($S$246&gt;=O194,INDEX('Spell Tables'!$AB$168:$AB$187,MATCH(O194,('Spell Tables'!$Z$168:$Z$187),0)),IF($S$248&gt;=O194,INDEX('Spell Tables'!$AJ$141:$AJ$144,MATCH(O194,('Spell Tables'!$AH$141:$AH$144),0)),IF($S$250&gt;=O194,INDEX('Spell Tables'!$X$119:$X$129,MATCH(O194,('Spell Tables'!$V$119:$V$129),0)),IF($S$252&gt;=O194,INDEX('Spell Tables'!$X$97:$X$106,MATCH(O194,('Spell Tables'!$V$97:$V$106),0)),IF($S$254&gt;=O194,INDEX('Spell Tables'!$AJ$70:$AJ$79,MATCH(O194,('Spell Tables'!$AH$70:$AH$79),0)),IF($S$256&gt;=O194,INDEX('Spell Tables'!$AB$48:$AB$60,MATCH(O194,('Spell Tables'!$Z$48:$Z$60),0)),IF($S$258&gt;=O194,INDEX('Spell Tables'!$AB$26:$AB$45,MATCH(O194,('Spell Tables'!$Z$26:$Z$45),0)),IF($S$260&gt;=O194,INDEX('Spell Tables'!$AB$2:$AB$17,MATCH(O194,('Spell Tables'!$Z$2:$Z$17),0))," "))))))))))))</f>
        <v xml:space="preserve"> </v>
      </c>
      <c r="T263" s="33" t="str">
        <f ca="1">IF(AND($Q$15="Otherworldly patron - great old one",T$244&gt;=O194),INDEX('Spell Tables'!$AF$226:$AF$231,MATCH(O194,('Spell Tables'!$AD$226:$AD$231),0)),IF(AND($Q$15="Otherworldly patron - fiend",T$244&gt;=O194),INDEX('Spell Tables'!$AF$210:$AF$215,MATCH(O194,('Spell Tables'!$AD$210:$AD$215),0)),IF(AND($Q$15="Otherworldly patron - archfey",T$244&gt;=O194),INDEX('Spell Tables'!$AF$194:$AF$199,MATCH(O194,('Spell Tables'!$AD$194:$AD$199),0)),IF($T$242&gt;=O194,INDEX($AL$80:$AL$89,MATCH(O194,($AJ$80:$AJ$89),0)),IF($T$246&gt;=O194,INDEX('Spell Tables'!$AF$168:$AF$177,MATCH(O194,('Spell Tables'!$AD$168:$AD$177),0)),IF($T$248&gt;=O194,INDEX('Spell Tables'!$AR$141:$AR$144,MATCH(O194,('Spell Tables'!$AP$141:$AP$144),0)),IF($T$250&gt;=O194,INDEX('Spell Tables'!$AB$119:$AB$123,MATCH(O194,('Spell Tables'!$Z$119:$Z$123),0)),IF($T$252&gt;=O194,INDEX('Spell Tables'!$AB$97:$AB$102,MATCH(O194,('Spell Tables'!$Z$97:$Z$102),0)),IF($T$254&gt;=O194,INDEX('Spell Tables'!$AR$70:$AR$75,MATCH(O194,('Spell Tables'!$AP$70:$AP$75),0)),IF($T$256&gt;=O194,INDEX('Spell Tables'!$AF$48:$AF$63,MATCH(O194,('Spell Tables'!$AD$48:$AD$63),0)),IF($T$258&gt;=O194,INDEX('Spell Tables'!$AF$26:$AF$33,MATCH(O194,('Spell Tables'!$AD$26:$AD$33),0)),IF($T$260&gt;=O194,INDEX('Spell Tables'!$AF$2:$AF$9,MATCH(O194,('Spell Tables'!$AD$2:$AD$9),0))," "))))))))))))</f>
        <v xml:space="preserve"> </v>
      </c>
    </row>
    <row r="264" spans="2:20" x14ac:dyDescent="0.3">
      <c r="B264" s="33" t="str">
        <f ca="1">IF(OR(Q11="bard",Q11="paladin",Q11="sorcerer",Q11="warlock"),P8+$N$43,IF(OR(Q11="druid",Q11="cleric",Q11="ranger"),P8+N42,IF(OR(R15="eldritch knight",R15="arcane trickster",Q11="wizard"),P8+N41," ")))</f>
        <v xml:space="preserve"> </v>
      </c>
      <c r="C264" s="33"/>
      <c r="D264" s="33"/>
      <c r="E264" s="33"/>
      <c r="F264" s="33"/>
      <c r="G264" s="33"/>
      <c r="H264" s="33"/>
      <c r="I264" s="33"/>
      <c r="J264" s="33"/>
      <c r="K264" s="33"/>
      <c r="L264" s="33"/>
      <c r="M264" s="33"/>
      <c r="O264" s="34">
        <v>3</v>
      </c>
      <c r="P264" s="33" t="str">
        <f ca="1">IF(P$242&gt;=O195,INDEX('Spell Tables'!$P$242:$P$257,MATCH(O195,('Spell Tables'!$N$242:$N$257),0)),IF(P$244&gt;=O195,INDEX('Spell Tables'!$P$194:$P$201,MATCH(O195,('Spell Tables'!$N$194:$N$201),0)),IF(P$246&gt;=O195,INDEX('Spell Tables'!$P$168:$P$183,MATCH(O195,('Spell Tables'!$N$168:$N$183),0)),IF(P$248&gt;=O195,INDEX('Spell Tables'!$P$141:$P$156,MATCH(O195,('Spell Tables'!$N$141:$N$157),0)),IF(P$254&gt;=O195,INDEX('Spell Tables'!$P$70:$P$83,MATCH(O195,('Spell Tables'!$N$70:$N$83),0)),IF(P$256&gt;=O195,INDEX('Spell Tables'!$P$48:$P$55,MATCH(O195,('Spell Tables'!$N$48:$N$55),0)),IF(P$258&gt;=O195,INDEX('Spell Tables'!$P$26:$P$32,MATCH(O195,('Spell Tables'!$N$26:$N$32),0)),IF(P$260&gt;=O195,INDEX('Spell Tables'!$P$2:$P$12,MATCH(O195,('Spell Tables'!$N$2:$N$12),0))," "))))))))</f>
        <v xml:space="preserve"> </v>
      </c>
      <c r="Q264" s="33" t="str">
        <f ca="1">IF(AND($Q$15="Otherworldly patron - great old one",Q$244&gt;=O195),INDEX('Spell Tables'!$T$226:$T$238,MATCH(O195,('Spell Tables'!$R$226:$R$238),0)),IF(AND($Q$15="Otherworldly patron - fiend",Q$244&gt;=O195),INDEX('Spell Tables'!$T$210:$T$222,MATCH(O195,('Spell Tables'!$R$210:$R$222),0)),IF(Q$242&gt;=O195,INDEX($AL$44:$AL$53,MATCH(O195,($AJ$44:$AJ$53),0)),IF(AND($Q$15="Otherworldly patron - archfey",Q$244&gt;=O195),INDEX('Spell Tables'!T$206:$T296,MATCH(O195,('Spell Tables'!$R$194:$R$206),0)),IF(Q$246&gt;=O195,INDEX('Spell Tables'!T270:T289,MATCH(O195,('Spell Tables'!$R$168:$R$187),0)),IF(Q$248&gt;=O195,INDEX('Spell Tables'!T243:T249,MATCH(O195,('Spell Tables'!$R$141:$R$147),0)),IF(Q$250&gt;=O195,INDEX('Spell Tables'!$P$119:$P$131,MATCH(O195,('Spell Tables'!$N$119:$N$131),0)),IF(Q$252&gt;=O195,INDEX('Spell Tables'!$P$97:$P$111,MATCH(O195,('Spell Tables'!$N$97:$N$111),0)),IF(Q$254&gt;=O195,INDEX('Spell Tables'!$T$70:$T$78,MATCH(O195,('Spell Tables'!$R$70:$R$78),0)),IF(Q$256&gt;=O195,INDEX('Spell Tables'!$T$48:$T$63,MATCH(O195,('Spell Tables'!$R$48:$R$63),0)),IF(Q$258&gt;=O195,INDEX('Spell Tables'!$T$26:$T$40,MATCH(O195,('Spell Tables'!$R$26:$R$40),0)),IF(Q$260&gt;=O195,INDEX('Spell Tables'!$T$2:$T$22,MATCH(O195,('Spell Tables'!$R$2:$R$22),0))," "))))))))))))</f>
        <v xml:space="preserve"> </v>
      </c>
      <c r="R264" s="33" t="str">
        <f ca="1">IF(AND($Q$15="Otherworldly patron - great old one",R$244&gt;=O195),INDEX('Spell Tables'!$X$226:$X$239,MATCH(O195,('Spell Tables'!$V$226:$V$239),0)),IF(AND($Q$15="Otherworldly patron - fiend",R$244&gt;=O195),INDEX('Spell Tables'!$X$210:$X$223,MATCH(O195,('Spell Tables'!$V$210:$V$223),0)),IF(AND($Q$15="Otherworldly patron - archfey",R$244&gt;=O195),INDEX('Spell Tables'!$X$194:$X$207,MATCH(O195,('Spell Tables'!$V$194:$V$207),0)),IF($R$242&gt;=O195,INDEX($AL$56:$AL$65,MATCH(O195,($AJ$56:$AJ$65),0)),IF($R$246&gt;=O195,INDEX('Spell Tables'!$X$168:$X$191,MATCH(O195,('Spell Tables'!$V$168:$V$191),0)),IF($R$248&gt;=O195,INDEX('Spell Tables'!$AB$141:$AB$149,MATCH(O195,('Spell Tables'!$Z$141:$Z$149),0)),IF($R$250&gt;=O195,INDEX('Spell Tables'!T221:T233,MATCH(O195,('Spell Tables'!$R$119:$R$131),0)),IF($R$252&gt;=O195,INDEX('Spell Tables'!$T$97:T206,MATCH(O195,('Spell Tables'!$R$97:$R$104),0)),IF($R$254&gt;=O195,INDEX('Spell Tables'!$AB$70:$AB$75,MATCH(O195,('Spell Tables'!$Z$70:$Z$75),0)),IF($R$256&gt;=O195,INDEX('Spell Tables'!$X$48:$X$65,MATCH(O195,('Spell Tables'!$V$48:$V$65),0)),IF($R$258&gt;=O195,INDEX('Spell Tables'!$X$26:$X$42,MATCH(O195,('Spell Tables'!$V$26:$V$42),0)),IF($R$260&gt;=O195,INDEX('Spell Tables'!$X$2:$X$23,MATCH(O195,('Spell Tables'!$V$2:$V$23),0))," "))))))))))))</f>
        <v xml:space="preserve"> </v>
      </c>
      <c r="S264" s="33" t="str">
        <f ca="1">IF(AND($Q$15="Otherworldly patron - great old one",S$244&gt;=O195),INDEX('Spell Tables'!$AB$226:$AB$238,MATCH(O195,('Spell Tables'!$Z$226:$Z$238),0)),IF(AND($Q$15="Otherworldly patron - fiend",S$244&gt;=O195),INDEX('Spell Tables'!$AB$210:$AB$222,MATCH(O195,('Spell Tables'!$Z$210:$Z$222),0)),IF(AND($Q$15="Otherworldly patron - archfey",S$244&gt;=O195),INDEX('Spell Tables'!$AB$194:$AB$206,MATCH(O195,('Spell Tables'!$Z$194:$Z$206),0)),IF($S$242&gt;=O195,INDEX($AL$68:$AL$77,MATCH(O195,($AJ$68:$AJ$77),0)),IF($S$246&gt;=O195,INDEX('Spell Tables'!$AB$168:$AB$187,MATCH(O195,('Spell Tables'!$Z$168:$Z$187),0)),IF($S$248&gt;=O195,INDEX('Spell Tables'!$AJ$141:$AJ$144,MATCH(O195,('Spell Tables'!$AH$141:$AH$144),0)),IF($S$250&gt;=O195,INDEX('Spell Tables'!$X$119:$X$129,MATCH(O195,('Spell Tables'!$V$119:$V$129),0)),IF($S$252&gt;=O195,INDEX('Spell Tables'!$X$97:$X$106,MATCH(O195,('Spell Tables'!$V$97:$V$106),0)),IF($S$254&gt;=O195,INDEX('Spell Tables'!$AJ$70:$AJ$79,MATCH(O195,('Spell Tables'!$AH$70:$AH$79),0)),IF($S$256&gt;=O195,INDEX('Spell Tables'!$AB$48:$AB$60,MATCH(O195,('Spell Tables'!$Z$48:$Z$60),0)),IF($S$258&gt;=O195,INDEX('Spell Tables'!$AB$26:$AB$45,MATCH(O195,('Spell Tables'!$Z$26:$Z$45),0)),IF($S$260&gt;=O195,INDEX('Spell Tables'!$AB$2:$AB$17,MATCH(O195,('Spell Tables'!$Z$2:$Z$17),0))," "))))))))))))</f>
        <v xml:space="preserve"> </v>
      </c>
      <c r="T264" s="33" t="str">
        <f ca="1">IF(AND($Q$15="Otherworldly patron - great old one",T$244&gt;=O195),INDEX('Spell Tables'!$AF$226:$AF$231,MATCH(O195,('Spell Tables'!$AD$226:$AD$231),0)),IF(AND($Q$15="Otherworldly patron - fiend",T$244&gt;=O195),INDEX('Spell Tables'!$AF$210:$AF$215,MATCH(O195,('Spell Tables'!$AD$210:$AD$215),0)),IF(AND($Q$15="Otherworldly patron - archfey",T$244&gt;=O195),INDEX('Spell Tables'!$AF$194:$AF$199,MATCH(O195,('Spell Tables'!$AD$194:$AD$199),0)),IF($T$242&gt;=O195,INDEX($AL$80:$AL$89,MATCH(O195,($AJ$80:$AJ$89),0)),IF($T$246&gt;=O195,INDEX('Spell Tables'!$AF$168:$AF$177,MATCH(O195,('Spell Tables'!$AD$168:$AD$177),0)),IF($T$248&gt;=O195,INDEX('Spell Tables'!$AR$141:$AR$144,MATCH(O195,('Spell Tables'!$AP$141:$AP$144),0)),IF($T$250&gt;=O195,INDEX('Spell Tables'!$AB$119:$AB$123,MATCH(O195,('Spell Tables'!$Z$119:$Z$123),0)),IF($T$252&gt;=O195,INDEX('Spell Tables'!$AB$97:$AB$102,MATCH(O195,('Spell Tables'!$Z$97:$Z$102),0)),IF($T$254&gt;=O195,INDEX('Spell Tables'!$AR$70:$AR$75,MATCH(O195,('Spell Tables'!$AP$70:$AP$75),0)),IF($T$256&gt;=O195,INDEX('Spell Tables'!$AF$48:$AF$63,MATCH(O195,('Spell Tables'!$AD$48:$AD$63),0)),IF($T$258&gt;=O195,INDEX('Spell Tables'!$AF$26:$AF$33,MATCH(O195,('Spell Tables'!$AD$26:$AD$33),0)),IF($T$260&gt;=O195,INDEX('Spell Tables'!$AF$2:$AF$9,MATCH(O195,('Spell Tables'!$AD$2:$AD$9),0))," "))))))))))))</f>
        <v xml:space="preserve"> </v>
      </c>
    </row>
    <row r="265" spans="2:20" x14ac:dyDescent="0.3">
      <c r="C265" s="33"/>
      <c r="D265" s="33"/>
      <c r="E265" s="33"/>
      <c r="F265" s="33"/>
      <c r="G265" s="33"/>
      <c r="H265" s="33"/>
      <c r="I265" s="33"/>
      <c r="J265" s="33"/>
      <c r="K265" s="33"/>
      <c r="L265" s="33"/>
      <c r="M265" s="33"/>
      <c r="O265" s="34">
        <v>4</v>
      </c>
      <c r="P265" s="33" t="str">
        <f ca="1">IF(P$242&gt;=O196,INDEX('Spell Tables'!$P$242:$P$257,MATCH(O196,('Spell Tables'!$N$242:$N$257),0)),IF(P$244&gt;=O196,INDEX('Spell Tables'!$P$194:$P$201,MATCH(O196,('Spell Tables'!$N$194:$N$201),0)),IF(P$246&gt;=O196,INDEX('Spell Tables'!$P$168:$P$183,MATCH(O196,('Spell Tables'!$N$168:$N$183),0)),IF(P$248&gt;=O196,INDEX('Spell Tables'!$P$141:$P$156,MATCH(O196,('Spell Tables'!$N$141:$N$157),0)),IF(P$254&gt;=O196,INDEX('Spell Tables'!$P$70:$P$83,MATCH(O196,('Spell Tables'!$N$70:$N$83),0)),IF(P$256&gt;=O196,INDEX('Spell Tables'!$P$48:$P$55,MATCH(O196,('Spell Tables'!$N$48:$N$55),0)),IF(P$258&gt;=O196,INDEX('Spell Tables'!$P$26:$P$32,MATCH(O196,('Spell Tables'!$N$26:$N$32),0)),IF(P$260&gt;=O196,INDEX('Spell Tables'!$P$2:$P$12,MATCH(O196,('Spell Tables'!$N$2:$N$12),0))," "))))))))</f>
        <v xml:space="preserve"> </v>
      </c>
      <c r="Q265" s="33" t="str">
        <f ca="1">IF(AND($Q$15="Otherworldly patron - great old one",Q$244&gt;=O196),INDEX('Spell Tables'!$T$226:$T$238,MATCH(O196,('Spell Tables'!$R$226:$R$238),0)),IF(AND($Q$15="Otherworldly patron - fiend",Q$244&gt;=O196),INDEX('Spell Tables'!$T$210:$T$222,MATCH(O196,('Spell Tables'!$R$210:$R$222),0)),IF(Q$242&gt;=O196,INDEX($AL$44:$AL$53,MATCH(O196,($AJ$44:$AJ$53),0)),IF(AND($Q$15="Otherworldly patron - archfey",Q$244&gt;=O196),INDEX('Spell Tables'!T$206:$T297,MATCH(O196,('Spell Tables'!$R$194:$R$206),0)),IF(Q$246&gt;=O196,INDEX('Spell Tables'!T271:T290,MATCH(O196,('Spell Tables'!$R$168:$R$187),0)),IF(Q$248&gt;=O196,INDEX('Spell Tables'!T244:T250,MATCH(O196,('Spell Tables'!$R$141:$R$147),0)),IF(Q$250&gt;=O196,INDEX('Spell Tables'!$P$119:$P$131,MATCH(O196,('Spell Tables'!$N$119:$N$131),0)),IF(Q$252&gt;=O196,INDEX('Spell Tables'!$P$97:$P$111,MATCH(O196,('Spell Tables'!$N$97:$N$111),0)),IF(Q$254&gt;=O196,INDEX('Spell Tables'!$T$70:$T$78,MATCH(O196,('Spell Tables'!$R$70:$R$78),0)),IF(Q$256&gt;=O196,INDEX('Spell Tables'!$T$48:$T$63,MATCH(O196,('Spell Tables'!$R$48:$R$63),0)),IF(Q$258&gt;=O196,INDEX('Spell Tables'!$T$26:$T$40,MATCH(O196,('Spell Tables'!$R$26:$R$40),0)),IF(Q$260&gt;=O196,INDEX('Spell Tables'!$T$2:$T$22,MATCH(O196,('Spell Tables'!$R$2:$R$22),0))," "))))))))))))</f>
        <v xml:space="preserve"> </v>
      </c>
      <c r="R265" s="33" t="str">
        <f ca="1">IF(AND($Q$15="Otherworldly patron - great old one",R$244&gt;=O196),INDEX('Spell Tables'!$X$226:$X$239,MATCH(O196,('Spell Tables'!$V$226:$V$239),0)),IF(AND($Q$15="Otherworldly patron - fiend",R$244&gt;=O196),INDEX('Spell Tables'!$X$210:$X$223,MATCH(O196,('Spell Tables'!$V$210:$V$223),0)),IF(AND($Q$15="Otherworldly patron - archfey",R$244&gt;=O196),INDEX('Spell Tables'!$X$194:$X$207,MATCH(O196,('Spell Tables'!$V$194:$V$207),0)),IF($R$242&gt;=O196,INDEX($AL$56:$AL$65,MATCH(O196,($AJ$56:$AJ$65),0)),IF($R$246&gt;=O196,INDEX('Spell Tables'!$X$168:$X$191,MATCH(O196,('Spell Tables'!$V$168:$V$191),0)),IF($R$248&gt;=O196,INDEX('Spell Tables'!$AB$141:$AB$149,MATCH(O196,('Spell Tables'!$Z$141:$Z$149),0)),IF($R$250&gt;=O196,INDEX('Spell Tables'!T222:T234,MATCH(O196,('Spell Tables'!$R$119:$R$131),0)),IF($R$252&gt;=O196,INDEX('Spell Tables'!$T$97:T207,MATCH(O196,('Spell Tables'!$R$97:$R$104),0)),IF($R$254&gt;=O196,INDEX('Spell Tables'!$AB$70:$AB$75,MATCH(O196,('Spell Tables'!$Z$70:$Z$75),0)),IF($R$256&gt;=O196,INDEX('Spell Tables'!$X$48:$X$65,MATCH(O196,('Spell Tables'!$V$48:$V$65),0)),IF($R$258&gt;=O196,INDEX('Spell Tables'!$X$26:$X$42,MATCH(O196,('Spell Tables'!$V$26:$V$42),0)),IF($R$260&gt;=O196,INDEX('Spell Tables'!$X$2:$X$23,MATCH(O196,('Spell Tables'!$V$2:$V$23),0))," "))))))))))))</f>
        <v xml:space="preserve"> </v>
      </c>
      <c r="S265" s="33" t="str">
        <f ca="1">IF(AND($Q$15="Otherworldly patron - great old one",S$244&gt;=O196),INDEX('Spell Tables'!$AB$226:$AB$238,MATCH(O196,('Spell Tables'!$Z$226:$Z$238),0)),IF(AND($Q$15="Otherworldly patron - fiend",S$244&gt;=O196),INDEX('Spell Tables'!$AB$210:$AB$222,MATCH(O196,('Spell Tables'!$Z$210:$Z$222),0)),IF(AND($Q$15="Otherworldly patron - archfey",S$244&gt;=O196),INDEX('Spell Tables'!$AB$194:$AB$206,MATCH(O196,('Spell Tables'!$Z$194:$Z$206),0)),IF($S$242&gt;=O196,INDEX($AL$68:$AL$77,MATCH(O196,($AJ$68:$AJ$77),0)),IF($S$246&gt;=O196,INDEX('Spell Tables'!$AB$168:$AB$187,MATCH(O196,('Spell Tables'!$Z$168:$Z$187),0)),IF($S$248&gt;=O196,INDEX('Spell Tables'!$AJ$141:$AJ$144,MATCH(O196,('Spell Tables'!$AH$141:$AH$144),0)),IF($S$250&gt;=O196,INDEX('Spell Tables'!$X$119:$X$129,MATCH(O196,('Spell Tables'!$V$119:$V$129),0)),IF($S$252&gt;=O196,INDEX('Spell Tables'!$X$97:$X$106,MATCH(O196,('Spell Tables'!$V$97:$V$106),0)),IF($S$254&gt;=O196,INDEX('Spell Tables'!$AJ$70:$AJ$79,MATCH(O196,('Spell Tables'!$AH$70:$AH$79),0)),IF($S$256&gt;=O196,INDEX('Spell Tables'!$AB$48:$AB$60,MATCH(O196,('Spell Tables'!$Z$48:$Z$60),0)),IF($S$258&gt;=O196,INDEX('Spell Tables'!$AB$26:$AB$45,MATCH(O196,('Spell Tables'!$Z$26:$Z$45),0)),IF($S$260&gt;=O196,INDEX('Spell Tables'!$AB$2:$AB$17,MATCH(O196,('Spell Tables'!$Z$2:$Z$17),0))," "))))))))))))</f>
        <v xml:space="preserve"> </v>
      </c>
      <c r="T265" s="33" t="str">
        <f ca="1">IF(AND($Q$15="Otherworldly patron - great old one",T$244&gt;=O196),INDEX('Spell Tables'!$AF$226:$AF$231,MATCH(O196,('Spell Tables'!$AD$226:$AD$231),0)),IF(AND($Q$15="Otherworldly patron - fiend",T$244&gt;=O196),INDEX('Spell Tables'!$AF$210:$AF$215,MATCH(O196,('Spell Tables'!$AD$210:$AD$215),0)),IF(AND($Q$15="Otherworldly patron - archfey",T$244&gt;=O196),INDEX('Spell Tables'!$AF$194:$AF$199,MATCH(O196,('Spell Tables'!$AD$194:$AD$199),0)),IF($T$242&gt;=O196,INDEX($AL$80:$AL$89,MATCH(O196,($AJ$80:$AJ$89),0)),IF($T$246&gt;=O196,INDEX('Spell Tables'!$AF$168:$AF$177,MATCH(O196,('Spell Tables'!$AD$168:$AD$177),0)),IF($T$248&gt;=O196,INDEX('Spell Tables'!$AR$141:$AR$144,MATCH(O196,('Spell Tables'!$AP$141:$AP$144),0)),IF($T$250&gt;=O196,INDEX('Spell Tables'!$AB$119:$AB$123,MATCH(O196,('Spell Tables'!$Z$119:$Z$123),0)),IF($T$252&gt;=O196,INDEX('Spell Tables'!$AB$97:$AB$102,MATCH(O196,('Spell Tables'!$Z$97:$Z$102),0)),IF($T$254&gt;=O196,INDEX('Spell Tables'!$AR$70:$AR$75,MATCH(O196,('Spell Tables'!$AP$70:$AP$75),0)),IF($T$256&gt;=O196,INDEX('Spell Tables'!$AF$48:$AF$63,MATCH(O196,('Spell Tables'!$AD$48:$AD$63),0)),IF($T$258&gt;=O196,INDEX('Spell Tables'!$AF$26:$AF$33,MATCH(O196,('Spell Tables'!$AD$26:$AD$33),0)),IF($T$260&gt;=O196,INDEX('Spell Tables'!$AF$2:$AF$9,MATCH(O196,('Spell Tables'!$AD$2:$AD$9),0))," "))))))))))))</f>
        <v xml:space="preserve"> </v>
      </c>
    </row>
    <row r="266" spans="2:20" x14ac:dyDescent="0.3">
      <c r="C266" s="33"/>
      <c r="D266" s="33"/>
      <c r="E266" s="33"/>
      <c r="F266" s="33"/>
      <c r="G266" s="33"/>
      <c r="H266" s="33"/>
      <c r="I266" s="33"/>
      <c r="J266" s="33"/>
      <c r="K266" s="33"/>
      <c r="L266" s="33"/>
      <c r="M266" s="33"/>
      <c r="O266" s="34">
        <v>5</v>
      </c>
      <c r="P266" s="33" t="str">
        <f ca="1">IF(P$242&gt;=O197,INDEX('Spell Tables'!$P$242:$P$257,MATCH(O197,('Spell Tables'!$N$242:$N$257),0)),IF(P$244&gt;=O197,INDEX('Spell Tables'!$P$194:$P$201,MATCH(O197,('Spell Tables'!$N$194:$N$201),0)),IF(P$246&gt;=O197,INDEX('Spell Tables'!$P$168:$P$183,MATCH(O197,('Spell Tables'!$N$168:$N$183),0)),IF(P$248&gt;=O197,INDEX('Spell Tables'!$P$141:$P$156,MATCH(O197,('Spell Tables'!$N$141:$N$157),0)),IF(P$254&gt;=O197,INDEX('Spell Tables'!$P$70:$P$83,MATCH(O197,('Spell Tables'!$N$70:$N$83),0)),IF(P$256&gt;=O197,INDEX('Spell Tables'!$P$48:$P$55,MATCH(O197,('Spell Tables'!$N$48:$N$55),0)),IF(P$258&gt;=O197,INDEX('Spell Tables'!$P$26:$P$32,MATCH(O197,('Spell Tables'!$N$26:$N$32),0)),IF(P$260&gt;=O197,INDEX('Spell Tables'!$P$2:$P$12,MATCH(O197,('Spell Tables'!$N$2:$N$12),0))," "))))))))</f>
        <v xml:space="preserve"> </v>
      </c>
      <c r="Q266" s="33" t="str">
        <f ca="1">IF(AND($Q$15="Otherworldly patron - great old one",Q$244&gt;=O197),INDEX('Spell Tables'!$T$226:$T$238,MATCH(O197,('Spell Tables'!$R$226:$R$238),0)),IF(AND($Q$15="Otherworldly patron - fiend",Q$244&gt;=O197),INDEX('Spell Tables'!$T$210:$T$222,MATCH(O197,('Spell Tables'!$R$210:$R$222),0)),IF(Q$242&gt;=O197,INDEX($AL$44:$AL$53,MATCH(O197,($AJ$44:$AJ$53),0)),IF(AND($Q$15="Otherworldly patron - archfey",Q$244&gt;=O197),INDEX('Spell Tables'!T$206:$T298,MATCH(O197,('Spell Tables'!$R$194:$R$206),0)),IF(Q$246&gt;=O197,INDEX('Spell Tables'!T272:T291,MATCH(O197,('Spell Tables'!$R$168:$R$187),0)),IF(Q$248&gt;=O197,INDEX('Spell Tables'!T245:T251,MATCH(O197,('Spell Tables'!$R$141:$R$147),0)),IF(Q$250&gt;=O197,INDEX('Spell Tables'!$P$119:$P$131,MATCH(O197,('Spell Tables'!$N$119:$N$131),0)),IF(Q$252&gt;=O197,INDEX('Spell Tables'!$P$97:$P$111,MATCH(O197,('Spell Tables'!$N$97:$N$111),0)),IF(Q$254&gt;=O197,INDEX('Spell Tables'!$T$70:$T$78,MATCH(O197,('Spell Tables'!$R$70:$R$78),0)),IF(Q$256&gt;=O197,INDEX('Spell Tables'!$T$48:$T$63,MATCH(O197,('Spell Tables'!$R$48:$R$63),0)),IF(Q$258&gt;=O197,INDEX('Spell Tables'!$T$26:$T$40,MATCH(O197,('Spell Tables'!$R$26:$R$40),0)),IF(Q$260&gt;=O197,INDEX('Spell Tables'!$T$2:$T$22,MATCH(O197,('Spell Tables'!$R$2:$R$22),0))," "))))))))))))</f>
        <v xml:space="preserve"> </v>
      </c>
      <c r="R266" s="33" t="str">
        <f ca="1">IF(AND($Q$15="Otherworldly patron - great old one",R$244&gt;=O197),INDEX('Spell Tables'!$X$226:$X$239,MATCH(O197,('Spell Tables'!$V$226:$V$239),0)),IF(AND($Q$15="Otherworldly patron - fiend",R$244&gt;=O197),INDEX('Spell Tables'!$X$210:$X$223,MATCH(O197,('Spell Tables'!$V$210:$V$223),0)),IF(AND($Q$15="Otherworldly patron - archfey",R$244&gt;=O197),INDEX('Spell Tables'!$X$194:$X$207,MATCH(O197,('Spell Tables'!$V$194:$V$207),0)),IF($R$242&gt;=O197,INDEX($AL$56:$AL$65,MATCH(O197,($AJ$56:$AJ$65),0)),IF($R$246&gt;=O197,INDEX('Spell Tables'!$X$168:$X$191,MATCH(O197,('Spell Tables'!$V$168:$V$191),0)),IF($R$248&gt;=O197,INDEX('Spell Tables'!$AB$141:$AB$149,MATCH(O197,('Spell Tables'!$Z$141:$Z$149),0)),IF($R$250&gt;=O197,INDEX('Spell Tables'!T223:T235,MATCH(O197,('Spell Tables'!$R$119:$R$131),0)),IF($R$252&gt;=O197,INDEX('Spell Tables'!$T$97:T208,MATCH(O197,('Spell Tables'!$R$97:$R$104),0)),IF($R$254&gt;=O197,INDEX('Spell Tables'!$AB$70:$AB$75,MATCH(O197,('Spell Tables'!$Z$70:$Z$75),0)),IF($R$256&gt;=O197,INDEX('Spell Tables'!$X$48:$X$65,MATCH(O197,('Spell Tables'!$V$48:$V$65),0)),IF($R$258&gt;=O197,INDEX('Spell Tables'!$X$26:$X$42,MATCH(O197,('Spell Tables'!$V$26:$V$42),0)),IF($R$260&gt;=O197,INDEX('Spell Tables'!$X$2:$X$23,MATCH(O197,('Spell Tables'!$V$2:$V$23),0))," "))))))))))))</f>
        <v xml:space="preserve"> </v>
      </c>
      <c r="S266" s="33" t="str">
        <f ca="1">IF(AND($Q$15="Otherworldly patron - great old one",S$244&gt;=O197),INDEX('Spell Tables'!$AB$226:$AB$238,MATCH(O197,('Spell Tables'!$Z$226:$Z$238),0)),IF(AND($Q$15="Otherworldly patron - fiend",S$244&gt;=O197),INDEX('Spell Tables'!$AB$210:$AB$222,MATCH(O197,('Spell Tables'!$Z$210:$Z$222),0)),IF(AND($Q$15="Otherworldly patron - archfey",S$244&gt;=O197),INDEX('Spell Tables'!$AB$194:$AB$206,MATCH(O197,('Spell Tables'!$Z$194:$Z$206),0)),IF($S$242&gt;=O197,INDEX($AL$68:$AL$77,MATCH(O197,($AJ$68:$AJ$77),0)),IF($S$246&gt;=O197,INDEX('Spell Tables'!$AB$168:$AB$187,MATCH(O197,('Spell Tables'!$Z$168:$Z$187),0)),IF($S$248&gt;=O197,INDEX('Spell Tables'!$AJ$141:$AJ$144,MATCH(O197,('Spell Tables'!$AH$141:$AH$144),0)),IF($S$250&gt;=O197,INDEX('Spell Tables'!$X$119:$X$129,MATCH(O197,('Spell Tables'!$V$119:$V$129),0)),IF($S$252&gt;=O197,INDEX('Spell Tables'!$X$97:$X$106,MATCH(O197,('Spell Tables'!$V$97:$V$106),0)),IF($S$254&gt;=O197,INDEX('Spell Tables'!$AJ$70:$AJ$79,MATCH(O197,('Spell Tables'!$AH$70:$AH$79),0)),IF($S$256&gt;=O197,INDEX('Spell Tables'!$AB$48:$AB$60,MATCH(O197,('Spell Tables'!$Z$48:$Z$60),0)),IF($S$258&gt;=O197,INDEX('Spell Tables'!$AB$26:$AB$45,MATCH(O197,('Spell Tables'!$Z$26:$Z$45),0)),IF($S$260&gt;=O197,INDEX('Spell Tables'!$AB$2:$AB$17,MATCH(O197,('Spell Tables'!$Z$2:$Z$17),0))," "))))))))))))</f>
        <v xml:space="preserve"> </v>
      </c>
      <c r="T266" s="33" t="str">
        <f ca="1">IF(AND($Q$15="Otherworldly patron - great old one",T$244&gt;=O197),INDEX('Spell Tables'!$AF$226:$AF$231,MATCH(O197,('Spell Tables'!$AD$226:$AD$231),0)),IF(AND($Q$15="Otherworldly patron - fiend",T$244&gt;=O197),INDEX('Spell Tables'!$AF$210:$AF$215,MATCH(O197,('Spell Tables'!$AD$210:$AD$215),0)),IF(AND($Q$15="Otherworldly patron - archfey",T$244&gt;=O197),INDEX('Spell Tables'!$AF$194:$AF$199,MATCH(O197,('Spell Tables'!$AD$194:$AD$199),0)),IF($T$242&gt;=O197,INDEX($AL$80:$AL$89,MATCH(O197,($AJ$80:$AJ$89),0)),IF($T$246&gt;=O197,INDEX('Spell Tables'!$AF$168:$AF$177,MATCH(O197,('Spell Tables'!$AD$168:$AD$177),0)),IF($T$248&gt;=O197,INDEX('Spell Tables'!$AR$141:$AR$144,MATCH(O197,('Spell Tables'!$AP$141:$AP$144),0)),IF($T$250&gt;=O197,INDEX('Spell Tables'!$AB$119:$AB$123,MATCH(O197,('Spell Tables'!$Z$119:$Z$123),0)),IF($T$252&gt;=O197,INDEX('Spell Tables'!$AB$97:$AB$102,MATCH(O197,('Spell Tables'!$Z$97:$Z$102),0)),IF($T$254&gt;=O197,INDEX('Spell Tables'!$AR$70:$AR$75,MATCH(O197,('Spell Tables'!$AP$70:$AP$75),0)),IF($T$256&gt;=O197,INDEX('Spell Tables'!$AF$48:$AF$63,MATCH(O197,('Spell Tables'!$AD$48:$AD$63),0)),IF($T$258&gt;=O197,INDEX('Spell Tables'!$AF$26:$AF$33,MATCH(O197,('Spell Tables'!$AD$26:$AD$33),0)),IF($T$260&gt;=O197,INDEX('Spell Tables'!$AF$2:$AF$9,MATCH(O197,('Spell Tables'!$AD$2:$AD$9),0))," "))))))))))))</f>
        <v xml:space="preserve"> </v>
      </c>
    </row>
    <row r="267" spans="2:20" x14ac:dyDescent="0.3">
      <c r="B267" s="33"/>
      <c r="C267" s="33"/>
      <c r="D267" s="33"/>
      <c r="E267" s="33"/>
      <c r="F267" s="33"/>
      <c r="G267" s="33"/>
      <c r="H267" s="33"/>
      <c r="I267" s="33"/>
      <c r="J267" s="33"/>
      <c r="K267" s="33"/>
      <c r="L267" s="33"/>
      <c r="M267" s="33"/>
      <c r="O267" s="34">
        <v>6</v>
      </c>
      <c r="P267" s="33" t="str">
        <f ca="1">IF(P$242&gt;=O198,INDEX('Spell Tables'!$P$242:$P$257,MATCH(O198,('Spell Tables'!$N$242:$N$257),0)),IF(P$244&gt;=O198,INDEX('Spell Tables'!$P$194:$P$201,MATCH(O198,('Spell Tables'!$N$194:$N$201),0)),IF(P$246&gt;=O198,INDEX('Spell Tables'!$P$168:$P$183,MATCH(O198,('Spell Tables'!$N$168:$N$183),0)),IF(P$248&gt;=O198,INDEX('Spell Tables'!$P$141:$P$156,MATCH(O198,('Spell Tables'!$N$141:$N$157),0)),IF(P$254&gt;=O198,INDEX('Spell Tables'!$P$70:$P$83,MATCH(O198,('Spell Tables'!$N$70:$N$83),0)),IF(P$256&gt;=O198,INDEX('Spell Tables'!$P$48:$P$55,MATCH(O198,('Spell Tables'!$N$48:$N$55),0)),IF(P$258&gt;=O198,INDEX('Spell Tables'!$P$26:$P$32,MATCH(O198,('Spell Tables'!$N$26:$N$32),0)),IF(P$260&gt;=O198,INDEX('Spell Tables'!$P$2:$P$12,MATCH(O198,('Spell Tables'!$N$2:$N$12),0))," "))))))))</f>
        <v xml:space="preserve"> </v>
      </c>
      <c r="Q267" s="33" t="str">
        <f ca="1">IF(AND($Q$15="Otherworldly patron - great old one",Q$244&gt;=O198),INDEX('Spell Tables'!$T$226:$T$238,MATCH(O198,('Spell Tables'!$R$226:$R$238),0)),IF(AND($Q$15="Otherworldly patron - fiend",Q$244&gt;=O198),INDEX('Spell Tables'!$T$210:$T$222,MATCH(O198,('Spell Tables'!$R$210:$R$222),0)),IF(Q$242&gt;=O198,INDEX($AL$44:$AL$53,MATCH(O198,($AJ$44:$AJ$53),0)),IF(AND($Q$15="Otherworldly patron - archfey",Q$244&gt;=O198),INDEX('Spell Tables'!T$206:$T299,MATCH(O198,('Spell Tables'!$R$194:$R$206),0)),IF(Q$246&gt;=O198,INDEX('Spell Tables'!T273:T292,MATCH(O198,('Spell Tables'!$R$168:$R$187),0)),IF(Q$248&gt;=O198,INDEX('Spell Tables'!T246:T252,MATCH(O198,('Spell Tables'!$R$141:$R$147),0)),IF(Q$250&gt;=O198,INDEX('Spell Tables'!$P$119:$P$131,MATCH(O198,('Spell Tables'!$N$119:$N$131),0)),IF(Q$252&gt;=O198,INDEX('Spell Tables'!$P$97:$P$111,MATCH(O198,('Spell Tables'!$N$97:$N$111),0)),IF(Q$254&gt;=O198,INDEX('Spell Tables'!$T$70:$T$78,MATCH(O198,('Spell Tables'!$R$70:$R$78),0)),IF(Q$256&gt;=O198,INDEX('Spell Tables'!$T$48:$T$63,MATCH(O198,('Spell Tables'!$R$48:$R$63),0)),IF(Q$258&gt;=O198,INDEX('Spell Tables'!$T$26:$T$40,MATCH(O198,('Spell Tables'!$R$26:$R$40),0)),IF(Q$260&gt;=O198,INDEX('Spell Tables'!$T$2:$T$22,MATCH(O198,('Spell Tables'!$R$2:$R$22),0))," "))))))))))))</f>
        <v xml:space="preserve"> </v>
      </c>
      <c r="R267" s="33" t="str">
        <f ca="1">IF(AND($Q$15="Otherworldly patron - great old one",R$244&gt;=O198),INDEX('Spell Tables'!$X$226:$X$239,MATCH(O198,('Spell Tables'!$V$226:$V$239),0)),IF(AND($Q$15="Otherworldly patron - fiend",R$244&gt;=O198),INDEX('Spell Tables'!$X$210:$X$223,MATCH(O198,('Spell Tables'!$V$210:$V$223),0)),IF(AND($Q$15="Otherworldly patron - archfey",R$244&gt;=O198),INDEX('Spell Tables'!$X$194:$X$207,MATCH(O198,('Spell Tables'!$V$194:$V$207),0)),IF($R$242&gt;=O198,INDEX($AL$56:$AL$65,MATCH(O198,($AJ$56:$AJ$65),0)),IF($R$246&gt;=O198,INDEX('Spell Tables'!$X$168:$X$191,MATCH(O198,('Spell Tables'!$V$168:$V$191),0)),IF($R$248&gt;=O198,INDEX('Spell Tables'!$AB$141:$AB$149,MATCH(O198,('Spell Tables'!$Z$141:$Z$149),0)),IF($R$250&gt;=O198,INDEX('Spell Tables'!T224:T236,MATCH(O198,('Spell Tables'!$R$119:$R$131),0)),IF($R$252&gt;=O198,INDEX('Spell Tables'!$T$97:T209,MATCH(O198,('Spell Tables'!$R$97:$R$104),0)),IF($R$254&gt;=O198,INDEX('Spell Tables'!$AB$70:$AB$75,MATCH(O198,('Spell Tables'!$Z$70:$Z$75),0)),IF($R$256&gt;=O198,INDEX('Spell Tables'!$X$48:$X$65,MATCH(O198,('Spell Tables'!$V$48:$V$65),0)),IF($R$258&gt;=O198,INDEX('Spell Tables'!$X$26:$X$42,MATCH(O198,('Spell Tables'!$V$26:$V$42),0)),IF($R$260&gt;=O198,INDEX('Spell Tables'!$X$2:$X$23,MATCH(O198,('Spell Tables'!$V$2:$V$23),0))," "))))))))))))</f>
        <v xml:space="preserve"> </v>
      </c>
      <c r="S267" s="33" t="str">
        <f ca="1">IF(AND($Q$15="Otherworldly patron - great old one",S$244&gt;=O198),INDEX('Spell Tables'!$AB$226:$AB$238,MATCH(O198,('Spell Tables'!$Z$226:$Z$238),0)),IF(AND($Q$15="Otherworldly patron - fiend",S$244&gt;=O198),INDEX('Spell Tables'!$AB$210:$AB$222,MATCH(O198,('Spell Tables'!$Z$210:$Z$222),0)),IF(AND($Q$15="Otherworldly patron - archfey",S$244&gt;=O198),INDEX('Spell Tables'!$AB$194:$AB$206,MATCH(O198,('Spell Tables'!$Z$194:$Z$206),0)),IF($S$242&gt;=O198,INDEX($AL$68:$AL$77,MATCH(O198,($AJ$68:$AJ$77),0)),IF($S$246&gt;=O198,INDEX('Spell Tables'!$AB$168:$AB$187,MATCH(O198,('Spell Tables'!$Z$168:$Z$187),0)),IF($S$248&gt;=O198,INDEX('Spell Tables'!$AJ$141:$AJ$144,MATCH(O198,('Spell Tables'!$AH$141:$AH$144),0)),IF($S$250&gt;=O198,INDEX('Spell Tables'!$X$119:$X$129,MATCH(O198,('Spell Tables'!$V$119:$V$129),0)),IF($S$252&gt;=O198,INDEX('Spell Tables'!$X$97:$X$106,MATCH(O198,('Spell Tables'!$V$97:$V$106),0)),IF($S$254&gt;=O198,INDEX('Spell Tables'!$AJ$70:$AJ$79,MATCH(O198,('Spell Tables'!$AH$70:$AH$79),0)),IF($S$256&gt;=O198,INDEX('Spell Tables'!$AB$48:$AB$60,MATCH(O198,('Spell Tables'!$Z$48:$Z$60),0)),IF($S$258&gt;=O198,INDEX('Spell Tables'!$AB$26:$AB$45,MATCH(O198,('Spell Tables'!$Z$26:$Z$45),0)),IF($S$260&gt;=O198,INDEX('Spell Tables'!$AB$2:$AB$17,MATCH(O198,('Spell Tables'!$Z$2:$Z$17),0))," "))))))))))))</f>
        <v xml:space="preserve"> </v>
      </c>
      <c r="T267" s="33" t="str">
        <f ca="1">IF(AND($Q$15="Otherworldly patron - great old one",T$244&gt;=O198),INDEX('Spell Tables'!$AF$226:$AF$231,MATCH(O198,('Spell Tables'!$AD$226:$AD$231),0)),IF(AND($Q$15="Otherworldly patron - fiend",T$244&gt;=O198),INDEX('Spell Tables'!$AF$210:$AF$215,MATCH(O198,('Spell Tables'!$AD$210:$AD$215),0)),IF(AND($Q$15="Otherworldly patron - archfey",T$244&gt;=O198),INDEX('Spell Tables'!$AF$194:$AF$199,MATCH(O198,('Spell Tables'!$AD$194:$AD$199),0)),IF($T$242&gt;=O198,INDEX($AL$80:$AL$89,MATCH(O198,($AJ$80:$AJ$89),0)),IF($T$246&gt;=O198,INDEX('Spell Tables'!$AF$168:$AF$177,MATCH(O198,('Spell Tables'!$AD$168:$AD$177),0)),IF($T$248&gt;=O198,INDEX('Spell Tables'!$AR$141:$AR$144,MATCH(O198,('Spell Tables'!$AP$141:$AP$144),0)),IF($T$250&gt;=O198,INDEX('Spell Tables'!$AB$119:$AB$123,MATCH(O198,('Spell Tables'!$Z$119:$Z$123),0)),IF($T$252&gt;=O198,INDEX('Spell Tables'!$AB$97:$AB$102,MATCH(O198,('Spell Tables'!$Z$97:$Z$102),0)),IF($T$254&gt;=O198,INDEX('Spell Tables'!$AR$70:$AR$75,MATCH(O198,('Spell Tables'!$AP$70:$AP$75),0)),IF($T$256&gt;=O198,INDEX('Spell Tables'!$AF$48:$AF$63,MATCH(O198,('Spell Tables'!$AD$48:$AD$63),0)),IF($T$258&gt;=O198,INDEX('Spell Tables'!$AF$26:$AF$33,MATCH(O198,('Spell Tables'!$AD$26:$AD$33),0)),IF($T$260&gt;=O198,INDEX('Spell Tables'!$AF$2:$AF$9,MATCH(O198,('Spell Tables'!$AD$2:$AD$9),0))," "))))))))))))</f>
        <v xml:space="preserve"> </v>
      </c>
    </row>
    <row r="268" spans="2:20" x14ac:dyDescent="0.3">
      <c r="B268" s="33"/>
      <c r="C268" s="33"/>
      <c r="D268" s="33"/>
      <c r="E268" s="33"/>
      <c r="F268" s="33"/>
      <c r="G268" s="33"/>
      <c r="H268" s="33"/>
      <c r="I268" s="33"/>
      <c r="J268" s="33"/>
      <c r="K268" s="33"/>
      <c r="L268" s="33"/>
      <c r="M268" s="33"/>
      <c r="O268" s="34">
        <v>7</v>
      </c>
      <c r="P268" s="33" t="str">
        <f ca="1">IF(P$242&gt;=O199,INDEX('Spell Tables'!$P$242:$P$257,MATCH(O199,('Spell Tables'!$N$242:$N$257),0)),IF(P$244&gt;=O199,INDEX('Spell Tables'!$P$194:$P$201,MATCH(O199,('Spell Tables'!$N$194:$N$201),0)),IF(P$246&gt;=O199,INDEX('Spell Tables'!$P$168:$P$183,MATCH(O199,('Spell Tables'!$N$168:$N$183),0)),IF(P$248&gt;=O199,INDEX('Spell Tables'!$P$141:$P$156,MATCH(O199,('Spell Tables'!$N$141:$N$157),0)),IF(P$254&gt;=O199,INDEX('Spell Tables'!$P$70:$P$83,MATCH(O199,('Spell Tables'!$N$70:$N$83),0)),IF(P$256&gt;=O199,INDEX('Spell Tables'!$P$48:$P$55,MATCH(O199,('Spell Tables'!$N$48:$N$55),0)),IF(P$258&gt;=O199,INDEX('Spell Tables'!$P$26:$P$32,MATCH(O199,('Spell Tables'!$N$26:$N$32),0)),IF(P$260&gt;=O199,INDEX('Spell Tables'!$P$2:$P$12,MATCH(O199,('Spell Tables'!$N$2:$N$12),0))," "))))))))</f>
        <v xml:space="preserve"> </v>
      </c>
      <c r="Q268" s="33" t="str">
        <f ca="1">IF(AND($Q$15="Otherworldly patron - great old one",Q$244&gt;=O199),INDEX('Spell Tables'!$T$226:$T$238,MATCH(O199,('Spell Tables'!$R$226:$R$238),0)),IF(AND($Q$15="Otherworldly patron - fiend",Q$244&gt;=O199),INDEX('Spell Tables'!$T$210:$T$222,MATCH(O199,('Spell Tables'!$R$210:$R$222),0)),IF(Q$242&gt;=O199,INDEX($AL$44:$AL$53,MATCH(O199,($AJ$44:$AJ$53),0)),IF(AND($Q$15="Otherworldly patron - archfey",Q$244&gt;=O199),INDEX('Spell Tables'!T$206:$T300,MATCH(O199,('Spell Tables'!$R$194:$R$206),0)),IF(Q$246&gt;=O199,INDEX('Spell Tables'!T274:T293,MATCH(O199,('Spell Tables'!$R$168:$R$187),0)),IF(Q$248&gt;=O199,INDEX('Spell Tables'!T247:T253,MATCH(O199,('Spell Tables'!$R$141:$R$147),0)),IF(Q$250&gt;=O199,INDEX('Spell Tables'!$P$119:$P$131,MATCH(O199,('Spell Tables'!$N$119:$N$131),0)),IF(Q$252&gt;=O199,INDEX('Spell Tables'!$P$97:$P$111,MATCH(O199,('Spell Tables'!$N$97:$N$111),0)),IF(Q$254&gt;=O199,INDEX('Spell Tables'!$T$70:$T$78,MATCH(O199,('Spell Tables'!$R$70:$R$78),0)),IF(Q$256&gt;=O199,INDEX('Spell Tables'!$T$48:$T$63,MATCH(O199,('Spell Tables'!$R$48:$R$63),0)),IF(Q$258&gt;=O199,INDEX('Spell Tables'!$T$26:$T$40,MATCH(O199,('Spell Tables'!$R$26:$R$40),0)),IF(Q$260&gt;=O199,INDEX('Spell Tables'!$T$2:$T$22,MATCH(O199,('Spell Tables'!$R$2:$R$22),0))," "))))))))))))</f>
        <v xml:space="preserve"> </v>
      </c>
      <c r="R268" s="33" t="str">
        <f ca="1">IF(AND($Q$15="Otherworldly patron - great old one",R$244&gt;=O199),INDEX('Spell Tables'!$X$226:$X$239,MATCH(O199,('Spell Tables'!$V$226:$V$239),0)),IF(AND($Q$15="Otherworldly patron - fiend",R$244&gt;=O199),INDEX('Spell Tables'!$X$210:$X$223,MATCH(O199,('Spell Tables'!$V$210:$V$223),0)),IF(AND($Q$15="Otherworldly patron - archfey",R$244&gt;=O199),INDEX('Spell Tables'!$X$194:$X$207,MATCH(O199,('Spell Tables'!$V$194:$V$207),0)),IF($R$242&gt;=O199,INDEX($AL$56:$AL$65,MATCH(O199,($AJ$56:$AJ$65),0)),IF($R$246&gt;=O199,INDEX('Spell Tables'!$X$168:$X$191,MATCH(O199,('Spell Tables'!$V$168:$V$191),0)),IF($R$248&gt;=O199,INDEX('Spell Tables'!$AB$141:$AB$149,MATCH(O199,('Spell Tables'!$Z$141:$Z$149),0)),IF($R$250&gt;=O199,INDEX('Spell Tables'!T225:T237,MATCH(O199,('Spell Tables'!$R$119:$R$131),0)),IF($R$252&gt;=O199,INDEX('Spell Tables'!$T$97:T210,MATCH(O199,('Spell Tables'!$R$97:$R$104),0)),IF($R$254&gt;=O199,INDEX('Spell Tables'!$AB$70:$AB$75,MATCH(O199,('Spell Tables'!$Z$70:$Z$75),0)),IF($R$256&gt;=O199,INDEX('Spell Tables'!$X$48:$X$65,MATCH(O199,('Spell Tables'!$V$48:$V$65),0)),IF($R$258&gt;=O199,INDEX('Spell Tables'!$X$26:$X$42,MATCH(O199,('Spell Tables'!$V$26:$V$42),0)),IF($R$260&gt;=O199,INDEX('Spell Tables'!$X$2:$X$23,MATCH(O199,('Spell Tables'!$V$2:$V$23),0))," "))))))))))))</f>
        <v xml:space="preserve"> </v>
      </c>
      <c r="S268" s="33" t="str">
        <f ca="1">IF(AND($Q$15="Otherworldly patron - great old one",S$244&gt;=O199),INDEX('Spell Tables'!$AB$226:$AB$238,MATCH(O199,('Spell Tables'!$Z$226:$Z$238),0)),IF(AND($Q$15="Otherworldly patron - fiend",S$244&gt;=O199),INDEX('Spell Tables'!$AB$210:$AB$222,MATCH(O199,('Spell Tables'!$Z$210:$Z$222),0)),IF(AND($Q$15="Otherworldly patron - archfey",S$244&gt;=O199),INDEX('Spell Tables'!$AB$194:$AB$206,MATCH(O199,('Spell Tables'!$Z$194:$Z$206),0)),IF($S$242&gt;=O199,INDEX($AL$68:$AL$77,MATCH(O199,($AJ$68:$AJ$77),0)),IF($S$246&gt;=O199,INDEX('Spell Tables'!$AB$168:$AB$187,MATCH(O199,('Spell Tables'!$Z$168:$Z$187),0)),IF($S$248&gt;=O199,INDEX('Spell Tables'!$AJ$141:$AJ$144,MATCH(O199,('Spell Tables'!$AH$141:$AH$144),0)),IF($S$250&gt;=O199,INDEX('Spell Tables'!$X$119:$X$129,MATCH(O199,('Spell Tables'!$V$119:$V$129),0)),IF($S$252&gt;=O199,INDEX('Spell Tables'!$X$97:$X$106,MATCH(O199,('Spell Tables'!$V$97:$V$106),0)),IF($S$254&gt;=O199,INDEX('Spell Tables'!$AJ$70:$AJ$79,MATCH(O199,('Spell Tables'!$AH$70:$AH$79),0)),IF($S$256&gt;=O199,INDEX('Spell Tables'!$AB$48:$AB$60,MATCH(O199,('Spell Tables'!$Z$48:$Z$60),0)),IF($S$258&gt;=O199,INDEX('Spell Tables'!$AB$26:$AB$45,MATCH(O199,('Spell Tables'!$Z$26:$Z$45),0)),IF($S$260&gt;=O199,INDEX('Spell Tables'!$AB$2:$AB$17,MATCH(O199,('Spell Tables'!$Z$2:$Z$17),0))," "))))))))))))</f>
        <v xml:space="preserve"> </v>
      </c>
      <c r="T268" s="33" t="str">
        <f ca="1">IF(AND($Q$15="Otherworldly patron - great old one",T$244&gt;=O199),INDEX('Spell Tables'!$AF$226:$AF$231,MATCH(O199,('Spell Tables'!$AD$226:$AD$231),0)),IF(AND($Q$15="Otherworldly patron - fiend",T$244&gt;=O199),INDEX('Spell Tables'!$AF$210:$AF$215,MATCH(O199,('Spell Tables'!$AD$210:$AD$215),0)),IF(AND($Q$15="Otherworldly patron - archfey",T$244&gt;=O199),INDEX('Spell Tables'!$AF$194:$AF$199,MATCH(O199,('Spell Tables'!$AD$194:$AD$199),0)),IF($T$242&gt;=O199,INDEX($AL$80:$AL$89,MATCH(O199,($AJ$80:$AJ$89),0)),IF($T$246&gt;=O199,INDEX('Spell Tables'!$AF$168:$AF$177,MATCH(O199,('Spell Tables'!$AD$168:$AD$177),0)),IF($T$248&gt;=O199,INDEX('Spell Tables'!$AR$141:$AR$144,MATCH(O199,('Spell Tables'!$AP$141:$AP$144),0)),IF($T$250&gt;=O199,INDEX('Spell Tables'!$AB$119:$AB$123,MATCH(O199,('Spell Tables'!$Z$119:$Z$123),0)),IF($T$252&gt;=O199,INDEX('Spell Tables'!$AB$97:$AB$102,MATCH(O199,('Spell Tables'!$Z$97:$Z$102),0)),IF($T$254&gt;=O199,INDEX('Spell Tables'!$AR$70:$AR$75,MATCH(O199,('Spell Tables'!$AP$70:$AP$75),0)),IF($T$256&gt;=O199,INDEX('Spell Tables'!$AF$48:$AF$63,MATCH(O199,('Spell Tables'!$AD$48:$AD$63),0)),IF($T$258&gt;=O199,INDEX('Spell Tables'!$AF$26:$AF$33,MATCH(O199,('Spell Tables'!$AD$26:$AD$33),0)),IF($T$260&gt;=O199,INDEX('Spell Tables'!$AF$2:$AF$9,MATCH(O199,('Spell Tables'!$AD$2:$AD$9),0))," "))))))))))))</f>
        <v xml:space="preserve"> </v>
      </c>
    </row>
    <row r="269" spans="2:20" x14ac:dyDescent="0.3">
      <c r="B269" s="33"/>
      <c r="C269" s="33"/>
      <c r="D269" s="33"/>
      <c r="E269" s="33"/>
      <c r="F269" s="33"/>
      <c r="G269" s="33"/>
      <c r="H269" s="33"/>
      <c r="I269" s="33"/>
      <c r="J269" s="33"/>
      <c r="K269" s="33"/>
      <c r="L269" s="33"/>
      <c r="M269" s="33"/>
      <c r="O269" s="34">
        <v>8</v>
      </c>
      <c r="P269" s="33" t="str">
        <f ca="1">IF(P$242&gt;=O200,INDEX('Spell Tables'!$P$242:$P$257,MATCH(O200,('Spell Tables'!$N$242:$N$257),0)),IF(P$244&gt;=O200,INDEX('Spell Tables'!$P$194:$P$201,MATCH(O200,('Spell Tables'!$N$194:$N$201),0)),IF(P$246&gt;=O200,INDEX('Spell Tables'!$P$168:$P$183,MATCH(O200,('Spell Tables'!$N$168:$N$183),0)),IF(P$248&gt;=O200,INDEX('Spell Tables'!$P$141:$P$156,MATCH(O200,('Spell Tables'!$N$141:$N$157),0)),IF(P$254&gt;=O200,INDEX('Spell Tables'!$P$70:$P$83,MATCH(O200,('Spell Tables'!$N$70:$N$83),0)),IF(P$256&gt;=O200,INDEX('Spell Tables'!$P$48:$P$55,MATCH(O200,('Spell Tables'!$N$48:$N$55),0)),IF(P$258&gt;=O200,INDEX('Spell Tables'!$P$26:$P$32,MATCH(O200,('Spell Tables'!$N$26:$N$32),0)),IF(P$260&gt;=O200,INDEX('Spell Tables'!$P$2:$P$12,MATCH(O200,('Spell Tables'!$N$2:$N$12),0))," "))))))))</f>
        <v xml:space="preserve"> </v>
      </c>
      <c r="Q269" s="33" t="str">
        <f ca="1">IF(AND($Q$15="Otherworldly patron - great old one",Q$244&gt;=O200),INDEX('Spell Tables'!$T$226:$T$238,MATCH(O200,('Spell Tables'!$R$226:$R$238),0)),IF(AND($Q$15="Otherworldly patron - fiend",Q$244&gt;=O200),INDEX('Spell Tables'!$T$210:$T$222,MATCH(O200,('Spell Tables'!$R$210:$R$222),0)),IF(Q$242&gt;=O200,INDEX($AL$44:$AL$53,MATCH(O200,($AJ$44:$AJ$53),0)),IF(AND($Q$15="Otherworldly patron - archfey",Q$244&gt;=O200),INDEX('Spell Tables'!T$206:$T301,MATCH(O200,('Spell Tables'!$R$194:$R$206),0)),IF(Q$246&gt;=O200,INDEX('Spell Tables'!T275:T294,MATCH(O200,('Spell Tables'!$R$168:$R$187),0)),IF(Q$248&gt;=O200,INDEX('Spell Tables'!T248:T254,MATCH(O200,('Spell Tables'!$R$141:$R$147),0)),IF(Q$250&gt;=O200,INDEX('Spell Tables'!$P$119:$P$131,MATCH(O200,('Spell Tables'!$N$119:$N$131),0)),IF(Q$252&gt;=O200,INDEX('Spell Tables'!$P$97:$P$111,MATCH(O200,('Spell Tables'!$N$97:$N$111),0)),IF(Q$254&gt;=O200,INDEX('Spell Tables'!$T$70:$T$78,MATCH(O200,('Spell Tables'!$R$70:$R$78),0)),IF(Q$256&gt;=O200,INDEX('Spell Tables'!$T$48:$T$63,MATCH(O200,('Spell Tables'!$R$48:$R$63),0)),IF(Q$258&gt;=O200,INDEX('Spell Tables'!$T$26:$T$40,MATCH(O200,('Spell Tables'!$R$26:$R$40),0)),IF(Q$260&gt;=O200,INDEX('Spell Tables'!$T$2:$T$22,MATCH(O200,('Spell Tables'!$R$2:$R$22),0))," "))))))))))))</f>
        <v xml:space="preserve"> </v>
      </c>
      <c r="R269" s="33" t="str">
        <f ca="1">IF(AND($Q$15="Otherworldly patron - great old one",R$244&gt;=O200),INDEX('Spell Tables'!$X$226:$X$239,MATCH(O200,('Spell Tables'!$V$226:$V$239),0)),IF(AND($Q$15="Otherworldly patron - fiend",R$244&gt;=O200),INDEX('Spell Tables'!$X$210:$X$223,MATCH(O200,('Spell Tables'!$V$210:$V$223),0)),IF(AND($Q$15="Otherworldly patron - archfey",R$244&gt;=O200),INDEX('Spell Tables'!$X$194:$X$207,MATCH(O200,('Spell Tables'!$V$194:$V$207),0)),IF($R$242&gt;=O200,INDEX($AL$56:$AL$65,MATCH(O200,($AJ$56:$AJ$65),0)),IF($R$246&gt;=O200,INDEX('Spell Tables'!$X$168:$X$191,MATCH(O200,('Spell Tables'!$V$168:$V$191),0)),IF($R$248&gt;=O200,INDEX('Spell Tables'!$AB$141:$AB$149,MATCH(O200,('Spell Tables'!$Z$141:$Z$149),0)),IF($R$250&gt;=O200,INDEX('Spell Tables'!T226:T238,MATCH(O200,('Spell Tables'!$R$119:$R$131),0)),IF($R$252&gt;=O200,INDEX('Spell Tables'!$T$97:T211,MATCH(O200,('Spell Tables'!$R$97:$R$104),0)),IF($R$254&gt;=O200,INDEX('Spell Tables'!$AB$70:$AB$75,MATCH(O200,('Spell Tables'!$Z$70:$Z$75),0)),IF($R$256&gt;=O200,INDEX('Spell Tables'!$X$48:$X$65,MATCH(O200,('Spell Tables'!$V$48:$V$65),0)),IF($R$258&gt;=O200,INDEX('Spell Tables'!$X$26:$X$42,MATCH(O200,('Spell Tables'!$V$26:$V$42),0)),IF($R$260&gt;=O200,INDEX('Spell Tables'!$X$2:$X$23,MATCH(O200,('Spell Tables'!$V$2:$V$23),0))," "))))))))))))</f>
        <v xml:space="preserve"> </v>
      </c>
      <c r="S269" s="33" t="str">
        <f ca="1">IF(AND($Q$15="Otherworldly patron - great old one",S$244&gt;=O200),INDEX('Spell Tables'!$AB$226:$AB$238,MATCH(O200,('Spell Tables'!$Z$226:$Z$238),0)),IF(AND($Q$15="Otherworldly patron - fiend",S$244&gt;=O200),INDEX('Spell Tables'!$AB$210:$AB$222,MATCH(O200,('Spell Tables'!$Z$210:$Z$222),0)),IF(AND($Q$15="Otherworldly patron - archfey",S$244&gt;=O200),INDEX('Spell Tables'!$AB$194:$AB$206,MATCH(O200,('Spell Tables'!$Z$194:$Z$206),0)),IF($S$242&gt;=O200,INDEX($AL$68:$AL$77,MATCH(O200,($AJ$68:$AJ$77),0)),IF($S$246&gt;=O200,INDEX('Spell Tables'!$AB$168:$AB$187,MATCH(O200,('Spell Tables'!$Z$168:$Z$187),0)),IF($S$248&gt;=O200,INDEX('Spell Tables'!$AJ$141:$AJ$144,MATCH(O200,('Spell Tables'!$AH$141:$AH$144),0)),IF($S$250&gt;=O200,INDEX('Spell Tables'!$X$119:$X$129,MATCH(O200,('Spell Tables'!$V$119:$V$129),0)),IF($S$252&gt;=O200,INDEX('Spell Tables'!$X$97:$X$106,MATCH(O200,('Spell Tables'!$V$97:$V$106),0)),IF($S$254&gt;=O200,INDEX('Spell Tables'!$AJ$70:$AJ$79,MATCH(O200,('Spell Tables'!$AH$70:$AH$79),0)),IF($S$256&gt;=O200,INDEX('Spell Tables'!$AB$48:$AB$60,MATCH(O200,('Spell Tables'!$Z$48:$Z$60),0)),IF($S$258&gt;=O200,INDEX('Spell Tables'!$AB$26:$AB$45,MATCH(O200,('Spell Tables'!$Z$26:$Z$45),0)),IF($S$260&gt;=O200,INDEX('Spell Tables'!$AB$2:$AB$17,MATCH(O200,('Spell Tables'!$Z$2:$Z$17),0))," "))))))))))))</f>
        <v xml:space="preserve"> </v>
      </c>
      <c r="T269" s="33" t="str">
        <f ca="1">IF(AND($Q$15="Otherworldly patron - great old one",T$244&gt;=O200),INDEX('Spell Tables'!$AF$226:$AF$231,MATCH(O200,('Spell Tables'!$AD$226:$AD$231),0)),IF(AND($Q$15="Otherworldly patron - fiend",T$244&gt;=O200),INDEX('Spell Tables'!$AF$210:$AF$215,MATCH(O200,('Spell Tables'!$AD$210:$AD$215),0)),IF(AND($Q$15="Otherworldly patron - archfey",T$244&gt;=O200),INDEX('Spell Tables'!$AF$194:$AF$199,MATCH(O200,('Spell Tables'!$AD$194:$AD$199),0)),IF($T$242&gt;=O200,INDEX($AL$80:$AL$89,MATCH(O200,($AJ$80:$AJ$89),0)),IF($T$246&gt;=O200,INDEX('Spell Tables'!$AF$168:$AF$177,MATCH(O200,('Spell Tables'!$AD$168:$AD$177),0)),IF($T$248&gt;=O200,INDEX('Spell Tables'!$AR$141:$AR$144,MATCH(O200,('Spell Tables'!$AP$141:$AP$144),0)),IF($T$250&gt;=O200,INDEX('Spell Tables'!$AB$119:$AB$123,MATCH(O200,('Spell Tables'!$Z$119:$Z$123),0)),IF($T$252&gt;=O200,INDEX('Spell Tables'!$AB$97:$AB$102,MATCH(O200,('Spell Tables'!$Z$97:$Z$102),0)),IF($T$254&gt;=O200,INDEX('Spell Tables'!$AR$70:$AR$75,MATCH(O200,('Spell Tables'!$AP$70:$AP$75),0)),IF($T$256&gt;=O200,INDEX('Spell Tables'!$AF$48:$AF$63,MATCH(O200,('Spell Tables'!$AD$48:$AD$63),0)),IF($T$258&gt;=O200,INDEX('Spell Tables'!$AF$26:$AF$33,MATCH(O200,('Spell Tables'!$AD$26:$AD$33),0)),IF($T$260&gt;=O200,INDEX('Spell Tables'!$AF$2:$AF$9,MATCH(O200,('Spell Tables'!$AD$2:$AD$9),0))," "))))))))))))</f>
        <v xml:space="preserve"> </v>
      </c>
    </row>
    <row r="270" spans="2:20" x14ac:dyDescent="0.3">
      <c r="B270" s="33"/>
      <c r="C270" s="33"/>
      <c r="D270" s="33"/>
      <c r="E270" s="33"/>
      <c r="F270" s="33"/>
      <c r="G270" s="33"/>
      <c r="H270" s="33"/>
      <c r="I270" s="33"/>
      <c r="J270" s="33"/>
      <c r="K270" s="33"/>
      <c r="L270" s="33"/>
      <c r="M270" s="33"/>
      <c r="O270" s="34">
        <v>9</v>
      </c>
      <c r="P270" s="33" t="str">
        <f ca="1">IF(P$242&gt;=O201,INDEX('Spell Tables'!$P$242:$P$257,MATCH(O201,('Spell Tables'!$N$242:$N$257),0)),IF(P$244&gt;=O201,INDEX('Spell Tables'!$P$194:$P$201,MATCH(O201,('Spell Tables'!$N$194:$N$201),0)),IF(P$246&gt;=O201,INDEX('Spell Tables'!$P$168:$P$183,MATCH(O201,('Spell Tables'!$N$168:$N$183),0)),IF(P$248&gt;=O201,INDEX('Spell Tables'!$P$141:$P$156,MATCH(O201,('Spell Tables'!$N$141:$N$157),0)),IF(P$254&gt;=O201,INDEX('Spell Tables'!$P$70:$P$83,MATCH(O201,('Spell Tables'!$N$70:$N$83),0)),IF(P$256&gt;=O201,INDEX('Spell Tables'!$P$48:$P$55,MATCH(O201,('Spell Tables'!$N$48:$N$55),0)),IF(P$258&gt;=O201,INDEX('Spell Tables'!$P$26:$P$32,MATCH(O201,('Spell Tables'!$N$26:$N$32),0)),IF(P$260&gt;=O201,INDEX('Spell Tables'!$P$2:$P$12,MATCH(O201,('Spell Tables'!$N$2:$N$12),0))," "))))))))</f>
        <v xml:space="preserve"> </v>
      </c>
      <c r="Q270" s="33" t="str">
        <f ca="1">IF(AND($Q$15="Otherworldly patron - great old one",Q$244&gt;=O201),INDEX('Spell Tables'!$T$226:$T$238,MATCH(O201,('Spell Tables'!$R$226:$R$238),0)),IF(AND($Q$15="Otherworldly patron - fiend",Q$244&gt;=O201),INDEX('Spell Tables'!$T$210:$T$222,MATCH(O201,('Spell Tables'!$R$210:$R$222),0)),IF(Q$242&gt;=O201,INDEX($AL$44:$AL$53,MATCH(O201,($AJ$44:$AJ$53),0)),IF(AND($Q$15="Otherworldly patron - archfey",Q$244&gt;=O201),INDEX('Spell Tables'!T$206:$T302,MATCH(O201,('Spell Tables'!$R$194:$R$206),0)),IF(Q$246&gt;=O201,INDEX('Spell Tables'!T276:T295,MATCH(O201,('Spell Tables'!$R$168:$R$187),0)),IF(Q$248&gt;=O201,INDEX('Spell Tables'!T249:T255,MATCH(O201,('Spell Tables'!$R$141:$R$147),0)),IF(Q$250&gt;=O201,INDEX('Spell Tables'!$P$119:$P$131,MATCH(O201,('Spell Tables'!$N$119:$N$131),0)),IF(Q$252&gt;=O201,INDEX('Spell Tables'!$P$97:$P$111,MATCH(O201,('Spell Tables'!$N$97:$N$111),0)),IF(Q$254&gt;=O201,INDEX('Spell Tables'!$T$70:$T$78,MATCH(O201,('Spell Tables'!$R$70:$R$78),0)),IF(Q$256&gt;=O201,INDEX('Spell Tables'!$T$48:$T$63,MATCH(O201,('Spell Tables'!$R$48:$R$63),0)),IF(Q$258&gt;=O201,INDEX('Spell Tables'!$T$26:$T$40,MATCH(O201,('Spell Tables'!$R$26:$R$40),0)),IF(Q$260&gt;=O201,INDEX('Spell Tables'!$T$2:$T$22,MATCH(O201,('Spell Tables'!$R$2:$R$22),0))," "))))))))))))</f>
        <v xml:space="preserve"> </v>
      </c>
      <c r="R270" s="33" t="str">
        <f ca="1">IF(AND($Q$15="Otherworldly patron - great old one",R$244&gt;=O201),INDEX('Spell Tables'!$X$226:$X$239,MATCH(O201,('Spell Tables'!$V$226:$V$239),0)),IF(AND($Q$15="Otherworldly patron - fiend",R$244&gt;=O201),INDEX('Spell Tables'!$X$210:$X$223,MATCH(O201,('Spell Tables'!$V$210:$V$223),0)),IF(AND($Q$15="Otherworldly patron - archfey",R$244&gt;=O201),INDEX('Spell Tables'!$X$194:$X$207,MATCH(O201,('Spell Tables'!$V$194:$V$207),0)),IF($R$242&gt;=O201,INDEX($AL$56:$AL$65,MATCH(O201,($AJ$56:$AJ$65),0)),IF($R$246&gt;=O201,INDEX('Spell Tables'!$X$168:$X$191,MATCH(O201,('Spell Tables'!$V$168:$V$191),0)),IF($R$248&gt;=O201,INDEX('Spell Tables'!$AB$141:$AB$149,MATCH(O201,('Spell Tables'!$Z$141:$Z$149),0)),IF($R$250&gt;=O201,INDEX('Spell Tables'!T227:T239,MATCH(O201,('Spell Tables'!$R$119:$R$131),0)),IF($R$252&gt;=O201,INDEX('Spell Tables'!$T$97:T212,MATCH(O201,('Spell Tables'!$R$97:$R$104),0)),IF($R$254&gt;=O201,INDEX('Spell Tables'!$AB$70:$AB$75,MATCH(O201,('Spell Tables'!$Z$70:$Z$75),0)),IF($R$256&gt;=O201,INDEX('Spell Tables'!$X$48:$X$65,MATCH(O201,('Spell Tables'!$V$48:$V$65),0)),IF($R$258&gt;=O201,INDEX('Spell Tables'!$X$26:$X$42,MATCH(O201,('Spell Tables'!$V$26:$V$42),0)),IF($R$260&gt;=O201,INDEX('Spell Tables'!$X$2:$X$23,MATCH(O201,('Spell Tables'!$V$2:$V$23),0))," "))))))))))))</f>
        <v xml:space="preserve"> </v>
      </c>
      <c r="S270" s="33" t="str">
        <f ca="1">IF(AND($Q$15="Otherworldly patron - great old one",S$244&gt;=O201),INDEX('Spell Tables'!$AB$226:$AB$238,MATCH(O201,('Spell Tables'!$Z$226:$Z$238),0)),IF(AND($Q$15="Otherworldly patron - fiend",S$244&gt;=O201),INDEX('Spell Tables'!$AB$210:$AB$222,MATCH(O201,('Spell Tables'!$Z$210:$Z$222),0)),IF(AND($Q$15="Otherworldly patron - archfey",S$244&gt;=O201),INDEX('Spell Tables'!$AB$194:$AB$206,MATCH(O201,('Spell Tables'!$Z$194:$Z$206),0)),IF($S$242&gt;=O201,INDEX($AL$68:$AL$77,MATCH(O201,($AJ$68:$AJ$77),0)),IF($S$246&gt;=O201,INDEX('Spell Tables'!$AB$168:$AB$187,MATCH(O201,('Spell Tables'!$Z$168:$Z$187),0)),IF($S$248&gt;=O201,INDEX('Spell Tables'!$AJ$141:$AJ$144,MATCH(O201,('Spell Tables'!$AH$141:$AH$144),0)),IF($S$250&gt;=O201,INDEX('Spell Tables'!$X$119:$X$129,MATCH(O201,('Spell Tables'!$V$119:$V$129),0)),IF($S$252&gt;=O201,INDEX('Spell Tables'!$X$97:$X$106,MATCH(O201,('Spell Tables'!$V$97:$V$106),0)),IF($S$254&gt;=O201,INDEX('Spell Tables'!$AJ$70:$AJ$79,MATCH(O201,('Spell Tables'!$AH$70:$AH$79),0)),IF($S$256&gt;=O201,INDEX('Spell Tables'!$AB$48:$AB$60,MATCH(O201,('Spell Tables'!$Z$48:$Z$60),0)),IF($S$258&gt;=O201,INDEX('Spell Tables'!$AB$26:$AB$45,MATCH(O201,('Spell Tables'!$Z$26:$Z$45),0)),IF($S$260&gt;=O201,INDEX('Spell Tables'!$AB$2:$AB$17,MATCH(O201,('Spell Tables'!$Z$2:$Z$17),0))," "))))))))))))</f>
        <v xml:space="preserve"> </v>
      </c>
      <c r="T270" s="33" t="str">
        <f ca="1">IF(AND($Q$15="Otherworldly patron - great old one",T$244&gt;=O201),INDEX('Spell Tables'!$AF$226:$AF$231,MATCH(O201,('Spell Tables'!$AD$226:$AD$231),0)),IF(AND($Q$15="Otherworldly patron - fiend",T$244&gt;=O201),INDEX('Spell Tables'!$AF$210:$AF$215,MATCH(O201,('Spell Tables'!$AD$210:$AD$215),0)),IF(AND($Q$15="Otherworldly patron - archfey",T$244&gt;=O201),INDEX('Spell Tables'!$AF$194:$AF$199,MATCH(O201,('Spell Tables'!$AD$194:$AD$199),0)),IF($T$242&gt;=O201,INDEX($AL$80:$AL$89,MATCH(O201,($AJ$80:$AJ$89),0)),IF($T$246&gt;=O201,INDEX('Spell Tables'!$AF$168:$AF$177,MATCH(O201,('Spell Tables'!$AD$168:$AD$177),0)),IF($T$248&gt;=O201,INDEX('Spell Tables'!$AR$141:$AR$144,MATCH(O201,('Spell Tables'!$AP$141:$AP$144),0)),IF($T$250&gt;=O201,INDEX('Spell Tables'!$AB$119:$AB$123,MATCH(O201,('Spell Tables'!$Z$119:$Z$123),0)),IF($T$252&gt;=O201,INDEX('Spell Tables'!$AB$97:$AB$102,MATCH(O201,('Spell Tables'!$Z$97:$Z$102),0)),IF($T$254&gt;=O201,INDEX('Spell Tables'!$AR$70:$AR$75,MATCH(O201,('Spell Tables'!$AP$70:$AP$75),0)),IF($T$256&gt;=O201,INDEX('Spell Tables'!$AF$48:$AF$63,MATCH(O201,('Spell Tables'!$AD$48:$AD$63),0)),IF($T$258&gt;=O201,INDEX('Spell Tables'!$AF$26:$AF$33,MATCH(O201,('Spell Tables'!$AD$26:$AD$33),0)),IF($T$260&gt;=O201,INDEX('Spell Tables'!$AF$2:$AF$9,MATCH(O201,('Spell Tables'!$AD$2:$AD$9),0))," "))))))))))))</f>
        <v xml:space="preserve"> </v>
      </c>
    </row>
    <row r="271" spans="2:20" x14ac:dyDescent="0.3">
      <c r="B271" s="33"/>
      <c r="C271" s="33"/>
      <c r="D271" s="33"/>
      <c r="E271" s="33"/>
      <c r="F271" s="33"/>
      <c r="G271" s="33"/>
      <c r="H271" s="33"/>
      <c r="I271" s="33"/>
      <c r="J271" s="33"/>
      <c r="K271" s="33"/>
      <c r="L271" s="33"/>
      <c r="M271" s="33"/>
      <c r="O271" s="34">
        <v>10</v>
      </c>
      <c r="P271" s="33" t="str">
        <f ca="1">IF(P$242&gt;=O202,INDEX('Spell Tables'!$P$242:$P$257,MATCH(O202,('Spell Tables'!$N$242:$N$257),0)),IF(P$244&gt;=O202,INDEX('Spell Tables'!$P$194:$P$201,MATCH(O202,('Spell Tables'!$N$194:$N$201),0)),IF(P$246&gt;=O202,INDEX('Spell Tables'!$P$168:$P$183,MATCH(O202,('Spell Tables'!$N$168:$N$183),0)),IF(P$248&gt;=O202,INDEX('Spell Tables'!$P$141:$P$156,MATCH(O202,('Spell Tables'!$N$141:$N$157),0)),IF(P$254&gt;=O202,INDEX('Spell Tables'!$P$70:$P$83,MATCH(O202,('Spell Tables'!$N$70:$N$83),0)),IF(P$256&gt;=O202,INDEX('Spell Tables'!$P$48:$P$55,MATCH(O202,('Spell Tables'!$N$48:$N$55),0)),IF(P$258&gt;=O202,INDEX('Spell Tables'!$P$26:$P$32,MATCH(O202,('Spell Tables'!$N$26:$N$32),0)),IF(P$260&gt;=O202,INDEX('Spell Tables'!$P$2:$P$12,MATCH(O202,('Spell Tables'!$N$2:$N$12),0))," "))))))))</f>
        <v xml:space="preserve"> </v>
      </c>
      <c r="Q271" s="33" t="str">
        <f ca="1">IF(AND($Q$15="Otherworldly patron - great old one",Q$244&gt;=O202),INDEX('Spell Tables'!$T$226:$T$238,MATCH(O202,('Spell Tables'!$R$226:$R$238),0)),IF(AND($Q$15="Otherworldly patron - fiend",Q$244&gt;=O202),INDEX('Spell Tables'!$T$210:$T$222,MATCH(O202,('Spell Tables'!$R$210:$R$222),0)),IF(Q$242&gt;=O202,INDEX($AL$44:$AL$53,MATCH(O202,($AJ$44:$AJ$53),0)),IF(AND($Q$15="Otherworldly patron - archfey",Q$244&gt;=O202),INDEX('Spell Tables'!T$206:$T303,MATCH(O202,('Spell Tables'!$R$194:$R$206),0)),IF(Q$246&gt;=O202,INDEX('Spell Tables'!T277:T296,MATCH(O202,('Spell Tables'!$R$168:$R$187),0)),IF(Q$248&gt;=O202,INDEX('Spell Tables'!T250:T256,MATCH(O202,('Spell Tables'!$R$141:$R$147),0)),IF(Q$250&gt;=O202,INDEX('Spell Tables'!$P$119:$P$131,MATCH(O202,('Spell Tables'!$N$119:$N$131),0)),IF(Q$252&gt;=O202,INDEX('Spell Tables'!$P$97:$P$111,MATCH(O202,('Spell Tables'!$N$97:$N$111),0)),IF(Q$254&gt;=O202,INDEX('Spell Tables'!$T$70:$T$78,MATCH(O202,('Spell Tables'!$R$70:$R$78),0)),IF(Q$256&gt;=O202,INDEX('Spell Tables'!$T$48:$T$63,MATCH(O202,('Spell Tables'!$R$48:$R$63),0)),IF(Q$258&gt;=O202,INDEX('Spell Tables'!$T$26:$T$40,MATCH(O202,('Spell Tables'!$R$26:$R$40),0)),IF(Q$260&gt;=O202,INDEX('Spell Tables'!$T$2:$T$22,MATCH(O202,('Spell Tables'!$R$2:$R$22),0))," "))))))))))))</f>
        <v xml:space="preserve"> </v>
      </c>
      <c r="R271" s="33" t="str">
        <f ca="1">IF(AND($Q$15="Otherworldly patron - great old one",R$244&gt;=O202),INDEX('Spell Tables'!$X$226:$X$239,MATCH(O202,('Spell Tables'!$V$226:$V$239),0)),IF(AND($Q$15="Otherworldly patron - fiend",R$244&gt;=O202),INDEX('Spell Tables'!$X$210:$X$223,MATCH(O202,('Spell Tables'!$V$210:$V$223),0)),IF(AND($Q$15="Otherworldly patron - archfey",R$244&gt;=O202),INDEX('Spell Tables'!$X$194:$X$207,MATCH(O202,('Spell Tables'!$V$194:$V$207),0)),IF($R$242&gt;=O202,INDEX($AL$56:$AL$65,MATCH(O202,($AJ$56:$AJ$65),0)),IF($R$246&gt;=O202,INDEX('Spell Tables'!$X$168:$X$191,MATCH(O202,('Spell Tables'!$V$168:$V$191),0)),IF($R$248&gt;=O202,INDEX('Spell Tables'!$AB$141:$AB$149,MATCH(O202,('Spell Tables'!$Z$141:$Z$149),0)),IF($R$250&gt;=O202,INDEX('Spell Tables'!T228:T240,MATCH(O202,('Spell Tables'!$R$119:$R$131),0)),IF($R$252&gt;=O202,INDEX('Spell Tables'!$T$97:T213,MATCH(O202,('Spell Tables'!$R$97:$R$104),0)),IF($R$254&gt;=O202,INDEX('Spell Tables'!$AB$70:$AB$75,MATCH(O202,('Spell Tables'!$Z$70:$Z$75),0)),IF($R$256&gt;=O202,INDEX('Spell Tables'!$X$48:$X$65,MATCH(O202,('Spell Tables'!$V$48:$V$65),0)),IF($R$258&gt;=O202,INDEX('Spell Tables'!$X$26:$X$42,MATCH(O202,('Spell Tables'!$V$26:$V$42),0)),IF($R$260&gt;=O202,INDEX('Spell Tables'!$X$2:$X$23,MATCH(O202,('Spell Tables'!$V$2:$V$23),0))," "))))))))))))</f>
        <v xml:space="preserve"> </v>
      </c>
      <c r="S271" s="33" t="str">
        <f ca="1">IF(AND($Q$15="Otherworldly patron - great old one",S$244&gt;=O202),INDEX('Spell Tables'!$AB$226:$AB$238,MATCH(O202,('Spell Tables'!$Z$226:$Z$238),0)),IF(AND($Q$15="Otherworldly patron - fiend",S$244&gt;=O202),INDEX('Spell Tables'!$AB$210:$AB$222,MATCH(O202,('Spell Tables'!$Z$210:$Z$222),0)),IF(AND($Q$15="Otherworldly patron - archfey",S$244&gt;=O202),INDEX('Spell Tables'!$AB$194:$AB$206,MATCH(O202,('Spell Tables'!$Z$194:$Z$206),0)),IF($S$242&gt;=O202,INDEX($AL$68:$AL$77,MATCH(O202,($AJ$68:$AJ$77),0)),IF($S$246&gt;=O202,INDEX('Spell Tables'!$AB$168:$AB$187,MATCH(O202,('Spell Tables'!$Z$168:$Z$187),0)),IF($S$248&gt;=O202,INDEX('Spell Tables'!$AJ$141:$AJ$144,MATCH(O202,('Spell Tables'!$AH$141:$AH$144),0)),IF($S$250&gt;=O202,INDEX('Spell Tables'!$X$119:$X$129,MATCH(O202,('Spell Tables'!$V$119:$V$129),0)),IF($S$252&gt;=O202,INDEX('Spell Tables'!$X$97:$X$106,MATCH(O202,('Spell Tables'!$V$97:$V$106),0)),IF($S$254&gt;=O202,INDEX('Spell Tables'!$AJ$70:$AJ$79,MATCH(O202,('Spell Tables'!$AH$70:$AH$79),0)),IF($S$256&gt;=O202,INDEX('Spell Tables'!$AB$48:$AB$60,MATCH(O202,('Spell Tables'!$Z$48:$Z$60),0)),IF($S$258&gt;=O202,INDEX('Spell Tables'!$AB$26:$AB$45,MATCH(O202,('Spell Tables'!$Z$26:$Z$45),0)),IF($S$260&gt;=O202,INDEX('Spell Tables'!$AB$2:$AB$17,MATCH(O202,('Spell Tables'!$Z$2:$Z$17),0))," "))))))))))))</f>
        <v xml:space="preserve"> </v>
      </c>
      <c r="T271" s="33" t="str">
        <f ca="1">IF(AND($Q$15="Otherworldly patron - great old one",T$244&gt;=O202),INDEX('Spell Tables'!$AF$226:$AF$231,MATCH(O202,('Spell Tables'!$AD$226:$AD$231),0)),IF(AND($Q$15="Otherworldly patron - fiend",T$244&gt;=O202),INDEX('Spell Tables'!$AF$210:$AF$215,MATCH(O202,('Spell Tables'!$AD$210:$AD$215),0)),IF(AND($Q$15="Otherworldly patron - archfey",T$244&gt;=O202),INDEX('Spell Tables'!$AF$194:$AF$199,MATCH(O202,('Spell Tables'!$AD$194:$AD$199),0)),IF($T$242&gt;=O202,INDEX($AL$80:$AL$89,MATCH(O202,($AJ$80:$AJ$89),0)),IF($T$246&gt;=O202,INDEX('Spell Tables'!$AF$168:$AF$177,MATCH(O202,('Spell Tables'!$AD$168:$AD$177),0)),IF($T$248&gt;=O202,INDEX('Spell Tables'!$AR$141:$AR$144,MATCH(O202,('Spell Tables'!$AP$141:$AP$144),0)),IF($T$250&gt;=O202,INDEX('Spell Tables'!$AB$119:$AB$123,MATCH(O202,('Spell Tables'!$Z$119:$Z$123),0)),IF($T$252&gt;=O202,INDEX('Spell Tables'!$AB$97:$AB$102,MATCH(O202,('Spell Tables'!$Z$97:$Z$102),0)),IF($T$254&gt;=O202,INDEX('Spell Tables'!$AR$70:$AR$75,MATCH(O202,('Spell Tables'!$AP$70:$AP$75),0)),IF($T$256&gt;=O202,INDEX('Spell Tables'!$AF$48:$AF$63,MATCH(O202,('Spell Tables'!$AD$48:$AD$63),0)),IF($T$258&gt;=O202,INDEX('Spell Tables'!$AF$26:$AF$33,MATCH(O202,('Spell Tables'!$AD$26:$AD$33),0)),IF($T$260&gt;=O202,INDEX('Spell Tables'!$AF$2:$AF$9,MATCH(O202,('Spell Tables'!$AD$2:$AD$9),0))," "))))))))))))</f>
        <v xml:space="preserve"> </v>
      </c>
    </row>
    <row r="272" spans="2:20" ht="19.5" thickBot="1" x14ac:dyDescent="0.35">
      <c r="B272" s="33"/>
      <c r="C272" s="38"/>
      <c r="D272" s="38"/>
      <c r="E272" s="38"/>
      <c r="F272" s="38"/>
      <c r="G272" s="38"/>
      <c r="H272" s="38"/>
      <c r="I272" s="38"/>
      <c r="J272" s="38"/>
      <c r="K272" s="38"/>
      <c r="L272" s="38"/>
      <c r="M272" s="38"/>
      <c r="N272" s="38"/>
      <c r="O272" s="38"/>
      <c r="P272" s="38"/>
      <c r="Q272" s="38"/>
      <c r="R272" s="38"/>
      <c r="S272" s="38"/>
      <c r="T272" s="38"/>
    </row>
    <row r="273" spans="15:19" hidden="1" x14ac:dyDescent="0.3">
      <c r="O273" s="108"/>
      <c r="P273" s="108"/>
      <c r="Q273" s="108"/>
      <c r="R273" s="108"/>
      <c r="S273" s="109"/>
    </row>
    <row r="274" spans="15:19" hidden="1" x14ac:dyDescent="0.3">
      <c r="O274" s="60" t="str">
        <f ca="1">IF(AND(Q11="wizard",Q12&gt;=11),"x",IF(AND($Q$11="wizard",$Q$12&gt;9),"xx",IF(AND(Q11="wizard",Q12=9),"xxx"," ")))</f>
        <v xml:space="preserve"> </v>
      </c>
      <c r="P274" s="60" t="str">
        <f ca="1">IF(AND(Q11="wizard",Q12&gt;=13),"x",IF(AND($Q$11="wizard",$Q$12&gt;11),"xx",IF(AND(Q11="wizard",Q12=11),"xxx"," ")))</f>
        <v xml:space="preserve"> </v>
      </c>
      <c r="Q274" s="60" t="str">
        <f ca="1">IF(AND(Q11="wizard",Q12&gt;=15),"x",IF(AND($Q$11="wizard",$Q$12&gt;13),"xx",IF(AND(Q11="wizard",Q12=13),"xxx"," ")))</f>
        <v xml:space="preserve"> </v>
      </c>
      <c r="R274" s="60" t="str">
        <f ca="1">IF(AND(Q11="wizard",Q12&gt;=17),"x",IF(AND($Q$11="wizard",$Q$12&gt;15),"xx",IF(AND(Q11="wizard",Q12=15),"xxx"," ")))</f>
        <v xml:space="preserve"> </v>
      </c>
      <c r="S274" s="63" t="str">
        <f ca="1">IF(AND($Q$11="wizard",$Q$12&gt;17),"xx",IF(AND(Q11="wizard",Q12=17),"xxx"," "))</f>
        <v xml:space="preserve"> </v>
      </c>
    </row>
    <row r="275" spans="15:19" hidden="1" x14ac:dyDescent="0.3">
      <c r="O275" s="65">
        <f ca="1">IF(O274="x",RANDBETWEEN(2,3),IF(O274="xx",RANDBETWEEN(2,3),IF(O274="xxx",RANDBETWEEN(1,2),0)))</f>
        <v>0</v>
      </c>
      <c r="P275" s="65">
        <f ca="1">IF(P274="x",RANDBETWEEN(2,3),IF(P274="xx",RANDBETWEEN(2,3),IF(P274="xxx",RANDBETWEEN(1,2),0)))</f>
        <v>0</v>
      </c>
      <c r="Q275" s="65">
        <f ca="1">IF(Q274="x",RANDBETWEEN(1,2),IF(Q274="xx",RANDBETWEEN(1,2),IF(Q274="xxx",RANDBETWEEN(1,2),0)))</f>
        <v>0</v>
      </c>
      <c r="R275" s="65">
        <f ca="1">IF(OR(R274="x",R274="xx"),RANDBETWEEN(1,2),IF(R274="xxx",RANDBETWEEN(1,2),0))</f>
        <v>0</v>
      </c>
      <c r="S275" s="66">
        <f ca="1">IF(S274="xx",RANDBETWEEN(1,2),IF(S274="xxx",RANDBETWEEN(1,2),0))</f>
        <v>0</v>
      </c>
    </row>
    <row r="276" spans="15:19" hidden="1" x14ac:dyDescent="0.3">
      <c r="O276" s="60" t="str">
        <f ca="1">IF(AND($Q$11="warlock",$Q$12&gt;=9),"xx"," ")</f>
        <v xml:space="preserve"> </v>
      </c>
      <c r="P276" s="60"/>
      <c r="Q276" s="60"/>
      <c r="R276" s="60"/>
      <c r="S276" s="63"/>
    </row>
    <row r="277" spans="15:19" hidden="1" x14ac:dyDescent="0.3">
      <c r="O277" s="65">
        <f ca="1">IF(O276="x",RANDBETWEEN(2,3),IF(O276="xx",RANDBETWEEN(2,3),0))</f>
        <v>0</v>
      </c>
      <c r="P277" s="65"/>
      <c r="Q277" s="65"/>
      <c r="R277" s="65"/>
      <c r="S277" s="66"/>
    </row>
    <row r="278" spans="15:19" hidden="1" x14ac:dyDescent="0.3">
      <c r="O278" s="60" t="str">
        <f ca="1">IF(AND($Q$11="sorcerer",$Q$12&gt;=11),"x",IF(AND($Q$11="sorcerer",$Q$12&gt;=9),"xx"," "))</f>
        <v xml:space="preserve"> </v>
      </c>
      <c r="P278" s="60" t="str">
        <f ca="1">IF(AND($Q$11="sorcerer",$Q$12&gt;=13),"x",IF(AND($Q$11="sorcerer",$Q$12&gt;=11),"xx"," "))</f>
        <v xml:space="preserve"> </v>
      </c>
      <c r="Q278" s="60" t="str">
        <f ca="1">IF(AND($Q$11="sorcerer",$Q$12&gt;=15),"x",IF(AND($Q$11="sorcerer",$Q$12&gt;=13),"xx"," "))</f>
        <v xml:space="preserve"> </v>
      </c>
      <c r="R278" s="60" t="str">
        <f ca="1">IF(AND($Q$11="sorcerer",$Q$12&gt;=17),"x",IF(AND($Q$11="sorcerer",$Q$12&gt;15),"xx"," "))</f>
        <v xml:space="preserve"> </v>
      </c>
      <c r="S278" s="63" t="str">
        <f ca="1">IF(AND($Q$11="sorcerer",$Q$12&gt;=17),"xx"," ")</f>
        <v xml:space="preserve"> </v>
      </c>
    </row>
    <row r="279" spans="15:19" hidden="1" x14ac:dyDescent="0.3">
      <c r="O279" s="65">
        <f ca="1">IF(O278="x",RANDBETWEEN(2,3),IF(O278="xx",RANDBETWEEN(2,3),0))</f>
        <v>0</v>
      </c>
      <c r="P279" s="65">
        <f ca="1">IF(P278="x",RANDBETWEEN(2,3),IF(P278="xx",RANDBETWEEN(2,3),0))</f>
        <v>0</v>
      </c>
      <c r="Q279" s="65">
        <f ca="1">IF(Q278="x",RANDBETWEEN(1,2),IF(Q278="xx",RANDBETWEEN(1,2),0))</f>
        <v>0</v>
      </c>
      <c r="R279" s="65">
        <f ca="1">IF(OR(R278="x",R278="xx"),RANDBETWEEN(1,2),0)</f>
        <v>0</v>
      </c>
      <c r="S279" s="66">
        <f ca="1">IF(S278="xx",RANDBETWEEN(1,2),0)</f>
        <v>0</v>
      </c>
    </row>
    <row r="280" spans="15:19" hidden="1" x14ac:dyDescent="0.3">
      <c r="O280" s="60"/>
      <c r="P280" s="60"/>
      <c r="Q280" s="60"/>
      <c r="R280" s="60"/>
      <c r="S280" s="63"/>
    </row>
    <row r="281" spans="15:19" hidden="1" x14ac:dyDescent="0.3">
      <c r="O281" s="65"/>
      <c r="P281" s="65"/>
      <c r="Q281" s="65"/>
      <c r="R281" s="65"/>
      <c r="S281" s="66"/>
    </row>
    <row r="282" spans="15:19" hidden="1" x14ac:dyDescent="0.3">
      <c r="O282" s="60" t="str">
        <f ca="1">IF(AND($Q$11="ranger",$Q$12&gt;=17),"xx"," ")</f>
        <v xml:space="preserve"> </v>
      </c>
      <c r="P282" s="60"/>
      <c r="Q282" s="60"/>
      <c r="R282" s="60"/>
      <c r="S282" s="63"/>
    </row>
    <row r="283" spans="15:19" hidden="1" x14ac:dyDescent="0.3">
      <c r="O283" s="65">
        <f ca="1">IF(O282="x",RANDBETWEEN(2,3),IF(O282="xx",RANDBETWEEN(2,3),0))</f>
        <v>0</v>
      </c>
      <c r="P283" s="65"/>
      <c r="Q283" s="65"/>
      <c r="R283" s="65"/>
      <c r="S283" s="66"/>
    </row>
    <row r="284" spans="15:19" hidden="1" x14ac:dyDescent="0.3">
      <c r="O284" s="60" t="str">
        <f ca="1">IF(AND(Q11="paladin",Q12&gt;=17),"xx"," ")</f>
        <v xml:space="preserve"> </v>
      </c>
      <c r="P284" s="60"/>
      <c r="Q284" s="60"/>
      <c r="R284" s="60"/>
      <c r="S284" s="63"/>
    </row>
    <row r="285" spans="15:19" hidden="1" x14ac:dyDescent="0.3">
      <c r="O285" s="65">
        <f ca="1">IF(O284="x",RANDBETWEEN(2,3),IF(O284="xx",RANDBETWEEN(2,3),0))</f>
        <v>0</v>
      </c>
      <c r="P285" s="65"/>
      <c r="Q285" s="65"/>
      <c r="R285" s="65"/>
      <c r="S285" s="66"/>
    </row>
    <row r="286" spans="15:19" hidden="1" x14ac:dyDescent="0.3">
      <c r="O286" s="60"/>
      <c r="P286" s="60"/>
      <c r="Q286" s="60"/>
      <c r="R286" s="60"/>
      <c r="S286" s="63"/>
    </row>
    <row r="287" spans="15:19" hidden="1" x14ac:dyDescent="0.3">
      <c r="O287" s="65"/>
      <c r="P287" s="65"/>
      <c r="Q287" s="65"/>
      <c r="R287" s="65"/>
      <c r="S287" s="66"/>
    </row>
    <row r="288" spans="15:19" hidden="1" x14ac:dyDescent="0.3">
      <c r="O288" s="60" t="str">
        <f ca="1">IF(AND($Q$11="druid",$Q$12&gt;=11),"x",IF(AND($Q$11="druid",$Q$12&gt;=9),"xx"," "))</f>
        <v xml:space="preserve"> </v>
      </c>
      <c r="P288" s="60" t="str">
        <f ca="1">IF(AND($Q$11="druid",$Q$12&gt;=13),"x",IF(AND($Q$11="druid",$Q$12&gt;=11),"xx"," "))</f>
        <v xml:space="preserve"> </v>
      </c>
      <c r="Q288" s="60" t="str">
        <f ca="1">IF(AND($Q$11="druid",$Q$12&gt;=15),"x",IF(AND($Q$11="druid",$Q$12&gt;=13),"xx"," "))</f>
        <v xml:space="preserve"> </v>
      </c>
      <c r="R288" s="60" t="str">
        <f ca="1">IF(AND($Q$11="druid",$Q$12&gt;=17),"x",IF(AND($Q$11="druid",$Q$12&gt;15),"xx"," "))</f>
        <v xml:space="preserve"> </v>
      </c>
      <c r="S288" s="63" t="str">
        <f ca="1">IF(AND($Q$11="druid",$Q$12&gt;=17),"xx"," ")</f>
        <v xml:space="preserve"> </v>
      </c>
    </row>
    <row r="289" spans="14:20" hidden="1" x14ac:dyDescent="0.3">
      <c r="O289" s="65">
        <f ca="1">IF(O288="x",RANDBETWEEN(2,3),IF(O288="xx",RANDBETWEEN(2,3),0))</f>
        <v>0</v>
      </c>
      <c r="P289" s="65">
        <f ca="1">IF(P288="x",RANDBETWEEN(2,3),IF(P288="xx",RANDBETWEEN(2,3),0))</f>
        <v>0</v>
      </c>
      <c r="Q289" s="65">
        <f ca="1">IF(Q288="x",RANDBETWEEN(1,2),IF(Q288="xx",RANDBETWEEN(1,2),0))</f>
        <v>0</v>
      </c>
      <c r="R289" s="65">
        <f ca="1">IF(OR(R288="x",R288="xx"),RANDBETWEEN(1,2),0)</f>
        <v>0</v>
      </c>
      <c r="S289" s="66">
        <f ca="1">IF(S288="xx",RANDBETWEEN(1,2),0)</f>
        <v>0</v>
      </c>
    </row>
    <row r="290" spans="14:20" hidden="1" x14ac:dyDescent="0.3">
      <c r="O290" s="60" t="str">
        <f ca="1">IF(AND(Q11="cleric",Q12&gt;=11),"x",IF(AND($Q$11="cleric",$Q$12&gt;=9),"xx"," "))</f>
        <v xml:space="preserve"> </v>
      </c>
      <c r="P290" s="60" t="str">
        <f ca="1">IF(AND(Q11="cleric",Q12&gt;=13),"x",IF(AND($Q$11="cleric",$Q$12&gt;=11),"xx"," "))</f>
        <v xml:space="preserve"> </v>
      </c>
      <c r="Q290" s="60" t="str">
        <f ca="1">IF(AND(Q11="cleric",Q12&gt;=15),"x",IF(AND($Q$11="cleric",$Q$12&gt;=13),"xx"," "))</f>
        <v xml:space="preserve"> </v>
      </c>
      <c r="R290" s="60" t="str">
        <f ca="1">IF(AND(Q11="cleric",Q12&gt;=17),"x",IF(AND($Q$11="cleric",$Q$12&gt;15),"xx"," "))</f>
        <v xml:space="preserve"> </v>
      </c>
      <c r="S290" s="63" t="str">
        <f ca="1">IF(AND($Q$11="cleric",$Q$12&gt;=17),"xx"," ")</f>
        <v xml:space="preserve"> </v>
      </c>
    </row>
    <row r="291" spans="14:20" hidden="1" x14ac:dyDescent="0.3">
      <c r="O291" s="65">
        <f ca="1">IF(O290="x",RANDBETWEEN(2,3),IF(O290="xx",RANDBETWEEN(2,3),0))</f>
        <v>0</v>
      </c>
      <c r="P291" s="65">
        <f ca="1">IF(P290="x",RANDBETWEEN(2,3),IF(P290="xx",RANDBETWEEN(2,3),0))</f>
        <v>0</v>
      </c>
      <c r="Q291" s="65">
        <f ca="1">IF(Q290="x",RANDBETWEEN(1,2),IF(Q290="xx",RANDBETWEEN(1,2),0))</f>
        <v>0</v>
      </c>
      <c r="R291" s="65">
        <f ca="1">IF(OR(R290="x",R290="xx"),RANDBETWEEN(1,2),0)</f>
        <v>0</v>
      </c>
      <c r="S291" s="66">
        <f ca="1">IF(S290="xx",RANDBETWEEN(1,2),0)</f>
        <v>0</v>
      </c>
    </row>
    <row r="292" spans="14:20" hidden="1" x14ac:dyDescent="0.3">
      <c r="O292" s="60" t="str">
        <f ca="1">IF(AND($Q$11="bard",$Q$12&gt;=11),"x",IF(AND($Q$11="bard",$Q$12&gt;=9),"xx"," "))</f>
        <v xml:space="preserve"> </v>
      </c>
      <c r="P292" s="60" t="str">
        <f ca="1">IF(AND($Q$11="bard",$Q$12&gt;=13),"x",IF(AND($Q$11="bard",$Q$12&gt;=11),"xx"," "))</f>
        <v xml:space="preserve"> </v>
      </c>
      <c r="Q292" s="60" t="str">
        <f ca="1">IF(AND($Q$11="bard",$Q$12&gt;=15),"x",IF(AND($Q$11="bard",$Q$12&gt;=13),"xx"," "))</f>
        <v xml:space="preserve"> </v>
      </c>
      <c r="R292" s="60" t="str">
        <f ca="1">IF(AND($Q$11="bard",$Q$12&gt;=17),"x",IF(AND($Q$11="bard",$Q$12&gt;15),"xx"," "))</f>
        <v xml:space="preserve"> </v>
      </c>
      <c r="S292" s="63" t="str">
        <f ca="1">IF(AND($Q$11="bard",$Q$12&gt;=17),"xx"," ")</f>
        <v xml:space="preserve"> </v>
      </c>
    </row>
    <row r="293" spans="14:20" hidden="1" x14ac:dyDescent="0.3">
      <c r="O293" s="65">
        <f ca="1">IF(O292="x",RANDBETWEEN(2,3),IF(O292="xx",RANDBETWEEN(2,3),0))</f>
        <v>0</v>
      </c>
      <c r="P293" s="65">
        <f ca="1">IF(P292="x",RANDBETWEEN(2,3),IF(P292="xx",RANDBETWEEN(2,3),0))</f>
        <v>0</v>
      </c>
      <c r="Q293" s="65">
        <f ca="1">IF(Q292="x",RANDBETWEEN(1,2),IF(Q292="xx",RANDBETWEEN(1,2),0))</f>
        <v>0</v>
      </c>
      <c r="R293" s="65">
        <f ca="1">IF(OR(R292="x",R292="xx"),RANDBETWEEN(1,2),0)</f>
        <v>0</v>
      </c>
      <c r="S293" s="66">
        <f ca="1">IF(S292="xx",RANDBETWEEN(1,2),0)</f>
        <v>0</v>
      </c>
    </row>
    <row r="294" spans="14:20" x14ac:dyDescent="0.3">
      <c r="N294" s="72"/>
      <c r="O294" s="136"/>
      <c r="P294" s="96" t="s">
        <v>750</v>
      </c>
      <c r="Q294" s="96" t="s">
        <v>1125</v>
      </c>
      <c r="R294" s="96" t="s">
        <v>1126</v>
      </c>
      <c r="S294" s="96" t="s">
        <v>1127</v>
      </c>
      <c r="T294" s="97" t="s">
        <v>751</v>
      </c>
    </row>
    <row r="295" spans="14:20" x14ac:dyDescent="0.3">
      <c r="N295" s="72"/>
      <c r="O295" s="86">
        <v>1</v>
      </c>
      <c r="P295" s="65" t="str">
        <f ca="1">IF(AND($Q$15="Otherworldly patron - great old one",O$277&gt;=O193),INDEX('Spell Tables'!$AJ$226:$AJ$231,MATCH(O193,('Spell Tables'!$AH$226:$AH$231),0)),IF(AND($Q$15="Otherworldly patron - fiend",O$277&gt;=O193),INDEX('Spell Tables'!$AJ$210:$AJ$215,MATCH(O193,('Spell Tables'!$AH$210:$AH$215),0)),IF(AND($Q$15="Otherworldly patron - archfey",O$277&gt;=O193),INDEX('Spell Tables'!$AJ$194:$AJ$199,MATCH(O193,('Spell Tables'!$AH$194:$AH$199),0)),IF($O$275&gt;=O193,INDEX($AL$92:$AL$101,MATCH(O193,($AJ$92:$AJ$101),0)),IF($O$279&gt;=O193,INDEX('Spell Tables'!$AJ$168:$AJ$178,MATCH(O193,('Spell Tables'!$AH$168:$AH$178),0)),IF($O$283&gt;=O193,INDEX('Spell Tables'!$AF$119:$AF$122,MATCH(O193,('Spell Tables'!$AD$119:$AD$122),0)),IF($O$285&gt;=O193,INDEX('Spell Tables'!$AF$97:$AF$102,MATCH(O193,('Spell Tables'!$AD$97:$AD$102),0)),IF($O$289&gt;=O193,INDEX('Spell Tables'!$AJ$48:$AJ$61,MATCH(O193,('Spell Tables'!$AH$48:$AH$61),0)),IF($O$291&gt;=O193,INDEX('Spell Tables'!$AJ$26:$AJ$38,MATCH(O193,('Spell Tables'!$AH$26:$AH$38),0)),IF($O$293&gt;=O193,INDEX('Spell Tables'!$AJ$2:$AJ$17,MATCH(O193,('Spell Tables'!$AH$2:$AH$17),0))," "))))))))))</f>
        <v xml:space="preserve"> </v>
      </c>
      <c r="Q295" s="65" t="str">
        <f ca="1">IF($P$275&gt;=O262,INDEX($AL$104:$AL$113,MATCH(O262,($AJ$104:$AJ$113),0)),IF($P$279&gt;=O262,INDEX('Spell Tables'!$AN$168:$AN$177,MATCH(O262,('Spell Tables'!$AL$168:$AL$177),0)),IF($P$289&gt;=O262,INDEX('Spell Tables'!$AN$48:$AN$56,MATCH(O262,('Spell Tables'!$AL$48:$AL$56),0)),IF($P$291&gt;=O262,INDEX('Spell Tables'!$AN$26:$AN$35,MATCH(O262,('Spell Tables'!$AL$26:$AL$35),0)),IF($P$293&gt;=O262,INDEX('Spell Tables'!$AN$2:$AN$8,MATCH(O262,('Spell Tables'!$AL$2:$AL$8),0))," ")))))</f>
        <v xml:space="preserve"> </v>
      </c>
      <c r="R295" s="65" t="str">
        <f ca="1">IF($Q$275&gt;=O262,INDEX($AL$116:$AL$125,MATCH(O262,($AJ$116:$AJ$125),0)),IF($Q$279&gt;=O262,INDEX('Spell Tables'!$AR$168:$AR$175,MATCH(O262,('Spell Tables'!$AP$168:$AP$175),0)),IF($Q$289&gt;=O262,INDEX('Spell Tables'!$AR$48:$AR$52,MATCH(O262,('Spell Tables'!$AP$48:$AP$52),0)),IF($Q$291&gt;=O262,INDEX('Spell Tables'!$AR$26:$AR$33,MATCH(O262,('Spell Tables'!$AP$26:$AP$33),0)),IF($Q$293&gt;=O262,INDEX('Spell Tables'!$AR$2:$AR$11,MATCH(O262,('Spell Tables'!$AL$2:$AL$11),0))," ")))))</f>
        <v xml:space="preserve"> </v>
      </c>
      <c r="S295" s="65" t="str">
        <f ca="1">IF($R$275&gt;=O262,INDEX($AL$128:$AL$137,MATCH(O262,($AJ$128:$AJ$137),0)),IF($R$279&gt;=O262,INDEX('Spell Tables'!$AV$168:$AV$172,MATCH(O262,('Spell Tables'!$AT$168:$AT$172),0)),IF($R$289&gt;=O262,INDEX('Spell Tables'!$AV$48:$AV$54,MATCH(O262,('Spell Tables'!$AT$48:$AT$54),0)),IF($R$291&gt;=O262,INDEX('Spell Tables'!$AV$26:$AV$29,MATCH(O262,('Spell Tables'!$AT$26:$AT$29),0)),IF($R$293&gt;=O262,INDEX('Spell Tables'!$AV$2:$AV$6,MATCH(O262,('Spell Tables'!$AT$2:$AT$6),0))," ")))))</f>
        <v xml:space="preserve"> </v>
      </c>
      <c r="T295" s="66" t="str">
        <f ca="1">IF($S$289&gt;=O262,INDEX($AL$140:$AL$149,MATCH(O262,($AJ$140:$AJ$149),0)),IF($S$275&gt;=O262,INDEX('Spell Tables'!$AZ$242:$AZ$253,MATCH(O262,('Spell Tables'!$AX$242:$AX$253),0)),IF($S$279&gt;=O262,INDEX('Spell Tables'!$AZ$168:$AZ$172,MATCH(O262,('Spell Tables'!$AX$168:$AX$172),0)),IF($S$291&gt;=O262,INDEX('Spell Tables'!$AZ$26:$AZ$29,MATCH(O262,('Spell Tables'!$AX$26:$AX$29),0)),IF($S$293&gt;=O262,INDEX('Spell Tables'!$AZ$2:$AZ$5,MATCH(O262,('Spell Tables'!$AX$2:$AX$5),0))," ")))))</f>
        <v xml:space="preserve"> </v>
      </c>
    </row>
    <row r="296" spans="14:20" x14ac:dyDescent="0.3">
      <c r="N296" s="72"/>
      <c r="O296" s="133">
        <v>2</v>
      </c>
      <c r="P296" s="60" t="str">
        <f ca="1">IF(AND($Q$15="Otherworldly patron - great old one",O$277&gt;=O194),INDEX('Spell Tables'!$AJ$226:$AJ$231,MATCH(O194,('Spell Tables'!$AH$226:$AH$231),0)),IF(AND($Q$15="Otherworldly patron - fiend",O$277&gt;=O194),INDEX('Spell Tables'!$AJ$210:$AJ$215,MATCH(O194,('Spell Tables'!$AH$210:$AH$215),0)),IF(AND($Q$15="Otherworldly patron - archfey",O$277&gt;=O194),INDEX('Spell Tables'!$AJ$194:$AJ$199,MATCH(O194,('Spell Tables'!$AH$194:$AH$199),0)),IF($O$275&gt;=O194,INDEX($AL$92:$AL$101,MATCH(O194,($AJ$92:$AJ$101),0)),IF($O$279&gt;=O194,INDEX('Spell Tables'!$AJ$168:$AJ$178,MATCH(O194,('Spell Tables'!$AH$168:$AH$178),0)),IF($O$283&gt;=O194,INDEX('Spell Tables'!$AF$119:$AF$122,MATCH(O194,('Spell Tables'!$AD$119:$AD$122),0)),IF($O$285&gt;=O194,INDEX('Spell Tables'!$AF$97:$AF$102,MATCH(O194,('Spell Tables'!$AD$97:$AD$102),0)),IF($O$289&gt;=O194,INDEX('Spell Tables'!$AJ$48:$AJ$61,MATCH(O194,('Spell Tables'!$AH$48:$AH$61),0)),IF($O$291&gt;=O194,INDEX('Spell Tables'!$AJ$26:$AJ$38,MATCH(O194,('Spell Tables'!$AH$26:$AH$38),0)),IF($O$293&gt;=O194,INDEX('Spell Tables'!$AJ$2:$AJ$17,MATCH(O194,('Spell Tables'!$AH$2:$AH$17),0))," "))))))))))</f>
        <v xml:space="preserve"> </v>
      </c>
      <c r="Q296" s="60" t="str">
        <f ca="1">IF($P$275&gt;=O263,INDEX($AL$104:$AL$113,MATCH(O263,($AJ$104:$AJ$113),0)),IF($P$279&gt;=O263,INDEX('Spell Tables'!$AN$168:$AN$177,MATCH(O263,('Spell Tables'!$AL$168:$AL$177),0)),IF($P$289&gt;=O263,INDEX('Spell Tables'!$AN$48:$AN$56,MATCH(O263,('Spell Tables'!$AL$48:$AL$56),0)),IF($P$291&gt;=O263,INDEX('Spell Tables'!$AN$26:$AN$35,MATCH(O263,('Spell Tables'!$AL$26:$AL$35),0)),IF($P$293&gt;=O263,INDEX('Spell Tables'!$AN$2:$AN$8,MATCH(O263,('Spell Tables'!$AL$2:$AL$8),0))," ")))))</f>
        <v xml:space="preserve"> </v>
      </c>
      <c r="R296" s="60" t="str">
        <f ca="1">IF($Q$275&gt;=O263,INDEX($AL$116:$AL$125,MATCH(O263,($AJ$116:$AJ$125),0)),IF($Q$279&gt;=O263,INDEX('Spell Tables'!$AR$168:$AR$175,MATCH(O263,('Spell Tables'!$AP$168:$AP$175),0)),IF($Q$289&gt;=O263,INDEX('Spell Tables'!$AR$48:$AR$52,MATCH(O263,('Spell Tables'!$AP$48:$AP$52),0)),IF($Q$291&gt;=O263,INDEX('Spell Tables'!$AR$26:$AR$33,MATCH(O263,('Spell Tables'!$AP$26:$AP$33),0)),IF($Q$293&gt;=O263,INDEX('Spell Tables'!$AR$2:$AR$11,MATCH(O263,('Spell Tables'!$AL$2:$AL$11),0))," ")))))</f>
        <v xml:space="preserve"> </v>
      </c>
      <c r="S296" s="60" t="str">
        <f ca="1">IF($R$275&gt;=O263,INDEX($AL$128:$AL$137,MATCH(O263,($AJ$128:$AJ$137),0)),IF($R$279&gt;=O263,INDEX('Spell Tables'!$AV$168:$AV$172,MATCH(O263,('Spell Tables'!$AT$168:$AT$172),0)),IF($R$289&gt;=O263,INDEX('Spell Tables'!$AV$48:$AV$54,MATCH(O263,('Spell Tables'!$AT$48:$AT$54),0)),IF($R$291&gt;=O263,INDEX('Spell Tables'!$AV$26:$AV$29,MATCH(O263,('Spell Tables'!$AT$26:$AT$29),0)),IF($R$293&gt;=O263,INDEX('Spell Tables'!$AV$2:$AV$6,MATCH(O263,('Spell Tables'!$AT$2:$AT$6),0))," ")))))</f>
        <v xml:space="preserve"> </v>
      </c>
      <c r="T296" s="63" t="str">
        <f ca="1">IF($S$289&gt;=O263,INDEX($AL$140:$AL$149,MATCH(O263,($AJ$140:$AJ$149),0)),IF($S$275&gt;=O263,INDEX('Spell Tables'!$AZ$242:$AZ$253,MATCH(O263,('Spell Tables'!$AX$242:$AX$253),0)),IF($S$279&gt;=O263,INDEX('Spell Tables'!$AZ$168:$AZ$172,MATCH(O263,('Spell Tables'!$AX$168:$AX$172),0)),IF($S$291&gt;=O263,INDEX('Spell Tables'!$AZ$26:$AZ$29,MATCH(O263,('Spell Tables'!$AX$26:$AX$29),0)),IF($S$293&gt;=O263,INDEX('Spell Tables'!$AZ$2:$AZ$5,MATCH(O263,('Spell Tables'!$AX$2:$AX$5),0))," ")))))</f>
        <v xml:space="preserve"> </v>
      </c>
    </row>
    <row r="297" spans="14:20" x14ac:dyDescent="0.3">
      <c r="N297" s="72"/>
      <c r="O297" s="86">
        <v>3</v>
      </c>
      <c r="P297" s="65" t="str">
        <f ca="1">IF(AND($Q$15="Otherworldly patron - great old one",O$277&gt;=O195),INDEX('Spell Tables'!$AJ$226:$AJ$231,MATCH(O195,('Spell Tables'!$AH$226:$AH$231),0)),IF(AND($Q$15="Otherworldly patron - fiend",O$277&gt;=O195),INDEX('Spell Tables'!$AJ$210:$AJ$215,MATCH(O195,('Spell Tables'!$AH$210:$AH$215),0)),IF(AND($Q$15="Otherworldly patron - archfey",O$277&gt;=O195),INDEX('Spell Tables'!$AJ$194:$AJ$199,MATCH(O195,('Spell Tables'!$AH$194:$AH$199),0)),IF($O$275&gt;=O195,INDEX($AL$92:$AL$101,MATCH(O195,($AJ$92:$AJ$101),0)),IF($O$279&gt;=O195,INDEX('Spell Tables'!$AJ$168:$AJ$178,MATCH(O195,('Spell Tables'!$AH$168:$AH$178),0)),IF($O$283&gt;=O195,INDEX('Spell Tables'!$AF$119:$AF$122,MATCH(O195,('Spell Tables'!$AD$119:$AD$122),0)),IF($O$285&gt;=O195,INDEX('Spell Tables'!$AF$97:$AF$102,MATCH(O195,('Spell Tables'!$AD$97:$AD$102),0)),IF($O$289&gt;=O195,INDEX('Spell Tables'!$AJ$48:$AJ$61,MATCH(O195,('Spell Tables'!$AH$48:$AH$61),0)),IF($O$291&gt;=O195,INDEX('Spell Tables'!$AJ$26:$AJ$38,MATCH(O195,('Spell Tables'!$AH$26:$AH$38),0)),IF($O$293&gt;=O195,INDEX('Spell Tables'!$AJ$2:$AJ$17,MATCH(O195,('Spell Tables'!$AH$2:$AH$17),0))," "))))))))))</f>
        <v xml:space="preserve"> </v>
      </c>
      <c r="Q297" s="65" t="str">
        <f ca="1">IF($P$275&gt;=O264,INDEX($AL$104:$AL$113,MATCH(O264,($AJ$104:$AJ$113),0)),IF($P$279&gt;=O264,INDEX('Spell Tables'!$AN$168:$AN$177,MATCH(O264,('Spell Tables'!$AL$168:$AL$177),0)),IF($P$289&gt;=O264,INDEX('Spell Tables'!$AN$48:$AN$56,MATCH(O264,('Spell Tables'!$AL$48:$AL$56),0)),IF($P$291&gt;=O264,INDEX('Spell Tables'!$AN$26:$AN$35,MATCH(O264,('Spell Tables'!$AL$26:$AL$35),0)),IF($P$293&gt;=O264,INDEX('Spell Tables'!$AN$2:$AN$8,MATCH(O264,('Spell Tables'!$AL$2:$AL$8),0))," ")))))</f>
        <v xml:space="preserve"> </v>
      </c>
      <c r="R297" s="65" t="str">
        <f ca="1">IF($Q$275&gt;=O264,INDEX($AL$116:$AL$125,MATCH(O264,($AJ$116:$AJ$125),0)),IF($Q$279&gt;=O264,INDEX('Spell Tables'!$AR$168:$AR$175,MATCH(O264,('Spell Tables'!$AP$168:$AP$175),0)),IF($Q$289&gt;=O264,INDEX('Spell Tables'!$AR$48:$AR$52,MATCH(O264,('Spell Tables'!$AP$48:$AP$52),0)),IF($Q$291&gt;=O264,INDEX('Spell Tables'!$AR$26:$AR$33,MATCH(O264,('Spell Tables'!$AP$26:$AP$33),0)),IF($Q$293&gt;=O264,INDEX('Spell Tables'!$AR$2:$AR$11,MATCH(O264,('Spell Tables'!$AL$2:$AL$11),0))," ")))))</f>
        <v xml:space="preserve"> </v>
      </c>
      <c r="S297" s="65" t="str">
        <f ca="1">IF($R$275&gt;=O264,INDEX($AL$128:$AL$137,MATCH(O264,($AJ$128:$AJ$137),0)),IF($R$279&gt;=O264,INDEX('Spell Tables'!$AV$168:$AV$172,MATCH(O264,('Spell Tables'!$AT$168:$AT$172),0)),IF($R$289&gt;=O264,INDEX('Spell Tables'!$AV$48:$AV$54,MATCH(O264,('Spell Tables'!$AT$48:$AT$54),0)),IF($R$291&gt;=O264,INDEX('Spell Tables'!$AV$26:$AV$29,MATCH(O264,('Spell Tables'!$AT$26:$AT$29),0)),IF($R$293&gt;=O264,INDEX('Spell Tables'!$AV$2:$AV$6,MATCH(O264,('Spell Tables'!$AT$2:$AT$6),0))," ")))))</f>
        <v xml:space="preserve"> </v>
      </c>
      <c r="T297" s="66" t="str">
        <f ca="1">IF($S$289&gt;=O264,INDEX($AL$140:$AL$149,MATCH(O264,($AJ$140:$AJ$149),0)),IF($S$275&gt;=O264,INDEX('Spell Tables'!$AZ$242:$AZ$253,MATCH(O264,('Spell Tables'!$AX$242:$AX$253),0)),IF($S$279&gt;=O264,INDEX('Spell Tables'!$AZ$168:$AZ$172,MATCH(O264,('Spell Tables'!$AX$168:$AX$172),0)),IF($S$291&gt;=O264,INDEX('Spell Tables'!$AZ$26:$AZ$29,MATCH(O264,('Spell Tables'!$AX$26:$AX$29),0)),IF($S$293&gt;=O264,INDEX('Spell Tables'!$AZ$2:$AZ$5,MATCH(O264,('Spell Tables'!$AX$2:$AX$5),0))," ")))))</f>
        <v xml:space="preserve"> </v>
      </c>
    </row>
    <row r="298" spans="14:20" x14ac:dyDescent="0.3">
      <c r="N298" s="72"/>
      <c r="O298" s="133">
        <v>4</v>
      </c>
      <c r="P298" s="60" t="str">
        <f ca="1">IF(AND($Q$15="Otherworldly patron - great old one",O$277&gt;=O196),INDEX('Spell Tables'!$AJ$226:$AJ$231,MATCH(O196,('Spell Tables'!$AH$226:$AH$231),0)),IF(AND($Q$15="Otherworldly patron - fiend",O$277&gt;=O196),INDEX('Spell Tables'!$AJ$210:$AJ$215,MATCH(O196,('Spell Tables'!$AH$210:$AH$215),0)),IF(AND($Q$15="Otherworldly patron - archfey",O$277&gt;=O196),INDEX('Spell Tables'!$AJ$194:$AJ$199,MATCH(O196,('Spell Tables'!$AH$194:$AH$199),0)),IF($O$275&gt;=O196,INDEX($AL$92:$AL$101,MATCH(O196,($AJ$92:$AJ$101),0)),IF($O$279&gt;=O196,INDEX('Spell Tables'!$AJ$168:$AJ$178,MATCH(O196,('Spell Tables'!$AH$168:$AH$178),0)),IF($O$283&gt;=O196,INDEX('Spell Tables'!$AF$119:$AF$122,MATCH(O196,('Spell Tables'!$AD$119:$AD$122),0)),IF($O$285&gt;=O196,INDEX('Spell Tables'!$AF$97:$AF$102,MATCH(O196,('Spell Tables'!$AD$97:$AD$102),0)),IF($O$289&gt;=O196,INDEX('Spell Tables'!$AJ$48:$AJ$61,MATCH(O196,('Spell Tables'!$AH$48:$AH$61),0)),IF($O$291&gt;=O196,INDEX('Spell Tables'!$AJ$26:$AJ$38,MATCH(O196,('Spell Tables'!$AH$26:$AH$38),0)),IF($O$293&gt;=O196,INDEX('Spell Tables'!$AJ$2:$AJ$17,MATCH(O196,('Spell Tables'!$AH$2:$AH$17),0))," "))))))))))</f>
        <v xml:space="preserve"> </v>
      </c>
      <c r="Q298" s="60" t="str">
        <f ca="1">IF($P$275&gt;=O265,INDEX($AL$104:$AL$113,MATCH(O265,($AJ$104:$AJ$113),0)),IF($P$279&gt;=O265,INDEX('Spell Tables'!$AN$168:$AN$177,MATCH(O265,('Spell Tables'!$AL$168:$AL$177),0)),IF($P$289&gt;=O265,INDEX('Spell Tables'!$AN$48:$AN$56,MATCH(O265,('Spell Tables'!$AL$48:$AL$56),0)),IF($P$291&gt;=O265,INDEX('Spell Tables'!$AN$26:$AN$35,MATCH(O265,('Spell Tables'!$AL$26:$AL$35),0)),IF($P$293&gt;=O265,INDEX('Spell Tables'!$AN$2:$AN$8,MATCH(O265,('Spell Tables'!$AL$2:$AL$8),0))," ")))))</f>
        <v xml:space="preserve"> </v>
      </c>
      <c r="R298" s="60" t="str">
        <f ca="1">IF($Q$275&gt;=O265,INDEX($AL$116:$AL$125,MATCH(O265,($AJ$116:$AJ$125),0)),IF($Q$279&gt;=O265,INDEX('Spell Tables'!$AR$168:$AR$175,MATCH(O265,('Spell Tables'!$AP$168:$AP$175),0)),IF($Q$289&gt;=O265,INDEX('Spell Tables'!$AR$48:$AR$52,MATCH(O265,('Spell Tables'!$AP$48:$AP$52),0)),IF($Q$291&gt;=O265,INDEX('Spell Tables'!$AR$26:$AR$33,MATCH(O265,('Spell Tables'!$AP$26:$AP$33),0)),IF($Q$293&gt;=O265,INDEX('Spell Tables'!$AR$2:$AR$11,MATCH(O265,('Spell Tables'!$AL$2:$AL$11),0))," ")))))</f>
        <v xml:space="preserve"> </v>
      </c>
      <c r="S298" s="60" t="str">
        <f ca="1">IF($R$275&gt;=O265,INDEX($AL$128:$AL$137,MATCH(O265,($AJ$128:$AJ$137),0)),IF($R$279&gt;=O265,INDEX('Spell Tables'!$AV$168:$AV$172,MATCH(O265,('Spell Tables'!$AT$168:$AT$172),0)),IF($R$289&gt;=O265,INDEX('Spell Tables'!$AV$48:$AV$54,MATCH(O265,('Spell Tables'!$AT$48:$AT$54),0)),IF($R$291&gt;=O265,INDEX('Spell Tables'!$AV$26:$AV$29,MATCH(O265,('Spell Tables'!$AT$26:$AT$29),0)),IF($R$293&gt;=O265,INDEX('Spell Tables'!$AV$2:$AV$6,MATCH(O265,('Spell Tables'!$AT$2:$AT$6),0))," ")))))</f>
        <v xml:space="preserve"> </v>
      </c>
      <c r="T298" s="63" t="str">
        <f ca="1">IF($S$289&gt;=O265,INDEX($AL$140:$AL$149,MATCH(O265,($AJ$140:$AJ$149),0)),IF($S$275&gt;=O265,INDEX('Spell Tables'!$AZ$242:$AZ$253,MATCH(O265,('Spell Tables'!$AX$242:$AX$253),0)),IF($S$279&gt;=O265,INDEX('Spell Tables'!$AZ$168:$AZ$172,MATCH(O265,('Spell Tables'!$AX$168:$AX$172),0)),IF($S$291&gt;=O265,INDEX('Spell Tables'!$AZ$26:$AZ$29,MATCH(O265,('Spell Tables'!$AX$26:$AX$29),0)),IF($S$293&gt;=O265,INDEX('Spell Tables'!$AZ$2:$AZ$5,MATCH(O265,('Spell Tables'!$AX$2:$AX$5),0))," ")))))</f>
        <v xml:space="preserve"> </v>
      </c>
    </row>
    <row r="299" spans="14:20" x14ac:dyDescent="0.3">
      <c r="N299" s="72"/>
      <c r="O299" s="86">
        <v>5</v>
      </c>
      <c r="P299" s="65" t="str">
        <f ca="1">IF(AND($Q$15="Otherworldly patron - great old one",O$277&gt;=O197),INDEX('Spell Tables'!$AJ$226:$AJ$231,MATCH(O197,('Spell Tables'!$AH$226:$AH$231),0)),IF(AND($Q$15="Otherworldly patron - fiend",O$277&gt;=O197),INDEX('Spell Tables'!$AJ$210:$AJ$215,MATCH(O197,('Spell Tables'!$AH$210:$AH$215),0)),IF(AND($Q$15="Otherworldly patron - archfey",O$277&gt;=O197),INDEX('Spell Tables'!$AJ$194:$AJ$199,MATCH(O197,('Spell Tables'!$AH$194:$AH$199),0)),IF($O$275&gt;=O197,INDEX($AL$92:$AL$101,MATCH(O197,($AJ$92:$AJ$101),0)),IF($O$279&gt;=O197,INDEX('Spell Tables'!$AJ$168:$AJ$178,MATCH(O197,('Spell Tables'!$AH$168:$AH$178),0)),IF($O$283&gt;=O197,INDEX('Spell Tables'!$AF$119:$AF$122,MATCH(O197,('Spell Tables'!$AD$119:$AD$122),0)),IF($O$285&gt;=O197,INDEX('Spell Tables'!$AF$97:$AF$102,MATCH(O197,('Spell Tables'!$AD$97:$AD$102),0)),IF($O$289&gt;=O197,INDEX('Spell Tables'!$AJ$48:$AJ$61,MATCH(O197,('Spell Tables'!$AH$48:$AH$61),0)),IF($O$291&gt;=O197,INDEX('Spell Tables'!$AJ$26:$AJ$38,MATCH(O197,('Spell Tables'!$AH$26:$AH$38),0)),IF($O$293&gt;=O197,INDEX('Spell Tables'!$AJ$2:$AJ$17,MATCH(O197,('Spell Tables'!$AH$2:$AH$17),0))," "))))))))))</f>
        <v xml:space="preserve"> </v>
      </c>
      <c r="Q299" s="65" t="str">
        <f ca="1">IF($P$275&gt;=O266,INDEX($AL$104:$AL$113,MATCH(O266,($AJ$104:$AJ$113),0)),IF($P$279&gt;=O266,INDEX('Spell Tables'!$AN$168:$AN$177,MATCH(O266,('Spell Tables'!$AL$168:$AL$177),0)),IF($P$289&gt;=O266,INDEX('Spell Tables'!$AN$48:$AN$56,MATCH(O266,('Spell Tables'!$AL$48:$AL$56),0)),IF($P$291&gt;=O266,INDEX('Spell Tables'!$AN$26:$AN$35,MATCH(O266,('Spell Tables'!$AL$26:$AL$35),0)),IF($P$293&gt;=O266,INDEX('Spell Tables'!$AN$2:$AN$8,MATCH(O266,('Spell Tables'!$AL$2:$AL$8),0))," ")))))</f>
        <v xml:space="preserve"> </v>
      </c>
      <c r="R299" s="65" t="str">
        <f ca="1">IF($Q$275&gt;=O266,INDEX($AL$116:$AL$125,MATCH(O266,($AJ$116:$AJ$125),0)),IF($Q$279&gt;=O266,INDEX('Spell Tables'!$AR$168:$AR$175,MATCH(O266,('Spell Tables'!$AP$168:$AP$175),0)),IF($Q$289&gt;=O266,INDEX('Spell Tables'!$AR$48:$AR$52,MATCH(O266,('Spell Tables'!$AP$48:$AP$52),0)),IF($Q$291&gt;=O266,INDEX('Spell Tables'!$AR$26:$AR$33,MATCH(O266,('Spell Tables'!$AP$26:$AP$33),0)),IF($Q$293&gt;=O266,INDEX('Spell Tables'!$AR$2:$AR$11,MATCH(O266,('Spell Tables'!$AL$2:$AL$11),0))," ")))))</f>
        <v xml:space="preserve"> </v>
      </c>
      <c r="S299" s="65" t="str">
        <f ca="1">IF($R$275&gt;=O266,INDEX($AL$128:$AL$137,MATCH(O266,($AJ$128:$AJ$137),0)),IF($R$279&gt;=O266,INDEX('Spell Tables'!$AV$168:$AV$172,MATCH(O266,('Spell Tables'!$AT$168:$AT$172),0)),IF($R$289&gt;=O266,INDEX('Spell Tables'!$AV$48:$AV$54,MATCH(O266,('Spell Tables'!$AT$48:$AT$54),0)),IF($R$291&gt;=O266,INDEX('Spell Tables'!$AV$26:$AV$29,MATCH(O266,('Spell Tables'!$AT$26:$AT$29),0)),IF($R$293&gt;=O266,INDEX('Spell Tables'!$AV$2:$AV$6,MATCH(O266,('Spell Tables'!$AT$2:$AT$6),0))," ")))))</f>
        <v xml:space="preserve"> </v>
      </c>
      <c r="T299" s="66" t="str">
        <f ca="1">IF($S$289&gt;=O266,INDEX($AL$140:$AL$149,MATCH(O266,($AJ$140:$AJ$149),0)),IF($S$275&gt;=O266,INDEX('Spell Tables'!$AZ$242:$AZ$253,MATCH(O266,('Spell Tables'!$AX$242:$AX$253),0)),IF($S$279&gt;=O266,INDEX('Spell Tables'!$AZ$168:$AZ$172,MATCH(O266,('Spell Tables'!$AX$168:$AX$172),0)),IF($S$291&gt;=O266,INDEX('Spell Tables'!$AZ$26:$AZ$29,MATCH(O266,('Spell Tables'!$AX$26:$AX$29),0)),IF($S$293&gt;=O266,INDEX('Spell Tables'!$AZ$2:$AZ$5,MATCH(O266,('Spell Tables'!$AX$2:$AX$5),0))," ")))))</f>
        <v xml:space="preserve"> </v>
      </c>
    </row>
    <row r="300" spans="14:20" x14ac:dyDescent="0.3">
      <c r="N300" s="72"/>
      <c r="O300" s="133">
        <v>6</v>
      </c>
      <c r="P300" s="60" t="str">
        <f ca="1">IF(AND($Q$15="Otherworldly patron - great old one",O$277&gt;=O198),INDEX('Spell Tables'!$AJ$226:$AJ$231,MATCH(O198,('Spell Tables'!$AH$226:$AH$231),0)),IF(AND($Q$15="Otherworldly patron - fiend",O$277&gt;=O198),INDEX('Spell Tables'!$AJ$210:$AJ$215,MATCH(O198,('Spell Tables'!$AH$210:$AH$215),0)),IF(AND($Q$15="Otherworldly patron - archfey",O$277&gt;=O198),INDEX('Spell Tables'!$AJ$194:$AJ$199,MATCH(O198,('Spell Tables'!$AH$194:$AH$199),0)),IF($O$275&gt;=O198,INDEX($AL$92:$AL$101,MATCH(O198,($AJ$92:$AJ$101),0)),IF($O$279&gt;=O198,INDEX('Spell Tables'!$AJ$168:$AJ$178,MATCH(O198,('Spell Tables'!$AH$168:$AH$178),0)),IF($O$283&gt;=O198,INDEX('Spell Tables'!$AF$119:$AF$122,MATCH(O198,('Spell Tables'!$AD$119:$AD$122),0)),IF($O$285&gt;=O198,INDEX('Spell Tables'!$AF$97:$AF$102,MATCH(O198,('Spell Tables'!$AD$97:$AD$102),0)),IF($O$289&gt;=O198,INDEX('Spell Tables'!$AJ$48:$AJ$61,MATCH(O198,('Spell Tables'!$AH$48:$AH$61),0)),IF($O$291&gt;=O198,INDEX('Spell Tables'!$AJ$26:$AJ$38,MATCH(O198,('Spell Tables'!$AH$26:$AH$38),0)),IF($O$293&gt;=O198,INDEX('Spell Tables'!$AJ$2:$AJ$17,MATCH(O198,('Spell Tables'!$AH$2:$AH$17),0))," "))))))))))</f>
        <v xml:space="preserve"> </v>
      </c>
      <c r="Q300" s="60" t="str">
        <f ca="1">IF($P$275&gt;=O267,INDEX($AL$104:$AL$113,MATCH(O267,($AJ$104:$AJ$113),0)),IF($P$279&gt;=O267,INDEX('Spell Tables'!$AN$168:$AN$177,MATCH(O267,('Spell Tables'!$AL$168:$AL$177),0)),IF($P$289&gt;=O267,INDEX('Spell Tables'!$AN$48:$AN$56,MATCH(O267,('Spell Tables'!$AL$48:$AL$56),0)),IF($P$291&gt;=O267,INDEX('Spell Tables'!$AN$26:$AN$35,MATCH(O267,('Spell Tables'!$AL$26:$AL$35),0)),IF($P$293&gt;=O267,INDEX('Spell Tables'!$AN$2:$AN$8,MATCH(O267,('Spell Tables'!$AL$2:$AL$8),0))," ")))))</f>
        <v xml:space="preserve"> </v>
      </c>
      <c r="R300" s="60" t="str">
        <f ca="1">IF($Q$275&gt;=O267,INDEX($AL$116:$AL$125,MATCH(O267,($AJ$116:$AJ$125),0)),IF($Q$279&gt;=O267,INDEX('Spell Tables'!$AR$168:$AR$175,MATCH(O267,('Spell Tables'!$AP$168:$AP$175),0)),IF($Q$289&gt;=O267,INDEX('Spell Tables'!$AR$48:$AR$52,MATCH(O267,('Spell Tables'!$AP$48:$AP$52),0)),IF($Q$291&gt;=O267,INDEX('Spell Tables'!$AR$26:$AR$33,MATCH(O267,('Spell Tables'!$AP$26:$AP$33),0)),IF($Q$293&gt;=O267,INDEX('Spell Tables'!$AR$2:$AR$11,MATCH(O267,('Spell Tables'!$AL$2:$AL$11),0))," ")))))</f>
        <v xml:space="preserve"> </v>
      </c>
      <c r="S300" s="60" t="str">
        <f ca="1">IF($R$275&gt;=O267,INDEX($AL$128:$AL$137,MATCH(O267,($AJ$128:$AJ$137),0)),IF($R$279&gt;=O267,INDEX('Spell Tables'!$AV$168:$AV$172,MATCH(O267,('Spell Tables'!$AT$168:$AT$172),0)),IF($R$289&gt;=O267,INDEX('Spell Tables'!$AV$48:$AV$54,MATCH(O267,('Spell Tables'!$AT$48:$AT$54),0)),IF($R$291&gt;=O267,INDEX('Spell Tables'!$AV$26:$AV$29,MATCH(O267,('Spell Tables'!$AT$26:$AT$29),0)),IF($R$293&gt;=O267,INDEX('Spell Tables'!$AV$2:$AV$6,MATCH(O267,('Spell Tables'!$AT$2:$AT$6),0))," ")))))</f>
        <v xml:space="preserve"> </v>
      </c>
      <c r="T300" s="63" t="str">
        <f ca="1">IF($S$289&gt;=O267,INDEX($AL$140:$AL$149,MATCH(O267,($AJ$140:$AJ$149),0)),IF($S$275&gt;=O267,INDEX('Spell Tables'!$AZ$242:$AZ$253,MATCH(O267,('Spell Tables'!$AX$242:$AX$253),0)),IF($S$279&gt;=O267,INDEX('Spell Tables'!$AZ$168:$AZ$172,MATCH(O267,('Spell Tables'!$AX$168:$AX$172),0)),IF($S$291&gt;=O267,INDEX('Spell Tables'!$AZ$26:$AZ$29,MATCH(O267,('Spell Tables'!$AX$26:$AX$29),0)),IF($S$293&gt;=O267,INDEX('Spell Tables'!$AZ$2:$AZ$5,MATCH(O267,('Spell Tables'!$AX$2:$AX$5),0))," ")))))</f>
        <v xml:space="preserve"> </v>
      </c>
    </row>
    <row r="301" spans="14:20" x14ac:dyDescent="0.3">
      <c r="N301" s="72"/>
      <c r="O301" s="86">
        <v>7</v>
      </c>
      <c r="P301" s="65" t="str">
        <f ca="1">IF(AND($Q$15="Otherworldly patron - great old one",O$277&gt;=O199),INDEX('Spell Tables'!$AJ$226:$AJ$231,MATCH(O199,('Spell Tables'!$AH$226:$AH$231),0)),IF(AND($Q$15="Otherworldly patron - fiend",O$277&gt;=O199),INDEX('Spell Tables'!$AJ$210:$AJ$215,MATCH(O199,('Spell Tables'!$AH$210:$AH$215),0)),IF(AND($Q$15="Otherworldly patron - archfey",O$277&gt;=O199),INDEX('Spell Tables'!$AJ$194:$AJ$199,MATCH(O199,('Spell Tables'!$AH$194:$AH$199),0)),IF($O$275&gt;=O199,INDEX($AL$92:$AL$101,MATCH(O199,($AJ$92:$AJ$101),0)),IF($O$279&gt;=O199,INDEX('Spell Tables'!$AJ$168:$AJ$178,MATCH(O199,('Spell Tables'!$AH$168:$AH$178),0)),IF($O$283&gt;=O199,INDEX('Spell Tables'!$AF$119:$AF$122,MATCH(O199,('Spell Tables'!$AD$119:$AD$122),0)),IF($O$285&gt;=O199,INDEX('Spell Tables'!$AF$97:$AF$102,MATCH(O199,('Spell Tables'!$AD$97:$AD$102),0)),IF($O$289&gt;=O199,INDEX('Spell Tables'!$AJ$48:$AJ$61,MATCH(O199,('Spell Tables'!$AH$48:$AH$61),0)),IF($O$291&gt;=O199,INDEX('Spell Tables'!$AJ$26:$AJ$38,MATCH(O199,('Spell Tables'!$AH$26:$AH$38),0)),IF($O$293&gt;=O199,INDEX('Spell Tables'!$AJ$2:$AJ$17,MATCH(O199,('Spell Tables'!$AH$2:$AH$17),0))," "))))))))))</f>
        <v xml:space="preserve"> </v>
      </c>
      <c r="Q301" s="65" t="str">
        <f ca="1">IF($P$275&gt;=O268,INDEX($AL$104:$AL$113,MATCH(O268,($AJ$104:$AJ$113),0)),IF($P$279&gt;=O268,INDEX('Spell Tables'!$AN$168:$AN$177,MATCH(O268,('Spell Tables'!$AL$168:$AL$177),0)),IF($P$289&gt;=O268,INDEX('Spell Tables'!$AN$48:$AN$56,MATCH(O268,('Spell Tables'!$AL$48:$AL$56),0)),IF($P$291&gt;=O268,INDEX('Spell Tables'!$AN$26:$AN$35,MATCH(O268,('Spell Tables'!$AL$26:$AL$35),0)),IF($P$293&gt;=O268,INDEX('Spell Tables'!$AN$2:$AN$8,MATCH(O268,('Spell Tables'!$AL$2:$AL$8),0))," ")))))</f>
        <v xml:space="preserve"> </v>
      </c>
      <c r="R301" s="65" t="str">
        <f ca="1">IF($Q$275&gt;=O268,INDEX($AL$116:$AL$125,MATCH(O268,($AJ$116:$AJ$125),0)),IF($Q$279&gt;=O268,INDEX('Spell Tables'!$AR$168:$AR$175,MATCH(O268,('Spell Tables'!$AP$168:$AP$175),0)),IF($Q$289&gt;=O268,INDEX('Spell Tables'!$AR$48:$AR$52,MATCH(O268,('Spell Tables'!$AP$48:$AP$52),0)),IF($Q$291&gt;=O268,INDEX('Spell Tables'!$AR$26:$AR$33,MATCH(O268,('Spell Tables'!$AP$26:$AP$33),0)),IF($Q$293&gt;=O268,INDEX('Spell Tables'!$AR$2:$AR$11,MATCH(O268,('Spell Tables'!$AL$2:$AL$11),0))," ")))))</f>
        <v xml:space="preserve"> </v>
      </c>
      <c r="S301" s="65" t="str">
        <f ca="1">IF($R$275&gt;=O268,INDEX($AL$128:$AL$137,MATCH(O268,($AJ$128:$AJ$137),0)),IF($R$279&gt;=O268,INDEX('Spell Tables'!$AV$168:$AV$172,MATCH(O268,('Spell Tables'!$AT$168:$AT$172),0)),IF($R$289&gt;=O268,INDEX('Spell Tables'!$AV$48:$AV$54,MATCH(O268,('Spell Tables'!$AT$48:$AT$54),0)),IF($R$291&gt;=O268,INDEX('Spell Tables'!$AV$26:$AV$29,MATCH(O268,('Spell Tables'!$AT$26:$AT$29),0)),IF($R$293&gt;=O268,INDEX('Spell Tables'!$AV$2:$AV$6,MATCH(O268,('Spell Tables'!$AT$2:$AT$6),0))," ")))))</f>
        <v xml:space="preserve"> </v>
      </c>
      <c r="T301" s="66" t="str">
        <f ca="1">IF($S$289&gt;=O268,INDEX($AL$140:$AL$149,MATCH(O268,($AJ$140:$AJ$149),0)),IF($S$275&gt;=O268,INDEX('Spell Tables'!$AZ$242:$AZ$253,MATCH(O268,('Spell Tables'!$AX$242:$AX$253),0)),IF($S$279&gt;=O268,INDEX('Spell Tables'!$AZ$168:$AZ$172,MATCH(O268,('Spell Tables'!$AX$168:$AX$172),0)),IF($S$291&gt;=O268,INDEX('Spell Tables'!$AZ$26:$AZ$29,MATCH(O268,('Spell Tables'!$AX$26:$AX$29),0)),IF($S$293&gt;=O268,INDEX('Spell Tables'!$AZ$2:$AZ$5,MATCH(O268,('Spell Tables'!$AX$2:$AX$5),0))," ")))))</f>
        <v xml:space="preserve"> </v>
      </c>
    </row>
    <row r="302" spans="14:20" x14ac:dyDescent="0.3">
      <c r="N302" s="72"/>
      <c r="O302" s="133">
        <v>8</v>
      </c>
      <c r="P302" s="60" t="str">
        <f ca="1">IF(AND($Q$15="Otherworldly patron - great old one",O$277&gt;=O200),INDEX('Spell Tables'!$AJ$226:$AJ$231,MATCH(O200,('Spell Tables'!$AH$226:$AH$231),0)),IF(AND($Q$15="Otherworldly patron - fiend",O$277&gt;=O200),INDEX('Spell Tables'!$AJ$210:$AJ$215,MATCH(O200,('Spell Tables'!$AH$210:$AH$215),0)),IF(AND($Q$15="Otherworldly patron - archfey",O$277&gt;=O200),INDEX('Spell Tables'!$AJ$194:$AJ$199,MATCH(O200,('Spell Tables'!$AH$194:$AH$199),0)),IF($O$275&gt;=O200,INDEX($AL$92:$AL$101,MATCH(O200,($AJ$92:$AJ$101),0)),IF($O$279&gt;=O200,INDEX('Spell Tables'!$AJ$168:$AJ$178,MATCH(O200,('Spell Tables'!$AH$168:$AH$178),0)),IF($O$283&gt;=O200,INDEX('Spell Tables'!$AF$119:$AF$122,MATCH(O200,('Spell Tables'!$AD$119:$AD$122),0)),IF($O$285&gt;=O200,INDEX('Spell Tables'!$AF$97:$AF$102,MATCH(O200,('Spell Tables'!$AD$97:$AD$102),0)),IF($O$289&gt;=O200,INDEX('Spell Tables'!$AJ$48:$AJ$61,MATCH(O200,('Spell Tables'!$AH$48:$AH$61),0)),IF($O$291&gt;=O200,INDEX('Spell Tables'!$AJ$26:$AJ$38,MATCH(O200,('Spell Tables'!$AH$26:$AH$38),0)),IF($O$293&gt;=O200,INDEX('Spell Tables'!$AJ$2:$AJ$17,MATCH(O200,('Spell Tables'!$AH$2:$AH$17),0))," "))))))))))</f>
        <v xml:space="preserve"> </v>
      </c>
      <c r="Q302" s="60" t="str">
        <f ca="1">IF($P$275&gt;=O269,INDEX($AL$104:$AL$113,MATCH(O269,($AJ$104:$AJ$113),0)),IF($P$279&gt;=O269,INDEX('Spell Tables'!$AN$168:$AN$177,MATCH(O269,('Spell Tables'!$AL$168:$AL$177),0)),IF($P$289&gt;=O269,INDEX('Spell Tables'!$AN$48:$AN$56,MATCH(O269,('Spell Tables'!$AL$48:$AL$56),0)),IF($P$291&gt;=O269,INDEX('Spell Tables'!$AN$26:$AN$35,MATCH(O269,('Spell Tables'!$AL$26:$AL$35),0)),IF($P$293&gt;=O269,INDEX('Spell Tables'!$AN$2:$AN$8,MATCH(O269,('Spell Tables'!$AL$2:$AL$8),0))," ")))))</f>
        <v xml:space="preserve"> </v>
      </c>
      <c r="R302" s="60" t="str">
        <f ca="1">IF($Q$275&gt;=O269,INDEX($AL$116:$AL$125,MATCH(O269,($AJ$116:$AJ$125),0)),IF($Q$279&gt;=O269,INDEX('Spell Tables'!$AR$168:$AR$175,MATCH(O269,('Spell Tables'!$AP$168:$AP$175),0)),IF($Q$289&gt;=O269,INDEX('Spell Tables'!$AR$48:$AR$52,MATCH(O269,('Spell Tables'!$AP$48:$AP$52),0)),IF($Q$291&gt;=O269,INDEX('Spell Tables'!$AR$26:$AR$33,MATCH(O269,('Spell Tables'!$AP$26:$AP$33),0)),IF($Q$293&gt;=O269,INDEX('Spell Tables'!$AR$2:$AR$11,MATCH(O269,('Spell Tables'!$AL$2:$AL$11),0))," ")))))</f>
        <v xml:space="preserve"> </v>
      </c>
      <c r="S302" s="60" t="str">
        <f ca="1">IF($R$275&gt;=O269,INDEX($AL$128:$AL$137,MATCH(O269,($AJ$128:$AJ$137),0)),IF($R$279&gt;=O269,INDEX('Spell Tables'!$AV$168:$AV$172,MATCH(O269,('Spell Tables'!$AT$168:$AT$172),0)),IF($R$289&gt;=O269,INDEX('Spell Tables'!$AV$48:$AV$54,MATCH(O269,('Spell Tables'!$AT$48:$AT$54),0)),IF($R$291&gt;=O269,INDEX('Spell Tables'!$AV$26:$AV$29,MATCH(O269,('Spell Tables'!$AT$26:$AT$29),0)),IF($R$293&gt;=O269,INDEX('Spell Tables'!$AV$2:$AV$6,MATCH(O269,('Spell Tables'!$AT$2:$AT$6),0))," ")))))</f>
        <v xml:space="preserve"> </v>
      </c>
      <c r="T302" s="63" t="str">
        <f ca="1">IF($S$289&gt;=O269,INDEX($AL$140:$AL$149,MATCH(O269,($AJ$140:$AJ$149),0)),IF($S$275&gt;=O269,INDEX('Spell Tables'!$AZ$242:$AZ$253,MATCH(O269,('Spell Tables'!$AX$242:$AX$253),0)),IF($S$279&gt;=O269,INDEX('Spell Tables'!$AZ$168:$AZ$172,MATCH(O269,('Spell Tables'!$AX$168:$AX$172),0)),IF($S$291&gt;=O269,INDEX('Spell Tables'!$AZ$26:$AZ$29,MATCH(O269,('Spell Tables'!$AX$26:$AX$29),0)),IF($S$293&gt;=O269,INDEX('Spell Tables'!$AZ$2:$AZ$5,MATCH(O269,('Spell Tables'!$AX$2:$AX$5),0))," ")))))</f>
        <v xml:space="preserve"> </v>
      </c>
    </row>
    <row r="303" spans="14:20" x14ac:dyDescent="0.3">
      <c r="N303" s="72"/>
      <c r="O303" s="86">
        <v>9</v>
      </c>
      <c r="P303" s="65" t="str">
        <f ca="1">IF(AND($Q$15="Otherworldly patron - great old one",O$277&gt;=O201),INDEX('Spell Tables'!$AJ$226:$AJ$231,MATCH(O201,('Spell Tables'!$AH$226:$AH$231),0)),IF(AND($Q$15="Otherworldly patron - fiend",O$277&gt;=O201),INDEX('Spell Tables'!$AJ$210:$AJ$215,MATCH(O201,('Spell Tables'!$AH$210:$AH$215),0)),IF(AND($Q$15="Otherworldly patron - archfey",O$277&gt;=O201),INDEX('Spell Tables'!$AJ$194:$AJ$199,MATCH(O201,('Spell Tables'!$AH$194:$AH$199),0)),IF($O$275&gt;=O201,INDEX($AL$92:$AL$101,MATCH(O201,($AJ$92:$AJ$101),0)),IF($O$279&gt;=O201,INDEX('Spell Tables'!$AJ$168:$AJ$178,MATCH(O201,('Spell Tables'!$AH$168:$AH$178),0)),IF($O$283&gt;=O201,INDEX('Spell Tables'!$AF$119:$AF$122,MATCH(O201,('Spell Tables'!$AD$119:$AD$122),0)),IF($O$285&gt;=O201,INDEX('Spell Tables'!$AF$97:$AF$102,MATCH(O201,('Spell Tables'!$AD$97:$AD$102),0)),IF($O$289&gt;=O201,INDEX('Spell Tables'!$AJ$48:$AJ$61,MATCH(O201,('Spell Tables'!$AH$48:$AH$61),0)),IF($O$291&gt;=O201,INDEX('Spell Tables'!$AJ$26:$AJ$38,MATCH(O201,('Spell Tables'!$AH$26:$AH$38),0)),IF($O$293&gt;=O201,INDEX('Spell Tables'!$AJ$2:$AJ$17,MATCH(O201,('Spell Tables'!$AH$2:$AH$17),0))," "))))))))))</f>
        <v xml:space="preserve"> </v>
      </c>
      <c r="Q303" s="65" t="str">
        <f ca="1">IF($P$275&gt;=O270,INDEX($AL$104:$AL$113,MATCH(O270,($AJ$104:$AJ$113),0)),IF($P$279&gt;=O270,INDEX('Spell Tables'!$AN$168:$AN$177,MATCH(O270,('Spell Tables'!$AL$168:$AL$177),0)),IF($P$289&gt;=O270,INDEX('Spell Tables'!$AN$48:$AN$56,MATCH(O270,('Spell Tables'!$AL$48:$AL$56),0)),IF($P$291&gt;=O270,INDEX('Spell Tables'!$AN$26:$AN$35,MATCH(O270,('Spell Tables'!$AL$26:$AL$35),0)),IF($P$293&gt;=O270,INDEX('Spell Tables'!$AN$2:$AN$8,MATCH(O270,('Spell Tables'!$AL$2:$AL$8),0))," ")))))</f>
        <v xml:space="preserve"> </v>
      </c>
      <c r="R303" s="65" t="str">
        <f ca="1">IF($Q$275&gt;=O270,INDEX($AL$116:$AL$125,MATCH(O270,($AJ$116:$AJ$125),0)),IF($Q$279&gt;=O270,INDEX('Spell Tables'!$AR$168:$AR$175,MATCH(O270,('Spell Tables'!$AP$168:$AP$175),0)),IF($Q$289&gt;=O270,INDEX('Spell Tables'!$AR$48:$AR$52,MATCH(O270,('Spell Tables'!$AP$48:$AP$52),0)),IF($Q$291&gt;=O270,INDEX('Spell Tables'!$AR$26:$AR$33,MATCH(O270,('Spell Tables'!$AP$26:$AP$33),0)),IF($Q$293&gt;=O270,INDEX('Spell Tables'!$AR$2:$AR$11,MATCH(O270,('Spell Tables'!$AL$2:$AL$11),0))," ")))))</f>
        <v xml:space="preserve"> </v>
      </c>
      <c r="S303" s="65" t="str">
        <f ca="1">IF($R$275&gt;=O270,INDEX($AL$128:$AL$137,MATCH(O270,($AJ$128:$AJ$137),0)),IF($R$279&gt;=O270,INDEX('Spell Tables'!$AV$168:$AV$172,MATCH(O270,('Spell Tables'!$AT$168:$AT$172),0)),IF($R$289&gt;=O270,INDEX('Spell Tables'!$AV$48:$AV$54,MATCH(O270,('Spell Tables'!$AT$48:$AT$54),0)),IF($R$291&gt;=O270,INDEX('Spell Tables'!$AV$26:$AV$29,MATCH(O270,('Spell Tables'!$AT$26:$AT$29),0)),IF($R$293&gt;=O270,INDEX('Spell Tables'!$AV$2:$AV$6,MATCH(O270,('Spell Tables'!$AT$2:$AT$6),0))," ")))))</f>
        <v xml:space="preserve"> </v>
      </c>
      <c r="T303" s="66" t="str">
        <f ca="1">IF($S$289&gt;=O270,INDEX($AL$140:$AL$149,MATCH(O270,($AJ$140:$AJ$149),0)),IF($S$275&gt;=O270,INDEX('Spell Tables'!$AZ$242:$AZ$253,MATCH(O270,('Spell Tables'!$AX$242:$AX$253),0)),IF($S$279&gt;=O270,INDEX('Spell Tables'!$AZ$168:$AZ$172,MATCH(O270,('Spell Tables'!$AX$168:$AX$172),0)),IF($S$291&gt;=O270,INDEX('Spell Tables'!$AZ$26:$AZ$29,MATCH(O270,('Spell Tables'!$AX$26:$AX$29),0)),IF($S$293&gt;=O270,INDEX('Spell Tables'!$AZ$2:$AZ$5,MATCH(O270,('Spell Tables'!$AX$2:$AX$5),0))," ")))))</f>
        <v xml:space="preserve"> </v>
      </c>
    </row>
    <row r="304" spans="14:20" ht="19.5" thickBot="1" x14ac:dyDescent="0.35">
      <c r="N304" s="72"/>
      <c r="O304" s="134">
        <v>10</v>
      </c>
      <c r="P304" s="67" t="str">
        <f ca="1">IF(AND($Q$15="Otherworldly patron - great old one",O$277&gt;=O202),INDEX('Spell Tables'!$AJ$226:$AJ$231,MATCH(O202,('Spell Tables'!$AH$226:$AH$231),0)),IF(AND($Q$15="Otherworldly patron - fiend",O$277&gt;=O202),INDEX('Spell Tables'!$AJ$210:$AJ$215,MATCH(O202,('Spell Tables'!$AH$210:$AH$215),0)),IF(AND($Q$15="Otherworldly patron - archfey",O$277&gt;=O202),INDEX('Spell Tables'!$AJ$194:$AJ$199,MATCH(O202,('Spell Tables'!$AH$194:$AH$199),0)),IF($O$275&gt;=O202,INDEX($AL$92:$AL$101,MATCH(O202,($AJ$92:$AJ$101),0)),IF($O$279&gt;=O202,INDEX('Spell Tables'!$AJ$168:$AJ$178,MATCH(O202,('Spell Tables'!$AH$168:$AH$178),0)),IF($O$283&gt;=O202,INDEX('Spell Tables'!$AF$119:$AF$122,MATCH(O202,('Spell Tables'!$AD$119:$AD$122),0)),IF($O$285&gt;=O202,INDEX('Spell Tables'!$AF$97:$AF$102,MATCH(O202,('Spell Tables'!$AD$97:$AD$102),0)),IF($O$289&gt;=O202,INDEX('Spell Tables'!$AJ$48:$AJ$61,MATCH(O202,('Spell Tables'!$AH$48:$AH$61),0)),IF($O$291&gt;=O202,INDEX('Spell Tables'!$AJ$26:$AJ$38,MATCH(O202,('Spell Tables'!$AH$26:$AH$38),0)),IF($O$293&gt;=O202,INDEX('Spell Tables'!$AJ$2:$AJ$17,MATCH(O202,('Spell Tables'!$AH$2:$AH$17),0))," "))))))))))</f>
        <v xml:space="preserve"> </v>
      </c>
      <c r="Q304" s="67" t="str">
        <f ca="1">IF($P$275&gt;=O271,INDEX($AL$104:$AL$113,MATCH(O271,($AJ$104:$AJ$113),0)),IF($P$279&gt;=O271,INDEX('Spell Tables'!$AN$168:$AN$177,MATCH(O271,('Spell Tables'!$AL$168:$AL$177),0)),IF($P$289&gt;=O271,INDEX('Spell Tables'!$AN$48:$AN$56,MATCH(O271,('Spell Tables'!$AL$48:$AL$56),0)),IF($P$291&gt;=O271,INDEX('Spell Tables'!$AN$26:$AN$35,MATCH(O271,('Spell Tables'!$AL$26:$AL$35),0)),IF($P$293&gt;=O271,INDEX('Spell Tables'!$AN$2:$AN$8,MATCH(O271,('Spell Tables'!$AL$2:$AL$8),0))," ")))))</f>
        <v xml:space="preserve"> </v>
      </c>
      <c r="R304" s="67" t="str">
        <f ca="1">IF($Q$275&gt;=O271,INDEX($AL$116:$AL$125,MATCH(O271,($AJ$116:$AJ$125),0)),IF($Q$279&gt;=O271,INDEX('Spell Tables'!$AR$168:$AR$175,MATCH(O271,('Spell Tables'!$AP$168:$AP$175),0)),IF($Q$289&gt;=O271,INDEX('Spell Tables'!$AR$48:$AR$52,MATCH(O271,('Spell Tables'!$AP$48:$AP$52),0)),IF($Q$291&gt;=O271,INDEX('Spell Tables'!$AR$26:$AR$33,MATCH(O271,('Spell Tables'!$AP$26:$AP$33),0)),IF($Q$293&gt;=O271,INDEX('Spell Tables'!$AR$2:$AR$11,MATCH(O271,('Spell Tables'!$AL$2:$AL$11),0))," ")))))</f>
        <v xml:space="preserve"> </v>
      </c>
      <c r="S304" s="67" t="str">
        <f ca="1">IF($R$275&gt;=O271,INDEX($AL$128:$AL$137,MATCH(O271,($AJ$128:$AJ$137),0)),IF($R$279&gt;=O271,INDEX('Spell Tables'!$AV$168:$AV$172,MATCH(O271,('Spell Tables'!$AT$168:$AT$172),0)),IF($R$289&gt;=O271,INDEX('Spell Tables'!$AV$48:$AV$54,MATCH(O271,('Spell Tables'!$AT$48:$AT$54),0)),IF($R$291&gt;=O271,INDEX('Spell Tables'!$AV$26:$AV$29,MATCH(O271,('Spell Tables'!$AT$26:$AT$29),0)),IF($R$293&gt;=O271,INDEX('Spell Tables'!$AV$2:$AV$6,MATCH(O271,('Spell Tables'!$AT$2:$AT$6),0))," ")))))</f>
        <v xml:space="preserve"> </v>
      </c>
      <c r="T304" s="68" t="str">
        <f ca="1">IF($S$289&gt;=O271,INDEX($AL$140:$AL$149,MATCH(O271,($AJ$140:$AJ$149),0)),IF($S$275&gt;=O271,INDEX('Spell Tables'!$AZ$242:$AZ$253,MATCH(O271,('Spell Tables'!$AX$242:$AX$253),0)),IF($S$279&gt;=O271,INDEX('Spell Tables'!$AZ$168:$AZ$172,MATCH(O271,('Spell Tables'!$AX$168:$AX$172),0)),IF($S$291&gt;=O271,INDEX('Spell Tables'!$AZ$26:$AZ$29,MATCH(O271,('Spell Tables'!$AX$26:$AX$29),0)),IF($S$293&gt;=O271,INDEX('Spell Tables'!$AZ$2:$AZ$5,MATCH(O271,('Spell Tables'!$AX$2:$AX$5),0))," ")))))</f>
        <v xml:space="preserve"> </v>
      </c>
    </row>
    <row r="305" spans="2:20" ht="19.5" thickBot="1" x14ac:dyDescent="0.35"/>
    <row r="306" spans="2:20" ht="30.75" thickBot="1" x14ac:dyDescent="0.45">
      <c r="B306" s="105" t="s">
        <v>1271</v>
      </c>
    </row>
    <row r="307" spans="2:20" ht="19.5" hidden="1" thickBot="1" x14ac:dyDescent="0.35">
      <c r="P307" s="29" t="s">
        <v>1166</v>
      </c>
      <c r="Q307" s="29" t="s">
        <v>1167</v>
      </c>
      <c r="R307" s="29" t="s">
        <v>1168</v>
      </c>
      <c r="S307" s="29" t="s">
        <v>676</v>
      </c>
    </row>
    <row r="308" spans="2:20" ht="19.5" hidden="1" thickBot="1" x14ac:dyDescent="0.35">
      <c r="B308" s="29" t="s">
        <v>1270</v>
      </c>
      <c r="O308" s="29" t="s">
        <v>530</v>
      </c>
      <c r="P308" s="29" t="str">
        <f ca="1">IF(AND(O11="wizard",O12&gt;=3),"x",IF(O11="wizard","xx"," "))</f>
        <v xml:space="preserve"> </v>
      </c>
      <c r="Q308" s="29" t="str">
        <f ca="1">IF(AND(O11="wizard",O12&gt;=9),"xxxx",IF(AND(O11="wizard",O12&gt;=5),"x",IF(AND($O$11="wizard",$O$12&gt;3),"xx",IF(AND(O11="wizard",O12=3),"xxx"," "))))</f>
        <v xml:space="preserve"> </v>
      </c>
      <c r="R308" s="29" t="str">
        <f ca="1">IF(AND(O11="wizard",O12&gt;=11),"xxxx",IF(AND(O11="wizard",O12&gt;=7),"x",IF(AND($O$11="wizard",$O$12&gt;5),"xx",IF(AND(O11="wizard",O12=5),"xxx"," "))))</f>
        <v xml:space="preserve"> </v>
      </c>
      <c r="S308" s="29" t="str">
        <f ca="1">IF(AND(O11="wizard",O12&gt;=13),"xxxx",IF(AND(O11="wizard",O12&gt;=9),"x",IF(AND($O$11="wizard",$O$12&gt;7),"xx",IF(AND(O11="wizard",O12=7),"xxx"," "))))</f>
        <v xml:space="preserve"> </v>
      </c>
    </row>
    <row r="309" spans="2:20" ht="19.5" hidden="1" thickBot="1" x14ac:dyDescent="0.35">
      <c r="B309" s="29" t="s">
        <v>1271</v>
      </c>
      <c r="O309" s="29" t="str">
        <f ca="1">IF(O11="wizard",((O12-1)*2)+6," ")</f>
        <v xml:space="preserve"> </v>
      </c>
      <c r="P309" s="29">
        <f ca="1">IF(AND(O11="wizard",O12=2),O309,IF(AND(O11="wizard",O12=1),$O$309,IF(AND(O11="wizard",O12&gt;=3),MAX(8,O309-SUM(U216:X216)),0)))</f>
        <v>0</v>
      </c>
      <c r="Q309" s="29">
        <f ca="1">IF(Q$308="xxxx",MAX(R173,(RANDBETWEEN(5,6))),IF(Q308="x",MAX(R173,(RANDBETWEEN(3,6))),IF(Q308="xx",MAX(R173,(RANDBETWEEN(2,4))),IF(Q308="xxx",MAX(R173,(2)),0))))</f>
        <v>0</v>
      </c>
      <c r="R309" s="29">
        <f ca="1">IF($R308="xxxx",MAX(S173,(RANDBETWEEN(5,6))),IF(R308="x",MAX(S173,(RANDBETWEEN(3,6))),IF(R308="xx",MAX(S173,(RANDBETWEEN(2,4))),IF(R308="xxx",MAX(S173,(2)),0))))</f>
        <v>0</v>
      </c>
      <c r="S309" s="29">
        <f ca="1">IF(S$308="xxxx",MAX(T173,(RANDBETWEEN(5,6))),IF(S308="x",MAX(T173,(RANDBETWEEN(3,6))),IF(S308="xx",MAX(T173,(RANDBETWEEN(2,4))),IF(S308="xxx",MAX(T173,(2)),0))))</f>
        <v>0</v>
      </c>
    </row>
    <row r="310" spans="2:20" ht="19.5" hidden="1" thickBot="1" x14ac:dyDescent="0.35">
      <c r="P310" s="98" t="s">
        <v>1166</v>
      </c>
      <c r="Q310" s="98" t="s">
        <v>1167</v>
      </c>
      <c r="R310" s="98" t="s">
        <v>1168</v>
      </c>
      <c r="S310" s="98" t="s">
        <v>676</v>
      </c>
    </row>
    <row r="311" spans="2:20" ht="19.5" hidden="1" thickBot="1" x14ac:dyDescent="0.35">
      <c r="P311" s="98" t="str">
        <f ca="1">IF(AND(Q11="wizard",Q12&gt;=3),"x",IF(Q11="wizard","xx"," "))</f>
        <v xml:space="preserve"> </v>
      </c>
      <c r="Q311" s="98" t="str">
        <f ca="1">IF(AND(Q11="wizard",Q12&gt;=9),"xxxx",IF(AND(Q11="wizard",Q12&gt;=5),"x",IF(AND($Q$11="wizard",$Q$12&gt;3),"xx",IF(AND(Q11="wizard",Q12=3),"xxx"," "))))</f>
        <v xml:space="preserve"> </v>
      </c>
      <c r="R311" s="98" t="str">
        <f ca="1">IF(AND(Q11="wizard",Q12&gt;=11),"xxxx",IF(AND(Q11="wizard",Q12&gt;=7),"x",IF(AND($Q$11="wizard",$Q$12&gt;5),"xx",IF(AND(Q11="wizard",Q12=5),"xxx"," "))))</f>
        <v xml:space="preserve"> </v>
      </c>
      <c r="S311" s="98" t="str">
        <f ca="1">IF(AND(Q11="wizard",Q12&gt;=13),"xxxx",IF(AND(Q11="wizard",Q12&gt;=9),"x",IF(AND($Q$11="wizard",$Q$12&gt;7),"xx",IF(AND(Q11="wizard",Q12=7),"xxx"," "))))</f>
        <v xml:space="preserve"> </v>
      </c>
    </row>
    <row r="312" spans="2:20" ht="19.5" hidden="1" thickBot="1" x14ac:dyDescent="0.35">
      <c r="P312" s="98">
        <f ca="1">IF(AND(Q11="wizard",Q12=2),AK41,IF(AND(Q11="wizard",Q12=1),$AK$41,IF(AND(Q11="wizard",Q12&gt;=3),MAX(8,AK41-SUM(U219:X219)),0)))</f>
        <v>0</v>
      </c>
      <c r="Q312" s="98">
        <f ca="1">IF(Q$311="xxxx",MAX(R242,(RANDBETWEEN(5,6))),IF(Q311="x",MAX(R242,(RANDBETWEEN(3,6))),IF(Q311="xx",MAX(R242,(RANDBETWEEN(2,4))),IF(Q311="xxx",MAX(R242,(2)),0))))</f>
        <v>0</v>
      </c>
      <c r="R312" s="98">
        <f ca="1">IF($R311="xxxx",MAX(S242,(RANDBETWEEN(5,6))),IF(R311="x",MAX(S242,(RANDBETWEEN(3,6))),IF(R311="xx",MAX(S242,(RANDBETWEEN(2,4))),IF(R311="xxx",MAX(S242,(2)),0))))</f>
        <v>0</v>
      </c>
      <c r="S312" s="98">
        <f ca="1">IF(S$311="xxxx",MAX(T242,(RANDBETWEEN(5,6))),IF(S311="x",MAX(T242,(RANDBETWEEN(3,6))),IF(S311="xx",MAX(T242,(RANDBETWEEN(2,4))),IF(S311="xxx",MAX(T242,(2)),0))))</f>
        <v>0</v>
      </c>
    </row>
    <row r="313" spans="2:20" ht="19.5" hidden="1" thickBot="1" x14ac:dyDescent="0.35"/>
    <row r="314" spans="2:20" x14ac:dyDescent="0.3">
      <c r="B314" s="79"/>
      <c r="C314" s="27"/>
      <c r="D314" s="27"/>
      <c r="E314" s="27"/>
      <c r="F314" s="27"/>
      <c r="G314" s="27"/>
      <c r="H314" s="27"/>
      <c r="I314" s="27"/>
      <c r="J314" s="27"/>
      <c r="K314" s="27"/>
      <c r="L314" s="27"/>
      <c r="M314" s="27"/>
      <c r="N314" s="27"/>
      <c r="O314" s="27"/>
      <c r="P314" s="76" t="s">
        <v>1124</v>
      </c>
      <c r="Q314" s="76" t="s">
        <v>1166</v>
      </c>
      <c r="R314" s="76" t="s">
        <v>1167</v>
      </c>
      <c r="S314" s="76" t="s">
        <v>1168</v>
      </c>
      <c r="T314" s="77" t="s">
        <v>676</v>
      </c>
    </row>
    <row r="315" spans="2:20" x14ac:dyDescent="0.3">
      <c r="B315" s="79"/>
      <c r="C315" s="33"/>
      <c r="D315" s="33"/>
      <c r="E315" s="33"/>
      <c r="F315" s="33"/>
      <c r="G315" s="33"/>
      <c r="H315" s="33"/>
      <c r="I315" s="33"/>
      <c r="J315" s="33"/>
      <c r="K315" s="33"/>
      <c r="L315" s="33"/>
      <c r="M315" s="33"/>
      <c r="N315" s="33"/>
      <c r="O315" s="34">
        <v>1</v>
      </c>
      <c r="P315" s="33" t="str">
        <f t="shared" ref="P315:P324" ca="1" si="67">IF($O$11="wizard",P193,IF($Q$11="wizard",P262," "))</f>
        <v xml:space="preserve"> </v>
      </c>
      <c r="Q315" s="33" t="str">
        <f ca="1">IF(AND($O$11="wizard",$P$309&gt;=O315),INDEX('Spell Tables'!$T$242:$T$271,MATCH(1,(O315:O324),0)),IF(AND($Q$11="wizard",$P$312&gt;=O315),INDEX('Spell Tables'!$T$242:$T$271,MATCH(O315,('Spell Tables'!$R$242:$R$271),0))," "))</f>
        <v xml:space="preserve"> </v>
      </c>
      <c r="R315" s="33" t="str">
        <f ca="1">IF($Q$309&gt;=O315,INDEX('Spell Tables'!$X$242:$X$275,MATCH(O315,('Spell Tables'!$V$242:$V$275),0)),IF(AND($Q$11="wizard",$Q$312&gt;=O315),INDEX('Spell Tables'!$X$242:$X$275,MATCH(O315,('Spell Tables'!$V$242:$V$275),0))," "))</f>
        <v xml:space="preserve"> </v>
      </c>
      <c r="S315" s="33" t="str">
        <f ca="1">IF($R$309&gt;=O315,INDEX('Spell Tables'!$AB$242:$AB$270,MATCH(O315,('Spell Tables'!$Z$242:$Z$270),0)),IF(AND($Q$11="wizard",$R$312&gt;=O315),INDEX('Spell Tables'!$AB$242:$AB$270,MATCH(O315,('Spell Tables'!$Z$242:$Z$270),0))," "))</f>
        <v xml:space="preserve"> </v>
      </c>
      <c r="T315" s="72" t="str">
        <f ca="1">IF($S$309&gt;=O315,INDEX('Spell Tables'!$AF$242:$AF$264,MATCH(O315,('Spell Tables'!$AD$242:$AD$264),0)),IF(AND($Q$11="wizard",$S$312&gt;=O315),INDEX('Spell Tables'!$AF$242:$AF$264,MATCH(O315,('Spell Tables'!$AD$242:$AD$264),0))," "))</f>
        <v xml:space="preserve"> </v>
      </c>
    </row>
    <row r="316" spans="2:20" x14ac:dyDescent="0.3">
      <c r="B316" s="79"/>
      <c r="C316" s="33"/>
      <c r="D316" s="33"/>
      <c r="E316" s="33"/>
      <c r="F316" s="33"/>
      <c r="G316" s="33"/>
      <c r="H316" s="33"/>
      <c r="I316" s="33"/>
      <c r="J316" s="33"/>
      <c r="K316" s="33"/>
      <c r="L316" s="33"/>
      <c r="M316" s="33"/>
      <c r="N316" s="33"/>
      <c r="O316" s="34">
        <v>2</v>
      </c>
      <c r="P316" s="33" t="str">
        <f t="shared" ca="1" si="67"/>
        <v xml:space="preserve"> </v>
      </c>
      <c r="Q316" s="33" t="str">
        <f ca="1">IF(AND($O$11="wizard",$P$309&gt;=O316),INDEX('Spell Tables'!$T$242:$T$271,MATCH(O316,('Spell Tables'!$R$242:$R$271),0)),IF(AND($Q$11="wizard",$P$312&gt;=O316),INDEX('Spell Tables'!$T$242:$T$271,MATCH(O316,('Spell Tables'!$R$242:$R$271),0))," "))</f>
        <v xml:space="preserve"> </v>
      </c>
      <c r="R316" s="33" t="str">
        <f ca="1">IF($Q$309&gt;=O316,INDEX('Spell Tables'!$X$242:$X$275,MATCH(O316,('Spell Tables'!$V$242:$V$275),0)),IF(AND($Q$11="wizard",$Q$312&gt;=O316),INDEX('Spell Tables'!$X$242:$X$275,MATCH(O316,('Spell Tables'!$V$242:$V$275),0))," "))</f>
        <v xml:space="preserve"> </v>
      </c>
      <c r="S316" s="33" t="str">
        <f ca="1">IF($R$309&gt;=O316,INDEX('Spell Tables'!$AB$242:$AB$270,MATCH(O316,('Spell Tables'!$Z$242:$Z$270),0)),IF(AND($Q$11="wizard",$R$312&gt;=O316),INDEX('Spell Tables'!$AB$242:$AB$270,MATCH(O316,('Spell Tables'!$Z$242:$Z$270),0))," "))</f>
        <v xml:space="preserve"> </v>
      </c>
      <c r="T316" s="72" t="str">
        <f ca="1">IF($S$309&gt;=O316,INDEX('Spell Tables'!$AF$242:$AF$264,MATCH(O316,('Spell Tables'!$AD$242:$AD$264),0)),IF(AND($Q$11="wizard",$S$312&gt;=O316),INDEX('Spell Tables'!$AF$242:$AF$264,MATCH(O316,('Spell Tables'!$AD$242:$AD$264),0))," "))</f>
        <v xml:space="preserve"> </v>
      </c>
    </row>
    <row r="317" spans="2:20" x14ac:dyDescent="0.3">
      <c r="B317" s="79"/>
      <c r="C317" s="33"/>
      <c r="D317" s="33"/>
      <c r="E317" s="33"/>
      <c r="F317" s="33"/>
      <c r="G317" s="33"/>
      <c r="H317" s="33"/>
      <c r="I317" s="33"/>
      <c r="J317" s="33"/>
      <c r="K317" s="33"/>
      <c r="L317" s="33"/>
      <c r="M317" s="33"/>
      <c r="N317" s="33"/>
      <c r="O317" s="34">
        <v>3</v>
      </c>
      <c r="P317" s="33" t="str">
        <f t="shared" ca="1" si="67"/>
        <v xml:space="preserve"> </v>
      </c>
      <c r="Q317" s="33" t="str">
        <f ca="1">IF(AND($O$11="wizard",$P$309&gt;=O317),INDEX('Spell Tables'!$T$242:$T$271,MATCH(O317,('Spell Tables'!$R$242:$R$271),0)),IF(AND($Q$11="wizard",$P$312&gt;=O317),INDEX('Spell Tables'!$T$242:$T$271,MATCH(O317,('Spell Tables'!$R$242:$R$271),0))," "))</f>
        <v xml:space="preserve"> </v>
      </c>
      <c r="R317" s="33" t="str">
        <f ca="1">IF($Q$309&gt;=O317,INDEX('Spell Tables'!$X$242:$X$275,MATCH(O317,('Spell Tables'!$V$242:$V$275),0)),IF(AND($Q$11="wizard",$Q$312&gt;=O317),INDEX('Spell Tables'!$X$242:$X$275,MATCH(O317,('Spell Tables'!$V$242:$V$275),0))," "))</f>
        <v xml:space="preserve"> </v>
      </c>
      <c r="S317" s="33" t="str">
        <f ca="1">IF($R$309&gt;=O317,INDEX('Spell Tables'!$AB$242:$AB$270,MATCH(O317,('Spell Tables'!$Z$242:$Z$270),0)),IF(AND($Q$11="wizard",$R$312&gt;=O317),INDEX('Spell Tables'!$AB$242:$AB$270,MATCH(O317,('Spell Tables'!$Z$242:$Z$270),0))," "))</f>
        <v xml:space="preserve"> </v>
      </c>
      <c r="T317" s="72" t="str">
        <f ca="1">IF($S$309&gt;=O317,INDEX('Spell Tables'!$AF$242:$AF$264,MATCH(O317,('Spell Tables'!$AD$242:$AD$264),0)),IF(AND($Q$11="wizard",$S$312&gt;=O317),INDEX('Spell Tables'!$AF$242:$AF$264,MATCH(O317,('Spell Tables'!$AD$242:$AD$264),0))," "))</f>
        <v xml:space="preserve"> </v>
      </c>
    </row>
    <row r="318" spans="2:20" x14ac:dyDescent="0.3">
      <c r="B318" s="79"/>
      <c r="C318" s="33"/>
      <c r="D318" s="33"/>
      <c r="E318" s="33"/>
      <c r="F318" s="33"/>
      <c r="G318" s="33"/>
      <c r="H318" s="33"/>
      <c r="I318" s="33"/>
      <c r="J318" s="33"/>
      <c r="K318" s="33"/>
      <c r="L318" s="33"/>
      <c r="M318" s="33"/>
      <c r="N318" s="33"/>
      <c r="O318" s="34">
        <v>4</v>
      </c>
      <c r="P318" s="33" t="str">
        <f t="shared" ca="1" si="67"/>
        <v xml:space="preserve"> </v>
      </c>
      <c r="Q318" s="33" t="str">
        <f ca="1">IF(AND($O$11="wizard",$P$309&gt;=O318),INDEX('Spell Tables'!$T$242:$T$271,MATCH(O318,('Spell Tables'!$R$242:$R$271),0)),IF(AND($Q$11="wizard",$P$312&gt;=O318),INDEX('Spell Tables'!$T$242:$T$271,MATCH(O318,('Spell Tables'!$R$242:$R$271),0))," "))</f>
        <v xml:space="preserve"> </v>
      </c>
      <c r="R318" s="33" t="str">
        <f ca="1">IF($Q$309&gt;=O318,INDEX('Spell Tables'!$X$242:$X$275,MATCH(O318,('Spell Tables'!$V$242:$V$275),0)),IF(AND($Q$11="wizard",$Q$312&gt;=O318),INDEX('Spell Tables'!$X$242:$X$275,MATCH(O318,('Spell Tables'!$V$242:$V$275),0))," "))</f>
        <v xml:space="preserve"> </v>
      </c>
      <c r="S318" s="33" t="str">
        <f ca="1">IF($R$309&gt;=O318,INDEX('Spell Tables'!$AB$242:$AB$270,MATCH(O318,('Spell Tables'!$Z$242:$Z$270),0)),IF(AND($Q$11="wizard",$R$312&gt;=O318),INDEX('Spell Tables'!$AB$242:$AB$270,MATCH(O318,('Spell Tables'!$Z$242:$Z$270),0))," "))</f>
        <v xml:space="preserve"> </v>
      </c>
      <c r="T318" s="72" t="str">
        <f ca="1">IF($S$309&gt;=O318,INDEX('Spell Tables'!$AF$242:$AF$264,MATCH(O318,('Spell Tables'!$AD$242:$AD$264),0)),IF(AND($Q$11="wizard",$S$312&gt;=O318),INDEX('Spell Tables'!$AF$242:$AF$264,MATCH(O318,('Spell Tables'!$AD$242:$AD$264),0))," "))</f>
        <v xml:space="preserve"> </v>
      </c>
    </row>
    <row r="319" spans="2:20" x14ac:dyDescent="0.3">
      <c r="B319" s="79"/>
      <c r="C319" s="33"/>
      <c r="D319" s="33"/>
      <c r="E319" s="33"/>
      <c r="F319" s="33"/>
      <c r="G319" s="33"/>
      <c r="H319" s="33"/>
      <c r="I319" s="33"/>
      <c r="J319" s="33"/>
      <c r="K319" s="33"/>
      <c r="L319" s="33"/>
      <c r="M319" s="33"/>
      <c r="N319" s="33"/>
      <c r="O319" s="34">
        <v>5</v>
      </c>
      <c r="P319" s="33" t="str">
        <f t="shared" ca="1" si="67"/>
        <v xml:space="preserve"> </v>
      </c>
      <c r="Q319" s="33" t="str">
        <f ca="1">IF(AND($O$11="wizard",$P$309&gt;=O319),INDEX('Spell Tables'!$T$242:$T$271,MATCH(O319,('Spell Tables'!$R$242:$R$271),0)),IF(AND($Q$11="wizard",$P$312&gt;=O319),INDEX('Spell Tables'!$T$242:$T$271,MATCH(O319,('Spell Tables'!$R$242:$R$271),0))," "))</f>
        <v xml:space="preserve"> </v>
      </c>
      <c r="R319" s="33" t="str">
        <f ca="1">IF($Q$309&gt;=O319,INDEX('Spell Tables'!$X$242:$X$275,MATCH(O319,('Spell Tables'!$V$242:$V$275),0)),IF(AND($Q$11="wizard",$Q$312&gt;=O319),INDEX('Spell Tables'!$X$242:$X$275,MATCH(O319,('Spell Tables'!$V$242:$V$275),0))," "))</f>
        <v xml:space="preserve"> </v>
      </c>
      <c r="S319" s="33" t="str">
        <f ca="1">IF($R$309&gt;=O319,INDEX('Spell Tables'!$AB$242:$AB$270,MATCH(O319,('Spell Tables'!$Z$242:$Z$270),0)),IF(AND($Q$11="wizard",$R$312&gt;=O319),INDEX('Spell Tables'!$AB$242:$AB$270,MATCH(O319,('Spell Tables'!$Z$242:$Z$270),0))," "))</f>
        <v xml:space="preserve"> </v>
      </c>
      <c r="T319" s="72" t="str">
        <f ca="1">IF($S$309&gt;=O319,INDEX('Spell Tables'!$AF$242:$AF$264,MATCH(O319,('Spell Tables'!$AD$242:$AD$264),0)),IF(AND($Q$11="wizard",$S$312&gt;=O319),INDEX('Spell Tables'!$AF$242:$AF$264,MATCH(O319,('Spell Tables'!$AD$242:$AD$264),0))," "))</f>
        <v xml:space="preserve"> </v>
      </c>
    </row>
    <row r="320" spans="2:20" x14ac:dyDescent="0.3">
      <c r="B320" s="79"/>
      <c r="C320" s="33"/>
      <c r="D320" s="33"/>
      <c r="E320" s="33"/>
      <c r="F320" s="33"/>
      <c r="G320" s="33"/>
      <c r="H320" s="33"/>
      <c r="I320" s="33"/>
      <c r="J320" s="33"/>
      <c r="K320" s="33"/>
      <c r="L320" s="33"/>
      <c r="M320" s="33"/>
      <c r="N320" s="33"/>
      <c r="O320" s="34">
        <v>6</v>
      </c>
      <c r="P320" s="33" t="str">
        <f t="shared" ca="1" si="67"/>
        <v xml:space="preserve"> </v>
      </c>
      <c r="Q320" s="33" t="str">
        <f ca="1">IF(AND($O$11="wizard",$P$309&gt;=O320),INDEX('Spell Tables'!$T$242:$T$271,MATCH(O320,('Spell Tables'!$R$242:$R$271),0)),IF(AND($Q$11="wizard",$P$312&gt;=O320),INDEX('Spell Tables'!$T$242:$T$271,MATCH(O320,('Spell Tables'!$R$242:$R$271),0))," "))</f>
        <v xml:space="preserve"> </v>
      </c>
      <c r="R320" s="33" t="str">
        <f ca="1">IF($Q$309&gt;=O320,INDEX('Spell Tables'!$X$242:$X$275,MATCH(O320,('Spell Tables'!$V$242:$V$275),0)),IF(AND($Q$11="wizard",$Q$312&gt;=O320),INDEX('Spell Tables'!$X$242:$X$275,MATCH(O320,('Spell Tables'!$V$242:$V$275),0))," "))</f>
        <v xml:space="preserve"> </v>
      </c>
      <c r="S320" s="33" t="str">
        <f ca="1">IF($R$309&gt;=O320,INDEX('Spell Tables'!$AB$242:$AB$270,MATCH(O320,('Spell Tables'!$Z$242:$Z$270),0)),IF(AND($Q$11="wizard",$R$312&gt;=O320),INDEX('Spell Tables'!$AB$242:$AB$270,MATCH(O320,('Spell Tables'!$Z$242:$Z$270),0))," "))</f>
        <v xml:space="preserve"> </v>
      </c>
      <c r="T320" s="72" t="str">
        <f ca="1">IF($S$309&gt;=O320,INDEX('Spell Tables'!$AF$242:$AF$264,MATCH(O320,('Spell Tables'!$AD$242:$AD$264),0)),IF(AND($Q$11="wizard",$S$312&gt;=O320),INDEX('Spell Tables'!$AF$242:$AF$264,MATCH(O320,('Spell Tables'!$AD$242:$AD$264),0))," "))</f>
        <v xml:space="preserve"> </v>
      </c>
    </row>
    <row r="321" spans="1:20" x14ac:dyDescent="0.3">
      <c r="B321" s="79"/>
      <c r="C321" s="33"/>
      <c r="D321" s="33"/>
      <c r="E321" s="33"/>
      <c r="F321" s="33"/>
      <c r="G321" s="33"/>
      <c r="H321" s="33"/>
      <c r="I321" s="33"/>
      <c r="J321" s="33"/>
      <c r="K321" s="33"/>
      <c r="L321" s="33"/>
      <c r="M321" s="33"/>
      <c r="N321" s="33"/>
      <c r="O321" s="34">
        <v>7</v>
      </c>
      <c r="P321" s="33" t="str">
        <f t="shared" ca="1" si="67"/>
        <v xml:space="preserve"> </v>
      </c>
      <c r="Q321" s="33" t="str">
        <f ca="1">IF(AND($O$11="wizard",$P$309&gt;=O321),INDEX('Spell Tables'!$T$242:$T$271,MATCH(O321,('Spell Tables'!$R$242:$R$271),0)),IF(AND($Q$11="wizard",$P$312&gt;=O321),INDEX('Spell Tables'!$T$242:$T$271,MATCH(O321,('Spell Tables'!$R$242:$R$271),0))," "))</f>
        <v xml:space="preserve"> </v>
      </c>
      <c r="R321" s="33" t="str">
        <f ca="1">IF($Q$309&gt;=O321,INDEX('Spell Tables'!$X$242:$X$275,MATCH(O321,('Spell Tables'!$V$242:$V$275),0)),IF(AND($Q$11="wizard",$Q$312&gt;=O321),INDEX('Spell Tables'!$X$242:$X$275,MATCH(O321,('Spell Tables'!$V$242:$V$275),0))," "))</f>
        <v xml:space="preserve"> </v>
      </c>
      <c r="S321" s="33" t="str">
        <f ca="1">IF($R$309&gt;=O321,INDEX('Spell Tables'!$AB$242:$AB$270,MATCH(O321,('Spell Tables'!$Z$242:$Z$270),0)),IF(AND($Q$11="wizard",$R$312&gt;=O321),INDEX('Spell Tables'!$AB$242:$AB$270,MATCH(O321,('Spell Tables'!$Z$242:$Z$270),0))," "))</f>
        <v xml:space="preserve"> </v>
      </c>
      <c r="T321" s="72" t="str">
        <f ca="1">IF($S$309&gt;=O321,INDEX('Spell Tables'!$AF$242:$AF$264,MATCH(O321,('Spell Tables'!$AD$242:$AD$264),0)),IF(AND($Q$11="wizard",$S$312&gt;=O321),INDEX('Spell Tables'!$AF$242:$AF$264,MATCH(O321,('Spell Tables'!$AD$242:$AD$264),0))," "))</f>
        <v xml:space="preserve"> </v>
      </c>
    </row>
    <row r="322" spans="1:20" x14ac:dyDescent="0.3">
      <c r="B322" s="79"/>
      <c r="C322" s="33"/>
      <c r="D322" s="33"/>
      <c r="E322" s="33"/>
      <c r="F322" s="33"/>
      <c r="G322" s="33"/>
      <c r="H322" s="33"/>
      <c r="I322" s="33"/>
      <c r="J322" s="33"/>
      <c r="K322" s="33"/>
      <c r="L322" s="33"/>
      <c r="M322" s="33"/>
      <c r="N322" s="33"/>
      <c r="O322" s="34">
        <v>8</v>
      </c>
      <c r="P322" s="33" t="str">
        <f t="shared" ca="1" si="67"/>
        <v xml:space="preserve"> </v>
      </c>
      <c r="Q322" s="33" t="str">
        <f ca="1">IF(AND($O$11="wizard",$P$309&gt;=O322),INDEX('Spell Tables'!$T$242:$T$271,MATCH(O322,('Spell Tables'!$R$242:$R$271),0)),IF(AND($Q$11="wizard",$P$312&gt;=O322),INDEX('Spell Tables'!$T$242:$T$271,MATCH(O322,('Spell Tables'!$R$242:$R$271),0))," "))</f>
        <v xml:space="preserve"> </v>
      </c>
      <c r="R322" s="33" t="str">
        <f ca="1">IF($Q$309&gt;=O322,INDEX('Spell Tables'!$X$242:$X$275,MATCH(O322,('Spell Tables'!$V$242:$V$275),0)),IF(AND($Q$11="wizard",$Q$312&gt;=O322),INDEX('Spell Tables'!$X$242:$X$275,MATCH(O322,('Spell Tables'!$V$242:$V$275),0))," "))</f>
        <v xml:space="preserve"> </v>
      </c>
      <c r="S322" s="33" t="str">
        <f ca="1">IF($R$309&gt;=O322,INDEX('Spell Tables'!$AB$242:$AB$270,MATCH(O322,('Spell Tables'!$Z$242:$Z$270),0)),IF(AND($Q$11="wizard",$R$312&gt;=O322),INDEX('Spell Tables'!$AB$242:$AB$270,MATCH(O322,('Spell Tables'!$Z$242:$Z$270),0))," "))</f>
        <v xml:space="preserve"> </v>
      </c>
      <c r="T322" s="72" t="str">
        <f ca="1">IF($S$309&gt;=O322,INDEX('Spell Tables'!$AF$242:$AF$264,MATCH(O322,('Spell Tables'!$AD$242:$AD$264),0)),IF(AND($Q$11="wizard",$S$312&gt;=O322),INDEX('Spell Tables'!$AF$242:$AF$264,MATCH(O322,('Spell Tables'!$AD$242:$AD$264),0))," "))</f>
        <v xml:space="preserve"> </v>
      </c>
    </row>
    <row r="323" spans="1:20" x14ac:dyDescent="0.3">
      <c r="B323" s="79"/>
      <c r="C323" s="33"/>
      <c r="D323" s="33"/>
      <c r="E323" s="33"/>
      <c r="F323" s="33"/>
      <c r="G323" s="33"/>
      <c r="H323" s="33"/>
      <c r="I323" s="33"/>
      <c r="J323" s="33"/>
      <c r="K323" s="33"/>
      <c r="L323" s="33"/>
      <c r="M323" s="33"/>
      <c r="N323" s="33"/>
      <c r="O323" s="34">
        <v>9</v>
      </c>
      <c r="P323" s="33" t="str">
        <f t="shared" ca="1" si="67"/>
        <v xml:space="preserve"> </v>
      </c>
      <c r="Q323" s="33" t="str">
        <f ca="1">IF(AND($O$11="wizard",$P$309&gt;=O323),INDEX('Spell Tables'!$T$242:$T$271,MATCH(O323,('Spell Tables'!$R$242:$R$271),0)),IF(AND($Q$11="wizard",$P$312&gt;=O323),INDEX('Spell Tables'!$T$242:$T$271,MATCH(O323,('Spell Tables'!$R$242:$R$271),0))," "))</f>
        <v xml:space="preserve"> </v>
      </c>
      <c r="R323" s="33" t="str">
        <f ca="1">IF($Q$309&gt;=O323,INDEX('Spell Tables'!$X$242:$X$275,MATCH(O323,('Spell Tables'!$V$242:$V$275),0)),IF(AND($Q$11="wizard",$Q$312&gt;=O323),INDEX('Spell Tables'!$X$242:$X$275,MATCH(O323,('Spell Tables'!$V$242:$V$275),0))," "))</f>
        <v xml:space="preserve"> </v>
      </c>
      <c r="S323" s="33" t="str">
        <f ca="1">IF($R$309&gt;=O323,INDEX('Spell Tables'!$AB$242:$AB$270,MATCH(O323,('Spell Tables'!$Z$242:$Z$270),0)),IF(AND($Q$11="wizard",$R$312&gt;=O323),INDEX('Spell Tables'!$AB$242:$AB$270,MATCH(O323,('Spell Tables'!$Z$242:$Z$270),0))," "))</f>
        <v xml:space="preserve"> </v>
      </c>
      <c r="T323" s="72" t="str">
        <f ca="1">IF($S$309&gt;=O323,INDEX('Spell Tables'!$AF$242:$AF$264,MATCH(O323,('Spell Tables'!$AD$242:$AD$264),0)),IF(AND($Q$11="wizard",$S$312&gt;=O323),INDEX('Spell Tables'!$AF$242:$AF$264,MATCH(O323,('Spell Tables'!$AD$242:$AD$264),0))," "))</f>
        <v xml:space="preserve"> </v>
      </c>
    </row>
    <row r="324" spans="1:20" ht="19.5" thickBot="1" x14ac:dyDescent="0.35">
      <c r="B324" s="80"/>
      <c r="C324" s="38"/>
      <c r="D324" s="38"/>
      <c r="E324" s="38"/>
      <c r="F324" s="38"/>
      <c r="G324" s="38"/>
      <c r="H324" s="38"/>
      <c r="I324" s="38"/>
      <c r="J324" s="38"/>
      <c r="K324" s="38"/>
      <c r="L324" s="38"/>
      <c r="M324" s="38"/>
      <c r="N324" s="38"/>
      <c r="O324" s="82">
        <v>10</v>
      </c>
      <c r="P324" s="38" t="str">
        <f t="shared" ca="1" si="67"/>
        <v xml:space="preserve"> </v>
      </c>
      <c r="Q324" s="38" t="str">
        <f ca="1">IF(AND($O$11="wizard",$P$309&gt;=O324),INDEX('Spell Tables'!$T$242:$T$271,MATCH(O324,('Spell Tables'!$R$242:$R$271),0)),IF(AND($Q$11="wizard",$P$312&gt;=O324),INDEX('Spell Tables'!$T$242:$T$271,MATCH(O324,('Spell Tables'!$R$242:$R$271),0))," "))</f>
        <v xml:space="preserve"> </v>
      </c>
      <c r="R324" s="38" t="str">
        <f ca="1">IF($Q$309&gt;=O324,INDEX('Spell Tables'!$X$242:$X$275,MATCH(O324,('Spell Tables'!$V$242:$V$275),0)),IF(AND($Q$11="wizard",$Q$312&gt;=O324),INDEX('Spell Tables'!$X$242:$X$275,MATCH(O324,('Spell Tables'!$V$242:$V$275),0))," "))</f>
        <v xml:space="preserve"> </v>
      </c>
      <c r="S324" s="38" t="str">
        <f ca="1">IF($R$309&gt;=O324,INDEX('Spell Tables'!$AB$242:$AB$270,MATCH(O324,('Spell Tables'!$Z$242:$Z$270),0)),IF(AND($Q$11="wizard",$R$312&gt;=O324),INDEX('Spell Tables'!$AB$242:$AB$270,MATCH(O324,('Spell Tables'!$Z$242:$Z$270),0))," "))</f>
        <v xml:space="preserve"> </v>
      </c>
      <c r="T324" s="73" t="str">
        <f ca="1">IF($S$309&gt;=O324,INDEX('Spell Tables'!$AF$242:$AF$264,MATCH(O324,('Spell Tables'!$AD$242:$AD$264),0)),IF(AND($Q$11="wizard",$S$312&gt;=O324),INDEX('Spell Tables'!$AF$242:$AF$264,MATCH(O324,('Spell Tables'!$AD$242:$AD$264),0))," "))</f>
        <v xml:space="preserve"> </v>
      </c>
    </row>
    <row r="325" spans="1:20" ht="19.5" thickBot="1" x14ac:dyDescent="0.35">
      <c r="K325" s="100"/>
      <c r="L325" s="60"/>
      <c r="O325" s="99"/>
    </row>
    <row r="326" spans="1:20" ht="19.5" hidden="1" thickBot="1" x14ac:dyDescent="0.35">
      <c r="K326" s="100"/>
      <c r="L326" s="60"/>
      <c r="O326" s="65" t="s">
        <v>1169</v>
      </c>
      <c r="P326" s="65" t="s">
        <v>1170</v>
      </c>
      <c r="Q326" s="65" t="s">
        <v>1171</v>
      </c>
      <c r="R326" s="65" t="s">
        <v>677</v>
      </c>
      <c r="S326" s="101" t="s">
        <v>1172</v>
      </c>
    </row>
    <row r="327" spans="1:20" ht="19.5" hidden="1" thickBot="1" x14ac:dyDescent="0.35">
      <c r="K327" s="100"/>
      <c r="L327" s="60"/>
      <c r="O327" s="60" t="str">
        <f ca="1">IF(AND(O11="wizard",O12&gt;=15),"xxxx",IF(AND(O11="wizard",O12&gt;=11),"x",IF(AND($O$11="wizard",$O$12&gt;9),"xx",IF(AND(O11="wizard",O12=9),"xxx"," "))))</f>
        <v xml:space="preserve"> </v>
      </c>
      <c r="P327" s="60" t="str">
        <f ca="1">IF(AND(O11="wizard",O12&gt;=17),"xxxx",IF(AND(O11="wizard",O12&gt;=13),"x",IF(AND($O$11="wizard",$O$12&gt;11),"xx",IF(AND(O11="wizard",O12=11),"xxx"," "))))</f>
        <v xml:space="preserve"> </v>
      </c>
      <c r="Q327" s="60" t="str">
        <f ca="1">IF(AND(O11="wizard",O12&gt;=19),"xxxx",IF(AND(O11="wizard",O12&gt;=15),"x",IF(AND($O$11="wizard",$O$12&gt;13),"xx",IF(AND(O11="wizard",O12=13),"xxx"," "))))</f>
        <v xml:space="preserve"> </v>
      </c>
      <c r="R327" s="60" t="str">
        <f ca="1">IF(AND(O11="wizard",O12&gt;=17),"x",IF(AND($O$11="wizard",$O$12&gt;15),"xx",IF(AND(O11="wizard",O12=15),"xxx"," ")))</f>
        <v xml:space="preserve"> </v>
      </c>
      <c r="S327" s="102" t="str">
        <f ca="1">IF(AND($O$11="wizard",$O$12&gt;17),"xx",IF(AND(O11="wizard",O12=17),"xxx"," "))</f>
        <v xml:space="preserve"> </v>
      </c>
    </row>
    <row r="328" spans="1:20" ht="19.5" hidden="1" thickBot="1" x14ac:dyDescent="0.35">
      <c r="K328" s="100"/>
      <c r="L328" s="60"/>
      <c r="O328" s="65">
        <f ca="1">IF($O327="xxxx",MAX(P208,(RANDBETWEEN(5,6))),IF(O327="x",MAX(P208,(RANDBETWEEN(3,6))),IF(O327="xx",MAX(P208,(RANDBETWEEN(2,4))),IF(O327="xxx",MAX(P208,(2)),0))))</f>
        <v>0</v>
      </c>
      <c r="P328" s="65">
        <f ca="1">IF($P327="xxxx",RANDBETWEEN(5,6),IF(P327="x",RANDBETWEEN(3,6),IF(P327="xx",RANDBETWEEN(2,4),IF(P327="xxx",2,0))))</f>
        <v>0</v>
      </c>
      <c r="Q328" s="65">
        <f ca="1">IF($Q327="xxxx",RANDBETWEEN(5,6),IF(Q327="x",RANDBETWEEN(3,6),IF(Q327="xx",RANDBETWEEN(2,4),IF(Q327="xxx",2,0))))</f>
        <v>0</v>
      </c>
      <c r="R328" s="65">
        <f ca="1">IF(OR(R327="x",R327="xx"),RANDBETWEEN(2,4),IF(R327="xxx",2,0))</f>
        <v>0</v>
      </c>
      <c r="S328" s="101">
        <f ca="1">IF(S327="xx",RANDBETWEEN(2,4),IF(S327="xxx",2,0))</f>
        <v>0</v>
      </c>
    </row>
    <row r="329" spans="1:20" ht="19.5" hidden="1" thickBot="1" x14ac:dyDescent="0.35">
      <c r="K329" s="100"/>
      <c r="L329" s="60"/>
      <c r="O329" s="60" t="s">
        <v>1169</v>
      </c>
      <c r="P329" s="60" t="s">
        <v>1170</v>
      </c>
      <c r="Q329" s="60" t="s">
        <v>1171</v>
      </c>
      <c r="R329" s="60" t="s">
        <v>677</v>
      </c>
      <c r="S329" s="102" t="s">
        <v>1172</v>
      </c>
    </row>
    <row r="330" spans="1:20" ht="19.5" hidden="1" thickBot="1" x14ac:dyDescent="0.35">
      <c r="K330" s="100"/>
      <c r="L330" s="60"/>
      <c r="O330" s="65" t="str">
        <f ca="1">IF(AND(Q11="wizard",Q12&gt;=15),"xxxx",IF(AND(Q11="wizard",Q12&gt;=11),"x",IF(AND($Q$11="wizard",$Q$12&gt;9),"xx",IF(AND(Q11="wizard",Q12=9),"xxx"," "))))</f>
        <v xml:space="preserve"> </v>
      </c>
      <c r="P330" s="65" t="str">
        <f ca="1">IF(AND(Q11="wizard",Q12&gt;=17),"xxxx",IF(AND(Q11="wizard",Q12&gt;=13),"x",IF(AND($Q$11="wizard",$Q$12&gt;11),"xx",IF(AND(Q11="wizard",Q12=11),"xxx"," "))))</f>
        <v xml:space="preserve"> </v>
      </c>
      <c r="Q330" s="65" t="str">
        <f ca="1">IF(AND(Q11="wizard",Q12&gt;=19),"xxxx",IF(AND(Q11="wizard",Q12&gt;=15),"x",IF(AND($Q$11="wizard",$Q$12&gt;13),"xx",IF(AND(Q11="wizard",Q12=13),"xxx"," "))))</f>
        <v xml:space="preserve"> </v>
      </c>
      <c r="R330" s="65" t="str">
        <f ca="1">IF(AND(Q11="wizard",Q12&gt;=17),"x",IF(AND($Q$11="wizard",$Q$12&gt;15),"xx",IF(AND(Q11="wizard",Q12=15),"xxx"," ")))</f>
        <v xml:space="preserve"> </v>
      </c>
      <c r="S330" s="101" t="str">
        <f ca="1">IF(AND($Q$11="wizard",$Q$12&gt;17),"xx",IF(AND(Q11="wizard",Q12=17),"xxx"," "))</f>
        <v xml:space="preserve"> </v>
      </c>
    </row>
    <row r="331" spans="1:20" ht="19.5" hidden="1" thickBot="1" x14ac:dyDescent="0.35">
      <c r="K331" s="100"/>
      <c r="L331" s="60"/>
      <c r="O331" s="60">
        <f ca="1">IF($O330="xxxx",MAX(O275,(RANDBETWEEN(5,6))),IF(O330="x",MAX(O275,(RANDBETWEEN(3,6))),IF(O330="xx",MAX(O275,(RANDBETWEEN(2,4))),IF(O330="xxx",MAX(O275,(2)),0))))</f>
        <v>0</v>
      </c>
      <c r="P331" s="60">
        <f ca="1">IF($P330="xxxx",RANDBETWEEN(5,6),IF(P330="x",RANDBETWEEN(3,6),IF(P330="xx",RANDBETWEEN(2,4),IF(P330="xxx",2,0))))</f>
        <v>0</v>
      </c>
      <c r="Q331" s="60">
        <f ca="1">IF($Q330="xxxx",RANDBETWEEN(5,6),IF(Q330="x",RANDBETWEEN(3,6),IF(Q330="xx",RANDBETWEEN(2,4),IF(Q330="xxx",2,0))))</f>
        <v>0</v>
      </c>
      <c r="R331" s="60">
        <f ca="1">IF(OR(R330="x",R330="xx"),RANDBETWEEN(2,4),IF(R330="xxx",2,0))</f>
        <v>0</v>
      </c>
      <c r="S331" s="102">
        <f ca="1">IF(S330="xx",RANDBETWEEN(2,4),IF(S330="xxx",2,0))</f>
        <v>0</v>
      </c>
    </row>
    <row r="332" spans="1:20" ht="19.5" hidden="1" thickBot="1" x14ac:dyDescent="0.35">
      <c r="K332" s="100"/>
      <c r="L332" s="60"/>
      <c r="O332" s="65"/>
      <c r="P332" s="65"/>
      <c r="Q332" s="65"/>
      <c r="R332" s="65"/>
      <c r="S332" s="101"/>
    </row>
    <row r="333" spans="1:20" x14ac:dyDescent="0.3">
      <c r="A333" s="33"/>
      <c r="B333" s="72"/>
      <c r="K333" s="100"/>
      <c r="L333" s="60"/>
      <c r="P333" s="103" t="s">
        <v>1169</v>
      </c>
      <c r="Q333" s="103" t="s">
        <v>1170</v>
      </c>
      <c r="R333" s="103" t="s">
        <v>1171</v>
      </c>
      <c r="S333" s="103" t="s">
        <v>677</v>
      </c>
      <c r="T333" s="104" t="s">
        <v>1172</v>
      </c>
    </row>
    <row r="334" spans="1:20" x14ac:dyDescent="0.3">
      <c r="A334" s="33"/>
      <c r="B334" s="72"/>
      <c r="K334" s="100"/>
      <c r="L334" s="60"/>
      <c r="O334" s="83">
        <v>1</v>
      </c>
      <c r="P334" s="65" t="str">
        <f ca="1">IF($O$328&gt;=O315,INDEX('Spell Tables'!$AJ$242:$AJ$264,MATCH(O315,('Spell Tables'!$AH$242:$AH$264),0)),IF(AND($Q$11="wizard",$O$331&gt;=O315),INDEX('Spell Tables'!$AJ$242:$AJ$264,MATCH(O315,('Spell Tables'!$AH$242:$AH$264),0))," "))</f>
        <v xml:space="preserve"> </v>
      </c>
      <c r="Q334" s="65" t="str">
        <f ca="1">IF($P$328&gt;=O$315,INDEX('Spell Tables'!$AN$242:$AN$260,MATCH(O$315,('Spell Tables'!$AL$242:$AL$260),0))," ")</f>
        <v xml:space="preserve"> </v>
      </c>
      <c r="R334" s="65" t="str">
        <f ca="1">IF($Q$328&gt;=O$315,INDEX('Spell Tables'!$AR$242:$AR$256,MATCH(O$315,('Spell Tables'!$AP$242:$AP$256),0))," ")</f>
        <v xml:space="preserve"> </v>
      </c>
      <c r="S334" s="65" t="str">
        <f ca="1">IF($R$328&gt;=O$315,INDEX('Spell Tables'!$AV$242:$AV$255,MATCH(O$315,('Spell Tables'!$AT$242:$AT$255),0))," ")</f>
        <v xml:space="preserve"> </v>
      </c>
      <c r="T334" s="66" t="str">
        <f ca="1">IF($S$328&gt;=O$315,INDEX('Spell Tables'!$AZ$242:$AZ$253,MATCH(O$315,('Spell Tables'!$AX$242:$AX$253),0))," ")</f>
        <v xml:space="preserve"> </v>
      </c>
    </row>
    <row r="335" spans="1:20" x14ac:dyDescent="0.3">
      <c r="A335" s="33"/>
      <c r="B335" s="72"/>
      <c r="O335" s="84">
        <v>2</v>
      </c>
      <c r="P335" s="60" t="str">
        <f ca="1">IF($O$328&gt;=O316,INDEX('Spell Tables'!$AJ$242:$AJ$264,MATCH(O316,('Spell Tables'!$AH$242:$AH$264),0)),IF(AND($Q$11="wizard",$O$331&gt;=O316),INDEX('Spell Tables'!$AJ$242:$AJ$264,MATCH(O316,('Spell Tables'!$AH$242:$AH$264),0))," "))</f>
        <v xml:space="preserve"> </v>
      </c>
      <c r="Q335" s="60" t="str">
        <f ca="1">IF($P$328&gt;=O$316,INDEX('Spell Tables'!$AN$242:$AN$260,MATCH(O$316,('Spell Tables'!$AL$242:$AL$260),0))," ")</f>
        <v xml:space="preserve"> </v>
      </c>
      <c r="R335" s="60" t="str">
        <f ca="1">IF($Q$328&gt;=O$316,INDEX('Spell Tables'!$AR$242:$AR$256,MATCH(O$316,('Spell Tables'!$AP$242:$AP$256),0))," ")</f>
        <v xml:space="preserve"> </v>
      </c>
      <c r="S335" s="60" t="str">
        <f ca="1">IF($R$328&gt;=O$316,INDEX('Spell Tables'!$AV$242:$AV$255,MATCH(O$316,('Spell Tables'!$AT$242:$AT$255),0))," ")</f>
        <v xml:space="preserve"> </v>
      </c>
      <c r="T335" s="63" t="str">
        <f ca="1">IF($S$328&gt;=O$316,INDEX('Spell Tables'!$AZ$242:$AZ$253,MATCH(O$316,('Spell Tables'!$AX$242:$AX$253),0))," ")</f>
        <v xml:space="preserve"> </v>
      </c>
    </row>
    <row r="336" spans="1:20" x14ac:dyDescent="0.3">
      <c r="A336" s="33"/>
      <c r="B336" s="72"/>
      <c r="O336" s="83">
        <v>3</v>
      </c>
      <c r="P336" s="65" t="str">
        <f ca="1">IF($O$328&gt;=O317,INDEX('Spell Tables'!$AJ$242:$AJ$264,MATCH(O317,('Spell Tables'!$AH$242:$AH$264),0)),IF(AND($Q$11="wizard",$O$331&gt;=O317),INDEX('Spell Tables'!$AJ$242:$AJ$264,MATCH(O317,('Spell Tables'!$AH$242:$AH$264),0))," "))</f>
        <v xml:space="preserve"> </v>
      </c>
      <c r="Q336" s="65" t="str">
        <f ca="1">IF($P$328&gt;=O$317,INDEX('Spell Tables'!$AN$242:$AN$260,MATCH(O$317,('Spell Tables'!$AL$242:$AL$260),0))," ")</f>
        <v xml:space="preserve"> </v>
      </c>
      <c r="R336" s="65" t="str">
        <f ca="1">IF($Q$328&gt;=O$317,INDEX('Spell Tables'!$AR$242:$AR$256,MATCH(O$317,('Spell Tables'!$AP$242:$AP$256),0))," ")</f>
        <v xml:space="preserve"> </v>
      </c>
      <c r="S336" s="65" t="str">
        <f ca="1">IF($R$328&gt;=O$317,INDEX('Spell Tables'!$AV$242:$AV$255,MATCH(O$317,('Spell Tables'!$AT$242:$AT$255),0))," ")</f>
        <v xml:space="preserve"> </v>
      </c>
      <c r="T336" s="66" t="str">
        <f ca="1">IF($S$328&gt;=O$317,INDEX('Spell Tables'!$AZ$242:$AZ$253,MATCH(O$317,('Spell Tables'!$AX$242:$AX$253),0))," ")</f>
        <v xml:space="preserve"> </v>
      </c>
    </row>
    <row r="337" spans="1:20" x14ac:dyDescent="0.3">
      <c r="A337" s="33"/>
      <c r="B337" s="72"/>
      <c r="O337" s="84">
        <v>4</v>
      </c>
      <c r="P337" s="60" t="str">
        <f ca="1">IF($O$328&gt;=O318,INDEX('Spell Tables'!$AJ$242:$AJ$264,MATCH(O318,('Spell Tables'!$AH$242:$AH$264),0)),IF(AND($Q$11="wizard",$O$331&gt;=O318),INDEX('Spell Tables'!$AJ$242:$AJ$264,MATCH(O318,('Spell Tables'!$AH$242:$AH$264),0))," "))</f>
        <v xml:space="preserve"> </v>
      </c>
      <c r="Q337" s="60" t="str">
        <f ca="1">IF($P$328&gt;=O$318,INDEX('Spell Tables'!$AN$242:$AN$260,MATCH(O$318,('Spell Tables'!$AL$242:$AL$260),0))," ")</f>
        <v xml:space="preserve"> </v>
      </c>
      <c r="R337" s="60" t="str">
        <f ca="1">IF($Q$328&gt;=O$318,INDEX('Spell Tables'!$AR$242:$AR$256,MATCH(O$318,('Spell Tables'!$AP$242:$AP$256),0))," ")</f>
        <v xml:space="preserve"> </v>
      </c>
      <c r="S337" s="60" t="str">
        <f ca="1">IF($R$328&gt;=O$318,INDEX('Spell Tables'!$AV$242:$AV$255,MATCH(O$318,('Spell Tables'!$AT$242:$AT$255),0))," ")</f>
        <v xml:space="preserve"> </v>
      </c>
      <c r="T337" s="63" t="str">
        <f ca="1">IF($S$328&gt;=O$318,INDEX('Spell Tables'!$AZ$242:$AZ$253,MATCH(O$318,('Spell Tables'!$AX$242:$AX$253),0))," ")</f>
        <v xml:space="preserve"> </v>
      </c>
    </row>
    <row r="338" spans="1:20" x14ac:dyDescent="0.3">
      <c r="A338" s="33"/>
      <c r="B338" s="72"/>
      <c r="O338" s="83">
        <v>5</v>
      </c>
      <c r="P338" s="65" t="str">
        <f ca="1">IF($O$328&gt;=O319,INDEX('Spell Tables'!$AJ$242:$AJ$264,MATCH(O319,('Spell Tables'!$AH$242:$AH$264),0)),IF(AND($Q$11="wizard",$O$331&gt;=O319),INDEX('Spell Tables'!$AJ$242:$AJ$264,MATCH(O319,('Spell Tables'!$AH$242:$AH$264),0))," "))</f>
        <v xml:space="preserve"> </v>
      </c>
      <c r="Q338" s="65" t="str">
        <f ca="1">IF($P$328&gt;=O$319,INDEX('Spell Tables'!$AN$242:$AN$260,MATCH(O$319,('Spell Tables'!$AL$242:$AL$260),0))," ")</f>
        <v xml:space="preserve"> </v>
      </c>
      <c r="R338" s="65" t="str">
        <f ca="1">IF($Q$328&gt;=O$319,INDEX('Spell Tables'!$AR$242:$AR$256,MATCH(O$319,('Spell Tables'!$AP$242:$AP$256),0))," ")</f>
        <v xml:space="preserve"> </v>
      </c>
      <c r="S338" s="65" t="str">
        <f ca="1">IF($R$328&gt;=O$319,INDEX('Spell Tables'!$AV$242:$AV$255,MATCH(O$319,('Spell Tables'!$AT$242:$AT$255),0))," ")</f>
        <v xml:space="preserve"> </v>
      </c>
      <c r="T338" s="66" t="str">
        <f ca="1">IF($S$328&gt;=O$319,INDEX('Spell Tables'!$AZ$242:$AZ$253,MATCH(O$319,('Spell Tables'!$AX$242:$AX$253),0))," ")</f>
        <v xml:space="preserve"> </v>
      </c>
    </row>
    <row r="339" spans="1:20" x14ac:dyDescent="0.3">
      <c r="A339" s="33"/>
      <c r="B339" s="72"/>
      <c r="K339" s="100"/>
      <c r="L339" s="60"/>
      <c r="O339" s="84">
        <v>6</v>
      </c>
      <c r="P339" s="60" t="str">
        <f ca="1">IF($O$328&gt;=O320,INDEX('Spell Tables'!$AJ$242:$AJ$264,MATCH(O320,('Spell Tables'!$AH$242:$AH$264),0)),IF(AND($Q$11="wizard",$O$331&gt;=O320),INDEX('Spell Tables'!$AJ$242:$AJ$264,MATCH(O320,('Spell Tables'!$AH$242:$AH$264),0))," "))</f>
        <v xml:space="preserve"> </v>
      </c>
      <c r="Q339" s="60" t="str">
        <f ca="1">IF($P$328&gt;=O$320,INDEX('Spell Tables'!$AN$242:$AN$260,MATCH(O$320,('Spell Tables'!$AL$242:$AL$260),0))," ")</f>
        <v xml:space="preserve"> </v>
      </c>
      <c r="R339" s="60" t="str">
        <f ca="1">IF($Q$328&gt;=O$320,INDEX('Spell Tables'!$AR$242:$AR$256,MATCH(O$320,('Spell Tables'!$AP$242:$AP$256),0))," ")</f>
        <v xml:space="preserve"> </v>
      </c>
      <c r="S339" s="60" t="str">
        <f ca="1">IF($R$328&gt;=O$320,INDEX('Spell Tables'!$AV$242:$AV$255,MATCH(O$320,('Spell Tables'!$AT$242:$AT$255),0))," ")</f>
        <v xml:space="preserve"> </v>
      </c>
      <c r="T339" s="63" t="str">
        <f ca="1">IF($S$328&gt;=O$320,INDEX('Spell Tables'!$AZ$242:$AZ$253,MATCH(O$320,('Spell Tables'!$AX$242:$AX$253),0))," ")</f>
        <v xml:space="preserve"> </v>
      </c>
    </row>
    <row r="340" spans="1:20" x14ac:dyDescent="0.3">
      <c r="A340" s="33"/>
      <c r="B340" s="72"/>
      <c r="K340" s="100"/>
      <c r="L340" s="60"/>
      <c r="O340" s="83">
        <v>7</v>
      </c>
      <c r="P340" s="65" t="str">
        <f ca="1">IF($O$328&gt;=O321,INDEX('Spell Tables'!$AJ$242:$AJ$264,MATCH(O321,('Spell Tables'!$AH$242:$AH$264),0)),IF(AND($Q$11="wizard",$O$331&gt;=O321),INDEX('Spell Tables'!$AJ$242:$AJ$264,MATCH(O321,('Spell Tables'!$AH$242:$AH$264),0))," "))</f>
        <v xml:space="preserve"> </v>
      </c>
      <c r="Q340" s="65" t="str">
        <f ca="1">IF($P$328&gt;=O$321,INDEX('Spell Tables'!$AN$242:$AN$260,MATCH(O$321,('Spell Tables'!$AL$242:$AL$260),0))," ")</f>
        <v xml:space="preserve"> </v>
      </c>
      <c r="R340" s="65" t="str">
        <f ca="1">IF($Q$328&gt;=O$321,INDEX('Spell Tables'!$AR$242:$AR$256,MATCH(O$321,('Spell Tables'!$AP$242:$AP$256),0))," ")</f>
        <v xml:space="preserve"> </v>
      </c>
      <c r="S340" s="65" t="str">
        <f ca="1">IF($R$328&gt;=O$321,INDEX('Spell Tables'!$AV$242:$AV$255,MATCH(O$321,('Spell Tables'!$AT$242:$AT$255),0))," ")</f>
        <v xml:space="preserve"> </v>
      </c>
      <c r="T340" s="66" t="str">
        <f ca="1">IF($S$328&gt;=O$321,INDEX('Spell Tables'!$AZ$242:$AZ$253,MATCH(O$321,('Spell Tables'!$AX$242:$AX$253),0))," ")</f>
        <v xml:space="preserve"> </v>
      </c>
    </row>
    <row r="341" spans="1:20" x14ac:dyDescent="0.3">
      <c r="A341" s="33"/>
      <c r="B341" s="72"/>
      <c r="K341" s="100"/>
      <c r="L341" s="60"/>
      <c r="O341" s="84">
        <v>8</v>
      </c>
      <c r="P341" s="60" t="str">
        <f ca="1">IF($O$328&gt;=O322,INDEX('Spell Tables'!$AJ$242:$AJ$264,MATCH(O322,('Spell Tables'!$AH$242:$AH$264),0)),IF(AND($Q$11="wizard",$O$331&gt;=O322),INDEX('Spell Tables'!$AJ$242:$AJ$264,MATCH(O322,('Spell Tables'!$AH$242:$AH$264),0))," "))</f>
        <v xml:space="preserve"> </v>
      </c>
      <c r="Q341" s="60" t="str">
        <f ca="1">IF($P$328&gt;=O$322,INDEX('Spell Tables'!$AN$242:$AN$260,MATCH(O$322,('Spell Tables'!$AL$242:$AL$260),0))," ")</f>
        <v xml:space="preserve"> </v>
      </c>
      <c r="R341" s="60" t="str">
        <f ca="1">IF($Q$328&gt;=O$322,INDEX('Spell Tables'!$AR$242:$AR$256,MATCH(O$322,('Spell Tables'!$AP$242:$AP$256),0))," ")</f>
        <v xml:space="preserve"> </v>
      </c>
      <c r="S341" s="60" t="str">
        <f ca="1">IF($R$328&gt;=O$322,INDEX('Spell Tables'!$AV$242:$AV$255,MATCH(O$322,('Spell Tables'!$AT$242:$AT$255),0))," ")</f>
        <v xml:space="preserve"> </v>
      </c>
      <c r="T341" s="63" t="str">
        <f ca="1">IF($S$328&gt;=O$322,INDEX('Spell Tables'!$AZ$242:$AZ$253,MATCH(O$322,('Spell Tables'!$AX$242:$AX$253),0))," ")</f>
        <v xml:space="preserve"> </v>
      </c>
    </row>
    <row r="342" spans="1:20" x14ac:dyDescent="0.3">
      <c r="A342" s="33"/>
      <c r="B342" s="72"/>
      <c r="O342" s="83">
        <v>9</v>
      </c>
      <c r="P342" s="65" t="str">
        <f ca="1">IF($O$328&gt;=O323,INDEX('Spell Tables'!$AJ$242:$AJ$264,MATCH(O323,('Spell Tables'!$AH$242:$AH$264),0)),IF(AND($Q$11="wizard",$O$331&gt;=O323),INDEX('Spell Tables'!$AJ$242:$AJ$264,MATCH(O323,('Spell Tables'!$AH$242:$AH$264),0))," "))</f>
        <v xml:space="preserve"> </v>
      </c>
      <c r="Q342" s="65" t="str">
        <f ca="1">IF($P$328&gt;=O$323,INDEX('Spell Tables'!$AN$242:$AN$260,MATCH(O$323,('Spell Tables'!$AL$242:$AL$260),0))," ")</f>
        <v xml:space="preserve"> </v>
      </c>
      <c r="R342" s="65" t="str">
        <f ca="1">IF($Q$328&gt;=O$323,INDEX('Spell Tables'!$AR$242:$AR$256,MATCH(O$323,('Spell Tables'!$AP$242:$AP$256),0))," ")</f>
        <v xml:space="preserve"> </v>
      </c>
      <c r="S342" s="65" t="str">
        <f ca="1">IF($R$328&gt;=O$323,INDEX('Spell Tables'!$AV$242:$AV$255,MATCH(O$323,('Spell Tables'!$AT$242:$AT$255),0))," ")</f>
        <v xml:space="preserve"> </v>
      </c>
      <c r="T342" s="66" t="str">
        <f ca="1">IF($S$328&gt;=O$323,INDEX('Spell Tables'!$AZ$242:$AZ$253,MATCH(O$323,('Spell Tables'!$AX$242:$AX$253),0))," ")</f>
        <v xml:space="preserve"> </v>
      </c>
    </row>
    <row r="343" spans="1:20" ht="19.5" thickBot="1" x14ac:dyDescent="0.35">
      <c r="A343" s="33"/>
      <c r="B343" s="72"/>
      <c r="K343" s="31"/>
      <c r="O343" s="85">
        <v>10</v>
      </c>
      <c r="P343" s="67" t="str">
        <f ca="1">IF($O$328&gt;=O324,INDEX('Spell Tables'!$AJ$242:$AJ$264,MATCH(O324,('Spell Tables'!$AH$242:$AH$264),0)),IF(AND($Q$11="wizard",$O$331&gt;=O324),INDEX('Spell Tables'!$AJ$242:$AJ$264,MATCH(O324,('Spell Tables'!$AH$242:$AH$264),0))," "))</f>
        <v xml:space="preserve"> </v>
      </c>
      <c r="Q343" s="67" t="str">
        <f ca="1">IF($P$328&gt;=O$324,INDEX('Spell Tables'!$AN$242:$AN$260,MATCH(O$324,('Spell Tables'!$AL$242:$AL$260),0))," ")</f>
        <v xml:space="preserve"> </v>
      </c>
      <c r="R343" s="67" t="str">
        <f ca="1">IF($Q$328&gt;=O$324,INDEX('Spell Tables'!$AR$242:$AR$256,MATCH(O$324,('Spell Tables'!$AP$242:$AP$256),0))," ")</f>
        <v xml:space="preserve"> </v>
      </c>
      <c r="S343" s="67" t="str">
        <f ca="1">IF($R$328&gt;=O$324,INDEX('Spell Tables'!$AV$242:$AV$255,MATCH(O$324,('Spell Tables'!$AT$242:$AT$255),0))," ")</f>
        <v xml:space="preserve"> </v>
      </c>
      <c r="T343" s="68" t="str">
        <f ca="1">IF($S$328&gt;=O$324,INDEX('Spell Tables'!$AZ$242:$AZ$253,MATCH(O$324,('Spell Tables'!$AX$242:$AX$253),0))," ")</f>
        <v xml:space="preserve"> </v>
      </c>
    </row>
  </sheetData>
  <sheetProtection sheet="1" objects="1" scenarios="1"/>
  <hyperlinks>
    <hyperlink ref="A1" location="'Character Overview'!A1" display="Back to Overview" xr:uid="{212647DF-7FAE-499F-8CE5-D5CF4178EEC2}"/>
  </hyperlinks>
  <pageMargins left="0.25" right="0.25" top="0.75" bottom="0.75" header="0.3" footer="0.3"/>
  <pageSetup scale="34" orientation="landscape" horizontalDpi="4294967293" r:id="rId1"/>
  <drawing r:id="rId2"/>
  <tableParts count="56">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 r:id="rId50"/>
    <tablePart r:id="rId51"/>
    <tablePart r:id="rId52"/>
    <tablePart r:id="rId53"/>
    <tablePart r:id="rId54"/>
    <tablePart r:id="rId55"/>
    <tablePart r:id="rId56"/>
    <tablePart r:id="rId57"/>
    <tablePart r:id="rId58"/>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C7454-4507-47FE-8DDC-C6591FAF95E8}">
  <sheetPr codeName="Аркуш14">
    <pageSetUpPr fitToPage="1"/>
  </sheetPr>
  <dimension ref="A1:CJ343"/>
  <sheetViews>
    <sheetView showGridLines="0" showRowColHeaders="0" zoomScale="54" zoomScaleNormal="54" workbookViewId="0">
      <selection activeCell="B29" sqref="B29"/>
    </sheetView>
  </sheetViews>
  <sheetFormatPr defaultColWidth="8.85546875" defaultRowHeight="18.75" x14ac:dyDescent="0.3"/>
  <cols>
    <col min="1" max="1" width="23.140625" style="29" customWidth="1"/>
    <col min="2" max="2" width="62.7109375" style="29" customWidth="1"/>
    <col min="3" max="3" width="13.7109375" style="29" hidden="1" customWidth="1"/>
    <col min="4" max="5" width="3.85546875" style="29" hidden="1" customWidth="1"/>
    <col min="6" max="8" width="5" style="29" hidden="1" customWidth="1"/>
    <col min="9" max="9" width="11.7109375" style="29" hidden="1" customWidth="1"/>
    <col min="10" max="10" width="2.28515625" style="29" hidden="1" customWidth="1"/>
    <col min="11" max="11" width="14.7109375" style="29" hidden="1" customWidth="1"/>
    <col min="12" max="12" width="13.28515625" style="29" hidden="1" customWidth="1"/>
    <col min="13" max="13" width="7.28515625" style="29" hidden="1" customWidth="1"/>
    <col min="14" max="14" width="2.140625" style="29" hidden="1" customWidth="1"/>
    <col min="15" max="19" width="50.7109375" style="29" customWidth="1"/>
    <col min="20" max="20" width="34" style="29" customWidth="1"/>
    <col min="21" max="21" width="34.28515625" style="29" customWidth="1"/>
    <col min="22" max="22" width="34.140625" style="29" customWidth="1"/>
    <col min="23" max="23" width="29.85546875" style="29" customWidth="1"/>
    <col min="24" max="24" width="18.5703125" style="29" customWidth="1"/>
    <col min="25" max="25" width="34.28515625" style="29" bestFit="1" customWidth="1"/>
    <col min="26" max="26" width="32.7109375" style="29" customWidth="1"/>
    <col min="27" max="27" width="9.7109375" style="29" bestFit="1" customWidth="1"/>
    <col min="28" max="28" width="12.140625" style="29" bestFit="1" customWidth="1"/>
    <col min="29" max="29" width="8.85546875" style="29"/>
    <col min="30" max="30" width="0" style="29" hidden="1" customWidth="1"/>
    <col min="31" max="31" width="10.28515625" style="29" hidden="1" customWidth="1"/>
    <col min="32" max="32" width="23.5703125" style="29" hidden="1" customWidth="1"/>
    <col min="33" max="33" width="8.85546875" style="29" hidden="1" customWidth="1"/>
    <col min="34" max="34" width="17.85546875" style="29" hidden="1" customWidth="1"/>
    <col min="35" max="35" width="3.5703125" style="29" hidden="1" customWidth="1"/>
    <col min="36" max="36" width="21.85546875" style="29" hidden="1" customWidth="1"/>
    <col min="37" max="37" width="14.140625" style="29" hidden="1" customWidth="1"/>
    <col min="38" max="38" width="21.85546875" style="29" hidden="1" customWidth="1"/>
    <col min="39" max="39" width="5.7109375" style="29" hidden="1" customWidth="1"/>
    <col min="40" max="40" width="27.7109375" style="29" hidden="1" customWidth="1"/>
    <col min="41" max="41" width="10.7109375" style="29" hidden="1" customWidth="1"/>
    <col min="42" max="42" width="13.28515625" style="29" hidden="1" customWidth="1"/>
    <col min="43" max="43" width="13" style="29" hidden="1" customWidth="1"/>
    <col min="44" max="44" width="8.85546875" style="29" hidden="1" customWidth="1"/>
    <col min="45" max="45" width="11.7109375" style="29" hidden="1" customWidth="1"/>
    <col min="46" max="47" width="8.85546875" style="29" hidden="1" customWidth="1"/>
    <col min="48" max="49" width="15.28515625" style="29" hidden="1" customWidth="1"/>
    <col min="50" max="50" width="14.140625" style="29" hidden="1" customWidth="1"/>
    <col min="51" max="51" width="9.85546875" style="29" hidden="1" customWidth="1"/>
    <col min="52" max="52" width="12.140625" style="29" hidden="1" customWidth="1"/>
    <col min="53" max="53" width="15.28515625" style="29" hidden="1" customWidth="1"/>
    <col min="54" max="54" width="12.140625" style="29" hidden="1" customWidth="1"/>
    <col min="55" max="55" width="9" style="29" hidden="1" customWidth="1"/>
    <col min="56" max="57" width="10.42578125" style="29" hidden="1" customWidth="1"/>
    <col min="58" max="58" width="9.7109375" style="29" hidden="1" customWidth="1"/>
    <col min="59" max="59" width="10.42578125" style="29" hidden="1" customWidth="1"/>
    <col min="60" max="60" width="7.140625" style="29" hidden="1" customWidth="1"/>
    <col min="61" max="61" width="10.42578125" style="29" hidden="1" customWidth="1"/>
    <col min="62" max="62" width="11.7109375" style="29" hidden="1" customWidth="1"/>
    <col min="63" max="63" width="14.140625" style="29" hidden="1" customWidth="1"/>
    <col min="64" max="64" width="8.85546875" style="29" hidden="1" customWidth="1"/>
    <col min="65" max="65" width="15.7109375" style="29" hidden="1" customWidth="1"/>
    <col min="66" max="66" width="10" style="29" hidden="1" customWidth="1"/>
    <col min="67" max="67" width="13.42578125" style="29" hidden="1" customWidth="1"/>
    <col min="68" max="68" width="15.28515625" style="29" hidden="1" customWidth="1"/>
    <col min="69" max="69" width="15" style="29" hidden="1" customWidth="1"/>
    <col min="70" max="70" width="7.28515625" style="29" hidden="1" customWidth="1"/>
    <col min="71" max="71" width="17.85546875" style="29" hidden="1" customWidth="1"/>
    <col min="72" max="72" width="14.140625" style="29" hidden="1" customWidth="1"/>
    <col min="73" max="73" width="8.28515625" style="29" hidden="1" customWidth="1"/>
    <col min="74" max="74" width="15.28515625" style="29" hidden="1" customWidth="1"/>
    <col min="75" max="79" width="8.85546875" style="29" hidden="1" customWidth="1"/>
    <col min="80" max="80" width="21.140625" style="29" hidden="1" customWidth="1"/>
    <col min="81" max="81" width="12" style="29" hidden="1" customWidth="1"/>
    <col min="82" max="82" width="15.28515625" style="29" hidden="1" customWidth="1"/>
    <col min="83" max="88" width="8.85546875" style="29" hidden="1" customWidth="1"/>
    <col min="89" max="115" width="8.85546875" style="29" customWidth="1"/>
    <col min="116" max="16384" width="8.85546875" style="29"/>
  </cols>
  <sheetData>
    <row r="1" spans="1:83" ht="26.25" thickBot="1" x14ac:dyDescent="0.4">
      <c r="A1" s="153" t="s">
        <v>2755</v>
      </c>
      <c r="B1" s="30"/>
      <c r="C1" s="99"/>
      <c r="D1" s="99"/>
      <c r="E1" s="99"/>
      <c r="F1" s="99"/>
      <c r="G1" s="99"/>
      <c r="H1" s="99"/>
      <c r="I1" s="99"/>
      <c r="J1" s="99"/>
      <c r="K1" s="99"/>
      <c r="L1" s="99"/>
      <c r="M1" s="99"/>
      <c r="N1" s="99"/>
      <c r="O1" s="125" t="s">
        <v>0</v>
      </c>
      <c r="P1" s="126" t="str">
        <f ca="1">IF(AND(Q2="dwarf",O2="male"),VLOOKUP(RANDBETWEEN(1,30),Table4[],2),IF(AND(Q2="dwarf",O2="female"),VLOOKUP(RANDBETWEEN(1,23),Table13[],2),IF(AND(Q2="elf",O2="male"),VLOOKUP(RANDBETWEEN(1,38),Table6[],2),IF(AND(Q2="elf",O2="female"),VLOOKUP(RANDBETWEEN(1,36),Table15[],2),IF(AND(Q2="halfling",O2="male"),VLOOKUP(RANDBETWEEN(1,17),Table10[],2),IF(AND(Q2="halfling",O2="female"),VLOOKUP(RANDBETWEEN(1,18),Table16[],2),IF(AND(Q2="human",O2="male"),VLOOKUP(RANDBETWEEN(1,70),Table17[],2),IF(AND(Q2="human",O2="female"),VLOOKUP(RANDBETWEEN(1,67),Table19[],2),IF(AND(Q2="dragonborn",O2="male"),VLOOKUP(RANDBETWEEN(1,17),Table21[],2),IF(AND(Q2="dragonborn",O2="female"),VLOOKUP(RANDBETWEEN(1,17),Table22[],2),IF(AND(Q2="gnome",O2="male"),VLOOKUP(RANDBETWEEN(1,23),Table28[],2),IF(AND(Q2="gnome",O2="female"),VLOOKUP(RANDBETWEEN(1,22),Table29[],2),IF(AND(Q2="half-elf",O2="male"),VLOOKUP(RANDBETWEEN(1,108),Table31[],2),IF(AND(Q2="half-elf",O2="female"),VLOOKUP(RANDBETWEEN(1,103),Table32[],2),IF(AND(Q2="half-orc",O2="male"),VLOOKUP(RANDBETWEEN(1,10),Table35[],2),IF(AND(Q2="half-orc",O2="female"),VLOOKUP(RANDBETWEEN(1,13),Table36[],2),IF(AND(Q2="tiefling",O2="male"),VLOOKUP(RANDBETWEEN(1,33),Table37[],2),IF(AND(Q2="tiefling",O2="female"),VLOOKUP(RANDBETWEEN(1,34),Table38[],2)," "))))))))))))))))))</f>
        <v>Lael</v>
      </c>
      <c r="Q1" s="127" t="str">
        <f ca="1">IF(Q2="dwarf",VLOOKUP(RANDBETWEEN(1,53),Table5[],2),IF(Q2="elf",VLOOKUP(RANDBETWEEN(1,73),Table7[],2),IF(Q2="halfling",VLOOKUP(RANDBETWEEN(1,20),Table11[],2),IF(Q2="human",VLOOKUP(RANDBETWEEN(1,52),Table18[],2),IF(Q2="dragonborn",VLOOKUP(RANDBETWEEN(1,18),Table24[],2),IF(Q2="gnome",VLOOKUP(RANDBETWEEN(1,13),Table27[],2),IF(Q2="half-elf",VLOOKUP(RANDBETWEEN(1,62),Table33[],2)," ")))))))</f>
        <v>Xiloscient</v>
      </c>
      <c r="R1" s="30"/>
      <c r="S1" s="30"/>
      <c r="AF1" s="29" t="s">
        <v>674</v>
      </c>
      <c r="AH1" s="29" t="s">
        <v>711</v>
      </c>
      <c r="AI1" s="29">
        <f ca="1">IF(O11="non-classed",RANDBETWEEN(1,10),IF(O11="wizard",SUM(6,4*O12,-4),IF(O11="warlock",SUM(8,5*O12,-5),IF(O11="sorcerer",SUM(6,4*O12,-6),IF(O11="rogue",SUM(8,5*O12,-5),IF(O11="ranger",SUM(10,6*O12,-6),IF(O11="paladin",SUM(10,6*O12,-6),IF(O11="barbarian",SUM(12,7*O12,-7),IF(O11="bard",SUM(8,5*O12,-5),IF(O11="cleric",SUM(8,5*O12,-5),IF(O11="druid",SUM(8,5*O12,-5),IF(O11="fighter",SUM(10,6*O12,-6),IF(O11="monk",SUM(8,5*O12,-5)," ")))))))))))))</f>
        <v>82</v>
      </c>
      <c r="AJ1" s="29" t="s">
        <v>714</v>
      </c>
      <c r="AK1" s="29">
        <f ca="1">(P40*P6)</f>
        <v>0</v>
      </c>
      <c r="CB1" s="31" t="s">
        <v>670</v>
      </c>
      <c r="CE1" s="31"/>
    </row>
    <row r="2" spans="1:83" x14ac:dyDescent="0.3">
      <c r="A2" s="30"/>
      <c r="B2" s="30"/>
      <c r="C2" s="33"/>
      <c r="D2" s="33"/>
      <c r="E2" s="33"/>
      <c r="F2" s="33"/>
      <c r="G2" s="33"/>
      <c r="H2" s="33"/>
      <c r="I2" s="33"/>
      <c r="J2" s="33"/>
      <c r="K2" s="33"/>
      <c r="L2" s="33"/>
      <c r="M2" s="33"/>
      <c r="N2" s="33"/>
      <c r="O2" s="110" t="str">
        <f ca="1">VLOOKUP(RANDBETWEEN(1,2),Table14[],2)</f>
        <v>Female</v>
      </c>
      <c r="P2" s="33" t="str">
        <f ca="1">IF(Q2="dwarf",VLOOKUP(RANDBETWEEN(1,2),Table8[],2),IF(Q2="elf",VLOOKUP(RANDBETWEEN(1,3),Table9[],2),IF(Q2="halfling",VLOOKUP(RANDBETWEEN(1,2),Table12[],2),IF(Q2="Dragonborn",VLOOKUP(RANDBETWEEN(1,10),Table25[],2),IF(Q2="Gnome",VLOOKUP(RANDBETWEEN(1,2),Table30[],2)," ")))))</f>
        <v>Dark</v>
      </c>
      <c r="Q2" s="156" t="s">
        <v>206</v>
      </c>
      <c r="R2" s="30"/>
      <c r="S2" s="30"/>
      <c r="AE2" s="29" t="s">
        <v>676</v>
      </c>
      <c r="AF2" s="29" t="str">
        <f ca="1">IF($P$6&gt;=4,VLOOKUP(RANDBETWEEN(1,6),Table41[],2)," ")</f>
        <v>Constitution</v>
      </c>
      <c r="AH2" s="29" t="s">
        <v>712</v>
      </c>
      <c r="AI2" s="29" t="str">
        <f>IF(Q11="wizard",4*Q12,IF(Q11="warlock",5*Q12,IF(Q11="sorcerer",4*Q12,IF(Q11="rogue",5*Q12,IF(Q11="ranger",6*Q12,IF(Q11="paladin",6*Q12,IF(Q11="barbarian",7*Q12,IF(Q11="bard",5*Q12,IF(Q11="cleric",5*Q12,IF(Q11="druid",5*Q12,IF(Q11="fighter",6*Q12,IF(Q11="monk",5*Q12," "))))))))))))</f>
        <v xml:space="preserve"> </v>
      </c>
      <c r="CB2" s="35">
        <f t="shared" ref="CB2:CB7" ca="1" si="0">_xlfn.RANK.EQ(CC2,$CC$2:$CC$7)</f>
        <v>4</v>
      </c>
      <c r="CC2" s="36">
        <f ca="1">IF(BM7&gt;0,0,RAND())</f>
        <v>0.11023401647638265</v>
      </c>
      <c r="CD2" s="29" t="s">
        <v>29</v>
      </c>
    </row>
    <row r="3" spans="1:83" ht="19.5" thickBot="1" x14ac:dyDescent="0.35">
      <c r="A3" s="30"/>
      <c r="B3" s="30"/>
      <c r="C3" s="38"/>
      <c r="D3" s="38"/>
      <c r="E3" s="38"/>
      <c r="F3" s="38"/>
      <c r="G3" s="38"/>
      <c r="H3" s="38"/>
      <c r="I3" s="38"/>
      <c r="J3" s="38"/>
      <c r="K3" s="38"/>
      <c r="L3" s="38"/>
      <c r="M3" s="38"/>
      <c r="N3" s="38"/>
      <c r="O3" s="37" t="str">
        <f ca="1">VLOOKUP(RANDBETWEEN(1,20),Table253[],2)</f>
        <v>Adult</v>
      </c>
      <c r="P3" s="38" t="str">
        <f ca="1">IF(AND(Q2="tiefling",O3="young adult"),SUM(17,RANDBETWEEN(1,23))&amp;" years old",IF(AND(Q2="tiefling",O3="adult"),SUM(40,RANDBETWEEN(1,30))&amp;" years old",IF(AND(Q2="tiefling",O3="elderly"),SUM(70,RANDBETWEEN(1,30))&amp;" years old",IF(AND(Q2="half-orc",O3="young adult"),SUM(13,RANDBETWEEN(1,32))&amp;" years old",IF(AND(Q2="half-orc",O3="adult"),SUM(45,RANDBETWEEN(1,15))&amp;" years old",IF(AND(Q2="half-orc",O3="elderly"),SUM(60,RANDBETWEEN(1,15))&amp;" years old",IF(AND(Q2="half-elf",O3="young adult"),SUM(19,RANDBETWEEN(1,30))&amp;" years old",IF(AND(Q2="half-elf",O3="adult"),SUM(50,RANDBETWEEN(1,100))&amp;" years old",IF(AND(Q2="half-elf",O3="elderly"),SUM(150,RANDBETWEEN(1,30))&amp;" years old",IF(AND(Q2="gnome",O3="young adult"),SUM(19,RANDBETWEEN(1,20))&amp;" years old",IF(AND(Q2="gnome",O3="adult"),SUM(40,RANDBETWEEN(1,160))&amp;" years old",IF(AND(Q2="gnome",O3="elderly"),SUM(200,RANDBETWEEN(1,200))&amp;" years old",IF(AND(Q2="dragonborn",O3="young adult"),SUM(14,RANDBETWEEN(1,5))&amp;" years old",IF(AND(Q2="dragonborn",O3="adult"),SUM(20,RANDBETWEEN(1,30))&amp;" years old",IF(AND(Q2="dragonborn",O3="elderly"),SUM(50,RANDBETWEEN(1,30))&amp;" years old",IF(AND(Q2="halfling",O3="young adult"),SUM(19,RANDBETWEEN(1,20))&amp;" years old",IF(AND(Q2="halfling",O3="adult"),SUM(40,RANDBETWEEN(1,110))&amp;" years old",IF(AND(Q2="halfling",O3="elderly"),SUM(150,RANDBETWEEN(1,100))&amp;" years old",IF(AND(Q2="elf",O3="young adult"),SUM(99,RANDBETWEEN(1,350))&amp;" years old",IF(AND(Q2="elf",O3="adult"),SUM(450,RANDBETWEEN(1,200))&amp;" years old",IF(AND(Q2="elf",O3="elderly"),SUM(650,RANDBETWEEN(1,100))&amp;" years old",IF(AND(Q2="dwarf",O3="young adult"),SUM(17,RANDBETWEEN(1,32))&amp;" years old",IF(AND(Q2="dwarf",O3="adult"),SUM(50,RANDBETWEEN(1,150))&amp;" years old",IF(AND(Q2="dwarf",O3="elderly"),SUM(200,RANDBETWEEN(1,150))&amp;" years old",IF(AND(Q2="human",O3="young adult"),SUM(17,RANDBETWEEN(1,12))&amp;" years old",IF(AND(Q2="human",O3="adult"),SUM(30,RANDBETWEEN(1,35))&amp;" years old",IF(AND(Q2="human",O3="elderly"),SUM(65,RANDBETWEEN(1,25))&amp;" years old"," ")))))))))))))))))))))))))))</f>
        <v>568 years old</v>
      </c>
      <c r="Q3" s="113"/>
      <c r="R3" s="30"/>
      <c r="AE3" s="29" t="s">
        <v>676</v>
      </c>
      <c r="AF3" s="29" t="str">
        <f ca="1">IF($P$6&gt;=4,VLOOKUP(RANDBETWEEN(1,6),Table41[],2)," ")</f>
        <v>Strength</v>
      </c>
      <c r="AH3" s="29" t="s">
        <v>713</v>
      </c>
      <c r="AI3" s="29" t="str">
        <f ca="1">IF(P2="hill",(P6)," ")</f>
        <v xml:space="preserve"> </v>
      </c>
      <c r="CB3" s="35">
        <f t="shared" ca="1" si="0"/>
        <v>5</v>
      </c>
      <c r="CC3" s="36">
        <f ca="1">IF(BM9&gt;0,0,RAND())</f>
        <v>0</v>
      </c>
      <c r="CD3" s="29" t="s">
        <v>14</v>
      </c>
    </row>
    <row r="4" spans="1:83" ht="19.5" thickBot="1" x14ac:dyDescent="0.35">
      <c r="A4" s="33"/>
      <c r="B4" s="30"/>
      <c r="C4" s="39"/>
      <c r="D4" s="39"/>
      <c r="E4" s="39"/>
      <c r="F4" s="39"/>
      <c r="G4" s="39"/>
      <c r="H4" s="39"/>
      <c r="I4" s="39"/>
      <c r="J4" s="39"/>
      <c r="K4" s="39"/>
      <c r="L4" s="39"/>
      <c r="M4" s="39"/>
      <c r="N4" s="39"/>
      <c r="O4" s="40"/>
      <c r="Q4" s="41"/>
      <c r="R4" s="41"/>
      <c r="AE4" s="29" t="s">
        <v>677</v>
      </c>
      <c r="AF4" s="29" t="str">
        <f ca="1">IF($P$6&gt;=8,VLOOKUP(RANDBETWEEN(1,6),Table41[],2)," ")</f>
        <v>Dexterity</v>
      </c>
      <c r="AH4" s="29" t="s">
        <v>1592</v>
      </c>
      <c r="AI4" s="29" t="str">
        <f ca="1">IF(OR(P15="draconic bloodline",R15="draconic bloodline"),O12," ")</f>
        <v xml:space="preserve"> </v>
      </c>
      <c r="CB4" s="35">
        <f t="shared" ca="1" si="0"/>
        <v>3</v>
      </c>
      <c r="CC4" s="36">
        <f ca="1">IF(BM13&gt;0,0,RAND())</f>
        <v>0.33603000700438879</v>
      </c>
      <c r="CD4" s="29" t="s">
        <v>18</v>
      </c>
    </row>
    <row r="5" spans="1:83" ht="19.5" thickBot="1" x14ac:dyDescent="0.35">
      <c r="B5" s="42" t="s">
        <v>35</v>
      </c>
      <c r="O5" s="43" t="s">
        <v>41</v>
      </c>
      <c r="P5" s="43" t="s">
        <v>1881</v>
      </c>
      <c r="Q5" s="44" t="str">
        <f ca="1">"Max. HP: "&amp;SUM(AI1,AI2,AI3,AK1,AI4)</f>
        <v>Max. HP: 82</v>
      </c>
      <c r="R5" s="45" t="s">
        <v>33</v>
      </c>
      <c r="AE5" s="29" t="s">
        <v>677</v>
      </c>
      <c r="AF5" s="29" t="str">
        <f ca="1">IF($P$6&gt;=8,VLOOKUP(RANDBETWEEN(1,6),Table41[],2)," ")</f>
        <v>Intelligence</v>
      </c>
      <c r="AV5" s="29" t="s">
        <v>744</v>
      </c>
      <c r="BM5" s="29" t="s">
        <v>1825</v>
      </c>
      <c r="BN5" s="29" t="s">
        <v>744</v>
      </c>
      <c r="BO5" s="29" t="s">
        <v>728</v>
      </c>
      <c r="BP5" s="29" t="s">
        <v>745</v>
      </c>
      <c r="BQ5" s="29" t="s">
        <v>1569</v>
      </c>
      <c r="BR5" s="29" t="s">
        <v>211</v>
      </c>
      <c r="BS5" s="29" t="s">
        <v>1343</v>
      </c>
      <c r="BT5" s="29" t="s">
        <v>1344</v>
      </c>
      <c r="BU5" s="29" t="s">
        <v>739</v>
      </c>
      <c r="CB5" s="35">
        <f t="shared" ca="1" si="0"/>
        <v>2</v>
      </c>
      <c r="CC5" s="36">
        <f ca="1">IF(BM16&gt;0,0,RAND())</f>
        <v>0.43483231526842325</v>
      </c>
      <c r="CD5" s="29" t="s">
        <v>21</v>
      </c>
    </row>
    <row r="6" spans="1:83" ht="20.25" thickTop="1" thickBot="1" x14ac:dyDescent="0.35">
      <c r="B6" s="32">
        <f ca="1">P39</f>
        <v>4</v>
      </c>
      <c r="O6" s="46" t="str">
        <f>IF(OR(Q2="dwarf",Q2="elf",Q2="human",Q2="dragonborn",Q2="half-elf",Q2="half-orc",Q2="tiefling"),"Medium",IF(OR(Q2="gnome",Q2="halfling"),"Small"," "))</f>
        <v>Medium</v>
      </c>
      <c r="P6" s="47">
        <f ca="1">IF(AF14=1,O12,IF(AF14=2,SUM(O12,Q12)))</f>
        <v>20</v>
      </c>
      <c r="Q6" s="48" t="s">
        <v>1882</v>
      </c>
      <c r="R6" s="47" t="str">
        <f ca="1">VLOOKUP(RANDBETWEEN(1,100),Table92[],2)</f>
        <v>Neutral Good</v>
      </c>
      <c r="U6" s="49"/>
      <c r="AE6" s="29" t="s">
        <v>678</v>
      </c>
      <c r="AF6" s="29" t="str">
        <f ca="1">IF($P$6&gt;=12,VLOOKUP(RANDBETWEEN(1,6),Table41[],2)," ")</f>
        <v>Charisma</v>
      </c>
      <c r="AH6" s="29" t="s">
        <v>12</v>
      </c>
      <c r="AI6" s="29">
        <f ca="1">$P$39</f>
        <v>4</v>
      </c>
      <c r="AJ6" s="29" t="str">
        <f t="shared" ref="AJ6:AU6" si="1">IF(COUNTIF(AJ$27:AJ$33,$AH$6),$P$8," ")</f>
        <v xml:space="preserve"> </v>
      </c>
      <c r="AK6" s="29" t="str">
        <f t="shared" ca="1" si="1"/>
        <v xml:space="preserve"> </v>
      </c>
      <c r="AL6" s="29" t="str">
        <f t="shared" si="1"/>
        <v xml:space="preserve"> </v>
      </c>
      <c r="AM6" s="29" t="str">
        <f t="shared" si="1"/>
        <v xml:space="preserve"> </v>
      </c>
      <c r="AN6" s="29" t="str">
        <f t="shared" si="1"/>
        <v xml:space="preserve"> </v>
      </c>
      <c r="AO6" s="29" t="str">
        <f t="shared" si="1"/>
        <v xml:space="preserve"> </v>
      </c>
      <c r="AP6" s="29" t="str">
        <f t="shared" ca="1" si="1"/>
        <v xml:space="preserve"> </v>
      </c>
      <c r="AQ6" s="29" t="str">
        <f t="shared" si="1"/>
        <v xml:space="preserve"> </v>
      </c>
      <c r="AR6" s="29" t="str">
        <f t="shared" si="1"/>
        <v xml:space="preserve"> </v>
      </c>
      <c r="AS6" s="29" t="str">
        <f t="shared" si="1"/>
        <v xml:space="preserve"> </v>
      </c>
      <c r="AT6" s="29" t="str">
        <f t="shared" ca="1" si="1"/>
        <v xml:space="preserve"> </v>
      </c>
      <c r="AU6" s="29" t="str">
        <f t="shared" ca="1" si="1"/>
        <v xml:space="preserve"> </v>
      </c>
      <c r="AV6" s="29">
        <f ca="1">SUM(AJ6:AU6)</f>
        <v>0</v>
      </c>
      <c r="AW6" s="29" t="s">
        <v>12</v>
      </c>
      <c r="BA6" s="29" t="str">
        <f ca="1">IF(S11="Entertainer",P8," ")</f>
        <v xml:space="preserve"> </v>
      </c>
      <c r="BM6" s="29">
        <f t="shared" ref="BM6:BM23" ca="1" si="2">SUM(AX6:BL6)</f>
        <v>0</v>
      </c>
      <c r="BN6" s="29">
        <f ca="1">AV6</f>
        <v>0</v>
      </c>
      <c r="BO6" s="29" t="str">
        <f t="shared" ref="BO6:BO23" ca="1" si="3">IF(AND($O$11="bard",$O$12&gt;=3,BN26=1),$P$8,IF(AND($O$11="bard",$O$12&gt;=3,BN26=2),$P$8,IF(AND($O$11="bard",$O$12&gt;=10,BN26=3,$P$15="college of lore"),$P$8,IF(AND($O$11="bard",$O$12&gt;=10,BN26=4,$P$15="college of lore"),$P$8,IF(AND($Q$11="bard",$Q$12&gt;=3,BN26=1),$P$8,IF(AND($Q$11="bard",$Q$12&gt;=3,BN26=2),$P$8,IF(AND($Q$11="bard",$Q$12&gt;=10,BN26=3,$P$15="college of lore"),$P$8,IF(AND($Q$11="bard",$Q$12&gt;=10,BN26=4,$P$15="college of lore"),$P$8," "))))))))</f>
        <v xml:space="preserve"> </v>
      </c>
      <c r="BP6" s="29" t="str">
        <f t="shared" ref="BP6:BP23" ca="1" si="4">IF(AND($O$11="bard",$O$12&gt;=2,AV6&lt;=0),ROUNDDOWN($P$8*0.5,0),IF(AND($Q$11="bard",$Q$12&gt;=2,AV6&lt;=0),ROUNDDOWN($P$8*0.5,0)," "))</f>
        <v xml:space="preserve"> </v>
      </c>
      <c r="BQ6" s="29" t="str">
        <f t="shared" ref="BQ6:BQ23" ca="1" si="5">IF(AND($O$11="rogue",BN26=1),$P$8,IF(AND($O$11="rogue",BN26=2,$AF$25=1),$P$8,IF(AND($O$11="rogue",$O$12&gt;6,BN26=3),$P$8,IF(AND($O$11="rogue",$O$12&gt;6,BN26=4),$P$8," "))))</f>
        <v xml:space="preserve"> </v>
      </c>
      <c r="BR6" s="29">
        <f t="shared" ref="BR6:BR23" ca="1" si="6">IF(AND($Q$2="half-elf",BR26=1),$P$8,IF(AND($Q$2="half-elf",BR26=2),$P$8,0))</f>
        <v>0</v>
      </c>
      <c r="BU6" s="29">
        <f ca="1">SUM(BM6:BT6,AI6)</f>
        <v>4</v>
      </c>
      <c r="BV6" s="29" t="s">
        <v>12</v>
      </c>
      <c r="CB6" s="35">
        <f t="shared" ca="1" si="0"/>
        <v>1</v>
      </c>
      <c r="CC6" s="36">
        <f ca="1">IF(BM17&gt;0,0,RAND())</f>
        <v>0.90519589380170662</v>
      </c>
      <c r="CD6" s="29" t="s">
        <v>22</v>
      </c>
      <c r="CE6" s="31"/>
    </row>
    <row r="7" spans="1:83" ht="19.5" thickBot="1" x14ac:dyDescent="0.35">
      <c r="B7" s="42" t="s">
        <v>36</v>
      </c>
      <c r="O7" s="50" t="str">
        <f ca="1">IF(Q2="Tiefling","Height: "&amp;SUM(57,AE31)&amp;" inches",IF(Q2="half-orc","Height: "&amp;SUM(58,AE32)&amp;" inches",IF(Q2="Half-elf","Height: "&amp;SUM(57,AE31)&amp;" inches",IF(Q2="Gnome","Height: "&amp;SUM(35,AE29)&amp;" inches",IF(Q2="Dragonborn","Height: "&amp;SUM(66,AE31)&amp;" inches",IF(Q2="Halfling","Height: "&amp;SUM(31,AE29)&amp;" inches",IF(P2="dark","Height: "&amp;SUM(53,AE30)&amp;" inches",IF(P2="wood","Height: "&amp;SUM(54,AE32)&amp;" inches",IF(P2="high","Height: "&amp;SUM(54,AE32)&amp;" inches",IF(P2="mountain","Height: "&amp;SUM(48,AE29)&amp;" inches",IF(P2="hill","Height: "&amp;SUM(44,AE29)&amp;" inches",IF(Q2="human","Height: "&amp;SUM(56,AE32)&amp;" inches"," "))))))))))))</f>
        <v>Height: 57 inches</v>
      </c>
      <c r="P7" s="43" t="s">
        <v>34</v>
      </c>
      <c r="AE7" s="29" t="s">
        <v>678</v>
      </c>
      <c r="AF7" s="29" t="str">
        <f ca="1">IF($P$6&gt;=12,VLOOKUP(RANDBETWEEN(1,6),Table41[],2)," ")</f>
        <v>Intelligence</v>
      </c>
      <c r="AH7" s="29" t="s">
        <v>29</v>
      </c>
      <c r="AI7" s="29">
        <f ca="1">$P$42</f>
        <v>0</v>
      </c>
      <c r="AJ7" s="29" t="str">
        <f t="shared" ref="AJ7:AU7" si="7">IF(COUNTIF(AJ$27:AJ$33,$AH$7),$P$8," ")</f>
        <v xml:space="preserve"> </v>
      </c>
      <c r="AK7" s="29" t="str">
        <f t="shared" ca="1" si="7"/>
        <v xml:space="preserve"> </v>
      </c>
      <c r="AL7" s="29" t="str">
        <f t="shared" si="7"/>
        <v xml:space="preserve"> </v>
      </c>
      <c r="AM7" s="29" t="str">
        <f t="shared" si="7"/>
        <v xml:space="preserve"> </v>
      </c>
      <c r="AN7" s="29" t="str">
        <f t="shared" si="7"/>
        <v xml:space="preserve"> </v>
      </c>
      <c r="AO7" s="29" t="str">
        <f t="shared" si="7"/>
        <v xml:space="preserve"> </v>
      </c>
      <c r="AP7" s="29" t="str">
        <f t="shared" ca="1" si="7"/>
        <v xml:space="preserve"> </v>
      </c>
      <c r="AQ7" s="29" t="str">
        <f t="shared" si="7"/>
        <v xml:space="preserve"> </v>
      </c>
      <c r="AR7" s="29" t="str">
        <f t="shared" si="7"/>
        <v xml:space="preserve"> </v>
      </c>
      <c r="AS7" s="29" t="str">
        <f t="shared" si="7"/>
        <v xml:space="preserve"> </v>
      </c>
      <c r="AT7" s="29" t="str">
        <f t="shared" ca="1" si="7"/>
        <v xml:space="preserve"> </v>
      </c>
      <c r="AU7" s="29" t="str">
        <f t="shared" ca="1" si="7"/>
        <v xml:space="preserve"> </v>
      </c>
      <c r="AV7" s="29">
        <f t="shared" ref="AV7:AV23" ca="1" si="8">SUM(AJ7:AU7)</f>
        <v>0</v>
      </c>
      <c r="AW7" s="29" t="s">
        <v>29</v>
      </c>
      <c r="BB7" s="29" t="str">
        <f ca="1">IF(S11="Folk Hero",P8," ")</f>
        <v xml:space="preserve"> </v>
      </c>
      <c r="BM7" s="29">
        <f t="shared" ca="1" si="2"/>
        <v>0</v>
      </c>
      <c r="BN7" s="29">
        <f t="shared" ref="BN7:BN23" ca="1" si="9">AV7</f>
        <v>0</v>
      </c>
      <c r="BO7" s="29" t="str">
        <f t="shared" ca="1" si="3"/>
        <v xml:space="preserve"> </v>
      </c>
      <c r="BP7" s="29" t="str">
        <f t="shared" ca="1" si="4"/>
        <v xml:space="preserve"> </v>
      </c>
      <c r="BQ7" s="29" t="str">
        <f t="shared" ca="1" si="5"/>
        <v xml:space="preserve"> </v>
      </c>
      <c r="BR7" s="29">
        <f t="shared" ca="1" si="6"/>
        <v>0</v>
      </c>
      <c r="BT7" s="29">
        <f ca="1">IF(AND(BY30=1,OR($P$15="nature",$R$15="nature")),$P$8,0)</f>
        <v>0</v>
      </c>
      <c r="BU7" s="29">
        <f t="shared" ref="BU7:BU23" ca="1" si="10">SUM(BM7:BT7)</f>
        <v>0</v>
      </c>
      <c r="BV7" s="29" t="s">
        <v>29</v>
      </c>
      <c r="CB7" s="35">
        <f t="shared" ca="1" si="0"/>
        <v>5</v>
      </c>
      <c r="CC7" s="36">
        <f ca="1">IF(BM23&gt;0,0,RAND())</f>
        <v>0</v>
      </c>
      <c r="CD7" s="29" t="s">
        <v>28</v>
      </c>
    </row>
    <row r="8" spans="1:83" ht="20.25" thickTop="1" thickBot="1" x14ac:dyDescent="0.35">
      <c r="B8" s="51" t="str">
        <f ca="1">IF(AND(B89="unarmored defense",B90&lt;&gt;"shield",Q12&gt;=2,Q11="monk",OR(Q2="dwarf",Q2="halfling",Q2="gnome")),SUM(15,INDEX('Class Tables'!L98:L117,MATCH(O12,('Class Tables'!I98:I117),0)))&amp;" ft.",IF(AND(B89="unarmored defense",B90&lt;&gt;"Shield",Q12&gt;=2,Q11="monk",P2="wood"),SUM(25,INDEX('Class Tables'!L98:L117,MATCH(O12,('Class Tables'!I98:I117),0)))&amp;" ft.",IF(AND(B89="unarmored defense",B90&lt;&gt;"shield",Q12&gt;=2,Q11="monk",OR(Q2="human",Q2="elf",Q2="dragonborn",Q2="half-elf",Q2="half-orc",Q2="tiefling")),SUM(20,INDEX('Class Tables'!L98:L117,MATCH(O12,('Class Tables'!I98:I117),0)))&amp;" ft.",IF(AND(B89="unarmored defense",B90&lt;&gt;"shield",O12&gt;=2,O11="monk",OR(Q2="dwarf",Q2="halfling",Q2="gnome")),SUM(25,INDEX('Class Tables'!L98:L117,MATCH(O12,('Class Tables'!I98:I117),0)))&amp;" ft.",IF(AND(B89="unarmored defense",B90&lt;&gt;"Shield",O12&gt;=2,O11="monk",P2="wood"),SUM(35,INDEX('Class Tables'!L98:L117,MATCH(O12,('Class Tables'!I98:I117),0)))&amp;" ft.",IF(AND(B89="unarmored defense",B90&lt;&gt;"shield",O12&gt;=2,O11="monk",OR(Q2="human",Q2="elf",Q2="dragonborn",Q2="half-elf",Q2="half-orc",Q2="tiefling")),SUM(30,INDEX('Class Tables'!L98:L117,MATCH(O12,('Class Tables'!I98:I117),0)))&amp;" ft.",IF(AND(B89="unarmored defense",Q12&gt;=5,Q11="barbarian",OR(Q2="dwarf",Q2="halfling",Q2="gnome")),"35 ft.",IF(AND(B89="unarmored defense",Q12&gt;=5,Q11="barbarian",P2="wood"),"45 ft.",IF(AND(B89="unarmored defense",Q12&gt;=5,Q11="barbarian",OR(Q2="human",Q2="elf",Q2="dragonborn",Q2="half-elf",Q2="half-orc",Q2="tiefling")),"40 ft.",IF(AND(B89="unarmored defense",O12&gt;=5,O11="barbarian",OR(Q2="dwarf",Q2="halfling",Q2="gnome")),"35 ft.",IF(AND(B89="unarmored defense",O12&gt;=O11="barbarian",P2="wood"),"45 ft.",IF(AND(B89="unarmored defense",O12&gt;=5,O11="barbarian",OR(Q2="human",Q2="elf",Q2="dragonborn",Q2="half-elf",Q2="half-orc",Q2="tiefling")),"40 ft.",IF(OR(Q2="dwarf",Q2="halfling",Q2="gnome"),"25 ft.",IF(P2="wood","35 ft.",IF(OR(Q2="human",Q2="elf",Q2="dragonborn",Q2="half-elf",Q2="half-orc",Q2="tiefling"),"30 ft."," ")))))))))))))))</f>
        <v>30 ft.</v>
      </c>
      <c r="O8" s="47" t="str">
        <f ca="1">IF(P2="dark","Weight: "&amp;SUM(AE30*RANDBETWEEN(1,6),75)&amp;" lbs.",IF(P2="wood","Weight: "&amp;SUM(AE32*RANDBETWEEN(1,4),100)&amp;" lbs.",IF(P2="high","Weight: "&amp;SUM(AE32*RANDBETWEEN(1,4),90)&amp;" lbs.",IF(P2="mountain","Weight: "&amp;SUM(AE29*RANDBETWEEN(2,12),130)&amp;" lbs.",IF(P2="hill","Weight: "&amp;SUM(AE29*RANDBETWEEN(2,12),115)&amp;" lbs.",IF(Q2="tiefling","Weight: "&amp;SUM(AE31*RANDBETWEEN(2,8),110)&amp;" lbs.",IF(Q2="Half-orc","Weight: "&amp;SUM(AE32*RANDBETWEEN(2,12),140),IF(Q2="Half-elf","Weight: "&amp;SUM(AE31*RANDBETWEEN(2,8),110),IF(Q2="Gnome","Weight: "&amp;SUM(AE29,35),IF(Q2="Dragonborn","Weight: "&amp;SUM(AE31*RANDBETWEEN(2,12),175)&amp;" lbs.",IF(Q2="Halfling","Weight: "&amp;SUM(AE29,35)&amp;" lbs.",IF(Q2="Human","Weight: "&amp;SUM(AE32*RANDBETWEEN(2,8),110)&amp;" lbs."," "))))))))))))</f>
        <v>Weight: 99 lbs.</v>
      </c>
      <c r="P8" s="111">
        <f ca="1">VLOOKUP(P6,Table26[],2)</f>
        <v>6</v>
      </c>
      <c r="Q8" s="33"/>
      <c r="R8" s="33"/>
      <c r="AE8" s="29" t="s">
        <v>679</v>
      </c>
      <c r="AF8" s="29" t="str">
        <f ca="1">IF($P$6&gt;=16,VLOOKUP(RANDBETWEEN(1,6),Table41[],2)," ")</f>
        <v>Intelligence</v>
      </c>
      <c r="AH8" s="29" t="s">
        <v>13</v>
      </c>
      <c r="AI8" s="29">
        <f ca="1">$P$41</f>
        <v>4</v>
      </c>
      <c r="AJ8" s="29" t="str">
        <f t="shared" ref="AJ8:AU8" si="11">IF(COUNTIF(AJ$27:AJ$33,$AH$8),$P$8," ")</f>
        <v xml:space="preserve"> </v>
      </c>
      <c r="AK8" s="29" t="str">
        <f t="shared" ca="1" si="11"/>
        <v xml:space="preserve"> </v>
      </c>
      <c r="AL8" s="29" t="str">
        <f t="shared" si="11"/>
        <v xml:space="preserve"> </v>
      </c>
      <c r="AM8" s="29" t="str">
        <f t="shared" si="11"/>
        <v xml:space="preserve"> </v>
      </c>
      <c r="AN8" s="29" t="str">
        <f t="shared" si="11"/>
        <v xml:space="preserve"> </v>
      </c>
      <c r="AO8" s="29" t="str">
        <f t="shared" si="11"/>
        <v xml:space="preserve"> </v>
      </c>
      <c r="AP8" s="29" t="str">
        <f t="shared" ca="1" si="11"/>
        <v xml:space="preserve"> </v>
      </c>
      <c r="AQ8" s="29" t="str">
        <f t="shared" si="11"/>
        <v xml:space="preserve"> </v>
      </c>
      <c r="AR8" s="29" t="str">
        <f t="shared" si="11"/>
        <v xml:space="preserve"> </v>
      </c>
      <c r="AS8" s="29" t="str">
        <f t="shared" si="11"/>
        <v xml:space="preserve"> </v>
      </c>
      <c r="AT8" s="29" t="str">
        <f t="shared" ca="1" si="11"/>
        <v xml:space="preserve"> </v>
      </c>
      <c r="AU8" s="29" t="str">
        <f t="shared" ca="1" si="11"/>
        <v xml:space="preserve"> </v>
      </c>
      <c r="AV8" s="29">
        <f t="shared" ca="1" si="8"/>
        <v>0</v>
      </c>
      <c r="AW8" s="29" t="s">
        <v>13</v>
      </c>
      <c r="BI8" s="29" t="str">
        <f ca="1">IF(S11="Sage",P8," ")</f>
        <v xml:space="preserve"> </v>
      </c>
      <c r="BM8" s="29">
        <f t="shared" ca="1" si="2"/>
        <v>0</v>
      </c>
      <c r="BN8" s="29">
        <f t="shared" ca="1" si="9"/>
        <v>0</v>
      </c>
      <c r="BO8" s="29" t="str">
        <f t="shared" ca="1" si="3"/>
        <v xml:space="preserve"> </v>
      </c>
      <c r="BP8" s="29" t="str">
        <f t="shared" ca="1" si="4"/>
        <v xml:space="preserve"> </v>
      </c>
      <c r="BQ8" s="29" t="str">
        <f t="shared" ca="1" si="5"/>
        <v xml:space="preserve"> </v>
      </c>
      <c r="BR8" s="29">
        <f t="shared" ca="1" si="6"/>
        <v>0</v>
      </c>
      <c r="BS8" s="29">
        <f ca="1">IF(AND($BY$26=1,OR($P$15="knowledge",$R$15="knowledge")),$P$8*2,IF(AND($BY$26=2,OR($P$15="knowledge",$R$15="knowledge")),$P$8*2,0))</f>
        <v>0</v>
      </c>
      <c r="BU8" s="29">
        <f t="shared" ca="1" si="10"/>
        <v>0</v>
      </c>
      <c r="BV8" s="29" t="s">
        <v>13</v>
      </c>
      <c r="CB8" s="52"/>
      <c r="CC8" s="52"/>
    </row>
    <row r="9" spans="1:83" ht="19.5" thickBot="1" x14ac:dyDescent="0.35">
      <c r="AE9" s="29" t="s">
        <v>679</v>
      </c>
      <c r="AF9" s="29" t="str">
        <f ca="1">IF($P$6&gt;=16,VLOOKUP(RANDBETWEEN(1,6),Table41[],2)," ")</f>
        <v>Charisma</v>
      </c>
      <c r="AH9" s="29" t="s">
        <v>14</v>
      </c>
      <c r="AI9" s="29">
        <f ca="1">$P$38</f>
        <v>1</v>
      </c>
      <c r="AJ9" s="29" t="str">
        <f t="shared" ref="AJ9:AU9" si="12">IF(COUNTIF(AJ$27:AJ$33,$AH$9),$P$8," ")</f>
        <v xml:space="preserve"> </v>
      </c>
      <c r="AK9" s="29" t="str">
        <f t="shared" ca="1" si="12"/>
        <v xml:space="preserve"> </v>
      </c>
      <c r="AL9" s="29" t="str">
        <f t="shared" si="12"/>
        <v xml:space="preserve"> </v>
      </c>
      <c r="AM9" s="29" t="str">
        <f t="shared" si="12"/>
        <v xml:space="preserve"> </v>
      </c>
      <c r="AN9" s="29" t="str">
        <f t="shared" si="12"/>
        <v xml:space="preserve"> </v>
      </c>
      <c r="AO9" s="29" t="str">
        <f t="shared" si="12"/>
        <v xml:space="preserve"> </v>
      </c>
      <c r="AP9" s="29" t="str">
        <f t="shared" ca="1" si="12"/>
        <v xml:space="preserve"> </v>
      </c>
      <c r="AQ9" s="29" t="str">
        <f t="shared" si="12"/>
        <v xml:space="preserve"> </v>
      </c>
      <c r="AR9" s="29" t="str">
        <f t="shared" si="12"/>
        <v xml:space="preserve"> </v>
      </c>
      <c r="AS9" s="29" t="str">
        <f t="shared" si="12"/>
        <v xml:space="preserve"> </v>
      </c>
      <c r="AT9" s="29" t="str">
        <f t="shared" ca="1" si="12"/>
        <v xml:space="preserve"> </v>
      </c>
      <c r="AU9" s="29" t="str">
        <f t="shared" ca="1" si="12"/>
        <v xml:space="preserve"> </v>
      </c>
      <c r="AV9" s="29">
        <f t="shared" ca="1" si="8"/>
        <v>0</v>
      </c>
      <c r="AW9" s="29" t="s">
        <v>14</v>
      </c>
      <c r="BG9" s="29">
        <f ca="1">IF(S11="Outlander",P8," ")</f>
        <v>6</v>
      </c>
      <c r="BH9" s="29" t="str">
        <f ca="1">IF(S11="Pirate",P8," ")</f>
        <v xml:space="preserve"> </v>
      </c>
      <c r="BJ9" s="29" t="str">
        <f ca="1">IF(S11="Sailor",P8," ")</f>
        <v xml:space="preserve"> </v>
      </c>
      <c r="BK9" s="29" t="str">
        <f ca="1">IF(S11="Soldier",P8," ")</f>
        <v xml:space="preserve"> </v>
      </c>
      <c r="BM9" s="29">
        <f t="shared" ca="1" si="2"/>
        <v>6</v>
      </c>
      <c r="BN9" s="29">
        <f t="shared" ca="1" si="9"/>
        <v>0</v>
      </c>
      <c r="BO9" s="29" t="str">
        <f t="shared" ca="1" si="3"/>
        <v xml:space="preserve"> </v>
      </c>
      <c r="BP9" s="29" t="str">
        <f t="shared" ca="1" si="4"/>
        <v xml:space="preserve"> </v>
      </c>
      <c r="BQ9" s="29" t="str">
        <f t="shared" ca="1" si="5"/>
        <v xml:space="preserve"> </v>
      </c>
      <c r="BR9" s="29">
        <f t="shared" ca="1" si="6"/>
        <v>0</v>
      </c>
      <c r="BU9" s="29">
        <f t="shared" ca="1" si="10"/>
        <v>6</v>
      </c>
      <c r="BV9" s="29" t="s">
        <v>14</v>
      </c>
      <c r="CB9" s="31" t="s">
        <v>740</v>
      </c>
      <c r="CC9" s="31" t="s">
        <v>742</v>
      </c>
      <c r="CD9" s="31"/>
    </row>
    <row r="10" spans="1:83" ht="26.25" thickBot="1" x14ac:dyDescent="0.4">
      <c r="O10" s="124" t="s">
        <v>681</v>
      </c>
      <c r="Q10" s="124" t="s">
        <v>682</v>
      </c>
      <c r="R10" s="49"/>
      <c r="S10" s="123" t="s">
        <v>32</v>
      </c>
      <c r="AE10" s="29" t="s">
        <v>680</v>
      </c>
      <c r="AF10" s="29" t="str">
        <f ca="1">IF($P$6&gt;=19,VLOOKUP(RANDBETWEEN(1,6),Table41[],2)," ")</f>
        <v>Strength</v>
      </c>
      <c r="AH10" s="29" t="s">
        <v>15</v>
      </c>
      <c r="AI10" s="29">
        <f ca="1">$P$43</f>
        <v>4</v>
      </c>
      <c r="AJ10" s="29" t="str">
        <f t="shared" ref="AJ10:AU10" si="13">IF(COUNTIF(AJ$27:AJ$33,$AH$10),$P$8," ")</f>
        <v xml:space="preserve"> </v>
      </c>
      <c r="AK10" s="29" t="str">
        <f t="shared" ca="1" si="13"/>
        <v xml:space="preserve"> </v>
      </c>
      <c r="AL10" s="29" t="str">
        <f t="shared" si="13"/>
        <v xml:space="preserve"> </v>
      </c>
      <c r="AM10" s="29" t="str">
        <f t="shared" si="13"/>
        <v xml:space="preserve"> </v>
      </c>
      <c r="AN10" s="29" t="str">
        <f t="shared" si="13"/>
        <v xml:space="preserve"> </v>
      </c>
      <c r="AO10" s="29" t="str">
        <f t="shared" si="13"/>
        <v xml:space="preserve"> </v>
      </c>
      <c r="AP10" s="29" t="str">
        <f t="shared" ca="1" si="13"/>
        <v xml:space="preserve"> </v>
      </c>
      <c r="AQ10" s="29" t="str">
        <f t="shared" si="13"/>
        <v xml:space="preserve"> </v>
      </c>
      <c r="AR10" s="29" t="str">
        <f t="shared" si="13"/>
        <v xml:space="preserve"> </v>
      </c>
      <c r="AS10" s="29" t="str">
        <f t="shared" si="13"/>
        <v xml:space="preserve"> </v>
      </c>
      <c r="AT10" s="29" t="str">
        <f t="shared" ca="1" si="13"/>
        <v xml:space="preserve"> </v>
      </c>
      <c r="AU10" s="29" t="str">
        <f t="shared" ca="1" si="13"/>
        <v xml:space="preserve"> </v>
      </c>
      <c r="AV10" s="29">
        <f t="shared" ca="1" si="8"/>
        <v>0</v>
      </c>
      <c r="AW10" s="29" t="s">
        <v>15</v>
      </c>
      <c r="AY10" s="29" t="str">
        <f ca="1">IF(S11="Charlatan",P8," ")</f>
        <v xml:space="preserve"> </v>
      </c>
      <c r="AZ10" s="29" t="str">
        <f ca="1">IF(S11="Criminal",P8," ")</f>
        <v xml:space="preserve"> </v>
      </c>
      <c r="BE10" s="29" t="str">
        <f ca="1">IF(S11="Knight",P8," ")</f>
        <v xml:space="preserve"> </v>
      </c>
      <c r="BF10" s="29" t="str">
        <f ca="1">IF(S11="Noble",P8," ")</f>
        <v xml:space="preserve"> </v>
      </c>
      <c r="BM10" s="29">
        <f t="shared" ca="1" si="2"/>
        <v>0</v>
      </c>
      <c r="BN10" s="29">
        <f t="shared" ca="1" si="9"/>
        <v>0</v>
      </c>
      <c r="BO10" s="29" t="str">
        <f t="shared" ca="1" si="3"/>
        <v xml:space="preserve"> </v>
      </c>
      <c r="BP10" s="29" t="str">
        <f t="shared" ca="1" si="4"/>
        <v xml:space="preserve"> </v>
      </c>
      <c r="BQ10" s="29" t="str">
        <f t="shared" ca="1" si="5"/>
        <v xml:space="preserve"> </v>
      </c>
      <c r="BR10" s="29">
        <f t="shared" ca="1" si="6"/>
        <v>0</v>
      </c>
      <c r="BU10" s="29">
        <f t="shared" ca="1" si="10"/>
        <v>0</v>
      </c>
      <c r="BV10" s="29" t="s">
        <v>15</v>
      </c>
      <c r="CB10" s="35">
        <f t="shared" ref="CB10:CB27" ca="1" si="14">_xlfn.RANK.EQ(CC10,$CC$10:$CC$27)</f>
        <v>1</v>
      </c>
      <c r="CC10" s="36">
        <f t="shared" ref="CC10:CC27" ca="1" si="15">IF(BM6&gt;0,0,RAND())</f>
        <v>0.94136674632956074</v>
      </c>
      <c r="CD10" s="29" t="s">
        <v>12</v>
      </c>
    </row>
    <row r="11" spans="1:83" ht="19.5" thickTop="1" x14ac:dyDescent="0.3">
      <c r="O11" s="154" t="s">
        <v>696</v>
      </c>
      <c r="Q11" s="154" t="s">
        <v>2757</v>
      </c>
      <c r="R11" s="49"/>
      <c r="S11" s="33" t="str">
        <f ca="1">IF(O11&lt;&gt;"non-classed",VLOOKUP(RANDBETWEEN(1,15),Table254[],2)," ")</f>
        <v>Outlander</v>
      </c>
      <c r="AE11" s="29" t="s">
        <v>680</v>
      </c>
      <c r="AF11" s="29" t="str">
        <f ca="1">IF($P$6&gt;=19,VLOOKUP(RANDBETWEEN(1,6),Table41[],2)," ")</f>
        <v>Constitution</v>
      </c>
      <c r="AH11" s="29" t="s">
        <v>16</v>
      </c>
      <c r="AI11" s="29">
        <f ca="1">$P$41</f>
        <v>4</v>
      </c>
      <c r="AJ11" s="29" t="str">
        <f t="shared" ref="AJ11:AU11" si="16">IF(COUNTIF(AJ$27:AJ$33,$AH$11),$P$8," ")</f>
        <v xml:space="preserve"> </v>
      </c>
      <c r="AK11" s="29" t="str">
        <f t="shared" ca="1" si="16"/>
        <v xml:space="preserve"> </v>
      </c>
      <c r="AL11" s="29" t="str">
        <f t="shared" si="16"/>
        <v xml:space="preserve"> </v>
      </c>
      <c r="AM11" s="29" t="str">
        <f t="shared" si="16"/>
        <v xml:space="preserve"> </v>
      </c>
      <c r="AN11" s="29" t="str">
        <f t="shared" si="16"/>
        <v xml:space="preserve"> </v>
      </c>
      <c r="AO11" s="29" t="str">
        <f t="shared" si="16"/>
        <v xml:space="preserve"> </v>
      </c>
      <c r="AP11" s="29" t="str">
        <f t="shared" ca="1" si="16"/>
        <v xml:space="preserve"> </v>
      </c>
      <c r="AQ11" s="29" t="str">
        <f t="shared" si="16"/>
        <v xml:space="preserve"> </v>
      </c>
      <c r="AR11" s="29" t="str">
        <f t="shared" si="16"/>
        <v xml:space="preserve"> </v>
      </c>
      <c r="AS11" s="29" t="str">
        <f t="shared" si="16"/>
        <v xml:space="preserve"> </v>
      </c>
      <c r="AT11" s="29" t="str">
        <f t="shared" ca="1" si="16"/>
        <v xml:space="preserve"> </v>
      </c>
      <c r="AU11" s="29">
        <f t="shared" ca="1" si="16"/>
        <v>6</v>
      </c>
      <c r="AV11" s="29">
        <f t="shared" ca="1" si="8"/>
        <v>6</v>
      </c>
      <c r="AW11" s="29" t="s">
        <v>16</v>
      </c>
      <c r="BI11" s="29" t="str">
        <f ca="1">IF(S11="Sage",P8," ")</f>
        <v xml:space="preserve"> </v>
      </c>
      <c r="BM11" s="29">
        <f t="shared" ca="1" si="2"/>
        <v>0</v>
      </c>
      <c r="BN11" s="29">
        <f t="shared" ca="1" si="9"/>
        <v>6</v>
      </c>
      <c r="BO11" s="29" t="str">
        <f t="shared" ca="1" si="3"/>
        <v xml:space="preserve"> </v>
      </c>
      <c r="BP11" s="29" t="str">
        <f t="shared" ca="1" si="4"/>
        <v xml:space="preserve"> </v>
      </c>
      <c r="BQ11" s="29" t="str">
        <f t="shared" ca="1" si="5"/>
        <v xml:space="preserve"> </v>
      </c>
      <c r="BR11" s="29">
        <f t="shared" ca="1" si="6"/>
        <v>0</v>
      </c>
      <c r="BS11" s="29">
        <f ca="1">IF(AND($BY$27=1,OR($P$15="knowledge",$R$15="knowledge")),$P$8*2,IF(AND($BY$27=2,OR($P$15="knowledge",$R$15="knowledge")),$P$8*2,0))</f>
        <v>0</v>
      </c>
      <c r="BU11" s="29">
        <f t="shared" ca="1" si="10"/>
        <v>6</v>
      </c>
      <c r="BV11" s="29" t="s">
        <v>16</v>
      </c>
      <c r="CB11" s="35">
        <f t="shared" ca="1" si="14"/>
        <v>8</v>
      </c>
      <c r="CC11" s="36">
        <f t="shared" ca="1" si="15"/>
        <v>0.48856052264804573</v>
      </c>
      <c r="CD11" s="29" t="s">
        <v>29</v>
      </c>
    </row>
    <row r="12" spans="1:83" ht="19.5" thickBot="1" x14ac:dyDescent="0.35">
      <c r="O12" s="155">
        <v>20</v>
      </c>
      <c r="Q12" s="155">
        <v>0</v>
      </c>
      <c r="AH12" s="29" t="s">
        <v>17</v>
      </c>
      <c r="AI12" s="29">
        <f ca="1">$P$42</f>
        <v>0</v>
      </c>
      <c r="AJ12" s="29" t="str">
        <f t="shared" ref="AJ12:AU12" si="17">IF(COUNTIF(AJ$27:AJ$33,$AH$12),$P$8," ")</f>
        <v xml:space="preserve"> </v>
      </c>
      <c r="AK12" s="29" t="str">
        <f t="shared" ca="1" si="17"/>
        <v xml:space="preserve"> </v>
      </c>
      <c r="AL12" s="29" t="str">
        <f t="shared" si="17"/>
        <v xml:space="preserve"> </v>
      </c>
      <c r="AM12" s="29" t="str">
        <f t="shared" si="17"/>
        <v xml:space="preserve"> </v>
      </c>
      <c r="AN12" s="29" t="str">
        <f t="shared" si="17"/>
        <v xml:space="preserve"> </v>
      </c>
      <c r="AO12" s="29" t="str">
        <f t="shared" si="17"/>
        <v xml:space="preserve"> </v>
      </c>
      <c r="AP12" s="29" t="str">
        <f t="shared" ca="1" si="17"/>
        <v xml:space="preserve"> </v>
      </c>
      <c r="AQ12" s="29" t="str">
        <f t="shared" si="17"/>
        <v xml:space="preserve"> </v>
      </c>
      <c r="AR12" s="29" t="str">
        <f t="shared" si="17"/>
        <v xml:space="preserve"> </v>
      </c>
      <c r="AS12" s="29" t="str">
        <f t="shared" si="17"/>
        <v xml:space="preserve"> </v>
      </c>
      <c r="AT12" s="29" t="str">
        <f t="shared" ca="1" si="17"/>
        <v xml:space="preserve"> </v>
      </c>
      <c r="AU12" s="29" t="str">
        <f t="shared" ca="1" si="17"/>
        <v xml:space="preserve"> </v>
      </c>
      <c r="AV12" s="29">
        <f t="shared" ca="1" si="8"/>
        <v>0</v>
      </c>
      <c r="AW12" s="29" t="s">
        <v>17</v>
      </c>
      <c r="AX12" s="29" t="str">
        <f ca="1">IF(S11="acolyte",P8," ")</f>
        <v xml:space="preserve"> </v>
      </c>
      <c r="BC12" s="29" t="str">
        <f ca="1">IF(S11="Guild Artisan",P8," ")</f>
        <v xml:space="preserve"> </v>
      </c>
      <c r="BM12" s="29">
        <f t="shared" ca="1" si="2"/>
        <v>0</v>
      </c>
      <c r="BN12" s="29">
        <f t="shared" ca="1" si="9"/>
        <v>0</v>
      </c>
      <c r="BO12" s="29" t="str">
        <f t="shared" ca="1" si="3"/>
        <v xml:space="preserve"> </v>
      </c>
      <c r="BP12" s="29" t="str">
        <f t="shared" ca="1" si="4"/>
        <v xml:space="preserve"> </v>
      </c>
      <c r="BQ12" s="29" t="str">
        <f t="shared" ca="1" si="5"/>
        <v xml:space="preserve"> </v>
      </c>
      <c r="BR12" s="29">
        <f t="shared" ca="1" si="6"/>
        <v>0</v>
      </c>
      <c r="BU12" s="29">
        <f t="shared" ca="1" si="10"/>
        <v>0</v>
      </c>
      <c r="BV12" s="29" t="s">
        <v>17</v>
      </c>
      <c r="CB12" s="35">
        <f t="shared" ca="1" si="14"/>
        <v>11</v>
      </c>
      <c r="CC12" s="36">
        <f t="shared" ca="1" si="15"/>
        <v>0.39721887473183104</v>
      </c>
      <c r="CD12" s="29" t="s">
        <v>13</v>
      </c>
    </row>
    <row r="13" spans="1:83" x14ac:dyDescent="0.3">
      <c r="AF13" s="29" t="s">
        <v>683</v>
      </c>
      <c r="AH13" s="29" t="s">
        <v>18</v>
      </c>
      <c r="AI13" s="29">
        <f ca="1">$P$43</f>
        <v>4</v>
      </c>
      <c r="AJ13" s="29" t="str">
        <f t="shared" ref="AJ13:AU13" si="18">IF(COUNTIF(AJ$27:AJ$33,$AH$13),$P$8," ")</f>
        <v xml:space="preserve"> </v>
      </c>
      <c r="AK13" s="29" t="str">
        <f t="shared" ca="1" si="18"/>
        <v xml:space="preserve"> </v>
      </c>
      <c r="AL13" s="29" t="str">
        <f t="shared" si="18"/>
        <v xml:space="preserve"> </v>
      </c>
      <c r="AM13" s="29" t="str">
        <f t="shared" si="18"/>
        <v xml:space="preserve"> </v>
      </c>
      <c r="AN13" s="29" t="str">
        <f t="shared" si="18"/>
        <v xml:space="preserve"> </v>
      </c>
      <c r="AO13" s="29" t="str">
        <f t="shared" si="18"/>
        <v xml:space="preserve"> </v>
      </c>
      <c r="AP13" s="29" t="str">
        <f t="shared" ca="1" si="18"/>
        <v xml:space="preserve"> </v>
      </c>
      <c r="AQ13" s="29" t="str">
        <f t="shared" si="18"/>
        <v xml:space="preserve"> </v>
      </c>
      <c r="AR13" s="29" t="str">
        <f t="shared" si="18"/>
        <v xml:space="preserve"> </v>
      </c>
      <c r="AS13" s="29" t="str">
        <f t="shared" si="18"/>
        <v xml:space="preserve"> </v>
      </c>
      <c r="AT13" s="29" t="str">
        <f t="shared" ca="1" si="18"/>
        <v xml:space="preserve"> </v>
      </c>
      <c r="AU13" s="29" t="str">
        <f t="shared" ca="1" si="18"/>
        <v xml:space="preserve"> </v>
      </c>
      <c r="AV13" s="29">
        <f t="shared" ca="1" si="8"/>
        <v>0</v>
      </c>
      <c r="AW13" s="29" t="s">
        <v>18</v>
      </c>
      <c r="BK13" s="29" t="str">
        <f ca="1">IF(S11="Soldier",P8," ")</f>
        <v xml:space="preserve"> </v>
      </c>
      <c r="BM13" s="29">
        <f t="shared" ca="1" si="2"/>
        <v>0</v>
      </c>
      <c r="BN13" s="29">
        <f t="shared" ca="1" si="9"/>
        <v>0</v>
      </c>
      <c r="BO13" s="29" t="str">
        <f t="shared" ca="1" si="3"/>
        <v xml:space="preserve"> </v>
      </c>
      <c r="BP13" s="29" t="str">
        <f t="shared" ca="1" si="4"/>
        <v xml:space="preserve"> </v>
      </c>
      <c r="BQ13" s="29" t="str">
        <f t="shared" ca="1" si="5"/>
        <v xml:space="preserve"> </v>
      </c>
      <c r="BR13" s="29">
        <f t="shared" ca="1" si="6"/>
        <v>0</v>
      </c>
      <c r="BU13" s="29">
        <f t="shared" ca="1" si="10"/>
        <v>0</v>
      </c>
      <c r="BV13" s="29" t="s">
        <v>18</v>
      </c>
      <c r="CB13" s="35">
        <f t="shared" ca="1" si="14"/>
        <v>17</v>
      </c>
      <c r="CC13" s="36">
        <f t="shared" ca="1" si="15"/>
        <v>0</v>
      </c>
      <c r="CD13" s="29" t="s">
        <v>14</v>
      </c>
    </row>
    <row r="14" spans="1:83" ht="26.25" thickBot="1" x14ac:dyDescent="0.4">
      <c r="B14" s="123" t="s">
        <v>45</v>
      </c>
      <c r="O14" s="123" t="s">
        <v>709</v>
      </c>
      <c r="P14" s="123" t="s">
        <v>743</v>
      </c>
      <c r="Q14" s="123" t="s">
        <v>698</v>
      </c>
      <c r="R14" s="123" t="s">
        <v>743</v>
      </c>
      <c r="S14" s="123" t="s">
        <v>1826</v>
      </c>
      <c r="AF14" s="29">
        <f ca="1">IF(O11="non-classed",1,VLOOKUP(RANDBETWEEN(1,10),Table42[],2))</f>
        <v>2</v>
      </c>
      <c r="AH14" s="29" t="s">
        <v>19</v>
      </c>
      <c r="AI14" s="29">
        <f ca="1">$P$41</f>
        <v>4</v>
      </c>
      <c r="AJ14" s="29" t="str">
        <f t="shared" ref="AJ14:AU14" si="19">IF(COUNTIF(AJ$27:AJ$33,$AH$14),$P$8," ")</f>
        <v xml:space="preserve"> </v>
      </c>
      <c r="AK14" s="29" t="str">
        <f t="shared" ca="1" si="19"/>
        <v xml:space="preserve"> </v>
      </c>
      <c r="AL14" s="29" t="str">
        <f t="shared" si="19"/>
        <v xml:space="preserve"> </v>
      </c>
      <c r="AM14" s="29" t="str">
        <f t="shared" si="19"/>
        <v xml:space="preserve"> </v>
      </c>
      <c r="AN14" s="29" t="str">
        <f t="shared" si="19"/>
        <v xml:space="preserve"> </v>
      </c>
      <c r="AO14" s="29" t="str">
        <f t="shared" si="19"/>
        <v xml:space="preserve"> </v>
      </c>
      <c r="AP14" s="29" t="str">
        <f t="shared" ca="1" si="19"/>
        <v xml:space="preserve"> </v>
      </c>
      <c r="AQ14" s="29" t="str">
        <f t="shared" si="19"/>
        <v xml:space="preserve"> </v>
      </c>
      <c r="AR14" s="29" t="str">
        <f t="shared" si="19"/>
        <v xml:space="preserve"> </v>
      </c>
      <c r="AS14" s="29" t="str">
        <f t="shared" si="19"/>
        <v xml:space="preserve"> </v>
      </c>
      <c r="AT14" s="29" t="str">
        <f t="shared" ca="1" si="19"/>
        <v xml:space="preserve"> </v>
      </c>
      <c r="AU14" s="29">
        <f t="shared" ca="1" si="19"/>
        <v>6</v>
      </c>
      <c r="AV14" s="29">
        <f t="shared" ca="1" si="8"/>
        <v>6</v>
      </c>
      <c r="AW14" s="29" t="s">
        <v>19</v>
      </c>
      <c r="BM14" s="29">
        <f t="shared" si="2"/>
        <v>0</v>
      </c>
      <c r="BN14" s="29">
        <f t="shared" ca="1" si="9"/>
        <v>6</v>
      </c>
      <c r="BO14" s="29" t="str">
        <f t="shared" ca="1" si="3"/>
        <v xml:space="preserve"> </v>
      </c>
      <c r="BP14" s="29" t="str">
        <f t="shared" ca="1" si="4"/>
        <v xml:space="preserve"> </v>
      </c>
      <c r="BQ14" s="29" t="str">
        <f t="shared" ca="1" si="5"/>
        <v xml:space="preserve"> </v>
      </c>
      <c r="BR14" s="29">
        <f t="shared" ca="1" si="6"/>
        <v>0</v>
      </c>
      <c r="BU14" s="29">
        <f t="shared" ca="1" si="10"/>
        <v>6</v>
      </c>
      <c r="BV14" s="29" t="s">
        <v>19</v>
      </c>
      <c r="CB14" s="35">
        <f t="shared" ca="1" si="14"/>
        <v>4</v>
      </c>
      <c r="CC14" s="36">
        <f t="shared" ca="1" si="15"/>
        <v>0.72033560351832071</v>
      </c>
      <c r="CD14" s="29" t="s">
        <v>15</v>
      </c>
      <c r="CE14" s="31"/>
    </row>
    <row r="15" spans="1:83" ht="19.5" thickTop="1" x14ac:dyDescent="0.3">
      <c r="B15" s="33" t="str">
        <f ca="1">IF(P2="dark","Darkvision 120 ft.",IF(OR(Q2="dwarf",Q2="elf",Q2="gnome",Q2="half-elf",Q2="half-orc",Q2="tiefling"),"Darkvision 60 ft.",IF(Q2="halfling","Lucky",IF(Q2="dragonborn","Breath Weapon"," "))))</f>
        <v>Darkvision 120 ft.</v>
      </c>
      <c r="O15" s="33" t="str">
        <f ca="1">IF(O11="wizard","Ritual Casting",IF(O11="warlock","Otherworldly Patron - "&amp;VLOOKUP(RANDBETWEEN(1,2),Table226[],2),IF(O11="sorcerer","Spellcasting Focus",IF(O11="rogue","Sneak Attack - "&amp;INDEX('Class Tables'!E56:E75,MATCH(O12,('Class Tables'!D56:D75),0)),IF(AND(O11="ranger",AF24=2),"Favored Enemy - "&amp;INDEX('Class Tables'!S177:S220,MATCH(1,('Class Tables'!Q177:Q220),0)),IF(AND(O11="ranger",AF24=1),"Favored Enemy - "&amp;INDEX('Class Tables'!R162:R174,MATCH(1,('Class Tables'!Q162:Q174),0)),IF(O11="paladin","Divine Sense - "&amp;SUM(1,P43)&amp;" Uses",IF(O11="monk","Unarmored Defense",IF(O11="fighter",INDEX('Class Tables'!F48:F53,MATCH(1,('Class Tables'!D48:D53),0)),IF(O11="barbarian","Rage "&amp;INDEX('Class Tables'!J141:J160,MATCH(O12,('Class Tables'!I141:I160),0))&amp; " times, "&amp;INDEX('Class Tables'!K141:K160,MATCH(O12,('Class Tables'!I141:I160),0)),IF(O11="bard","Bardic Inspiration "&amp;P43&amp;" uses at "&amp;INDEX('Class Tables'!M58:M77,MATCH(O12,('Class Tables'!L58:L77),0)),IF(OR(O11="cleric",O11="druid"),"Ritual Casting"," "))))))))))))</f>
        <v>Ritual Casting</v>
      </c>
      <c r="P15" s="33" t="str">
        <f ca="1">IF(AND(O11="wizard",O12&gt;=2),VLOOKUP(RANDBETWEEN(1,8),Table251[],2),IF(O11="warlock",O15,IF(O11="sorcerer",VLOOKUP(RANDBETWEEN(1,2),Table224[],2),IF(AND(O11="ranger",O12&gt;=3),VLOOKUP(RANDBETWEEN(1,2),Table97[],2),IF(AND(O11="paladin",O12&gt;=3),VLOOKUP(RANDBETWEEN(1,3),Table90[],2),IF(AND(O11="monk",O12&gt;=3),VLOOKUP(RANDBETWEEN(1,3),Table82[],2),IF(AND(O11="druid",O12&gt;=2),VLOOKUP(RANDBETWEEN(1,2),Table73[],2),IF(O11="cleric",VLOOKUP(RANDBETWEEN(1,7),Table65[],2),IF(AND($O$11="barbarian",$O$12&gt;=3),VLOOKUP(RANDBETWEEN(1,2),Table40[],2),IF(AND(O11="bard",O12&gt;=3),VLOOKUP(RANDBETWEEN(1,2),Table47[],2),IF(AND(O11="fighter",O12&gt;=3),VLOOKUP(RANDBETWEEN(1,3),Table178[],2),IF(AND(O11="rogue",O12&gt;=3),VLOOKUP(RANDBETWEEN(1,3),Table189[],2)," "))))))))))))</f>
        <v>School of Abjuration</v>
      </c>
      <c r="Q15" s="33" t="str">
        <f ca="1">IF(Q11="wizard","Ritual Casting",IF(Q11="warlock","Otherworldly Patron - "&amp;VLOOKUP(RANDBETWEEN(1,2),Table226[],2),IF(Q11="sorcerer","Spellcasting Focus",IF(Q11="rogue","Sneak Attack - "&amp;INDEX('Class Tables'!E56:E75,MATCH(Q12,('Class Tables'!D56:D75),0)),IF(AND(Q11="ranger",AF24=2),"Favored Enemy - "&amp;INDEX('Class Tables'!S177:S220,MATCH(1,('Class Tables'!Q177:Q220),0)),IF(AND(Q11="ranger",AF24=1),"Favored Enemy - "&amp;INDEX('Class Tables'!R162:R174,MATCH(1,('Class Tables'!Q162:Q174),0)),IF(Q11="paladin","Divine Sense - "&amp;SUM(1,P43)&amp;" Uses",IF(Q11="monk","Unarmored Defense",IF(Q11="fighter",INDEX('Class Tables'!F48:F53,MATCH(1,('Class Tables'!D48:D53),0)),IF(Q11="barbarian","Rage "&amp;INDEX('Class Tables'!J141:J160,MATCH(Q12,('Class Tables'!I141:I160),0))&amp; " times, "&amp;INDEX('Class Tables'!K141:K160,MATCH(Q12,('Class Tables'!I141:I160),0)),IF(Q11="bard","Bardic Inspiration - "&amp;P43&amp;" uses at "&amp;INDEX('Class Tables'!M58:M77,MATCH(Q12,('Class Tables'!L58:L77),0)),IF(OR(Q11="cleric",Q11="druid"),"Ritual Casting"," "))))))))))))</f>
        <v xml:space="preserve"> </v>
      </c>
      <c r="R15" s="33" t="str">
        <f ca="1">IF(Q11="warlock",O15,IF(Q11="sorcerer",VLOOKUP(RANDBETWEEN(1,2),Table224[],2),IF(AND(Q11="ranger",Q12&gt;=3),VLOOKUP(RANDBETWEEN(1,2),Table97[],2),IF(AND(Q11="paladin",Q12&gt;=3),VLOOKUP(RANDBETWEEN(1,3),Table90[],2),IF(AND(Q11="monk",Q12&gt;=3),VLOOKUP(RANDBETWEEN(1,3),Table82[],2),IF(AND(Q11="druid",Q12&gt;=2),VLOOKUP(RANDBETWEEN(1,2),Table73[],2),IF(Q11="cleric",VLOOKUP(RANDBETWEEN(1,7),Table65[],2),IF(AND($Q$11="barbarian",$Q$12&gt;=3),VLOOKUP(RANDBETWEEN(1,2),Table40[],2),IF(AND(Q11="bard",Q12&gt;=3),VLOOKUP(RANDBETWEEN(1,2),Table47[],2),IF(AND($Q$11="fighter",$Q$12&gt;=3),VLOOKUP(RANDBETWEEN(1,3),Table178[],2),IF(AND(Q11="rogue",Q12&gt;=3),VLOOKUP(RANDBETWEEN(1,3),Table189[],2)," ")))))))))))</f>
        <v xml:space="preserve"> </v>
      </c>
      <c r="S15" s="33" t="str">
        <f ca="1">IF(S11="urchin","City Secrets",IF(S11="soldier",VLOOKUP(RANDBETWEEN(1,8),Table263[],2),IF(S11="pirate","Bad Reputation",IF(S11="Sailor","Ship's Passage",IF(S11="sage",VLOOKUP(RANDBETWEEN(1,8),Table262[],2),IF(S11="outlander",VLOOKUP(RANDBETWEEN(1,10),Table261[],2),IF(S11="knight","Retainers",IF(S11="noble","Position of Privlege",IF(S11="hermit","Discovery",IF(S11="guild artisan",VLOOKUP(RANDBETWEEN(1,20),Table260[],2),IF(S11="folk hero","Rustic Hospitality",IF(S11="entertainer",VLOOKUP(RANDBETWEEN(1,10),Table259[],2),IF(S11="Criminal","Criminal Contact",IF(S11="Charlatan","False Identity",IF(S11="acolyte","Shelter of the Faithful"," ")))))))))))))))</f>
        <v>Guide</v>
      </c>
      <c r="AF15" s="29" t="s">
        <v>1336</v>
      </c>
      <c r="AH15" s="29" t="s">
        <v>20</v>
      </c>
      <c r="AI15" s="29">
        <f ca="1">$P$42</f>
        <v>0</v>
      </c>
      <c r="AJ15" s="29" t="str">
        <f t="shared" ref="AJ15:AU15" si="20">IF(COUNTIF(AJ$27:AJ$33,$AH$15),$P$8," ")</f>
        <v xml:space="preserve"> </v>
      </c>
      <c r="AK15" s="29" t="str">
        <f t="shared" ca="1" si="20"/>
        <v xml:space="preserve"> </v>
      </c>
      <c r="AL15" s="29" t="str">
        <f t="shared" si="20"/>
        <v xml:space="preserve"> </v>
      </c>
      <c r="AM15" s="29" t="str">
        <f t="shared" si="20"/>
        <v xml:space="preserve"> </v>
      </c>
      <c r="AN15" s="29" t="str">
        <f t="shared" si="20"/>
        <v xml:space="preserve"> </v>
      </c>
      <c r="AO15" s="29" t="str">
        <f t="shared" si="20"/>
        <v xml:space="preserve"> </v>
      </c>
      <c r="AP15" s="29" t="str">
        <f t="shared" ca="1" si="20"/>
        <v xml:space="preserve"> </v>
      </c>
      <c r="AQ15" s="29" t="str">
        <f t="shared" si="20"/>
        <v xml:space="preserve"> </v>
      </c>
      <c r="AR15" s="29" t="str">
        <f t="shared" si="20"/>
        <v xml:space="preserve"> </v>
      </c>
      <c r="AS15" s="29" t="str">
        <f t="shared" si="20"/>
        <v xml:space="preserve"> </v>
      </c>
      <c r="AT15" s="29" t="str">
        <f t="shared" ca="1" si="20"/>
        <v xml:space="preserve"> </v>
      </c>
      <c r="AU15" s="29" t="str">
        <f t="shared" ca="1" si="20"/>
        <v xml:space="preserve"> </v>
      </c>
      <c r="AV15" s="29">
        <f t="shared" ca="1" si="8"/>
        <v>0</v>
      </c>
      <c r="AW15" s="29" t="s">
        <v>20</v>
      </c>
      <c r="BD15" s="29" t="str">
        <f ca="1">IF(S11="Hermit",P8," ")</f>
        <v xml:space="preserve"> </v>
      </c>
      <c r="BM15" s="29">
        <f t="shared" ca="1" si="2"/>
        <v>0</v>
      </c>
      <c r="BN15" s="29">
        <f t="shared" ca="1" si="9"/>
        <v>0</v>
      </c>
      <c r="BO15" s="29" t="str">
        <f t="shared" ca="1" si="3"/>
        <v xml:space="preserve"> </v>
      </c>
      <c r="BP15" s="29" t="str">
        <f t="shared" ca="1" si="4"/>
        <v xml:space="preserve"> </v>
      </c>
      <c r="BQ15" s="29" t="str">
        <f t="shared" ca="1" si="5"/>
        <v xml:space="preserve"> </v>
      </c>
      <c r="BR15" s="29">
        <f t="shared" ca="1" si="6"/>
        <v>0</v>
      </c>
      <c r="BU15" s="29">
        <f t="shared" ca="1" si="10"/>
        <v>0</v>
      </c>
      <c r="BV15" s="29" t="s">
        <v>20</v>
      </c>
      <c r="CB15" s="35">
        <f t="shared" ca="1" si="14"/>
        <v>10</v>
      </c>
      <c r="CC15" s="36">
        <f t="shared" ca="1" si="15"/>
        <v>0.4358745598561875</v>
      </c>
      <c r="CD15" s="29" t="s">
        <v>16</v>
      </c>
    </row>
    <row r="16" spans="1:83" x14ac:dyDescent="0.3">
      <c r="B16" s="33" t="str">
        <f>IF(Q2="dwarf","Dwarven Resilience",IF(OR(Q2="half-elf",Q2="elf"),"Fey Ancestry",IF(Q2="halfling","Brave",IF(Q2="dragonborn","Damage Resistance",IF(Q2="gnome","Gnome Cunning",IF(Q2="half-orc","Menacing",IF(Q2="tiefling","Hellish Resistance"," ")))))))</f>
        <v>Fey Ancestry</v>
      </c>
      <c r="O16" s="33" t="str">
        <f ca="1">IF(O11="wizard","Spellcasting Focus",IF(AND(O11="warlock",O12&gt;=3),VLOOKUP(RANDBETWEEN(1,3),Table227[],2),IF(AND(O11="sorcerer",O12&gt;=2),"Sorcery Points - "&amp;O12,IF(AND(O11="rogue",O12&gt;=2),"Cunning Action",IF(AND(O11="ranger",AF24=2),"Favored Enemy - "&amp;INDEX('Class Tables'!S177:S220,MATCH(2,('Class Tables'!Q177:Q220),0)),IF(O11="paladin","Lay On Hands "&amp;O12*5&amp;" HP",IF(O11="monk","Martial Arts - "&amp;INDEX('Class Tables'!J98:J117,MATCH(O12,('Class Tables'!I98:I117),0)),IF(O11="fighter","Second Wind - 1d10+"&amp;O12&amp;" hp",IF(O11="barbarian","Unarmored Defense",IF(AND(O11="bard",O12&gt;=2),"Jack of All Trades",IF(OR(O11="cleric",O11="druid"),"Spellcasting Focus"," ")))))))))))</f>
        <v>Spellcasting Focus</v>
      </c>
      <c r="P16" s="33" t="str">
        <f ca="1">IF(AND(P15="school of transmutation",O12&gt;=2),"Transmutation Savant",IF(AND(P15="school of necromancy",O12&gt;=2),"Necromancy Savant",IF(AND(P15="school of illusion",O12&gt;=2),"Illusion Savant",IF(AND(P15="school of evocation",O12&gt;=2),"Evocation Savant",IF(AND(P15="school of enchantment",O12&gt;=2),"Enchantment Savant",IF(AND(P15="school of divination",O12&gt;=2),"Divination Savant",IF(AND(P15="school of conjuration",O12&gt;=2),"Conjuration Savant",IF(P15="school of abjuration","Abjuration Savant",IF(AND(P15="otherworldly patron - great old one",O12&gt;=1),"Awakened Mind",IF(AND(P15="otherworldly patron - fiend",O12&gt;=3),"Dark One's Blessing - "&amp;SUM(O12,P43)&amp;" hp",IF(P15="otherworldly patron - Archfey","Fey Presence",IF(P15="wild magic","Wild Magic Surge",IF(P15="draconic bloodline",VLOOKUP(RANDBETWEEN(1,10),Table25[],2)&amp;" Dragon Ancestry",IF(P15="arcane trickster","Mage Hand Legerdemain",IF(P15="assassin","Assassinate",IF(P15="thief","Fast Hands",IF(P15="beastmaster","Companion - "&amp;VLOOKUP(RANDBETWEEN(1,39),Table218[],2),IF(P15="hunter",VLOOKUP(RANDBETWEEN(1,3),Table108[],2),IF(P15="oath of vengeance","Channel Divinity: Abjure Enemy",IF(P15="oath of the ancients","Channel Divinity: Nature's Wrath",IF(P15="Oath of Devotion","Channel Divinity: Sacred Weapon",IF(AND(P15="way of the four elements",O12&gt;=5),"Max. Ki Point for Spell - "&amp;INDEX('Class Tables'!N120:N137,MATCH(O12,('Class Tables'!M120:M137),0)),IF(AND(P15="way of the shadow",O12&gt;=6),"Shadow Step",IF(P15="way of the open hand","Open Hand Technique",IF(P15="eldritch Knight","Weapon Bond",IF(AND(P15="battle master",O12&gt;=7),"Know Your Enemy",IF(P15="champion","Improved Critical",IF(P15="moon","Combat Wild Shape",IF(P15="land","Natural Recovery - "&amp;ROUNDUP(O12*0.5,0)&amp;" slots",IF(AND(P15="war",O12&gt;=1),"War Priest",IF(AND(P15="trickery",O12&gt;=1),"Blessing of the Trickster",IF(AND(P15="tempest",O12&gt;=1),"Wrath of the Storm",IF(AND(P15="nature",O12&gt;=2),"Channel Divinity: Charm Animals and Plants",IF(AND(P15="light",O12&gt;=1),"Warding Flare",IF(P15="life","Disciple of Life",IF(AND(P15="knowledge",O12&gt;=2),"Channel Divinity: Knowledge of the Ages",IF(P15="path of the berserker","Frenzy",IF(P15="path of the totem warrior","Spirit Seeker",IF(P15="college of lore","Cutting Words",IF(P15="college of valor","Combat Inspiration"," "))))))))))))))))))))))))))))))))))))))))</f>
        <v>Abjuration Savant</v>
      </c>
      <c r="Q16" s="33" t="str">
        <f ca="1">IF(Q11="wizard","Spellcasting Focus",IF(AND(Q11="warlock",Q12&gt;=3),VLOOKUP(RANDBETWEEN(1,3),Table227[],2),IF(AND(Q11="sorcerer",Q12&gt;=2),"Sorcery Points - "&amp;Q12,IF(AND(Q11="rogue",Q12&gt;=2),"Cunning Action",IF(AND(Q11="ranger",AF24=2),"Favored Enemy - "&amp;INDEX('Class Tables'!S177:S220,MATCH(2,('Class Tables'!Q177:Q220),0)),IF(Q11="paladin","Lay On Hands "&amp;Q12*5&amp;" HP",IF(Q11="monk","Martial Arts - "&amp;INDEX('Class Tables'!J98:J117,MATCH(Q12,('Class Tables'!I98:I117),0)),IF(Q11="fighter","Second Wind - 1d10+"&amp;Q12&amp;" hp",IF(Q11="barbarian","Unarmored Defense AC "&amp;SUM(10,P39,P40),IF(AND(Q11="bard",Q12&gt;=2),"Jack of All Trades",IF(OR(Q11="cleric",Q11="druid"),"Spellcasting Focus"," ")))))))))))</f>
        <v xml:space="preserve"> </v>
      </c>
      <c r="R16" s="33" t="str">
        <f ca="1">IF(AND(R15="otherworldly patron - great old one",Q12&gt;=1),"Awakened Mind",IF(AND(R15="otherworldly patron - fiend",Q12&gt;=3),"Dark One's Blessing - "&amp;SUM(O12,P43)&amp;" hp",IF(R15="otherworldly patron - Archfey","Fey Presence",IF(R15="wild magic","Wild Magic Surge",IF(R15="draconic bloodline",VLOOKUP(RANDBETWEEN(1,10),Table25[],2)&amp;" Dragon Ancestry",IF(R15="arcane trickster","Mage Hand Legerdemain",IF(R15="assassin","Assassinate",IF(R15="thief","Fast Hands",IF(R15="beastmaster","Companion - "&amp;VLOOKUP(RANDBETWEEN(1,39),Table218[],2),IF(R15="hunter",VLOOKUP(RANDBETWEEN(1,3),Table108[],2),IF(R15="oath of vengeance","Channel Divinity: Abjure Enemy",IF(R15="oath of the ancients","Channel Divinity: Nature's Wrath",IF(R15="Oath of Devotion","Channel Divinity: Sacred Weapon",IF(AND(R15="way of the four elements",Q12&gt;=5),"Max. Ki Point for Spell - "&amp;INDEX('Class Tables'!N120:N137,MATCH(Q12,('Class Tables'!M120:M137),0)),IF(AND(R15="way of the shadow",Q12&gt;=6),"Shadow Step",IF(R15="way of the open hand","Open Hand Technique",IF(R15="eldritch knight","Weapon Bond",IF(AND(R15="battle master",Q12&gt;=7),"Know Your Enemy",IF(R15="champion","Improved Critical",IF(R15="moon","Combat Wild Shape",IF(R15="land","Natural Recovery",IF(AND(R15="war",Q12&gt;=1),"War Priest",IF(AND(R15="trickery",Q12&gt;=1),"Blessing of the Trickster",IF(AND(R15="nature",Q12&gt;=1),"Wrath of the Storm",IF(AND(R15="Nature",Q12&gt;=2),"Channel Divinity: Charm Animals and Plants",IF(AND(R15="light",Q12&gt;=1),"Warding Flare",IF(R15="life","Disciple of Life",IF(AND(R15="knowledge",Q12&gt;=2),"Channel Divinity: Knowledge of the Ages",IF(R15="path of the berserker","Frenzy",IF(R15="path of the totem warrior","Spirit Seeker",IF(R15="college of lore","Cutting Words",IF(R15="college of valor","Combat Inspiration"," "))))))))))))))))))))))))))))))))</f>
        <v xml:space="preserve"> </v>
      </c>
      <c r="S16" s="33" t="str">
        <f ca="1">IF(S11="soldier","Military Rank",IF(S11="sage","Researcher",IF(S11="outlander","Wanderer",IF(S11="guild artisan","Guild Membership",IF(S11="entertainer","By Popular Demand",IF(S11="criminal",VLOOKUP(RANDBETWEEN(1,8),Table256[],2)," "))))))</f>
        <v>Wanderer</v>
      </c>
      <c r="AE16" s="29" t="s">
        <v>1339</v>
      </c>
      <c r="AF16" s="29">
        <f ca="1">IF(AND(AF14=2,OR(Q11="monk",Q11="barbarian",Q11="warlock"),OR(O11="paladin",O11="ranger",P15="arcane trickster",P15="eldritch knight")),Q12,IF(AND($AF$14=2,OR(O11="bard",O11="druid",O11="cleric",O11="sorcerer",O11="wizard")),O12,IF(AND($AF$14=2,OR(O11="paladin",O11="ranger")),O12*0.5,IF(AND($AF$14=2,OR($P$15="arcane trickster",$P$15="eldritch knight")),O12*0.33,0))))</f>
        <v>20</v>
      </c>
      <c r="AH16" s="29" t="s">
        <v>21</v>
      </c>
      <c r="AI16" s="29">
        <f ca="1">$P$41</f>
        <v>4</v>
      </c>
      <c r="AJ16" s="29" t="str">
        <f t="shared" ref="AJ16:AU16" si="21">IF(COUNTIF(AJ$27:AJ$33,$AH$16),$P$8," ")</f>
        <v xml:space="preserve"> </v>
      </c>
      <c r="AK16" s="29" t="str">
        <f t="shared" ca="1" si="21"/>
        <v xml:space="preserve"> </v>
      </c>
      <c r="AL16" s="29" t="str">
        <f t="shared" si="21"/>
        <v xml:space="preserve"> </v>
      </c>
      <c r="AM16" s="29" t="str">
        <f t="shared" si="21"/>
        <v xml:space="preserve"> </v>
      </c>
      <c r="AN16" s="29" t="str">
        <f t="shared" si="21"/>
        <v xml:space="preserve"> </v>
      </c>
      <c r="AO16" s="29" t="str">
        <f t="shared" si="21"/>
        <v xml:space="preserve"> </v>
      </c>
      <c r="AP16" s="29" t="str">
        <f t="shared" ca="1" si="21"/>
        <v xml:space="preserve"> </v>
      </c>
      <c r="AQ16" s="29" t="str">
        <f t="shared" si="21"/>
        <v xml:space="preserve"> </v>
      </c>
      <c r="AR16" s="29" t="str">
        <f t="shared" si="21"/>
        <v xml:space="preserve"> </v>
      </c>
      <c r="AS16" s="29" t="str">
        <f t="shared" si="21"/>
        <v xml:space="preserve"> </v>
      </c>
      <c r="AT16" s="29" t="str">
        <f t="shared" ca="1" si="21"/>
        <v xml:space="preserve"> </v>
      </c>
      <c r="AU16" s="29" t="str">
        <f t="shared" ca="1" si="21"/>
        <v xml:space="preserve"> </v>
      </c>
      <c r="AV16" s="29">
        <f t="shared" ca="1" si="8"/>
        <v>0</v>
      </c>
      <c r="AW16" s="29" t="s">
        <v>21</v>
      </c>
      <c r="BM16" s="29">
        <f t="shared" si="2"/>
        <v>0</v>
      </c>
      <c r="BN16" s="29">
        <f t="shared" ca="1" si="9"/>
        <v>0</v>
      </c>
      <c r="BO16" s="29" t="str">
        <f t="shared" ca="1" si="3"/>
        <v xml:space="preserve"> </v>
      </c>
      <c r="BP16" s="29" t="str">
        <f t="shared" ca="1" si="4"/>
        <v xml:space="preserve"> </v>
      </c>
      <c r="BQ16" s="29" t="str">
        <f t="shared" ca="1" si="5"/>
        <v xml:space="preserve"> </v>
      </c>
      <c r="BR16" s="29">
        <f t="shared" ca="1" si="6"/>
        <v>0</v>
      </c>
      <c r="BS16" s="29">
        <f ca="1">IF(AND($BY$28=1,OR($P$15="knowledge",$R$15="knowledge")),$P$8*2,IF(AND($BY$28=2,OR($P$15="knowledge",$R$15="knowledge")),$P$8*2,0))</f>
        <v>0</v>
      </c>
      <c r="BT16" s="29">
        <f ca="1">IF(AND(BY31=1,OR($P$15="nature",$R$15="nature")),$P$8,0)</f>
        <v>0</v>
      </c>
      <c r="BU16" s="29">
        <f t="shared" ca="1" si="10"/>
        <v>0</v>
      </c>
      <c r="BV16" s="29" t="s">
        <v>21</v>
      </c>
      <c r="CB16" s="35">
        <f t="shared" ca="1" si="14"/>
        <v>12</v>
      </c>
      <c r="CC16" s="36">
        <f t="shared" ca="1" si="15"/>
        <v>0.26728555475945637</v>
      </c>
      <c r="CD16" s="29" t="s">
        <v>17</v>
      </c>
    </row>
    <row r="17" spans="2:83" ht="26.25" thickBot="1" x14ac:dyDescent="0.4">
      <c r="B17" s="33" t="str">
        <f>IF(Q2="dwarf","Stonecunning",IF(Q2="elf","Trance",IF(Q2="halfling","Halfling Nimbleness",IF(P2="forest","Speak with Small Beasts",IF(P2="rock","Artificer's Lore",IF(Q2="half-orc","Relentless Endurance",IF(Q2="tiefling","Infernal Legacy"," ")))))))</f>
        <v>Trance</v>
      </c>
      <c r="O17" s="33" t="str">
        <f ca="1">IF(O11="wizard","Arcane Recovery - "&amp;ROUNDDOWN(O12*0.5,0)&amp;" slots",IF(AND(O11="warlock",O12&gt;=20),"Eldritch Master",IF(AND(O11="sorcerer",O12&gt;=2),"Flexible Casting",IF(AND(O11="rogue",O12&gt;=5),"Uncanny Dodge",IF(O11="ranger","Natural Explorer: "&amp;INDEX('Class Tables'!F212:F219,MATCH(1,('Class Tables'!D212:D219),0)),IF(AND(O11="paladin",O12&gt;=2),VLOOKUP(RANDBETWEEN(1,4),Table89[],2),IF(AND(O11="monk",O12&gt;=2),"Ki Points - "&amp;INDEX('Class Tables'!K98:K117,MATCH(O12,('Class Tables'!I98:I117),0)),IF(AND(O11="fighter",O12&gt;=2),"Action Surge",IF(AND($O$11="barbarian",$O$12&gt;=2),"Reckless Attack",IF(AND(O11="bard",O12&gt;=2),"Song of Rest - "&amp;INDEX('Class Tables'!N58:N77,MATCH(O12,('Class Tables'!L58:L77),0))&amp;" hp",IF(AND(O11="druid",O12&gt;=2),"Wild Shape - "&amp;INDEX('Class Tables'!R140:R159,MATCH(O12,('Class Tables'!Q140:Q159),0)),IF(AND(O11="cleric",O12&gt;=2),"Channel Divinity - "&amp;INDEX('Class Tables'!N140:N159,MATCH(O12,('Class Tables'!M140:M159),0))&amp;" uses"," "))))))))))))</f>
        <v>Arcane Recovery - 10 slots</v>
      </c>
      <c r="P17" s="33" t="str">
        <f ca="1">IF(AND(P15="school of transmutation",O12&gt;=2),"Minor Alchemy",IF(AND(P15="school of necromancy",O12&gt;=2),"Grim Harvest",IF(AND(P15="school of illusion",O12&gt;=2),"Improved Minor Illusion",IF(AND(P15="school of evocation",O12&gt;=2),"Sculpt Spells",IF(AND(P15="school of enchantment",O12&gt;=2),"Hypnotic Gaze",IF(AND(P15="school of divination",O12&gt;=2),"Portent",IF(AND(P15="school of conjuration",O12&gt;=2),"Minor Conjuration",IF(P15="school of abjuration","Arcane Ward - "&amp;SUM(O12,P41)&amp;" hp",IF(AND(P15="otherworldly patron - great old one",O12&gt;=6),"Entropic Ward",IF(AND(P15="otherworldly patron - fiend",O12&gt;=10),"Fiendish Resilience",IF(AND(P15="otherworldly patron - Archfey",O12&gt;=6),"Misty Escape",IF(P15="wild magic","Tides of Chaos",IF(P15="draconic bloodline","Draconic Resilience - AC "&amp;SUM(13+P39),IF(AND(P15="arcane trickster",O12&gt;=9),"Magical Ambush",IF(AND(P15="assassin",O12&gt;=9),"Infiltration Expertise",IF(P15="thief","Second-Story Work",IF(AND(P15="beastmaster",O12&gt;=7),"Exceptional Training",IF(AND(P15="hunter",O12&gt;=7),VLOOKUP(RANDBETWEEN(1,3),Table126[],2),IF(P15="oath of vengeance","Channel Divinity: Vow of Enmity",IF(P15="oath of the ancients","Channel Divinity: Turn the Faithless",IF(P15="oath of devotion","Channel Divinity: Turn the Unholy",IF(P15="way of the four elements","Elemental Attunement",IF(AND(P15="way of the shadow",O12&gt;=11),"Cloak of Shadows",IF(AND(P15="way of the open hand",O12&gt;=6),"Wholeness of Body "&amp;O12*3&amp;" hp",IF(AND(P15="eldritch knight",O12&gt;=7),"War Magic",IF(AND(P15="battle master",O12&gt;=15),"Relentless",IF(AND(P15="champion",O12&gt;=7),"Remarkable Athlete",IF(P15="moon","Circle Forms - CR: "&amp;ROUNDDOWN(O12*0.33,0),IF(AND(P15="land",O12&gt;=6),"Land's Stride",IF(AND(P15="war",O12&gt;=2),"Channel Divinity: Guided Strike",IF(AND(P15="trickery",O12&gt;=2),"Channel Divinity: Invoke Duplicity",IF(AND(P15="tempest",O12&gt;=2),"Channel Divinity: Destructive Wrath",IF(AND(P15="nature",O12&gt;=6),"Dampen Elements",IF(AND(P15="light",O12&gt;=2),"Channel Divinity: Radiance of the Dawn",IF(AND(P15="life",O12&gt;=2),"Channel Divinity: Preserve Life - "&amp;O12*5&amp;" hp",IF(AND(P15="knowledge",O12&gt;=6),"Channel Divinity: Read Thoughts",IF($P$15="path of the totem warrior",VLOOKUP(RANDBETWEEN(1,3),Table44[],2),IF(AND(P15="college of lore",O12&gt;=14),"Peerless Skill",IF(AND(P15="college of valor",O12&gt;=6),"Extra Attack"," ")))))))))))))))))))))))))))))))))))))))</f>
        <v>Arcane Ward - 24 hp</v>
      </c>
      <c r="Q17" s="33" t="str">
        <f ca="1">IF(Q11="wizard","Arcane Recovery - "&amp;ROUNDDOWN(Q12*0.5,0)&amp;" slots",IF(AND(Q11="sorcerer",Q12&gt;=2),"Flexible Casting",IF(AND(Q11="rogue",Q12&gt;=5),"Uncanny Dodge",IF(Q11="ranger","Natural Explorer: "&amp;INDEX('Class Tables'!F212:F219,MATCH(1,('Class Tables'!D212:D219),0)),IF(AND(Q11="paladin",Q12&gt;=2),VLOOKUP(RANDBETWEEN(1,4),Table89[],2),IF(AND(Q11="monk",Q12&gt;=2),"Ki Points - "&amp;INDEX('Class Tables'!K98:K117,MATCH(Q12,('Class Tables'!I98:I117),0)),IF(AND(Q11="fighter",Q12&gt;=2),"Action Surge",IF(AND($Q$11="barbarian",$Q$12&gt;=2),"Reckless Attack",IF(AND(Q11="bard",Q12&gt;=2),"Song of Rest - "&amp;INDEX('Class Tables'!N58:N77,MATCH(Q12,('Class Tables'!L58:L77),0))&amp;" hp",IF(AND(Q11="cleric",Q12&gt;=2),"Channel Divinity - "&amp;INDEX('Class Tables'!N140:N159,MATCH(Q12,('Class Tables'!M140:M159),0))&amp;" uses",IF(AND(Q11="druid",Q12&gt;=2),"Wild Shape - "&amp;INDEX('Class Tables'!R140:R159,MATCH(Q12,('Class Tables'!Q140:Q159),0))," ")))))))))))</f>
        <v xml:space="preserve"> </v>
      </c>
      <c r="R17" s="33" t="str">
        <f ca="1">IF(AND(R15="otherworldly patron - great old one",Q12&gt;=6),"Entropic Ward",IF(AND(R15="otherworldly patron - fiend",Q12&gt;=10),"Fiendish Resilience",IF(AND(R15="otherworldly patron - Archfey",Q12&gt;=6),"Misty Escape",IF(R15="wild magic","Tides of Chaos",IF(R15="draconic bloodline","Draconic Resilience - AC "&amp;SUM(13+P39),IF(AND(R15="arcane trickster",Q12&gt;=9),"Magical Ambush",IF(AND(R15="assassin",Q12&gt;=9),"Infiltration Expertise",IF(R15="thief","Second-Story Work",IF(AND(R15="beastmaster",Q12&gt;=7),"Exceptional Training",IF(AND(R15="hunter",Q12&gt;=7),VLOOKUP(RANDBETWEEN(1,3),Table126[],2),IF(R15="oath of vengeance","Channel Divinity: Vow of Enmity",IF(R15="oath of the ancients","Channel Divinity: Turn the Faithless",IF(R15="oath of devotion","Channel Divinity: Turn the Unholy",IF(R15="way of the four elements","Elemental Attunement",IF(AND(R15="way of the open hand",Q12&gt;=6),"Wholeness of Body "&amp;Q12*3&amp;" hp",IF(AND(R15="eldritch knight",Q12&gt;=7),"War Magic",IF(AND(R15="champion",Q12&gt;=7),"Remarkable Athlete",IF(R15="moon","Circle Forms",IF(AND(R15="land",Q12&gt;=6),"Land's Stride",IF(AND(R15="war",Q12&gt;=2),"Channel Divinity: Guided Strike",IF(AND(R15="trickery",Q12&gt;=2),"Channel Divinity: Invoke Duplicity",IF(AND(R15="nature",Q12&gt;=2),"Channel Divinity: Destructive Wrath",IF(AND(R15="nature",Q12&gt;=6),"Dampen Elements",IF(AND(R15="light",Q12&gt;=2),"Channel Divinity: Radiance of the Dawn",IF(AND(R15="life",Q12&gt;=2),"Channel Divinity: Preserve Life - "&amp;Q12*5&amp;" hp",IF(AND(R15="knowledge",Q12&gt;=6),"Channel Divinity: Read Thoughts",IF($R$15="path of the totem warrior",VLOOKUP(RANDBETWEEN(1,3),Table44[],2),IF(AND(Q12&gt;=14,R15="college of lore"),"Peerless Skill",IF(AND(Q12&gt;=6,R15="College of Valor"),"Extra Attack"," ")))))))))))))))))))))))))))))</f>
        <v xml:space="preserve"> </v>
      </c>
      <c r="S17" s="123" t="s">
        <v>40</v>
      </c>
      <c r="AE17" s="29" t="s">
        <v>1337</v>
      </c>
      <c r="AF17" s="29">
        <f ca="1">IF(AND(AF14=2,OR(O11="monk",O11="barbarian",O11="warlock"),OR(Q11="paladin",Q11="ranger",R15="arcane trickster",R15="eldritch knight")),Q12,IF(AND($AF$14=2,OR(Q11="bard",Q11="druid",Q11="cleric",Q11="sorcerer",Q11="wizard")),Q12,IF(AND($AF$14=2,OR(Q11="paladin",Q11="ranger")),Q12*0.5,IF(AND($AF$14=2,OR($R$15="arcane trickster",$R$15="eldritch knight")),Q12*0.33,0))))</f>
        <v>0</v>
      </c>
      <c r="AH17" s="29" t="s">
        <v>22</v>
      </c>
      <c r="AI17" s="29">
        <f ca="1">$P$42</f>
        <v>0</v>
      </c>
      <c r="AJ17" s="29" t="str">
        <f t="shared" ref="AJ17:AU17" si="22">IF(COUNTIF(AJ$27:AJ$33,$AH$17),$P$8," ")</f>
        <v xml:space="preserve"> </v>
      </c>
      <c r="AK17" s="29" t="str">
        <f t="shared" ca="1" si="22"/>
        <v xml:space="preserve"> </v>
      </c>
      <c r="AL17" s="29" t="str">
        <f t="shared" si="22"/>
        <v xml:space="preserve"> </v>
      </c>
      <c r="AM17" s="29" t="str">
        <f t="shared" si="22"/>
        <v xml:space="preserve"> </v>
      </c>
      <c r="AN17" s="29" t="str">
        <f t="shared" si="22"/>
        <v xml:space="preserve"> </v>
      </c>
      <c r="AO17" s="29" t="str">
        <f t="shared" si="22"/>
        <v xml:space="preserve"> </v>
      </c>
      <c r="AP17" s="29" t="str">
        <f t="shared" ca="1" si="22"/>
        <v xml:space="preserve"> </v>
      </c>
      <c r="AQ17" s="29" t="str">
        <f t="shared" si="22"/>
        <v xml:space="preserve"> </v>
      </c>
      <c r="AR17" s="29" t="str">
        <f t="shared" si="22"/>
        <v xml:space="preserve"> </v>
      </c>
      <c r="AS17" s="29" t="str">
        <f t="shared" si="22"/>
        <v xml:space="preserve"> </v>
      </c>
      <c r="AT17" s="29" t="str">
        <f t="shared" ca="1" si="22"/>
        <v xml:space="preserve"> </v>
      </c>
      <c r="AU17" s="29" t="str">
        <f t="shared" ca="1" si="22"/>
        <v xml:space="preserve"> </v>
      </c>
      <c r="AV17" s="29">
        <f t="shared" ca="1" si="8"/>
        <v>0</v>
      </c>
      <c r="AW17" s="29" t="s">
        <v>22</v>
      </c>
      <c r="BH17" s="29" t="str">
        <f ca="1">IF(S11="Pirate",P8," ")</f>
        <v xml:space="preserve"> </v>
      </c>
      <c r="BJ17" s="29" t="str">
        <f ca="1">IF(S11="Sailor",P8," ")</f>
        <v xml:space="preserve"> </v>
      </c>
      <c r="BM17" s="29">
        <f t="shared" ca="1" si="2"/>
        <v>0</v>
      </c>
      <c r="BN17" s="29">
        <f t="shared" ca="1" si="9"/>
        <v>0</v>
      </c>
      <c r="BO17" s="29" t="str">
        <f t="shared" ca="1" si="3"/>
        <v xml:space="preserve"> </v>
      </c>
      <c r="BP17" s="29" t="str">
        <f t="shared" ca="1" si="4"/>
        <v xml:space="preserve"> </v>
      </c>
      <c r="BQ17" s="29" t="str">
        <f t="shared" ca="1" si="5"/>
        <v xml:space="preserve"> </v>
      </c>
      <c r="BR17" s="29">
        <f t="shared" ca="1" si="6"/>
        <v>0</v>
      </c>
      <c r="BU17" s="29">
        <f t="shared" ca="1" si="10"/>
        <v>0</v>
      </c>
      <c r="BV17" s="29" t="s">
        <v>22</v>
      </c>
      <c r="CB17" s="35">
        <f t="shared" ca="1" si="14"/>
        <v>3</v>
      </c>
      <c r="CC17" s="36">
        <f t="shared" ca="1" si="15"/>
        <v>0.78525065655640314</v>
      </c>
      <c r="CD17" s="29" t="s">
        <v>18</v>
      </c>
    </row>
    <row r="18" spans="2:83" ht="19.5" thickTop="1" x14ac:dyDescent="0.3">
      <c r="B18" s="33" t="str">
        <f ca="1">IF(P2="wood","Mask of the Wild",IF(P2="dark","Sunlight Sensitivity",IF(P2="lightfoot","Naturally Stealthy",IF(P2="stout","Stout Resilience",IF(P2="rock","Tinker",IF(Q2="half-orc","Savage Attacks"," "))))))</f>
        <v>Sunlight Sensitivity</v>
      </c>
      <c r="O18" s="33" t="str">
        <f ca="1">IF(AND(O11="wizard",O12&gt;=18),"Spell Mastery - "&amp;INDEX(Q193:Q202,MATCH(1,(O193:O202),0)),IF(AND(AF26=2,O11="warlock",O12&gt;=2,COUNTIF(P193:P202,"*"&amp;"eldritch blast"&amp;"*")),"Invocation - Agonizing Blast",IF(AND(O11="warlock",O12&gt;=15),"Invocation - "&amp;INDEX('Class Tables'!F164:F187,MATCH(1,('Class Tables'!D164:D187),0)),IF(AND(O11="warlock",O12&gt;=9),"Invocation - "&amp;INDEX('Class Tables'!F141:F161,MATCH(1,('Class Tables'!D141:D161),0)),IF(AND(O11="warlock",O12&gt;=7),"Invocation - "&amp;INDEX('Class Tables'!F122:F138,MATCH(1,('Class Tables'!D122:D138),0)),IF(AND(O11="warlock",O12&gt;=5),"Invocation - "&amp;INDEX('Class Tables'!F106:F119,MATCH(1,('Class Tables'!D106:D119),0)),IF(AND(O11="warlock",O12&gt;=2),"Invocation - "&amp;INDEX('Class Tables'!F93:F103,MATCH(1,('Class Tables'!D93:D103),0)),IF(AND(O11="sorcerer",O12&gt;=3),"MM - "&amp;INDEX('Class Tables'!F78:F85,MATCH(1,('Class Tables'!D78:D85),0)),IF(AND(O11="rogue",O12&gt;=7),"Evasion",IF(AND(O11="ranger",O12&gt;=2),VLOOKUP(RANDBETWEEN(1,4),Table96[],2),IF(AND(O11="paladin",O12&gt;=2),"Spellcasting Focus",IF(AND(O11="monk",O12&gt;=2),"Ki DC - "&amp;SUM(8,P8,P42),IF(AND(O11="fighter",O12&gt;=5),"Extra Attack -"&amp;INDEX('Class Tables'!U140:U159,MATCH(O12,('Class Tables'!T140:T159),0)),IF(AND($O$11="barbarian",$O$12&gt;=2),"Danger Sense",IF(AND(O11="bard",O12&gt;=5),"Font of Inspiration",IF(AND(O11="druid",O12&gt;=18),"Timeless Body",IF(AND(O11="cleric",O12&gt;=2),"Channel Divinity: Turn Undead"," ")))))))))))))))))</f>
        <v>Spell Mastery - Disguise Self</v>
      </c>
      <c r="P18" s="33" t="str">
        <f ca="1">IF(AND(P15="school of transmutation",O12&gt;=6),"Transmuter's Stone",IF(AND(P15="school of necromancy",O12&gt;=6),"Undead Thralls",IF(AND(P15="school of illusion",O12&gt;=6),"Malleable Illusions",IF(AND(P15="school of evocation",O12&gt;=6),"Potent Cantrip",IF(AND(P15="school of enchantment",O12&gt;=6),"Instinctive Charm",IF(AND(P15="school of divination",O12&gt;=6),"Expert Divination",IF(AND(P15="school of conjuration",O12&gt;=6),"Benign Transposition",IF(AND(P15="school of abjuration",O12&gt;=6),"Projected Ward",IF(AND(P15="otherworldly patron - great old one",O12&gt;=10),"Thought Shield",IF(AND(P15="otherworldly patron - fiend",O12&gt;=14),"Hurl Through Hell",IF(AND(P15="otherworldly patron - Archfey",O12&gt;=10),"Beguiling Defenses",IF(AND(P15="wild magic",O12&gt;=6),"Bend Luck",IF(AND(P15="draconic bloodline",O12&gt;=6),"Elemental Affinity",IF(AND(P15="arcane trickster",O12&gt;=13),"Versatile Trickster",IF(AND(P15="assassin",O12&gt;=13),"Imposter",IF(AND(P15="thief",O12&gt;=9),"Supreme Sneak",IF(AND(P15="beastmaster",O12&gt;=11),"Beastial Fury",IF(AND(P15="hunter",O12&gt;=11),VLOOKUP(RANDBETWEEN(1,2),Table179[],2),IF(AND(P15="oath of vengeance",O12&gt;=7),"Relentless Avenger",IF(AND(P15="oath of the ancients",O12&gt;=7),"Aura of Warding",IF(AND(P15="oath of devotion",O12&gt;=7),"Aura of Devotion",IF(P15="way of the four elements",INDEX('Class Tables'!K120:K126,MATCH(1,('Class Tables'!I120:I126),0)),IF(AND(P15="way of the shadow",O12&gt;=17),"Opportunist",IF(AND(P15="way of the open hand",O12&gt;=11),"Tranquility DC "&amp;SUM(8,P42,P8),IF(AND(P15="eldritch knight",O12&gt;=10),"Eldritch Strike",IF(P15="battle Master",INDEX('Class Tables'!J58:J77,MATCH(O12,('Class Tables'!I58:I77),0)),IF(AND(P15="champion",O12&gt;=10),INDEX('Class Tables'!F48:F53,MATCH(2,('Class Tables'!D48:D53),0)),IF(AND(P15="moon",O12&gt;=6),"Primal Strike",IF(AND(P15="land",O12&gt;=10),"Nature's Ward",IF(AND(P15="war",O12&gt;=6),"Channel Divinity: War God's Blessing",IF(AND(P15="trickery",O12&gt;=6),"Channel Divinity: Cloak of Shadows",IF(AND(P15="nature",O12&gt;=6),"Thunderbolt Strike",IF(AND(P15="nature",O12&gt;=8),"Divine Strike",IF(AND(P15="light",O12&gt;=6),"Improved Flare",IF(AND(P15="life",O12&gt;=6),"Blessed Healer",IF(AND(P15="knowledge",O12&gt;=8),"Potent Spellcasting",IF(AND(P15="path of the berserker",O12&gt;=6,O11="barbarian"),"Mindless Rage",IF(AND(P15="path of the totem warrior",O12&gt;=6,O11="barbarian"),VLOOKUP(RANDBETWEEN(1,3),Table44[],3),IF(AND(P15="college of valor",O12&gt;=14),"Battle Magic"," ")))))))))))))))))))))))))))))))))))))))</f>
        <v>Projected Ward</v>
      </c>
      <c r="Q18" s="33" t="str">
        <f ca="1">IF(AND(Q11="warlock",Q12&gt;=9),"Invocation - "&amp;INDEX('Class Tables'!F141:F161,MATCH(1,('Class Tables'!D141:D161),0)),IF(AND(Q11="warlock",Q12&gt;=7),"Invocation - "&amp;INDEX('Class Tables'!F122:F138,MATCH(1,('Class Tables'!D122:D138),0)),IF(AND(Q11="warlock",Q12&gt;=5),"Invocation - "&amp;INDEX('Class Tables'!F106:F119,MATCH(1,('Class Tables'!D106:D119),0)),IF(AND(Q11="warlock",Q12&gt;=2),"Invocation - "&amp;INDEX('Class Tables'!F93:F103,MATCH(1,('Class Tables'!D93:D103),0)),IF(AND(Q11="sorcerer",Q12&gt;=3),"MM - "&amp;INDEX('Class Tables'!F78:F85,MATCH(1,('Class Tables'!D78:D85),0)),IF(AND(Q11="rogue",Q12&gt;=7),"Evasion",IF(AND(Q11="ranger",Q12&gt;=2),VLOOKUP(RANDBETWEEN(1,4),Table96[],2),IF(AND(Q11="paladin",Q12&gt;=2),"Spellcasting Focus",IF(AND(Q11="monk",Q12&gt;=2),"Ki DC - "&amp;SUM(8,P8,P42),IF(AND(Q11="fighter",Q12&gt;=5),"Extra Attack - "&amp;INDEX('Class Tables'!U140:U159,MATCH(Q12,('Class Tables'!T140:T159),0)),IF(AND($Q$11="barbarian",$Q$12&gt;=2),"Danger Sense",IF(AND(Q11="bard",Q12&gt;=5),"Font of Inspiration",IF(AND(Q11="cleric",Q12&gt;=2),"Channel Divinity: Turn Undead",IF(AND(Q11="druid",Q12&gt;=18),"Timeless Body"," "))))))))))))))</f>
        <v xml:space="preserve"> </v>
      </c>
      <c r="R18" s="33" t="str">
        <f ca="1">IF(AND(R15="otherworldly patron - great old one",Q12&gt;=10),"Thought Shield",IF(AND(R15="otherworldly patron - Archfey",Q12&gt;=10),"Beguiling Defenses",IF(AND(R15="wild magic",Q12&gt;=6),"Bend Luck",IF(AND(R15="draconic bloodline",Q12&gt;=6),"Elemental Affinity",IF(AND(R15="thief",Q12&gt;=9),"Supreme Sneak",IF(AND(R15="oath of vengeance",Q12&gt;=7),"Relentless Avenger",IF(AND(R15="oath of the ancients",Q12&gt;=7),"Aura of Warding",IF(AND(R15="oath of devotion",Q12&gt;=7),"Aura of Devotion",IF(R15="way of the four elements",INDEX('Class Tables'!K120:K126,MATCH(1,('Class Tables'!I120:I126),0)),IF(AND(R15="eldritch knight",Q12&gt;=10),"Eldritch Strike",IF(R15="battle Master",INDEX('Class Tables'!J58:J77,MATCH(Q12,('Class Tables'!I58:I77),0)),IF(AND(R15="champion",Q12&gt;=10),INDEX('Class Tables'!F48:F53,MATCH(2,('Class Tables'!D48:D53),0)),IF(AND(R15="moon",Q12&gt;=6),"Primal Strike",IF(AND(R15="land",Q12&gt;=10),"Nature's Ward",IF(AND(R15="war",Q12&gt;=6),"War God's Blessing",IF(AND(R15="trickery",Q12&gt;=6),"Channel Divinity: Cloak of Shadows",IF(AND(R15="nature",Q12&gt;=6),"Thunderbolt Strike",IF(AND(R15="nature",Q12&gt;=8),"Divine Strike",IF(AND(R15="light",Q12&gt;=6),"Improved Flare",IF(AND(R15="life",Q12&gt;=6),"Blessed Healer",IF(AND(R15="knowledge",Q12&gt;=8),"Potent Spellcasting",IF(AND(R15="path of the berserker",Q12&gt;=6),"Mindless Rage",IF(AND(R15="path of the totem warrior",Q12&gt;=6),VLOOKUP(RANDBETWEEN(1,3),Table44[],3)," ")))))))))))))))))))))))</f>
        <v xml:space="preserve"> </v>
      </c>
      <c r="S18" s="33" t="s">
        <v>51</v>
      </c>
      <c r="AE18" s="29" t="s">
        <v>1338</v>
      </c>
      <c r="AF18" s="29">
        <f ca="1">ROUNDDOWN(SUM(AF16:AF17),0)</f>
        <v>20</v>
      </c>
      <c r="AH18" s="29" t="s">
        <v>23</v>
      </c>
      <c r="AI18" s="29">
        <f ca="1">$P$43</f>
        <v>4</v>
      </c>
      <c r="AJ18" s="29" t="str">
        <f t="shared" ref="AJ18:AU18" si="23">IF(COUNTIF(AJ$27:AJ$33,$AH$18),$P$8," ")</f>
        <v xml:space="preserve"> </v>
      </c>
      <c r="AK18" s="29" t="str">
        <f t="shared" ca="1" si="23"/>
        <v xml:space="preserve"> </v>
      </c>
      <c r="AL18" s="29" t="str">
        <f t="shared" si="23"/>
        <v xml:space="preserve"> </v>
      </c>
      <c r="AM18" s="29" t="str">
        <f t="shared" si="23"/>
        <v xml:space="preserve"> </v>
      </c>
      <c r="AN18" s="29" t="str">
        <f t="shared" si="23"/>
        <v xml:space="preserve"> </v>
      </c>
      <c r="AO18" s="29" t="str">
        <f t="shared" si="23"/>
        <v xml:space="preserve"> </v>
      </c>
      <c r="AP18" s="29" t="str">
        <f t="shared" ca="1" si="23"/>
        <v xml:space="preserve"> </v>
      </c>
      <c r="AQ18" s="29" t="str">
        <f t="shared" si="23"/>
        <v xml:space="preserve"> </v>
      </c>
      <c r="AR18" s="29" t="str">
        <f t="shared" si="23"/>
        <v xml:space="preserve"> </v>
      </c>
      <c r="AS18" s="29" t="str">
        <f t="shared" si="23"/>
        <v xml:space="preserve"> </v>
      </c>
      <c r="AT18" s="29" t="str">
        <f t="shared" ca="1" si="23"/>
        <v xml:space="preserve"> </v>
      </c>
      <c r="AU18" s="29" t="str">
        <f t="shared" ca="1" si="23"/>
        <v xml:space="preserve"> </v>
      </c>
      <c r="AV18" s="29">
        <f t="shared" ca="1" si="8"/>
        <v>0</v>
      </c>
      <c r="AW18" s="29" t="s">
        <v>23</v>
      </c>
      <c r="BA18" s="29" t="str">
        <f ca="1">IF(S11="Entertainer",P8," ")</f>
        <v xml:space="preserve"> </v>
      </c>
      <c r="BM18" s="29">
        <f t="shared" ca="1" si="2"/>
        <v>0</v>
      </c>
      <c r="BN18" s="29">
        <f t="shared" ca="1" si="9"/>
        <v>0</v>
      </c>
      <c r="BO18" s="29" t="str">
        <f t="shared" ca="1" si="3"/>
        <v xml:space="preserve"> </v>
      </c>
      <c r="BP18" s="29" t="str">
        <f t="shared" ca="1" si="4"/>
        <v xml:space="preserve"> </v>
      </c>
      <c r="BQ18" s="29" t="str">
        <f t="shared" ca="1" si="5"/>
        <v xml:space="preserve"> </v>
      </c>
      <c r="BR18" s="29">
        <f t="shared" ca="1" si="6"/>
        <v>0</v>
      </c>
      <c r="BU18" s="29">
        <f t="shared" ca="1" si="10"/>
        <v>0</v>
      </c>
      <c r="BV18" s="29" t="s">
        <v>23</v>
      </c>
      <c r="CB18" s="35">
        <f t="shared" ca="1" si="14"/>
        <v>2</v>
      </c>
      <c r="CC18" s="36">
        <f t="shared" ca="1" si="15"/>
        <v>0.91816812016395744</v>
      </c>
      <c r="CD18" s="29" t="s">
        <v>19</v>
      </c>
    </row>
    <row r="19" spans="2:83" x14ac:dyDescent="0.3">
      <c r="B19" s="33" t="str">
        <f ca="1">IF(P2="dark","Drow Magic"," ")</f>
        <v>Drow Magic</v>
      </c>
      <c r="O19" s="33" t="str">
        <f ca="1">IF(AND(O11="wizard",O12&gt;=18),"Spell Mastery - "&amp;INDEX(R193:R202,MATCH(1,(O193:O202),0)),IF(AND(O12&gt;=2,O16="pact of the chain",AF26=1),"Invocation - Voice of the Chain Master",IF(AND(O12&gt;=5,O16="pact of the blade",AF26=1),"Invocation - Thirsting Blade",IF(AND(O11="warlock",O12&gt;=2,O16="pact of the tome",AF26=1),"Invocation - Book of Ancient Secrets",IF(AND(O11="warlock",O12&gt;=2,COUNTIF(P193:P202,"*"&amp;"Eldritch blast"&amp;"*")),"Invocation - Repelling Blast",IF(AND(O11="warlock",O12&gt;=15),"Invocation - "&amp;INDEX('Class Tables'!F164:F187,MATCH(2,('Class Tables'!D164:D187),0)),IF(AND(O11="warlock",O12&gt;=9),"Invocation - "&amp;INDEX('Class Tables'!F141:F161,MATCH(2,('Class Tables'!D141:D161),0)),IF(AND(O11="warlock",O12&gt;=7),"Invocation - "&amp;INDEX('Class Tables'!F122:F138,MATCH(2,('Class Tables'!D122:D138),0)),IF(AND(O11="warlock",O12&gt;=5),"Invocation - "&amp;INDEX('Class Tables'!F106:F119,MATCH(2,('Class Tables'!D106:D119),0)),IF(AND(O11="warlock",O12&gt;=2),"Invocation - "&amp;INDEX('Class Tables'!F93:F103,MATCH(2,('Class Tables'!D93:D103),0)),IF(AND(O11="sorcerer",O12&gt;=10),"MM - "&amp;INDEX('Class Tables'!F78:F85,MATCH(2,('Class Tables'!D78:D85),0)),IF(AND(O11="rogue",O12&gt;=11),"Reliable Talent",IF(AND(O11="ranger",O12&gt;=3),"Primeval Awareness",IF(AND(O11="paladin",O12&gt;=2),"Divine Smite",IF(AND(O11="monk",O12&gt;=2),"Flurry of Blows",IF(AND(O11="fighter",O12&gt;=9),"Indomitable",IF(AND($O$11="barbarian",$O$12&gt;=5),"Extra Attack",IF(AND(O11="bard",O12&gt;=6),"Countercharm",IF(AND(O11="cleric",O12&gt;=5),"Destroy Undead - "&amp;INDEX('Class Tables'!O140:O159,MATCH(O12,('Class Tables'!M140:M159),0)),IF(AND(O11="druid",O12&gt;=18),"Beast Spells"," "))))))))))))))))))))</f>
        <v>Spell Mastery - Magic Mouth</v>
      </c>
      <c r="P19" s="33" t="str">
        <f ca="1">IF(AND(P15="school of transmutation",O12&gt;=10),"Shapechanger",IF(AND(P15="school of necromancy",O12&gt;=10),"Inured to Undeath",IF(AND(P15="school of illusion",O12&gt;=10),"Illusory Self",IF(AND(P15="school of evocation",O12&gt;=10),"Empowered Evocation",IF(AND(P15="school of enchantment",O12&gt;=10),"Split Enchantment",IF(AND(P15="school of divination",O12&gt;=10),"The Third Eye",IF(AND(P15="school of conjuration",O12&gt;=10),"Focused Conjuration",IF(AND(P15="school of abjuration",O12&gt;=10),"Improved Abjuration",IF(AND(P15="otherworldly patron - great old one",O12&gt;=14),"Create Thrall",IF(AND(P15="otherworldly patron - Archfey",O12&gt;=14),"Dark Delirium",IF(AND(P15="wild magic",O12&gt;=14),"Controlled Chaos",IF(AND(P15="draconic bloodline",O12&gt;=14),"Dragon Wings",IF(AND(P15="arcane trickster",O12&gt;=17),"Spell Thief",IF(AND(P15="assassin",O12&gt;=17),"Death Strike DC"&amp;SUM(8,P8,P39),IF(AND(P15="thief",O12&gt;=13),"Use Magic Device",IF(AND(P15="beastmaster",O12&gt;=15),"Share Spells",IF(AND(P15="hunter",O12&gt;=15),VLOOKUP(RANDBETWEEN(1,3),Table199[],2),IF(AND(P15="oath of vengeance",O12&gt;=15),"Soul of Vengeance",IF(AND(P15="oath of the ancients",O12&gt;=15),"Undying Sentinel",(IF(AND(P15="oath of devotion",O12&gt;=15),"Purity of Spirit",IF(P15="way of the four elements",INDEX('Class Tables'!K120:K126,MATCH(2,('Class Tables'!I120:I126),0)),IF(AND(P15="way of the open hand",O12&gt;=17),"Quivering Palm",IF(AND(P15="eldritch Knight",O12&gt;=15),"Arcane Charge",IF(P15="battle master","Maneuver DC "&amp;SUM(P8,8,AF22),IF(AND(P15="champion",O12&gt;=15),"Superior Critcial",IF(AND(P15="moon",O12&gt;=10),"Elemental Wild Strike",IF(AND(P15="land",O12&gt;=14),"Nature's Sanctuary",IF(AND(P15="war",O12&gt;=8),"Divine Strike",IF(AND(P15="trickery",O12&gt;=8),"Divine Strike",IF(AND(P15="nature",O12&gt;=8),"Divine Strike",IF(AND(P15="nature",O12&gt;=17),"Master of Nature",IF(AND(P15="light",O12&gt;=8),"Potent Spellcasting",IF(AND(P15="life",O12&gt;=8),"Divine Strike",IF(AND(P15="knowledge",O12&gt;=17),"Visions of the Past",IF(AND(O12&gt;=10,P15="path of the berserker"),"Intimidating Presence DC "&amp;SUM(8,P8,P43),IF(AND(O12&gt;=10,P15="path of the totem warrior"),"Spirit Walker"," ")))))))))))))))))))))))))))))))))))))</f>
        <v>Improved Abjuration</v>
      </c>
      <c r="Q19" s="33" t="str">
        <f>IF(AND(Q11="warlock",Q12&gt;=9),"Invocation - "&amp;INDEX('Class Tables'!F141:F161,MATCH(2,('Class Tables'!D141:D161),0)),IF(AND(Q11="warlock",Q12&gt;=7),"Invocation - "&amp;INDEX('Class Tables'!F122:F138,MATCH(2,('Class Tables'!D122:D138),0)),IF(AND(Q11="warlock",Q12&gt;=5),"Invocation - "&amp;INDEX('Class Tables'!F106:F119,MATCH(2,('Class Tables'!D106:D119),0)),IF(AND(Q11="warlock",Q12&gt;=2),"Invocation - "&amp;INDEX('Class Tables'!F93:F103,MATCH(2,('Class Tables'!D93:D103),0)),IF(AND(Q11="sorcerer",Q12&gt;=10),"MM - "&amp;INDEX('Class Tables'!F78:F85,MATCH(2,('Class Tables'!D78:D85),0)),IF(AND(Q11="ranger",Q12&gt;=3),"Primeval Awareness",IF(AND(Q11="paladin",Q12&gt;=2),"Divine Smite",IF(AND(Q11="monk",Q12&gt;=2),"Flurry of Blows",IF(AND(Q11="fighter",Q12&gt;=9),"Indomitable",IF(AND($Q$11="barbarian",$Q$12&gt;=5),"Extra Attack",IF(AND(Q11="bard",Q12&gt;=6),"Countercharm",IF(AND(Q11="cleric",Q12&gt;=5),"Destroy Undead - "&amp;INDEX('Class Tables'!O140:O159,MATCH(Q12,('Class Tables'!M140:M159),0)),IF(AND(Q11="druid",Q12&gt;=18),"Beast Spells"," ")))))))))))))</f>
        <v xml:space="preserve"> </v>
      </c>
      <c r="R19" s="33" t="str">
        <f ca="1">IF(R15="way of the four elements",INDEX('Class Tables'!K120:K126,MATCH(2,('Class Tables'!I120:I126),0)),IF(R15="battle master","Maneuver DC "&amp;SUM(P8,8,AF22),IF(AND(R15="moon",Q12&gt;=10),"Elemental Wild Shape",IF(AND(R15="war",Q12&gt;=8),"Divine Strike",IF(AND(R15="trickery",Q12&gt;=8),"Divine Strike",IF(AND(R15="nature",Q12&gt;=8),"Divine Strike",IF(AND(R15="light",Q12&gt;=8),"Potent Spellcasting",IF(AND(R15="life",Q12&gt;=8),"Divine Strike",IF(AND(R15="knowledge",Q12&gt;=17),"Visions of the Past",IF(AND(Q12&gt;=10,R15="path of the berserker"),"Intimidating Presence DC "&amp;SUM(8,P8,P43),IF(AND(Q12&gt;=10,R15="path of the totem warrior"),"Spirit Walker"," ")))))))))))</f>
        <v xml:space="preserve"> </v>
      </c>
      <c r="S19" s="33" t="str">
        <f ca="1">IF(Q2="dwarf","Dwarvish",IF(OR(Q2="half-elf",Q2="elf"),"Elvish",IF(Q2="halfling","Halfling",IF(Q2="human",VLOOKUP(RANDBETWEEN(1,8),Table20[],2),IF(Q2="gnome","Gnomish",IF(Q2="half-orc","Orc",IF(Q2="tiefling","Infernal"," ")))))))</f>
        <v>Elvish</v>
      </c>
      <c r="AH19" s="29" t="s">
        <v>24</v>
      </c>
      <c r="AI19" s="29">
        <f ca="1">$P$43</f>
        <v>4</v>
      </c>
      <c r="AJ19" s="29" t="str">
        <f t="shared" ref="AJ19:AU19" si="24">IF(COUNTIF(AJ$27:AJ$33,$AH$19),$P$8," ")</f>
        <v xml:space="preserve"> </v>
      </c>
      <c r="AK19" s="29" t="str">
        <f t="shared" ca="1" si="24"/>
        <v xml:space="preserve"> </v>
      </c>
      <c r="AL19" s="29" t="str">
        <f t="shared" si="24"/>
        <v xml:space="preserve"> </v>
      </c>
      <c r="AM19" s="29" t="str">
        <f t="shared" si="24"/>
        <v xml:space="preserve"> </v>
      </c>
      <c r="AN19" s="29" t="str">
        <f t="shared" si="24"/>
        <v xml:space="preserve"> </v>
      </c>
      <c r="AO19" s="29" t="str">
        <f t="shared" si="24"/>
        <v xml:space="preserve"> </v>
      </c>
      <c r="AP19" s="29" t="str">
        <f t="shared" ca="1" si="24"/>
        <v xml:space="preserve"> </v>
      </c>
      <c r="AQ19" s="29" t="str">
        <f t="shared" si="24"/>
        <v xml:space="preserve"> </v>
      </c>
      <c r="AR19" s="29" t="str">
        <f t="shared" si="24"/>
        <v xml:space="preserve"> </v>
      </c>
      <c r="AS19" s="29" t="str">
        <f t="shared" si="24"/>
        <v xml:space="preserve"> </v>
      </c>
      <c r="AT19" s="29" t="str">
        <f t="shared" ca="1" si="24"/>
        <v xml:space="preserve"> </v>
      </c>
      <c r="AU19" s="29" t="str">
        <f t="shared" ca="1" si="24"/>
        <v xml:space="preserve"> </v>
      </c>
      <c r="AV19" s="29">
        <f t="shared" ca="1" si="8"/>
        <v>0</v>
      </c>
      <c r="AW19" s="29" t="s">
        <v>24</v>
      </c>
      <c r="BE19" s="29" t="str">
        <f ca="1">IF(S11="Knight",P8," ")</f>
        <v xml:space="preserve"> </v>
      </c>
      <c r="BF19" s="29" t="str">
        <f ca="1">IF(S11="Noble",P8," ")</f>
        <v xml:space="preserve"> </v>
      </c>
      <c r="BM19" s="29">
        <f t="shared" ca="1" si="2"/>
        <v>0</v>
      </c>
      <c r="BN19" s="29">
        <f t="shared" ca="1" si="9"/>
        <v>0</v>
      </c>
      <c r="BO19" s="29" t="str">
        <f t="shared" ca="1" si="3"/>
        <v xml:space="preserve"> </v>
      </c>
      <c r="BP19" s="29" t="str">
        <f t="shared" ca="1" si="4"/>
        <v xml:space="preserve"> </v>
      </c>
      <c r="BQ19" s="29" t="str">
        <f t="shared" ca="1" si="5"/>
        <v xml:space="preserve"> </v>
      </c>
      <c r="BR19" s="29">
        <f t="shared" ca="1" si="6"/>
        <v>0</v>
      </c>
      <c r="BU19" s="29">
        <f t="shared" ca="1" si="10"/>
        <v>0</v>
      </c>
      <c r="BV19" s="29" t="s">
        <v>24</v>
      </c>
      <c r="CB19" s="35">
        <f t="shared" ca="1" si="14"/>
        <v>5</v>
      </c>
      <c r="CC19" s="36">
        <f t="shared" ca="1" si="15"/>
        <v>0.66999531320091821</v>
      </c>
      <c r="CD19" s="29" t="s">
        <v>20</v>
      </c>
      <c r="CE19" s="31"/>
    </row>
    <row r="20" spans="2:83" x14ac:dyDescent="0.3">
      <c r="O20" s="33" t="str">
        <f ca="1">IF(AND(O11="warlock",O12&gt;=2,AF26=2,COUNTIF(P193:P202,"*"&amp;"Eldritch blast"&amp;"*")),"Invocation - Eldritch Spear",IF(AND(O11="warlock",O12&gt;=15),"Invocation - "&amp;INDEX('Class Tables'!F164:F187,MATCH(3,('Class Tables'!D164:D187),0)),IF(AND(O11="warlock",O12&gt;=9),"Invocation - "&amp;INDEX('Class Tables'!F141:F161,MATCH(3,('Class Tables'!D141:D161),0)),IF(AND(O11="warlock",O12&gt;=7),"Invocation - "&amp;INDEX('Class Tables'!F122:F138,MATCH(3,('Class Tables'!D122:D138),0)),IF(AND(O11="warlock",O12&gt;=5),"Invocation - "&amp;INDEX('Class Tables'!F106:F119,MATCH(3,('Class Tables'!D106:D119),0)),IF(AND(O11="sorcerer",O12&gt;=20),"Sorcerous Restoration",IF(AND(O11="sorcerer",O12&gt;=17),"MM - "&amp;INDEX('Class Tables'!F78:F85,MATCH(3,('Class Tables'!D78:D85),0)),IF(AND(O11="rogue",O12&gt;=14),"Blindsense",IF(AND(O11="ranger",O12&gt;=5),"Extra Attack",IF(AND(O11="paladin",O12&gt;=3),"Divine Health",IF(AND(O11="monk",O12&gt;=2),"Patient Defense",IF(AND(O11="barbarian",O12&gt;=5),"Fast Movement",IF(AND(O11="bard",O12&gt;=20),"Superior Inspiration",IF(AND(O11="druid",O12&gt;=20),"Archdruid",IF(AND(O11="cleric",O12&gt;=10),"Divine Intervention"," ")))))))))))))))</f>
        <v xml:space="preserve"> </v>
      </c>
      <c r="P20" s="33" t="str">
        <f ca="1">IF(AND(P15="school of transmutation",O12&gt;=14),"Master Transmuter",IF(AND(P15="school of necromancy",O12&gt;=14),"Command Undead",IF(AND(P15="school of illusion",O12&gt;=14),"Illusory Reality",IF(AND(P15="school of evocation",O12&gt;=14),"Overchannel",IF(AND(P15="school of enchantment",O12&gt;=14),"Alter Memories",IF(AND(P15="school of divination",O12&gt;=14),"Greater Portent",IF(AND(P15="school of conjuration",O12&gt;=14),"Durable Summons",IF(AND(P15="school of abjuration",O12&gt;=14),"Spell Resistance",IF(AND(P15="wild magic",O12&gt;=18),"Spell Bombardment",IF(AND(P15="Draconic Bloodline",O12&gt;=18),"Draconic Presence",IF(AND(P15="thief",O12&gt;=17),"Thief's Reflexes",IF(AND(P15="oath of vengeance",O12&gt;=20),"Avenging Angel",IF(AND(P15="oath of the ancients",O12&gt;=20),"Elder Champion",IF(AND(P15="Oath of Devotion",O12&gt;=20),"Holy Nimbus",IF(AND(P15="way of the four elements",O12&gt;=6),INDEX('Class Tables'!K128:K129,MATCH(1,('Class Tables'!I128:I129),0)),IF(AND(P15="eldritch knight",O12&gt;=18),"Improved War Magic",IF(P15="battle master",INDEX('Class Tables'!K40:K55,MATCH(1,('Class Tables'!I40:I55),0)),IF(AND(P15="champion",O12&gt;=18),"Survivor - "&amp;SUM(5+P48)&amp;" hp",IF(AND(P15="moon",O12&gt;=14),"Thousand Forms",IF(P15="land",VLOOKUP(RANDBETWEEN(1,8),Table74[],2),IF(AND(P15="war",O12&gt;=17),"Avatar of Battle",IF(AND(P15="trickery",O12&gt;=17),"Improved Duplicity",IF(AND(P15="nature",O12&gt;=17),"Stormborn",IF(AND(P15="light",O12&gt;=17),"Corona of Light",IF(AND(P15="life",O12&gt;=17),"Supreme Healing",IF(AND(P15="path of the totem warrior",O12&gt;=14),VLOOKUP(RANDBETWEEN(1,3),Table44[],4)," "))))))))))))))))))))))))))</f>
        <v>Spell Resistance</v>
      </c>
      <c r="Q20" s="33" t="str">
        <f>IF(AND(Q11="warlock",Q12&gt;=9),"Invocation - "&amp;INDEX('Class Tables'!F141:F161,MATCH(3,('Class Tables'!D141:D161),0)),IF(AND(Q11="warlock",Q12&gt;=7),"Invocation - "&amp;INDEX('Class Tables'!F122:F138,MATCH(3,('Class Tables'!D122:D138),0)),IF(AND(Q11="warlock",Q12&gt;=5),"Invocation - "&amp;INDEX('Class Tables'!F106:F119,MATCH(3,('Class Tables'!D106:D119),0)),IF(AND(Q11="ranger",Q12&gt;=5),"Extra Attack",IF(AND(Q11="paladin",Q12&gt;=3),"Divine Health",IF(AND(Q11="monk",Q12&gt;=2),"Patient Defense",IF(AND(Q11="barbarian",Q12&gt;=5),"Fast Movement",IF(AND(Q11="cleric",Q12&gt;=10),"Divine Intervention"," "))))))))</f>
        <v xml:space="preserve"> </v>
      </c>
      <c r="R20" s="33" t="str">
        <f ca="1">IF(AND(R15="way of the four elements",Q12&gt;=6),INDEX('Class Tables'!K128:K129,MATCH(1,('Class Tables'!I128:I129),0)),IF(R15="battle master",INDEX('Class Tables'!K40:K55,MATCH(1,('Class Tables'!I40:I55),0)),IF(R15="land",VLOOKUP(RANDBETWEEN(1,8),Table74[],2)," ")))</f>
        <v xml:space="preserve"> </v>
      </c>
      <c r="S20" s="33" t="str">
        <f ca="1">IF(P2="high",INDEX('Class Tables'!S177:S220,MATCH(1,('Class Tables'!Q177:Q220),0))," ")</f>
        <v xml:space="preserve"> </v>
      </c>
      <c r="AE20" s="29" t="s">
        <v>1990</v>
      </c>
      <c r="AF20" s="29">
        <f ca="1">RANDBETWEEN(1,3)</f>
        <v>3</v>
      </c>
      <c r="AH20" s="29" t="s">
        <v>25</v>
      </c>
      <c r="AI20" s="29">
        <f ca="1">$P$41</f>
        <v>4</v>
      </c>
      <c r="AJ20" s="29" t="str">
        <f t="shared" ref="AJ20:AU20" si="25">IF(COUNTIF(AJ$27:AJ$33,$AH$20),$P$8," ")</f>
        <v xml:space="preserve"> </v>
      </c>
      <c r="AK20" s="29" t="str">
        <f t="shared" ca="1" si="25"/>
        <v xml:space="preserve"> </v>
      </c>
      <c r="AL20" s="29" t="str">
        <f t="shared" si="25"/>
        <v xml:space="preserve"> </v>
      </c>
      <c r="AM20" s="29" t="str">
        <f t="shared" si="25"/>
        <v xml:space="preserve"> </v>
      </c>
      <c r="AN20" s="29" t="str">
        <f t="shared" si="25"/>
        <v xml:space="preserve"> </v>
      </c>
      <c r="AO20" s="29" t="str">
        <f t="shared" si="25"/>
        <v xml:space="preserve"> </v>
      </c>
      <c r="AP20" s="29" t="str">
        <f t="shared" ca="1" si="25"/>
        <v xml:space="preserve"> </v>
      </c>
      <c r="AQ20" s="29" t="str">
        <f t="shared" si="25"/>
        <v xml:space="preserve"> </v>
      </c>
      <c r="AR20" s="29" t="str">
        <f t="shared" si="25"/>
        <v xml:space="preserve"> </v>
      </c>
      <c r="AS20" s="29" t="str">
        <f t="shared" si="25"/>
        <v xml:space="preserve"> </v>
      </c>
      <c r="AT20" s="29" t="str">
        <f t="shared" ca="1" si="25"/>
        <v xml:space="preserve"> </v>
      </c>
      <c r="AU20" s="29" t="str">
        <f t="shared" ca="1" si="25"/>
        <v xml:space="preserve"> </v>
      </c>
      <c r="AV20" s="29">
        <f t="shared" ca="1" si="8"/>
        <v>0</v>
      </c>
      <c r="AW20" s="29" t="s">
        <v>25</v>
      </c>
      <c r="AX20" s="29" t="str">
        <f ca="1">IF(S11="acolyte",P8," ")</f>
        <v xml:space="preserve"> </v>
      </c>
      <c r="BC20" s="29" t="str">
        <f ca="1">IF(S11="Guild Artisan",P8," ")</f>
        <v xml:space="preserve"> </v>
      </c>
      <c r="BD20" s="29" t="str">
        <f ca="1">IF(S11="Hermit",P8," ")</f>
        <v xml:space="preserve"> </v>
      </c>
      <c r="BM20" s="29">
        <f t="shared" ca="1" si="2"/>
        <v>0</v>
      </c>
      <c r="BN20" s="29">
        <f t="shared" ca="1" si="9"/>
        <v>0</v>
      </c>
      <c r="BO20" s="29" t="str">
        <f t="shared" ca="1" si="3"/>
        <v xml:space="preserve"> </v>
      </c>
      <c r="BP20" s="29" t="str">
        <f t="shared" ca="1" si="4"/>
        <v xml:space="preserve"> </v>
      </c>
      <c r="BQ20" s="29" t="str">
        <f t="shared" ca="1" si="5"/>
        <v xml:space="preserve"> </v>
      </c>
      <c r="BR20" s="29">
        <f t="shared" ca="1" si="6"/>
        <v>0</v>
      </c>
      <c r="BS20" s="29">
        <f ca="1">IF(AND($BY$29=1,OR($P$15="knowledge",$R$15="knowledge")),$P$8*2,IF(AND($BY$29=2,OR($P$15="knowledge",$R$15="knowledge")),$P$8*2,0))</f>
        <v>0</v>
      </c>
      <c r="BU20" s="29">
        <f t="shared" ca="1" si="10"/>
        <v>0</v>
      </c>
      <c r="BV20" s="29" t="s">
        <v>25</v>
      </c>
      <c r="CB20" s="35">
        <f t="shared" ca="1" si="14"/>
        <v>16</v>
      </c>
      <c r="CC20" s="36">
        <f t="shared" ca="1" si="15"/>
        <v>1.9864721739312197E-3</v>
      </c>
      <c r="CD20" s="29" t="s">
        <v>21</v>
      </c>
    </row>
    <row r="21" spans="2:83" x14ac:dyDescent="0.3">
      <c r="O21" s="33" t="str">
        <f>IF(AND(O11="warlock",O12&gt;=15),"Invocation - "&amp;INDEX('Class Tables'!F164:F187,MATCH(4,('Class Tables'!D164:D187),0)),IF(AND(O11="warlock",O12&gt;=9),"Invocation - "&amp;INDEX('Class Tables'!F141:F161,MATCH(4,('Class Tables'!D141:D161),0)),IF(AND(O11="warlock",O12&gt;=7),"Invocation - "&amp;INDEX('Class Tables'!F122:F138,MATCH(4,('Class Tables'!D122:D138),0)),IF(AND(O11="rogue",O12&gt;=15),"Slippery Mind",IF(AND(O11="ranger",O12&gt;=8),"Land's Stride",IF(AND(O11="paladin",O12&gt;=5),"Extra Attack",IF(AND(O11="monk",O12&gt;=2),"Step of the Wind",IF(AND($O$11="barbarian",$O$12&gt;=7),"Feral Instinct"," "))))))))</f>
        <v xml:space="preserve"> </v>
      </c>
      <c r="P21" s="33" t="str">
        <f ca="1">IF(AND(P15="way of the four elements",O12&gt;=11),INDEX('Class Tables'!K131:K134,MATCH(1,('Class Tables'!I131:I134),0)),IF(P15="battle master",INDEX('Class Tables'!K40:K55,MATCH(2,('Class Tables'!I40:I55),0))," "))</f>
        <v xml:space="preserve"> </v>
      </c>
      <c r="Q21" s="33" t="str">
        <f>IF(AND(Q11="warlock",Q12&gt;=9),"Invocation - "&amp;INDEX('Class Tables'!F141:F161,MATCH(4,('Class Tables'!D141:D161),0)),IF(AND(Q11="warlock",Q12&gt;=7),"Invocation - "&amp;INDEX('Class Tables'!F122:F138,MATCH(4,('Class Tables'!D122:D138),0)),IF(AND(Q11="ranger",Q12&gt;=8),"Land's Stride",IF(AND(Q11="paladin",Q12&gt;=5),"Extra Attack",IF(AND(Q11="monk",Q12&gt;=2),"Step of the Wind",IF(AND($Q$11="barbarian",$Q$12&gt;=7),"Feral Instinct"," "))))))</f>
        <v xml:space="preserve"> </v>
      </c>
      <c r="R21" s="33" t="str">
        <f ca="1">IF(R15="battle master",INDEX('Class Tables'!K40:K55,MATCH(2,('Class Tables'!I40:I55),0))," ")</f>
        <v xml:space="preserve"> </v>
      </c>
      <c r="S21" s="33" t="str">
        <f ca="1">IF(OR(P15="knowledge",R15="knowledge"),INDEX('Class Tables'!S177:S220,MATCH(2,('Class Tables'!Q177:Q220),0))," ")</f>
        <v xml:space="preserve"> </v>
      </c>
      <c r="AE21" s="29" t="s">
        <v>1989</v>
      </c>
      <c r="AF21" s="29">
        <f ca="1">RANDBETWEEN(1,2)</f>
        <v>1</v>
      </c>
      <c r="AH21" s="29" t="s">
        <v>26</v>
      </c>
      <c r="AI21" s="29">
        <f ca="1">$P$39</f>
        <v>4</v>
      </c>
      <c r="AJ21" s="29" t="str">
        <f t="shared" ref="AJ21:AU21" si="26">IF(COUNTIF(AJ$27:AJ$33,$AH$21),$P$8," ")</f>
        <v xml:space="preserve"> </v>
      </c>
      <c r="AK21" s="29" t="str">
        <f t="shared" ca="1" si="26"/>
        <v xml:space="preserve"> </v>
      </c>
      <c r="AL21" s="29" t="str">
        <f t="shared" si="26"/>
        <v xml:space="preserve"> </v>
      </c>
      <c r="AM21" s="29" t="str">
        <f t="shared" si="26"/>
        <v xml:space="preserve"> </v>
      </c>
      <c r="AN21" s="29" t="str">
        <f t="shared" si="26"/>
        <v xml:space="preserve"> </v>
      </c>
      <c r="AO21" s="29" t="str">
        <f t="shared" si="26"/>
        <v xml:space="preserve"> </v>
      </c>
      <c r="AP21" s="29" t="str">
        <f t="shared" ca="1" si="26"/>
        <v xml:space="preserve"> </v>
      </c>
      <c r="AQ21" s="29" t="str">
        <f t="shared" si="26"/>
        <v xml:space="preserve"> </v>
      </c>
      <c r="AR21" s="29" t="str">
        <f t="shared" si="26"/>
        <v xml:space="preserve"> </v>
      </c>
      <c r="AS21" s="29" t="str">
        <f t="shared" si="26"/>
        <v xml:space="preserve"> </v>
      </c>
      <c r="AT21" s="29" t="str">
        <f t="shared" ca="1" si="26"/>
        <v xml:space="preserve"> </v>
      </c>
      <c r="AU21" s="29" t="str">
        <f t="shared" ca="1" si="26"/>
        <v xml:space="preserve"> </v>
      </c>
      <c r="AV21" s="29">
        <f t="shared" ca="1" si="8"/>
        <v>0</v>
      </c>
      <c r="AW21" s="29" t="s">
        <v>26</v>
      </c>
      <c r="AY21" s="29" t="str">
        <f ca="1">IF(S11="Charlatan",P8," ")</f>
        <v xml:space="preserve"> </v>
      </c>
      <c r="BL21" s="29" t="str">
        <f ca="1">IF(S11="urchin",P8," ")</f>
        <v xml:space="preserve"> </v>
      </c>
      <c r="BM21" s="29">
        <f t="shared" ca="1" si="2"/>
        <v>0</v>
      </c>
      <c r="BN21" s="29">
        <f t="shared" ca="1" si="9"/>
        <v>0</v>
      </c>
      <c r="BO21" s="29" t="str">
        <f t="shared" ca="1" si="3"/>
        <v xml:space="preserve"> </v>
      </c>
      <c r="BP21" s="29" t="str">
        <f t="shared" ca="1" si="4"/>
        <v xml:space="preserve"> </v>
      </c>
      <c r="BQ21" s="29" t="str">
        <f t="shared" ca="1" si="5"/>
        <v xml:space="preserve"> </v>
      </c>
      <c r="BR21" s="29">
        <f t="shared" ca="1" si="6"/>
        <v>0</v>
      </c>
      <c r="BU21" s="29">
        <f t="shared" ca="1" si="10"/>
        <v>0</v>
      </c>
      <c r="BV21" s="29" t="s">
        <v>26</v>
      </c>
      <c r="CB21" s="35">
        <f t="shared" ca="1" si="14"/>
        <v>9</v>
      </c>
      <c r="CC21" s="36">
        <f t="shared" ca="1" si="15"/>
        <v>0.48439969046420694</v>
      </c>
      <c r="CD21" s="29" t="s">
        <v>22</v>
      </c>
    </row>
    <row r="22" spans="2:83" x14ac:dyDescent="0.3">
      <c r="O22" s="33" t="str">
        <f ca="1">(IF(AND(O16="pact of the blade",O12&gt;=12,AF26=1),"Invocation - Lifedrinker",IF(AND(O11="warlock",O12&gt;=15),"Invocation - "&amp;INDEX('Class Tables'!F164:F187,MATCH(5,('Class Tables'!D164:D187),0)),IF(AND(O11="warlock",O12&gt;=9),"Invocation - "&amp;INDEX('Class Tables'!F141:F161,MATCH(5,('Class Tables'!D141:D161),0)),IF(AND(O11="rogue",O12&gt;=18),"Elusive Foe",IF(AND(O11="ranger",O12&gt;=10),"Hide in Plain Sight",IF(AND(O11="paladin",O12&gt;=6),"Aura of Protection +"&amp;MAX(P43,1),IF(AND(O11="monk",O12&gt;=2),"Unarmored Movement - "&amp;INDEX('Class Tables'!L98:L117,MATCH(O12,('Class Tables'!I98:I117),0))&amp;" ft.",IF(AND($O$11="barbarian",$O$12&gt;=9),"Brutal Critical"," ")))))))))</f>
        <v xml:space="preserve"> </v>
      </c>
      <c r="P22" s="33" t="str">
        <f ca="1">IF(AND(P15="way of the four elements",O12&gt;=17),INDEX('Class Tables'!K136:K138,MATCH(1,('Class Tables'!I136:I138),0)),IF(P15="battle master",INDEX('Class Tables'!K40:K55,MATCH(3,('Class Tables'!I40:I55),0))," "))</f>
        <v xml:space="preserve"> </v>
      </c>
      <c r="Q22" s="33" t="str">
        <f>IF(AND(Q11="warlock",Q12&gt;=9),"Invocation - "&amp;INDEX('Class Tables'!F141:F161,MATCH(5,('Class Tables'!D141:D161),0)),IF(AND(Q11="ranger",Q12&gt;=10),"Hide in Plain Sight",IF(AND(Q11="paladin",Q12&gt;=6),"Aura of Protection +"&amp;MAX(P43,1),IF(AND(Q11="monk",Q12&gt;=2),"Unarmored Movement - "&amp;INDEX('Class Tables'!L98:L117,MATCH(Q12,('Class Tables'!I98:I117),0))&amp;" ft.",IF(AND($Q$11="barbarian",$Q$12&gt;=9),"Brutal Critical"," ")))))</f>
        <v xml:space="preserve"> </v>
      </c>
      <c r="R22" s="33" t="str">
        <f ca="1">IF(R15="battle master",INDEX('Class Tables'!K40:K55,MATCH(3,('Class Tables'!I40:I55),0))," ")</f>
        <v xml:space="preserve"> </v>
      </c>
      <c r="S22" s="33" t="str">
        <f ca="1">IF(OR(P15="knowledge",R15="knowledge"),INDEX('Class Tables'!S177:S220,MATCH(3,('Class Tables'!Q177:Q220),0))," ")</f>
        <v xml:space="preserve"> </v>
      </c>
      <c r="AE22" s="29" t="s">
        <v>1387</v>
      </c>
      <c r="AF22" s="29">
        <f ca="1">SUM(P38:P39)-SMALL(P38:P39,1)</f>
        <v>4</v>
      </c>
      <c r="AH22" s="29" t="s">
        <v>27</v>
      </c>
      <c r="AI22" s="29">
        <f ca="1">$P$39</f>
        <v>4</v>
      </c>
      <c r="AJ22" s="29" t="str">
        <f t="shared" ref="AJ22:AU22" si="27">IF(COUNTIF(AJ$27:AJ$33,$AH$22),$P$8," ")</f>
        <v xml:space="preserve"> </v>
      </c>
      <c r="AK22" s="29" t="str">
        <f t="shared" ca="1" si="27"/>
        <v xml:space="preserve"> </v>
      </c>
      <c r="AL22" s="29" t="str">
        <f t="shared" si="27"/>
        <v xml:space="preserve"> </v>
      </c>
      <c r="AM22" s="29" t="str">
        <f t="shared" si="27"/>
        <v xml:space="preserve"> </v>
      </c>
      <c r="AN22" s="29" t="str">
        <f t="shared" si="27"/>
        <v xml:space="preserve"> </v>
      </c>
      <c r="AO22" s="29" t="str">
        <f t="shared" si="27"/>
        <v xml:space="preserve"> </v>
      </c>
      <c r="AP22" s="29" t="str">
        <f t="shared" ca="1" si="27"/>
        <v xml:space="preserve"> </v>
      </c>
      <c r="AQ22" s="29" t="str">
        <f t="shared" si="27"/>
        <v xml:space="preserve"> </v>
      </c>
      <c r="AR22" s="29" t="str">
        <f t="shared" si="27"/>
        <v xml:space="preserve"> </v>
      </c>
      <c r="AS22" s="29" t="str">
        <f t="shared" si="27"/>
        <v xml:space="preserve"> </v>
      </c>
      <c r="AT22" s="29" t="str">
        <f t="shared" ca="1" si="27"/>
        <v xml:space="preserve"> </v>
      </c>
      <c r="AU22" s="29" t="str">
        <f t="shared" ca="1" si="27"/>
        <v xml:space="preserve"> </v>
      </c>
      <c r="AV22" s="29">
        <f t="shared" ca="1" si="8"/>
        <v>0</v>
      </c>
      <c r="AW22" s="29" t="s">
        <v>27</v>
      </c>
      <c r="AZ22" s="29" t="str">
        <f ca="1">IF(S11="Criminal",P8," ")</f>
        <v xml:space="preserve"> </v>
      </c>
      <c r="BL22" s="29" t="str">
        <f ca="1">IF(S11="urchin",P8," ")</f>
        <v xml:space="preserve"> </v>
      </c>
      <c r="BM22" s="29">
        <f t="shared" ca="1" si="2"/>
        <v>0</v>
      </c>
      <c r="BN22" s="29">
        <f t="shared" ca="1" si="9"/>
        <v>0</v>
      </c>
      <c r="BO22" s="29" t="str">
        <f t="shared" ca="1" si="3"/>
        <v xml:space="preserve"> </v>
      </c>
      <c r="BP22" s="29" t="str">
        <f t="shared" ca="1" si="4"/>
        <v xml:space="preserve"> </v>
      </c>
      <c r="BQ22" s="29" t="str">
        <f t="shared" ca="1" si="5"/>
        <v xml:space="preserve"> </v>
      </c>
      <c r="BR22" s="29">
        <f t="shared" ca="1" si="6"/>
        <v>0</v>
      </c>
      <c r="BU22" s="29">
        <f t="shared" ca="1" si="10"/>
        <v>0</v>
      </c>
      <c r="BV22" s="29" t="s">
        <v>27</v>
      </c>
      <c r="CB22" s="35">
        <f t="shared" ca="1" si="14"/>
        <v>13</v>
      </c>
      <c r="CC22" s="36">
        <f t="shared" ca="1" si="15"/>
        <v>0.12072998031643056</v>
      </c>
      <c r="CD22" s="29" t="s">
        <v>23</v>
      </c>
    </row>
    <row r="23" spans="2:83" x14ac:dyDescent="0.3">
      <c r="O23" s="33" t="str">
        <f>IF(AND(O11="warlock",O12&gt;=15),"Invocation - "&amp;INDEX('Class Tables'!F164:F187,MATCH(6,('Class Tables'!D164:D187),0)),IF(AND(O11="warlock",O12&gt;=12),"Invocation - "&amp;INDEX('Class Tables'!F141:F161,MATCH(6,('Class Tables'!D141:D161),0)),IF(AND(O11="rogue",O12&gt;=20),"Stroke of Luck",IF(AND(O11="ranger",O12&gt;=14),"Vanish",IF(AND(O11="paladin",O12&gt;=10),"Aura of Courage",IF(AND(O11="monk",O12&gt;=3),"Deflect Missiles - 1d10+"&amp;SUM(P39,O12)&amp;" dmg.",IF(AND($O$11="barbarian",$O$12&gt;=11),"Relentless Rage"," ")))))))</f>
        <v xml:space="preserve"> </v>
      </c>
      <c r="P23" s="33" t="str">
        <f ca="1">IF(AND(P15="battle master",O12&gt;=7),INDEX('Class Tables'!K40:K55,MATCH(4,('Class Tables'!I40:I55),0))," ")</f>
        <v xml:space="preserve"> </v>
      </c>
      <c r="Q23" s="33" t="str">
        <f>IF(AND(Q11="paladin",Q12&gt;=10),"Aura of Courage",IF(AND(Q11="monk",Q12&gt;=3),"Deflect Missiles 1d10+"&amp;SUM(Q12,P39)&amp;" dmg."," "))</f>
        <v xml:space="preserve"> </v>
      </c>
      <c r="R23" s="33" t="str">
        <f ca="1">IF(AND(R15="battle master",Q12&gt;=7),INDEX('Class Tables'!K40:K55,MATCH(4,('Class Tables'!I40:I55),0))," ")</f>
        <v xml:space="preserve"> </v>
      </c>
      <c r="S23" s="33" t="str">
        <f>IF(O11="druid","Druidic",IF(O11="rogue","Thieves' Cant"," "))</f>
        <v xml:space="preserve"> </v>
      </c>
      <c r="AE23" s="29" t="s">
        <v>1402</v>
      </c>
      <c r="AF23" s="29">
        <f ca="1">RANDBETWEEN(1,2)</f>
        <v>1</v>
      </c>
      <c r="AH23" s="29" t="s">
        <v>28</v>
      </c>
      <c r="AI23" s="29">
        <f ca="1">$P$42</f>
        <v>0</v>
      </c>
      <c r="AJ23" s="29" t="str">
        <f t="shared" ref="AJ23:AU23" si="28">IF(COUNTIF(AJ$27:AJ$33,$AH$23),$P$8," ")</f>
        <v xml:space="preserve"> </v>
      </c>
      <c r="AK23" s="29" t="str">
        <f t="shared" ca="1" si="28"/>
        <v xml:space="preserve"> </v>
      </c>
      <c r="AL23" s="29" t="str">
        <f t="shared" si="28"/>
        <v xml:space="preserve"> </v>
      </c>
      <c r="AM23" s="29" t="str">
        <f t="shared" si="28"/>
        <v xml:space="preserve"> </v>
      </c>
      <c r="AN23" s="29" t="str">
        <f t="shared" si="28"/>
        <v xml:space="preserve"> </v>
      </c>
      <c r="AO23" s="29" t="str">
        <f t="shared" si="28"/>
        <v xml:space="preserve"> </v>
      </c>
      <c r="AP23" s="29" t="str">
        <f t="shared" ca="1" si="28"/>
        <v xml:space="preserve"> </v>
      </c>
      <c r="AQ23" s="29" t="str">
        <f t="shared" si="28"/>
        <v xml:space="preserve"> </v>
      </c>
      <c r="AR23" s="29" t="str">
        <f t="shared" si="28"/>
        <v xml:space="preserve"> </v>
      </c>
      <c r="AS23" s="29" t="str">
        <f t="shared" si="28"/>
        <v xml:space="preserve"> </v>
      </c>
      <c r="AT23" s="29" t="str">
        <f t="shared" ca="1" si="28"/>
        <v xml:space="preserve"> </v>
      </c>
      <c r="AU23" s="29" t="str">
        <f t="shared" ca="1" si="28"/>
        <v xml:space="preserve"> </v>
      </c>
      <c r="AV23" s="29">
        <f t="shared" ca="1" si="8"/>
        <v>0</v>
      </c>
      <c r="AW23" s="29" t="s">
        <v>28</v>
      </c>
      <c r="BB23" s="29" t="str">
        <f ca="1">IF(S11="Folk Hero",P8," ")</f>
        <v xml:space="preserve"> </v>
      </c>
      <c r="BG23" s="29">
        <f ca="1">IF(S11="Outlander",P8," ")</f>
        <v>6</v>
      </c>
      <c r="BM23" s="29">
        <f t="shared" ca="1" si="2"/>
        <v>6</v>
      </c>
      <c r="BN23" s="29">
        <f t="shared" ca="1" si="9"/>
        <v>0</v>
      </c>
      <c r="BO23" s="29" t="str">
        <f t="shared" ca="1" si="3"/>
        <v xml:space="preserve"> </v>
      </c>
      <c r="BP23" s="29" t="str">
        <f t="shared" ca="1" si="4"/>
        <v xml:space="preserve"> </v>
      </c>
      <c r="BQ23" s="29" t="str">
        <f t="shared" ca="1" si="5"/>
        <v xml:space="preserve"> </v>
      </c>
      <c r="BR23" s="29">
        <f t="shared" ca="1" si="6"/>
        <v>0</v>
      </c>
      <c r="BT23" s="29">
        <f ca="1">IF(AND(BY32=1,OR($P$15="nature",$R$15="nature")),$P$8,0)</f>
        <v>0</v>
      </c>
      <c r="BU23" s="29">
        <f t="shared" ca="1" si="10"/>
        <v>6</v>
      </c>
      <c r="BV23" s="29" t="s">
        <v>28</v>
      </c>
      <c r="CB23" s="35">
        <f t="shared" ca="1" si="14"/>
        <v>6</v>
      </c>
      <c r="CC23" s="36">
        <f t="shared" ca="1" si="15"/>
        <v>0.65841673913421705</v>
      </c>
      <c r="CD23" s="29" t="s">
        <v>24</v>
      </c>
    </row>
    <row r="24" spans="2:83" x14ac:dyDescent="0.3">
      <c r="O24" s="33" t="str">
        <f ca="1">IF(AND(O11="warlock",O12&gt;=15,AF26=2,O16="pact of the chain"),"Chains of Carceri",IF(AND(O11="warlock",O12&gt;=15),"Invocation - "&amp;INDEX('Class Tables'!F164:F187,MATCH(7,('Class Tables'!D164:D187),0)),IF(AND(O11="ranger",O12&gt;=18),"Feral Senses",IF(AND(O11="paladin",O12&gt;=11),"Improved Divine Smite",IF(AND(O11="monk",O12&gt;=4),"Slow Fall - "&amp;O12*5&amp;" dmg.",IF(AND($O$11="barbarian",$O$12&gt;=15),"Persistent Rage"," "))))))</f>
        <v xml:space="preserve"> </v>
      </c>
      <c r="P24" s="33" t="str">
        <f ca="1">IF(AND(P15="battle master",O12&gt;=7),INDEX('Class Tables'!K40:K55,MATCH(5,('Class Tables'!I40:I55),0))," ")</f>
        <v xml:space="preserve"> </v>
      </c>
      <c r="Q24" s="33" t="str">
        <f>IF(AND(Q11="paladin",Q12&gt;=11),"Improved Divine Smite",IF(AND(Q11="monk",Q12&gt;=4),"Slow Fall -"&amp;Q12*5&amp;" dmg."," "))</f>
        <v xml:space="preserve"> </v>
      </c>
      <c r="R24" s="33" t="str">
        <f ca="1">IF(AND(R15="battle master",Q12&gt;=7),INDEX('Class Tables'!K40:K55,MATCH(5,('Class Tables'!I40:I55),0))," ")</f>
        <v xml:space="preserve"> </v>
      </c>
      <c r="S24" s="33" t="str">
        <f ca="1">IF(P15="draconic bloodline","Draconic"," ")</f>
        <v xml:space="preserve"> </v>
      </c>
      <c r="AE24" s="29" t="s">
        <v>1509</v>
      </c>
      <c r="AF24" s="29">
        <f ca="1">RANDBETWEEN(1,2)</f>
        <v>1</v>
      </c>
      <c r="CB24" s="35">
        <f t="shared" ca="1" si="14"/>
        <v>15</v>
      </c>
      <c r="CC24" s="36">
        <f t="shared" ca="1" si="15"/>
        <v>2.8643757571804929E-2</v>
      </c>
      <c r="CD24" s="29" t="s">
        <v>25</v>
      </c>
    </row>
    <row r="25" spans="2:83" x14ac:dyDescent="0.3">
      <c r="O25" s="33" t="str">
        <f>IF(AND(O11="warlock",O12&gt;=18),"Invocation - "&amp;INDEX('Class Tables'!F164:F187,MATCH(8,('Class Tables'!D164:D187),0)),IF(AND(O11="ranger",O12&gt;=20),"Foe Slayer",IF(AND(O11="paladin",O12&gt;=14),"Cleansing Touch - "&amp;MAX(1,(P43))&amp;" uses",IF(AND(O11="monk",O12&gt;=5),"Extra Attack",IF(AND($O$11="barbarian",$O$12&gt;=18),"Indomitable Might"," ")))))</f>
        <v xml:space="preserve"> </v>
      </c>
      <c r="P25" s="33" t="str">
        <f ca="1">IF(AND(P15="battle master",O12&gt;=10),INDEX('Class Tables'!K40:K55,MATCH(6,('Class Tables'!I40:I55),0))," ")</f>
        <v xml:space="preserve"> </v>
      </c>
      <c r="Q25" s="33" t="str">
        <f>IF(AND(Q11="paladin",Q12&gt;=14),"Cleansing Touch - "&amp;MAX(1,(P43))&amp;" uses",IF(AND(Q11="monk",Q12&gt;=5),"Extra Attack"," "))</f>
        <v xml:space="preserve"> </v>
      </c>
      <c r="R25" s="33" t="str">
        <f ca="1">IF(AND(R15="battle master",Q12&gt;=10),INDEX('Class Tables'!K40:K55,MATCH(6,('Class Tables'!I40:I55),0))," ")</f>
        <v xml:space="preserve"> </v>
      </c>
      <c r="S25" s="33" t="str">
        <f ca="1">IF(OR(S11="acolyte",S11="Guild artisan",S11="hermit",S11="noble",S11="knight",S11="outlander",S11="sage"),INDEX('Class Tables'!S177:S220,MATCH(4,('Class Tables'!Q177:Q220),0))," ")</f>
        <v>Wererat</v>
      </c>
      <c r="AE25" s="29" t="s">
        <v>1568</v>
      </c>
      <c r="AF25" s="29">
        <f ca="1">RANDBETWEEN(1,2)</f>
        <v>2</v>
      </c>
      <c r="CB25" s="35">
        <f t="shared" ca="1" si="14"/>
        <v>14</v>
      </c>
      <c r="CC25" s="36">
        <f t="shared" ca="1" si="15"/>
        <v>0.11564502460024839</v>
      </c>
      <c r="CD25" s="29" t="s">
        <v>26</v>
      </c>
      <c r="CE25" s="31"/>
    </row>
    <row r="26" spans="2:83" x14ac:dyDescent="0.3">
      <c r="O26" s="33" t="str">
        <f>IF(AND(O11="ranger",O12&gt;=6),"Natural Explorer: "&amp;INDEX('Class Tables'!F212:F219,MATCH(2,('Class Tables'!D212:D219),0)),IF(AND(O11="monk",O12&gt;=5),"Stunning Strike",IF(AND($O$11="barbarian",$O$12&gt;=20),"Primal Champion"," ")))</f>
        <v xml:space="preserve"> </v>
      </c>
      <c r="P26" s="33" t="str">
        <f ca="1">IF(AND(P15="battle master",O12&gt;=10),INDEX('Class Tables'!K40:K55,MATCH(7,('Class Tables'!I40:I55),0))," ")</f>
        <v xml:space="preserve"> </v>
      </c>
      <c r="Q26" s="33" t="str">
        <f>IF(AND(Q11="ranger",Q12&gt;=10),"Natural Explorer: "&amp;INDEX('Class Tables'!F212:F219,MATCH(2,('Class Tables'!D212:D219),0)),IF(AND(Q11="monk",Q12&gt;=5),"Stunning Strike"," "))</f>
        <v xml:space="preserve"> </v>
      </c>
      <c r="R26" s="33" t="str">
        <f ca="1">IF(AND(R15="battle master",Q12&gt;=10),INDEX('Class Tables'!K40:K55,MATCH(7,('Class Tables'!I40:I55),0))," ")</f>
        <v xml:space="preserve"> </v>
      </c>
      <c r="S26" s="33" t="str">
        <f ca="1">IF(OR(S11="acolyte",S11="sage"),INDEX('Class Tables'!S177:S220,MATCH(5,('Class Tables'!Q177:Q220),0))," ")</f>
        <v xml:space="preserve"> </v>
      </c>
      <c r="AE26" s="29" t="s">
        <v>693</v>
      </c>
      <c r="AF26" s="29">
        <f ca="1">RANDBETWEEN(1,2)</f>
        <v>2</v>
      </c>
      <c r="AJ26" s="29" t="s">
        <v>685</v>
      </c>
      <c r="AK26" s="29" t="s">
        <v>686</v>
      </c>
      <c r="AL26" s="29" t="s">
        <v>687</v>
      </c>
      <c r="AM26" s="29" t="s">
        <v>688</v>
      </c>
      <c r="AN26" s="29" t="s">
        <v>689</v>
      </c>
      <c r="AO26" s="29" t="s">
        <v>694</v>
      </c>
      <c r="AP26" s="29" t="s">
        <v>695</v>
      </c>
      <c r="AQ26" s="29" t="s">
        <v>690</v>
      </c>
      <c r="AR26" s="29" t="s">
        <v>691</v>
      </c>
      <c r="AS26" s="29" t="s">
        <v>692</v>
      </c>
      <c r="AT26" s="29" t="s">
        <v>693</v>
      </c>
      <c r="AU26" s="29" t="s">
        <v>696</v>
      </c>
      <c r="AX26" s="29" t="s">
        <v>1810</v>
      </c>
      <c r="AY26" s="29" t="s">
        <v>1811</v>
      </c>
      <c r="AZ26" s="29" t="s">
        <v>1812</v>
      </c>
      <c r="BA26" s="29" t="s">
        <v>1813</v>
      </c>
      <c r="BB26" s="29" t="s">
        <v>1814</v>
      </c>
      <c r="BC26" s="29" t="s">
        <v>1815</v>
      </c>
      <c r="BD26" s="29" t="s">
        <v>1816</v>
      </c>
      <c r="BE26" s="29" t="s">
        <v>1823</v>
      </c>
      <c r="BF26" s="29" t="s">
        <v>1821</v>
      </c>
      <c r="BG26" s="29" t="s">
        <v>1817</v>
      </c>
      <c r="BH26" s="29" t="s">
        <v>1822</v>
      </c>
      <c r="BI26" s="29" t="s">
        <v>1818</v>
      </c>
      <c r="BJ26" s="29" t="s">
        <v>1720</v>
      </c>
      <c r="BK26" s="29" t="s">
        <v>1819</v>
      </c>
      <c r="BL26" s="29" t="s">
        <v>1820</v>
      </c>
      <c r="BN26" s="29">
        <f t="shared" ref="BN26:BN43" ca="1" si="29">_xlfn.RANK.EQ(BO26,$BO$26:$BO$43)</f>
        <v>5</v>
      </c>
      <c r="BO26" s="29">
        <f ca="1">IF(BP26="Acrobatics",RAND(),0)</f>
        <v>0</v>
      </c>
      <c r="BP26" s="29" t="str">
        <f ca="1">IF(OR(BM6&gt;=1,AV6&gt;=1),AH6," ")</f>
        <v xml:space="preserve"> </v>
      </c>
      <c r="BR26" s="29">
        <f t="shared" ref="BR26:BR43" ca="1" si="30">_xlfn.RANK.EQ(BS26,$BS$26:$BS$43)</f>
        <v>9</v>
      </c>
      <c r="BS26" s="29">
        <f t="shared" ref="BS26:BS43" ca="1" si="31">IF(BO26=0,RAND(),0)</f>
        <v>0.34410403781548715</v>
      </c>
      <c r="BU26" s="29">
        <f ca="1">_xlfn.RANK.EQ(BV26,$BV$26:$BV$29)</f>
        <v>2</v>
      </c>
      <c r="BV26" s="29">
        <f ca="1">IF(BW26="Arcana",RAND(),0)</f>
        <v>0</v>
      </c>
      <c r="BW26" s="29" t="str">
        <f ca="1">IF(OR($AV$8&gt;=1,$BR$8&gt;=1,BM8&gt;=1),"Arcana"," ")</f>
        <v xml:space="preserve"> </v>
      </c>
      <c r="BY26" s="29">
        <f ca="1">_xlfn.RANK.EQ(BZ26,$BZ$26:$BZ$29)</f>
        <v>2</v>
      </c>
      <c r="BZ26" s="29">
        <f t="shared" ref="BZ26:BZ32" ca="1" si="32">IF(BV26=0,RAND(),0)</f>
        <v>0.84186097903366897</v>
      </c>
      <c r="CB26" s="35">
        <f t="shared" ca="1" si="14"/>
        <v>7</v>
      </c>
      <c r="CC26" s="36">
        <f t="shared" ca="1" si="15"/>
        <v>0.65672075786797768</v>
      </c>
      <c r="CD26" s="29" t="s">
        <v>27</v>
      </c>
    </row>
    <row r="27" spans="2:83" x14ac:dyDescent="0.3">
      <c r="O27" s="33" t="str">
        <f>IF(AND(O11="ranger",O12&gt;=10),"Natural Explorer: "&amp;INDEX('Class Tables'!F212:F219,MATCH(3,('Class Tables'!D212:D219),0)),IF(AND(O11="monk",O12&gt;=6),"Ki-Empowered Strikes"," "))</f>
        <v xml:space="preserve"> </v>
      </c>
      <c r="P27" s="33" t="str">
        <f ca="1">IF(AND(P15="battle master",O12&gt;=15),INDEX('Class Tables'!K40:K55,MATCH(8,('Class Tables'!I40:I55),0))," ")</f>
        <v xml:space="preserve"> </v>
      </c>
      <c r="Q27" s="33" t="str">
        <f>IF(AND(Q11="ranger",Q12&gt;=10),"Natural Explorer: "&amp;INDEX('Class Tables'!F212:F219,MATCH(3,('Class Tables'!D212:D219),0)),IF(AND(Q11="monk",Q12&gt;=6),"Ki-Empowered Strikes"," "))</f>
        <v xml:space="preserve"> </v>
      </c>
      <c r="AI27" s="29">
        <v>1</v>
      </c>
      <c r="AJ27" s="29" t="str">
        <f>IF(O11="barbarian",INDEX('Pick and Choose'!$CD$2:$CD$7,MATCH($AI$27,('Pick and Choose'!$CB$2:$CB$7),0))," ")</f>
        <v xml:space="preserve"> </v>
      </c>
      <c r="AK27" s="29" t="str">
        <f>IF(OR(O11="bard",Q11="bard"),INDEX('Pick and Choose'!$CD$10:$CD$27,MATCH($AI$27,('Pick and Choose'!$CB$10:$CB$27),0))," ")</f>
        <v xml:space="preserve"> </v>
      </c>
      <c r="AL27" s="29" t="str">
        <f>IF(O11="cleric",INDEX('Pick and Choose'!$CD$30:$CD$34,MATCH(AI27,('Pick and Choose'!$CB$30:$CB$34),0))," ")</f>
        <v xml:space="preserve"> </v>
      </c>
      <c r="AM27" s="29" t="str">
        <f>IF(O11="Druid",INDEX('Pick and Choose'!$CD$37:$CD$44,MATCH(AI27,('Pick and Choose'!$CB$37:$CB$44),0))," ")</f>
        <v xml:space="preserve"> </v>
      </c>
      <c r="AN27" s="29" t="str">
        <f>IF(O11="fighter",INDEX('Pick and Choose'!$CD$47:$CD$54,MATCH(AI27,('Pick and Choose'!$CB$47:$CB$54),0))," ")</f>
        <v xml:space="preserve"> </v>
      </c>
      <c r="AO27" s="29" t="str">
        <f>IF(O11="monk",INDEX('Pick and Choose'!$CD$57:$CD$62,MATCH(AI27,('Pick and Choose'!$CB$57:$CB$62),0))," ")</f>
        <v xml:space="preserve"> </v>
      </c>
      <c r="AP27" s="29" t="str">
        <f>IF(O11="Paladin",INDEX('Pick and Choose'!$CD$65:$CD$70,MATCH(AI27,('Pick and Choose'!$CB$65:$CB$70),0))," ")</f>
        <v xml:space="preserve"> </v>
      </c>
      <c r="AQ27" s="29" t="str">
        <f>IF(OR(O11="ranger",Q11="ranger"),INDEX('Pick and Choose'!$CD$73:$CD$81,MATCH(AI27,('Pick and Choose'!$CB$73:$CB$81),0))," ")</f>
        <v xml:space="preserve"> </v>
      </c>
      <c r="AR27" s="29" t="str">
        <f>IF(OR(O11="rogue",Q11="rogue"),INDEX('Pick and Choose'!$CD$84:$CD$94,MATCH(AI27,('Pick and Choose'!$CB$84:$CB$94),0))," ")</f>
        <v xml:space="preserve"> </v>
      </c>
      <c r="AS27" s="29" t="str">
        <f>IF(O11="sorcerer",INDEX('Pick and Choose'!$CD$97:$CD$102,MATCH(AI27,('Pick and Choose'!$CB$97:$CB$102),0))," ")</f>
        <v xml:space="preserve"> </v>
      </c>
      <c r="AT27" s="29" t="str">
        <f>IF(O11="Warlock",INDEX('Pick and Choose'!$CD$105:$CD$111,MATCH(AI27,('Pick and Choose'!$CB$105:$CB$111),0))," ")</f>
        <v xml:space="preserve"> </v>
      </c>
      <c r="AU27" s="29" t="str">
        <f ca="1">IF(O11="wizard",INDEX('Pick and Choose'!$CD$114:$CD$119,MATCH(AI27,('Pick and Choose'!$CB$114:$CB$119),0))," ")</f>
        <v>History</v>
      </c>
      <c r="AX27" s="29" t="s">
        <v>17</v>
      </c>
      <c r="AY27" s="29" t="s">
        <v>15</v>
      </c>
      <c r="AZ27" s="29" t="s">
        <v>15</v>
      </c>
      <c r="BA27" s="29" t="s">
        <v>12</v>
      </c>
      <c r="BB27" s="29" t="s">
        <v>29</v>
      </c>
      <c r="BC27" s="29" t="s">
        <v>17</v>
      </c>
      <c r="BD27" s="29" t="s">
        <v>20</v>
      </c>
      <c r="BE27" s="29" t="s">
        <v>1824</v>
      </c>
      <c r="BF27" s="29" t="s">
        <v>16</v>
      </c>
      <c r="BG27" s="29" t="s">
        <v>14</v>
      </c>
      <c r="BH27" s="29" t="s">
        <v>14</v>
      </c>
      <c r="BI27" s="29" t="s">
        <v>13</v>
      </c>
      <c r="BJ27" s="29" t="s">
        <v>14</v>
      </c>
      <c r="BK27" s="29" t="s">
        <v>14</v>
      </c>
      <c r="BL27" s="29" t="s">
        <v>26</v>
      </c>
      <c r="BN27" s="29">
        <f t="shared" ca="1" si="29"/>
        <v>5</v>
      </c>
      <c r="BO27" s="29">
        <f ca="1">IF(BP27="Animal Handling",RAND(),0)</f>
        <v>0</v>
      </c>
      <c r="BP27" s="29" t="str">
        <f t="shared" ref="BP27:BP43" ca="1" si="33">IF(OR(BM7&gt;=1,AV7&gt;=1),AH7," ")</f>
        <v xml:space="preserve"> </v>
      </c>
      <c r="BR27" s="29">
        <f t="shared" ca="1" si="30"/>
        <v>8</v>
      </c>
      <c r="BS27" s="29">
        <f t="shared" ca="1" si="31"/>
        <v>0.41046170677076566</v>
      </c>
      <c r="BU27" s="29">
        <f ca="1">_xlfn.RANK.EQ(BV27,$BV$26:$BV$29)</f>
        <v>1</v>
      </c>
      <c r="BV27" s="29">
        <f ca="1">IF(BW27="History",RAND(),0)</f>
        <v>0.72075503157375453</v>
      </c>
      <c r="BW27" s="29" t="str">
        <f ca="1">IF(OR($AV$11&gt;=1,$BR$11&gt;=1,BM11&gt;=1),"History"," ")</f>
        <v>History</v>
      </c>
      <c r="BY27" s="29">
        <f ca="1">_xlfn.RANK.EQ(BZ27,$BZ$26:$BZ$29)</f>
        <v>4</v>
      </c>
      <c r="BZ27" s="29">
        <f t="shared" ca="1" si="32"/>
        <v>0</v>
      </c>
      <c r="CB27" s="35">
        <f t="shared" ca="1" si="14"/>
        <v>17</v>
      </c>
      <c r="CC27" s="36">
        <f t="shared" ca="1" si="15"/>
        <v>0</v>
      </c>
      <c r="CD27" s="29" t="s">
        <v>28</v>
      </c>
    </row>
    <row r="28" spans="2:83" x14ac:dyDescent="0.3">
      <c r="O28" s="33" t="str">
        <f>IF(AND(O11="monk",O12&gt;=7),"Evasion"," ")</f>
        <v xml:space="preserve"> </v>
      </c>
      <c r="P28" s="33" t="str">
        <f ca="1">IF(AND(P15="battle master",O12&gt;=15),INDEX('Class Tables'!K40:K55,MATCH(9,('Class Tables'!I40:I55),0))," ")</f>
        <v xml:space="preserve"> </v>
      </c>
      <c r="Q28" s="33" t="str">
        <f>IF(AND(Q11="monk",Q12&gt;=7),"Evasion"," ")</f>
        <v xml:space="preserve"> </v>
      </c>
      <c r="AE28" s="29" t="s">
        <v>1804</v>
      </c>
      <c r="AI28" s="29">
        <v>2</v>
      </c>
      <c r="AJ28" s="29" t="str">
        <f>IF(O11="barbarian",INDEX('Pick and Choose'!$CD2:$CD$7,MATCH($AI$28,('Pick and Choose'!$CB$2:$CB$7),0))," ")</f>
        <v xml:space="preserve"> </v>
      </c>
      <c r="AK28" s="29" t="str">
        <f>IF(O11="bard",INDEX('Pick and Choose'!$CD$10:$CD$27,MATCH(AI28,('Pick and Choose'!$CB$10:$CB$27),0))," ")</f>
        <v xml:space="preserve"> </v>
      </c>
      <c r="AL28" s="29" t="str">
        <f>IF(O11="cleric",INDEX('Pick and Choose'!$CD$30:$CD$34,MATCH(AI28,('Pick and Choose'!$CB$30:$CB$34),0))," ")</f>
        <v xml:space="preserve"> </v>
      </c>
      <c r="AM28" s="29" t="str">
        <f>IF(O11="druid",INDEX('Pick and Choose'!$CD$37:$CD$44,MATCH(AI28,('Pick and Choose'!$CB$37:$CB$44),0))," ")</f>
        <v xml:space="preserve"> </v>
      </c>
      <c r="AN28" s="29" t="str">
        <f>IF(O11="fighter",INDEX('Pick and Choose'!$CD$47:$CD$54,MATCH(AI28,('Pick and Choose'!$CB$47:$CB$54),0))," ")</f>
        <v xml:space="preserve"> </v>
      </c>
      <c r="AO28" s="29" t="str">
        <f>IF(O11="monk",INDEX('Pick and Choose'!$CD$57:$CD$62,MATCH(AI28,('Pick and Choose'!$CB$57:$CB$62),0))," ")</f>
        <v xml:space="preserve"> </v>
      </c>
      <c r="AP28" s="29" t="str">
        <f>IF(O11="paladin",INDEX('Pick and Choose'!$CD$65:$CD$70,MATCH(AI28,('Pick and Choose'!$CB$65:$CB$70),0))," ")</f>
        <v xml:space="preserve"> </v>
      </c>
      <c r="AQ28" s="29" t="str">
        <f>IF(O11="ranger",INDEX('Pick and Choose'!$CD$73:$CD$81,MATCH(AI28,('Pick and Choose'!$CB$73:$CB$81),0))," ")</f>
        <v xml:space="preserve"> </v>
      </c>
      <c r="AR28" s="29" t="str">
        <f>IF(O11="rogue",INDEX('Pick and Choose'!$CD$84:$CD$94,MATCH(AI28,('Pick and Choose'!$CB$84:$CB$94),0))," ")</f>
        <v xml:space="preserve"> </v>
      </c>
      <c r="AS28" s="29" t="str">
        <f>IF(O11="sorcerer",INDEX('Pick and Choose'!$CD$97:$CD$102,MATCH(AI28,('Pick and Choose'!$CB$97:$CB$102),0))," ")</f>
        <v xml:space="preserve"> </v>
      </c>
      <c r="AT28" s="29" t="str">
        <f>IF(O11="warlock",INDEX('Pick and Choose'!$CD$105:$CD$111,MATCH(AI28,('Pick and Choose'!$CB$105:$CB$111),0))," ")</f>
        <v xml:space="preserve"> </v>
      </c>
      <c r="AU28" s="29" t="str">
        <f ca="1">IF(O11="wizard",INDEX('Pick and Choose'!$CD$114:$CD$119,MATCH(AI28,('Pick and Choose'!$CB$114:$CB$119),0))," ")</f>
        <v>Investigation</v>
      </c>
      <c r="AX28" s="29" t="s">
        <v>25</v>
      </c>
      <c r="AY28" s="29" t="s">
        <v>26</v>
      </c>
      <c r="AZ28" s="29" t="s">
        <v>27</v>
      </c>
      <c r="BA28" s="29" t="s">
        <v>23</v>
      </c>
      <c r="BB28" s="29" t="s">
        <v>28</v>
      </c>
      <c r="BC28" s="29" t="s">
        <v>24</v>
      </c>
      <c r="BD28" s="29" t="s">
        <v>25</v>
      </c>
      <c r="BE28" s="29" t="s">
        <v>24</v>
      </c>
      <c r="BF28" s="29" t="s">
        <v>24</v>
      </c>
      <c r="BG28" s="29" t="s">
        <v>28</v>
      </c>
      <c r="BH28" s="29" t="s">
        <v>22</v>
      </c>
      <c r="BI28" s="29" t="s">
        <v>16</v>
      </c>
      <c r="BJ28" s="29" t="s">
        <v>22</v>
      </c>
      <c r="BK28" s="29" t="s">
        <v>18</v>
      </c>
      <c r="BL28" s="29" t="s">
        <v>27</v>
      </c>
      <c r="BN28" s="29">
        <f t="shared" ca="1" si="29"/>
        <v>5</v>
      </c>
      <c r="BO28" s="29">
        <f ca="1">IF(BP28="Arcana",RAND(),0)</f>
        <v>0</v>
      </c>
      <c r="BP28" s="29" t="str">
        <f t="shared" ca="1" si="33"/>
        <v xml:space="preserve"> </v>
      </c>
      <c r="BR28" s="29">
        <f t="shared" ca="1" si="30"/>
        <v>4</v>
      </c>
      <c r="BS28" s="29">
        <f t="shared" ca="1" si="31"/>
        <v>0.79256101686316394</v>
      </c>
      <c r="BU28" s="29">
        <f ca="1">_xlfn.RANK.EQ(BV28,$BV$26:$BV$29)</f>
        <v>2</v>
      </c>
      <c r="BV28" s="29">
        <f ca="1">IF(BW28="Nature",RAND(),0)</f>
        <v>0</v>
      </c>
      <c r="BW28" s="29" t="str">
        <f ca="1">IF(OR($AV$16&gt;=1,$BR$16&gt;=1,BM16&gt;=1),"Nature"," ")</f>
        <v xml:space="preserve"> </v>
      </c>
      <c r="BY28" s="29">
        <f ca="1">_xlfn.RANK.EQ(BZ28,$BZ$26:$BZ$29)</f>
        <v>3</v>
      </c>
      <c r="BZ28" s="29">
        <f t="shared" ca="1" si="32"/>
        <v>0.11126990409605098</v>
      </c>
    </row>
    <row r="29" spans="2:83" x14ac:dyDescent="0.3">
      <c r="O29" s="33" t="str">
        <f>IF(AND(O11="monk",O12&gt;=7),"Stillness of Mind"," ")</f>
        <v xml:space="preserve"> </v>
      </c>
      <c r="Q29" s="33" t="str">
        <f>IF(AND(Q11="monk",Q12&gt;=7),"Stillness of Mind"," ")</f>
        <v xml:space="preserve"> </v>
      </c>
      <c r="AE29" s="29">
        <f ca="1">RANDBETWEEN(2,8)</f>
        <v>5</v>
      </c>
      <c r="BN29" s="29">
        <f t="shared" ca="1" si="29"/>
        <v>2</v>
      </c>
      <c r="BO29" s="29">
        <f ca="1">IF(BP29="Athletics",RAND(),0)</f>
        <v>0.40536363124042962</v>
      </c>
      <c r="BP29" s="29" t="str">
        <f t="shared" ca="1" si="33"/>
        <v>Athletics</v>
      </c>
      <c r="BR29" s="29">
        <f t="shared" ca="1" si="30"/>
        <v>15</v>
      </c>
      <c r="BS29" s="29">
        <f t="shared" ca="1" si="31"/>
        <v>0</v>
      </c>
      <c r="BU29" s="29">
        <f ca="1">_xlfn.RANK.EQ(BV29,$BV$26:$BV$29)</f>
        <v>2</v>
      </c>
      <c r="BV29" s="29">
        <f ca="1">IF(BW29="Religion",RAND(),0)</f>
        <v>0</v>
      </c>
      <c r="BW29" s="29" t="str">
        <f ca="1">IF(AND($AV$20&gt;=1,$BR$20&gt;=1,BM20&gt;=1),"Religion"," ")</f>
        <v xml:space="preserve"> </v>
      </c>
      <c r="BY29" s="29">
        <f ca="1">_xlfn.RANK.EQ(BZ29,$BZ$26:$BZ$29)</f>
        <v>1</v>
      </c>
      <c r="BZ29" s="29">
        <f t="shared" ca="1" si="32"/>
        <v>0.99162923436714678</v>
      </c>
      <c r="CB29" s="31" t="s">
        <v>729</v>
      </c>
      <c r="CC29" s="36"/>
    </row>
    <row r="30" spans="2:83" x14ac:dyDescent="0.3">
      <c r="O30" s="33" t="str">
        <f>IF(AND(O11="monk",O12&gt;=10),"Purity of Body"," ")</f>
        <v xml:space="preserve"> </v>
      </c>
      <c r="Q30" s="33" t="str">
        <f>IF(AND(Q11="monk",Q12&gt;=10),"Purity of Body"," ")</f>
        <v xml:space="preserve"> </v>
      </c>
      <c r="AE30" s="29">
        <f ca="1">RANDBETWEEN(2,12)</f>
        <v>4</v>
      </c>
      <c r="AI30" s="29">
        <v>3</v>
      </c>
      <c r="AK30" s="29" t="str">
        <f>IF(O11="bard",INDEX('Pick and Choose'!$CD$10:$CD$27,MATCH(AI30,('Pick and Choose'!$CB$10:$CB$27),0))," ")</f>
        <v xml:space="preserve"> </v>
      </c>
      <c r="AP30" s="29" t="str">
        <f ca="1">IF($AG$30="druid",VLOOKUP(RANDBETWEEN(1,8),Table51350464806863920336[],2)," ")</f>
        <v xml:space="preserve"> </v>
      </c>
      <c r="AQ30" s="29" t="str">
        <f>IF(O11="ranger",INDEX('Pick and Choose'!$CD$73:$CD$81,MATCH(AI30,('Pick and Choose'!$CB$73:$CB$81),0))," ")</f>
        <v xml:space="preserve"> </v>
      </c>
      <c r="AR30" s="29" t="str">
        <f>IF(O11="rogue",INDEX('Pick and Choose'!$CD$84:$CD$94,MATCH(AI30,('Pick and Choose'!$CB$84:$CB$94),0))," ")</f>
        <v xml:space="preserve"> </v>
      </c>
      <c r="AT30" s="29" t="str">
        <f ca="1">IF(OR(COUNTIF(O18:O25,"*"&amp;"beguiling influence"&amp;"*"),COUNTIF(O13:O13,"*"&amp;"beguiling influence"&amp;"*")),"Deception"," ")</f>
        <v xml:space="preserve"> </v>
      </c>
      <c r="BN30" s="29">
        <f t="shared" ca="1" si="29"/>
        <v>5</v>
      </c>
      <c r="BO30" s="29">
        <f ca="1">IF(BP30="Deception",RAND(),0)</f>
        <v>0</v>
      </c>
      <c r="BP30" s="29" t="str">
        <f t="shared" ca="1" si="33"/>
        <v xml:space="preserve"> </v>
      </c>
      <c r="BR30" s="29">
        <f t="shared" ca="1" si="30"/>
        <v>5</v>
      </c>
      <c r="BS30" s="29">
        <f t="shared" ca="1" si="31"/>
        <v>0.78115202632628977</v>
      </c>
      <c r="BU30" s="29">
        <f ca="1">_xlfn.RANK.EQ(BV30,$BV$30:$BV$32)</f>
        <v>2</v>
      </c>
      <c r="BV30" s="29">
        <f ca="1">IF(BW30="Animal Handling",RAND(),0)</f>
        <v>0</v>
      </c>
      <c r="BW30" s="29" t="str">
        <f ca="1">IF(OR($AV$7&gt;=1,$BR$7&gt;=1,BM7&gt;=1),"Animal Handling"," ")</f>
        <v xml:space="preserve"> </v>
      </c>
      <c r="BY30" s="29">
        <f ca="1">_xlfn.RANK.EQ(BZ30,$BZ$30:$BZ$32)</f>
        <v>1</v>
      </c>
      <c r="BZ30" s="29">
        <f t="shared" ca="1" si="32"/>
        <v>0.76758304737475513</v>
      </c>
      <c r="CB30" s="35">
        <f ca="1">_xlfn.RANK.EQ(CC30,$CC$30:$CC$34)</f>
        <v>4</v>
      </c>
      <c r="CC30" s="36">
        <f ca="1">IF(BM11&gt;0,0,RAND())</f>
        <v>0.39279502730613003</v>
      </c>
      <c r="CD30" s="29" t="s">
        <v>16</v>
      </c>
    </row>
    <row r="31" spans="2:83" x14ac:dyDescent="0.3">
      <c r="O31" s="33" t="str">
        <f>IF(AND(O11="monk",O12&gt;=13),"Tongue of the Sun and Moon"," ")</f>
        <v xml:space="preserve"> </v>
      </c>
      <c r="AE31" s="29">
        <f ca="1">RANDBETWEEN(2,16)</f>
        <v>15</v>
      </c>
      <c r="AI31" s="29">
        <v>4</v>
      </c>
      <c r="AK31" s="29" t="str">
        <f ca="1">IF(P15="college of lore",INDEX('Pick and Choose'!$CD$10:$CD$27,MATCH(AI31,('Pick and Choose'!$CB$10:$CB$27),0))," ")</f>
        <v xml:space="preserve"> </v>
      </c>
      <c r="AR31" s="29" t="str">
        <f>IF(O11="rogue",INDEX('Pick and Choose'!$CD$84:$CD$94,MATCH(AI31,('Pick and Choose'!$CB$84:$CB$94),0))," ")</f>
        <v xml:space="preserve"> </v>
      </c>
      <c r="AT31" s="29" t="str">
        <f ca="1">IF(OR(COUNTIF(O18:O25,"*"&amp;"beguiling influence"&amp;"*"),COUNTIF(O13:O13,"*"&amp;"beguiling influence"&amp;"*")),"Persuasion"," ")</f>
        <v xml:space="preserve"> </v>
      </c>
      <c r="BN31" s="29">
        <f t="shared" ca="1" si="29"/>
        <v>4</v>
      </c>
      <c r="BO31" s="29">
        <f ca="1">IF(BP31="History",RAND(),0)</f>
        <v>0.12129188428800008</v>
      </c>
      <c r="BP31" s="29" t="str">
        <f t="shared" ca="1" si="33"/>
        <v>History</v>
      </c>
      <c r="BR31" s="29">
        <f t="shared" ca="1" si="30"/>
        <v>15</v>
      </c>
      <c r="BS31" s="29">
        <f t="shared" ca="1" si="31"/>
        <v>0</v>
      </c>
      <c r="BU31" s="29">
        <f ca="1">_xlfn.RANK.EQ(BV31,$BV$30:$BV$32)</f>
        <v>2</v>
      </c>
      <c r="BV31" s="29">
        <f ca="1">IF(BW31="Nature",RAND(),0)</f>
        <v>0</v>
      </c>
      <c r="BW31" s="29" t="str">
        <f ca="1">IF(OR($AV$16&gt;=1,$BR$16&gt;=1,BM16&gt;=1),"Nature"," ")</f>
        <v xml:space="preserve"> </v>
      </c>
      <c r="BY31" s="29">
        <f ca="1">_xlfn.RANK.EQ(BZ31,$BZ$30:$BZ$32)</f>
        <v>2</v>
      </c>
      <c r="BZ31" s="29">
        <f t="shared" ca="1" si="32"/>
        <v>0.17859115942682857</v>
      </c>
      <c r="CB31" s="35">
        <f ca="1">_xlfn.RANK.EQ(CC31,$CC$30:$CC$34)</f>
        <v>3</v>
      </c>
      <c r="CC31" s="36">
        <f ca="1">IF(BM12&gt;0,0,RAND())</f>
        <v>0.53436502354206195</v>
      </c>
      <c r="CD31" s="29" t="s">
        <v>17</v>
      </c>
      <c r="CE31" s="31"/>
    </row>
    <row r="32" spans="2:83" x14ac:dyDescent="0.3">
      <c r="O32" s="33" t="str">
        <f>IF(AND(O11="monk",O12&gt;=14),"Diamond Soul"," ")</f>
        <v xml:space="preserve"> </v>
      </c>
      <c r="AE32" s="29">
        <f ca="1">RANDBETWEEN(2,20)</f>
        <v>19</v>
      </c>
      <c r="AI32" s="29">
        <v>5</v>
      </c>
      <c r="AK32" s="29" t="str">
        <f ca="1">IF(P15="college of lore",INDEX('Pick and Choose'!$CD$10:$CD$27,MATCH(AI32,('Pick and Choose'!$CB$10:$CB$27),0))," ")</f>
        <v xml:space="preserve"> </v>
      </c>
      <c r="BN32" s="29">
        <f t="shared" ca="1" si="29"/>
        <v>5</v>
      </c>
      <c r="BO32" s="29">
        <f ca="1">IF(BP32="Insight",RAND(),0)</f>
        <v>0</v>
      </c>
      <c r="BP32" s="29" t="str">
        <f t="shared" ca="1" si="33"/>
        <v xml:space="preserve"> </v>
      </c>
      <c r="BR32" s="29">
        <f t="shared" ca="1" si="30"/>
        <v>10</v>
      </c>
      <c r="BS32" s="29">
        <f t="shared" ca="1" si="31"/>
        <v>0.31056222702776415</v>
      </c>
      <c r="BU32" s="29">
        <f ca="1">_xlfn.RANK.EQ(BV32,$BV$30:$BV$32)</f>
        <v>1</v>
      </c>
      <c r="BV32" s="29">
        <f ca="1">IF(BW32="Survival",RAND(),0)</f>
        <v>0.24187689213979557</v>
      </c>
      <c r="BW32" s="29" t="str">
        <f ca="1">IF(OR($AV$23&gt;=1,$BR$23&gt;=1,BM23&gt;=1),"Survival"," ")</f>
        <v>Survival</v>
      </c>
      <c r="BY32" s="29">
        <f ca="1">_xlfn.RANK.EQ(BZ32,$BZ$30:$BZ$32)</f>
        <v>3</v>
      </c>
      <c r="BZ32" s="29">
        <f t="shared" ca="1" si="32"/>
        <v>0</v>
      </c>
      <c r="CB32" s="35">
        <f ca="1">_xlfn.RANK.EQ(CC32,$CC$30:$CC$34)</f>
        <v>5</v>
      </c>
      <c r="CC32" s="36">
        <f ca="1">IF(BM15&gt;0,0,RAND())</f>
        <v>2.2433519637827248E-2</v>
      </c>
      <c r="CD32" s="29" t="s">
        <v>20</v>
      </c>
    </row>
    <row r="33" spans="1:83" x14ac:dyDescent="0.3">
      <c r="O33" s="33" t="str">
        <f>IF(AND(O11="monk",O12&gt;=15),"Timeless Body"," ")</f>
        <v xml:space="preserve"> </v>
      </c>
      <c r="AI33" s="29">
        <v>6</v>
      </c>
      <c r="AK33" s="29" t="str">
        <f ca="1">IF(P15="college of lore",INDEX('Pick and Choose'!$CD$10:$CD$27,MATCH(AI33,('Pick and Choose'!$CB$10:$CB$27),0))," ")</f>
        <v xml:space="preserve"> </v>
      </c>
      <c r="BN33" s="29">
        <f t="shared" ca="1" si="29"/>
        <v>5</v>
      </c>
      <c r="BO33" s="29">
        <f ca="1">IF(BP33="Intimidation",RAND(),0)</f>
        <v>0</v>
      </c>
      <c r="BP33" s="29" t="str">
        <f t="shared" ca="1" si="33"/>
        <v xml:space="preserve"> </v>
      </c>
      <c r="BR33" s="29">
        <f t="shared" ca="1" si="30"/>
        <v>6</v>
      </c>
      <c r="BS33" s="29">
        <f t="shared" ca="1" si="31"/>
        <v>0.61842936552830663</v>
      </c>
      <c r="CB33" s="35">
        <f ca="1">_xlfn.RANK.EQ(CC33,$CC$30:$CC$34)</f>
        <v>1</v>
      </c>
      <c r="CC33" s="36">
        <f ca="1">IF(BM19&gt;0,0,RAND())</f>
        <v>0.97649960335683605</v>
      </c>
      <c r="CD33" s="29" t="s">
        <v>24</v>
      </c>
    </row>
    <row r="34" spans="1:83" x14ac:dyDescent="0.3">
      <c r="O34" s="33" t="str">
        <f>IF(AND(O11="Monk",O12&gt;=18),"Empty Body"," ")</f>
        <v xml:space="preserve"> </v>
      </c>
      <c r="BN34" s="29">
        <f t="shared" ca="1" si="29"/>
        <v>1</v>
      </c>
      <c r="BO34" s="29">
        <f ca="1">IF(BP34="Investigation",RAND(),0)</f>
        <v>0.9299307428006317</v>
      </c>
      <c r="BP34" s="29" t="str">
        <f t="shared" ca="1" si="33"/>
        <v>Investigation</v>
      </c>
      <c r="BR34" s="29">
        <f t="shared" ca="1" si="30"/>
        <v>15</v>
      </c>
      <c r="BS34" s="29">
        <f t="shared" ca="1" si="31"/>
        <v>0</v>
      </c>
      <c r="CB34" s="35">
        <f ca="1">_xlfn.RANK.EQ(CC34,$CC$30:$CC$34)</f>
        <v>2</v>
      </c>
      <c r="CC34" s="36">
        <f ca="1">IF(BM20&gt;0,0,RAND())</f>
        <v>0.56211158705338149</v>
      </c>
      <c r="CD34" s="29" t="s">
        <v>25</v>
      </c>
    </row>
    <row r="35" spans="1:83" x14ac:dyDescent="0.3">
      <c r="O35" s="33" t="str">
        <f>IF(AND(O11="monk",O12&gt;=20),"Perfect Body"," ")</f>
        <v xml:space="preserve"> </v>
      </c>
      <c r="AE35" s="29" t="s">
        <v>2255</v>
      </c>
      <c r="AF35" s="29">
        <f ca="1">RANDBETWEEN(1,3)</f>
        <v>1</v>
      </c>
      <c r="BN35" s="29">
        <f t="shared" ca="1" si="29"/>
        <v>5</v>
      </c>
      <c r="BO35" s="29">
        <f ca="1">IF(BP35="Medicine",RAND(),0)</f>
        <v>0</v>
      </c>
      <c r="BP35" s="29" t="str">
        <f t="shared" ca="1" si="33"/>
        <v xml:space="preserve"> </v>
      </c>
      <c r="BR35" s="29">
        <f t="shared" ca="1" si="30"/>
        <v>14</v>
      </c>
      <c r="BS35" s="29">
        <f t="shared" ca="1" si="31"/>
        <v>6.9261788304001426E-3</v>
      </c>
    </row>
    <row r="36" spans="1:83" ht="19.5" thickBot="1" x14ac:dyDescent="0.35">
      <c r="A36" s="33"/>
      <c r="B36" s="38"/>
      <c r="C36" s="38"/>
      <c r="D36" s="38"/>
      <c r="E36" s="38"/>
      <c r="F36" s="38"/>
      <c r="G36" s="38"/>
      <c r="H36" s="38"/>
      <c r="I36" s="38"/>
      <c r="J36" s="38"/>
      <c r="K36" s="38"/>
      <c r="L36" s="38"/>
      <c r="M36" s="38"/>
      <c r="N36" s="38"/>
      <c r="O36" s="38"/>
      <c r="P36" s="38"/>
      <c r="AE36" s="29" t="s">
        <v>2256</v>
      </c>
      <c r="AF36" s="29">
        <f ca="1">RANDBETWEEN(1,2)</f>
        <v>2</v>
      </c>
      <c r="BN36" s="29">
        <f t="shared" ca="1" si="29"/>
        <v>5</v>
      </c>
      <c r="BO36" s="29">
        <f ca="1">IF(BP36="Nature",RAND(),0)</f>
        <v>0</v>
      </c>
      <c r="BP36" s="29" t="str">
        <f t="shared" ca="1" si="33"/>
        <v xml:space="preserve"> </v>
      </c>
      <c r="BR36" s="29">
        <f t="shared" ca="1" si="30"/>
        <v>7</v>
      </c>
      <c r="BS36" s="29">
        <f t="shared" ca="1" si="31"/>
        <v>0.52978171665220619</v>
      </c>
      <c r="CB36" s="31" t="s">
        <v>730</v>
      </c>
      <c r="CE36" s="31"/>
    </row>
    <row r="37" spans="1:83" ht="30.75" thickBot="1" x14ac:dyDescent="0.45">
      <c r="A37" s="137"/>
      <c r="B37" s="122" t="s">
        <v>10</v>
      </c>
      <c r="C37" s="53" t="s">
        <v>710</v>
      </c>
      <c r="D37" s="53" t="s">
        <v>676</v>
      </c>
      <c r="E37" s="53" t="s">
        <v>677</v>
      </c>
      <c r="F37" s="53" t="s">
        <v>678</v>
      </c>
      <c r="G37" s="53" t="s">
        <v>679</v>
      </c>
      <c r="H37" s="53" t="s">
        <v>680</v>
      </c>
      <c r="I37" s="53" t="s">
        <v>675</v>
      </c>
      <c r="J37" s="53"/>
      <c r="K37" s="53"/>
      <c r="L37" s="53"/>
      <c r="M37" s="53"/>
      <c r="N37" s="53"/>
      <c r="O37" s="53" t="s">
        <v>8</v>
      </c>
      <c r="P37" s="116" t="s">
        <v>9</v>
      </c>
      <c r="BN37" s="29">
        <f t="shared" ca="1" si="29"/>
        <v>5</v>
      </c>
      <c r="BO37" s="29">
        <f ca="1">IF(BP37="Perception",RAND(),0)</f>
        <v>0</v>
      </c>
      <c r="BP37" s="29" t="str">
        <f t="shared" ca="1" si="33"/>
        <v xml:space="preserve"> </v>
      </c>
      <c r="BR37" s="29">
        <f t="shared" ca="1" si="30"/>
        <v>13</v>
      </c>
      <c r="BS37" s="29">
        <f t="shared" ca="1" si="31"/>
        <v>7.186286261495789E-2</v>
      </c>
      <c r="CB37" s="35">
        <f t="shared" ref="CB37:CB44" ca="1" si="34">_xlfn.RANK.EQ(CC37,$CC$37:$CC$44)</f>
        <v>3</v>
      </c>
      <c r="CC37" s="36">
        <f ca="1">IF(BM8&gt;0,0,RAND())</f>
        <v>0.47756864518685593</v>
      </c>
      <c r="CD37" s="29" t="s">
        <v>13</v>
      </c>
    </row>
    <row r="38" spans="1:83" ht="19.5" thickTop="1" x14ac:dyDescent="0.3">
      <c r="A38" s="137"/>
      <c r="B38" s="33" t="s">
        <v>1</v>
      </c>
      <c r="C38" s="33" t="str">
        <f>IF(O26="Primal Champion",4," ")</f>
        <v xml:space="preserve"> </v>
      </c>
      <c r="D38" s="33">
        <f ca="1">IF(AND($AF$2="strength",$AF$3="strength"),2,IF(OR($AF$2="strength",$AF$3="strength"),1," "))</f>
        <v>1</v>
      </c>
      <c r="E38" s="33" t="str">
        <f ca="1">IF(AND($AF$4="strength",$AF$5="strength"),2,IF(OR($AF$4="strength",$AF$5="strength"),1," "))</f>
        <v xml:space="preserve"> </v>
      </c>
      <c r="F38" s="33" t="str">
        <f ca="1">IF(AND($AF$6="strength",$AF$7="strength"),2,IF(OR($AF$6="strength",$AF$7="strength"),1," "))</f>
        <v xml:space="preserve"> </v>
      </c>
      <c r="G38" s="33" t="str">
        <f ca="1">IF(AND($AF$8="strength",$AF$9="strength"),2,IF(OR($AF$8="strength",$AF$9="strength"),1," "))</f>
        <v xml:space="preserve"> </v>
      </c>
      <c r="H38" s="33">
        <f ca="1">IF(AND($AF$10="strength",$AF$11="strength"),2,IF(OR($AF$10="strength",$AF$11="strength"),1," "))</f>
        <v>1</v>
      </c>
      <c r="I38" s="33">
        <f ca="1">IF(OR(Q2="dragonborn",P2="mountain",Q2="Half-orc"),SUM(J38:M38)-SMALL(J38:M38,1)+2,IF(Q2="human",(SUM(J38:M38)-SMALL(J38:M38,1)+1),(SUM(J38:M38)-SMALL(J38:M38,1))))</f>
        <v>11</v>
      </c>
      <c r="J38" s="33">
        <f t="shared" ref="J38:M43" ca="1" si="35">RANDBETWEEN(1,6)</f>
        <v>3</v>
      </c>
      <c r="K38" s="33">
        <f t="shared" ca="1" si="35"/>
        <v>4</v>
      </c>
      <c r="L38" s="33">
        <f t="shared" ca="1" si="35"/>
        <v>3</v>
      </c>
      <c r="M38" s="33">
        <f t="shared" ca="1" si="35"/>
        <v>4</v>
      </c>
      <c r="N38" s="33"/>
      <c r="O38" s="33">
        <f ca="1">IF(OR(O11="barbarian",O11="fighter",O11="paladin"),MAX(13,(SUM(C38:I38))),IF(OR(Q11="barbarian",Q11="fighter",Q11="paladin"),MAX(13,(SUM(C38:I38))),SUM(C38:I38)))</f>
        <v>13</v>
      </c>
      <c r="P38" s="117">
        <f ca="1">VLOOKUP(O38,Table1[],2)</f>
        <v>1</v>
      </c>
      <c r="BN38" s="29">
        <f t="shared" ca="1" si="29"/>
        <v>5</v>
      </c>
      <c r="BO38" s="29">
        <f ca="1">IF(BP38="Performance",RAND(),0)</f>
        <v>0</v>
      </c>
      <c r="BP38" s="29" t="str">
        <f t="shared" ca="1" si="33"/>
        <v xml:space="preserve"> </v>
      </c>
      <c r="BR38" s="29">
        <f t="shared" ca="1" si="30"/>
        <v>11</v>
      </c>
      <c r="BS38" s="29">
        <f t="shared" ca="1" si="31"/>
        <v>0.13939835481516061</v>
      </c>
      <c r="CB38" s="35">
        <f t="shared" ca="1" si="34"/>
        <v>6</v>
      </c>
      <c r="CC38" s="36">
        <f ca="1">IF(BM7&gt;0,0,RAND())</f>
        <v>0.12830237088273189</v>
      </c>
      <c r="CD38" s="29" t="s">
        <v>29</v>
      </c>
    </row>
    <row r="39" spans="1:83" x14ac:dyDescent="0.3">
      <c r="A39" s="137"/>
      <c r="B39" s="33" t="s">
        <v>2</v>
      </c>
      <c r="C39" s="33"/>
      <c r="D39" s="33" t="str">
        <f ca="1">IF(AND($AF$2="dexterity",$AF$3="dexterity"),2,IF(OR($AF$2="dexterity",$AF$3="dexterity"),1," "))</f>
        <v xml:space="preserve"> </v>
      </c>
      <c r="E39" s="33">
        <f ca="1">IF(AND($AF$4="dexterity",$AF$5="dexterity"),2,IF(OR($AF$4="dexterity",$AF$5="dexterity"),1," "))</f>
        <v>1</v>
      </c>
      <c r="F39" s="33" t="str">
        <f ca="1">IF(AND($AF$6="dexterity",$AF$7="dexterity"),2,IF(OR($AF$6="dexterity",$AF$7="dexterity"),1," "))</f>
        <v xml:space="preserve"> </v>
      </c>
      <c r="G39" s="33" t="str">
        <f ca="1">IF(AND($AF$8="dexterity",$AF$9="dexterity"),2,IF(OR($AF$8="dexterity",$AF$9="dexterity"),1," "))</f>
        <v xml:space="preserve"> </v>
      </c>
      <c r="H39" s="33" t="str">
        <f ca="1">IF(AND($AF$10="dexterity",$AF$11="dexterity"),2,IF(OR($AF$10="dexterity",$AF$11="dexterity"),1," "))</f>
        <v xml:space="preserve"> </v>
      </c>
      <c r="I39" s="33">
        <f ca="1">IF(OR(Q2="elf",Q2="halfling"),SUM(J39:M39)-SMALL(J39:M39,1)+2,IF(OR(Q2="human",P2="forest",Q2="half-elf"),SUM(J39:M39)-SMALL(J39:M39,1)+1,SUM(J39:M39)-SMALL(J39:M39,1)))</f>
        <v>17</v>
      </c>
      <c r="J39" s="33">
        <f t="shared" ca="1" si="35"/>
        <v>6</v>
      </c>
      <c r="K39" s="33">
        <f t="shared" ca="1" si="35"/>
        <v>6</v>
      </c>
      <c r="L39" s="33">
        <f t="shared" ca="1" si="35"/>
        <v>3</v>
      </c>
      <c r="M39" s="33">
        <f t="shared" ca="1" si="35"/>
        <v>3</v>
      </c>
      <c r="N39" s="33"/>
      <c r="O39" s="33">
        <f ca="1">IF(OR(O11="fighter",O11="ranger",O11="rogue"),MAX(13,(SUM(C39:I39))),IF(OR(Q11="fighter",Q11="ranger",Q11="rogue"),MAX(13,(SUM(C39:I39))),SUM(C39:I39)))</f>
        <v>18</v>
      </c>
      <c r="P39" s="117">
        <f ca="1">VLOOKUP(O39,Table1[],2)</f>
        <v>4</v>
      </c>
      <c r="BN39" s="29">
        <f t="shared" ca="1" si="29"/>
        <v>5</v>
      </c>
      <c r="BO39" s="29">
        <f ca="1">IF(BP39="Persuasion",RAND(),0)</f>
        <v>0</v>
      </c>
      <c r="BP39" s="29" t="str">
        <f t="shared" ca="1" si="33"/>
        <v xml:space="preserve"> </v>
      </c>
      <c r="BR39" s="29">
        <f t="shared" ca="1" si="30"/>
        <v>3</v>
      </c>
      <c r="BS39" s="29">
        <f t="shared" ca="1" si="31"/>
        <v>0.81571840408016183</v>
      </c>
      <c r="CB39" s="35">
        <f t="shared" ca="1" si="34"/>
        <v>7</v>
      </c>
      <c r="CC39" s="36">
        <f ca="1">IF(BM12&gt;0,0,RAND())</f>
        <v>4.3123691822980148E-2</v>
      </c>
      <c r="CD39" s="29" t="s">
        <v>17</v>
      </c>
    </row>
    <row r="40" spans="1:83" x14ac:dyDescent="0.3">
      <c r="A40" s="137"/>
      <c r="B40" s="33" t="s">
        <v>3</v>
      </c>
      <c r="C40" s="33" t="str">
        <f>IF(O26="primal Champion",4," ")</f>
        <v xml:space="preserve"> </v>
      </c>
      <c r="D40" s="33">
        <f ca="1">IF(AND($AF$2="constitution",$AF$3="constitution"),2,IF(OR($AF$2="constitution",$AF$3="constitution"),1," "))</f>
        <v>1</v>
      </c>
      <c r="E40" s="33" t="str">
        <f ca="1">IF(AND($AF$4="constitution",$AF$5="constitution"),2,IF(OR($AF$4="constitution",$AF$5="constitution"),1," "))</f>
        <v xml:space="preserve"> </v>
      </c>
      <c r="F40" s="33" t="str">
        <f ca="1">IF(AND($AF$6="constitution",$AF$7="constitution"),2,IF(OR($AF$6="constitution",$AF$7="constitution"),1," "))</f>
        <v xml:space="preserve"> </v>
      </c>
      <c r="G40" s="33" t="str">
        <f ca="1">IF(AND($AF$8="constitution",$AF$9="constitution"),2,IF(OR($AF$8="constitution",$AF$9="constitution"),1," "))</f>
        <v xml:space="preserve"> </v>
      </c>
      <c r="H40" s="33">
        <f ca="1">IF(AND($AF$10="constitution",$AF$11="constitution"),2,IF(OR($AF$10="constitution",$AF$11="constitution"),1," "))</f>
        <v>1</v>
      </c>
      <c r="I40" s="33">
        <f ca="1">IF(Q2="dwarf",SUM(J40:M40)-SMALL(J40:M40,1)+2,IF(OR(P2="stout",Q2="human",P2="rock",Q2="half-elf",Q2="half-orc"),SUM(J40:M40)-SMALL(J40:M40,1)+1,SUM(J40:M40)-SMALL(J40:M40,1)))</f>
        <v>9</v>
      </c>
      <c r="J40" s="33">
        <f t="shared" ca="1" si="35"/>
        <v>2</v>
      </c>
      <c r="K40" s="33">
        <f t="shared" ca="1" si="35"/>
        <v>3</v>
      </c>
      <c r="L40" s="33">
        <f t="shared" ca="1" si="35"/>
        <v>1</v>
      </c>
      <c r="M40" s="33">
        <f t="shared" ca="1" si="35"/>
        <v>4</v>
      </c>
      <c r="N40" s="33"/>
      <c r="O40" s="33">
        <f ca="1">SUM(C40:I40)</f>
        <v>11</v>
      </c>
      <c r="P40" s="117">
        <f ca="1">IF(P2="hill",VLOOKUP(O40,Table1[],2)+1,VLOOKUP(O40,Table1[],2))</f>
        <v>0</v>
      </c>
      <c r="AJ40" s="29" t="s">
        <v>1650</v>
      </c>
      <c r="AK40" s="29" t="s">
        <v>530</v>
      </c>
      <c r="BN40" s="29">
        <f t="shared" ca="1" si="29"/>
        <v>5</v>
      </c>
      <c r="BO40" s="29">
        <f ca="1">IF(BP40="Religion",RAND(),0)</f>
        <v>0</v>
      </c>
      <c r="BP40" s="29" t="str">
        <f t="shared" ca="1" si="33"/>
        <v xml:space="preserve"> </v>
      </c>
      <c r="BR40" s="29">
        <f t="shared" ca="1" si="30"/>
        <v>12</v>
      </c>
      <c r="BS40" s="29">
        <f t="shared" ca="1" si="31"/>
        <v>7.6689667409701734E-2</v>
      </c>
      <c r="CB40" s="35">
        <f t="shared" ca="1" si="34"/>
        <v>4</v>
      </c>
      <c r="CC40" s="36">
        <f ca="1">IF(BM15&gt;0,0,RAND())</f>
        <v>0.42214286191781569</v>
      </c>
      <c r="CD40" s="29" t="s">
        <v>20</v>
      </c>
    </row>
    <row r="41" spans="1:83" x14ac:dyDescent="0.3">
      <c r="A41" s="137"/>
      <c r="B41" s="33" t="s">
        <v>4</v>
      </c>
      <c r="C41" s="33"/>
      <c r="D41" s="33" t="str">
        <f ca="1">IF(AND($AF$2="intelligence",$AF$3="intelligence"),2,IF(OR($AF$2="Intelligence",$AF$3="intelligence"),1," "))</f>
        <v xml:space="preserve"> </v>
      </c>
      <c r="E41" s="33">
        <f ca="1">IF(AND($AF$4="intelligence",$AF$5="intelligence"),2,IF(OR($AF$4="Intelligence",$AF$5="intelligence"),1," "))</f>
        <v>1</v>
      </c>
      <c r="F41" s="33">
        <f ca="1">IF(AND($AF$6="intelligence",$AF$7="intelligence"),2,IF(OR($AF$6="Intelligence",$AF$7="intelligence"),1," "))</f>
        <v>1</v>
      </c>
      <c r="G41" s="33">
        <f ca="1">IF(AND($AF$8="intelligence",$AF$9="intelligence"),2,IF(OR($AF$8="Intelligence",$AF$9="intelligence"),1," "))</f>
        <v>1</v>
      </c>
      <c r="H41" s="33" t="str">
        <f ca="1">IF(AND($AF$10="intelligence",$AF$11="intelligence"),2,IF(OR($AF$10="Intelligence",$AF$11="intelligence"),1," "))</f>
        <v xml:space="preserve"> </v>
      </c>
      <c r="I41" s="33">
        <f ca="1">IF(OR(P2="high",Q2="human",Q2="tiefling"),SUM(J41:M41)-SMALL(J41:M41,1)+1,IF(Q2="gnome",SUM(J41:M41)-SMALL(J41:M41,1)+2,SUM(J41:M41)-SMALL(J41:M41,1)))</f>
        <v>16</v>
      </c>
      <c r="J41" s="33">
        <f t="shared" ca="1" si="35"/>
        <v>5</v>
      </c>
      <c r="K41" s="33">
        <f t="shared" ca="1" si="35"/>
        <v>5</v>
      </c>
      <c r="L41" s="33">
        <f t="shared" ca="1" si="35"/>
        <v>1</v>
      </c>
      <c r="M41" s="33">
        <f t="shared" ca="1" si="35"/>
        <v>6</v>
      </c>
      <c r="N41" s="33"/>
      <c r="O41" s="33">
        <f ca="1">IF(O11="wizard",MAX(13,(SUM(C41:I41))),IF(Q11="wizard",MAX(13,(SUM(C41:I41))),SUM(C41:I41)))</f>
        <v>19</v>
      </c>
      <c r="P41" s="117">
        <f ca="1">VLOOKUP(O41,Table1[],2)</f>
        <v>4</v>
      </c>
      <c r="AJ41" s="29" t="s">
        <v>1649</v>
      </c>
      <c r="AK41" s="29" t="str">
        <f>IF(Q11="wizard",((Q12-1)*2)+6," ")</f>
        <v xml:space="preserve"> </v>
      </c>
      <c r="BN41" s="29">
        <f t="shared" ca="1" si="29"/>
        <v>5</v>
      </c>
      <c r="BO41" s="29">
        <f ca="1">IF(BP41="Sleight of Hand",RAND(),0)</f>
        <v>0</v>
      </c>
      <c r="BP41" s="29" t="str">
        <f t="shared" ca="1" si="33"/>
        <v xml:space="preserve"> </v>
      </c>
      <c r="BR41" s="29">
        <f t="shared" ca="1" si="30"/>
        <v>1</v>
      </c>
      <c r="BS41" s="29">
        <f t="shared" ca="1" si="31"/>
        <v>0.85409018877402088</v>
      </c>
      <c r="CB41" s="35">
        <f t="shared" ca="1" si="34"/>
        <v>1</v>
      </c>
      <c r="CC41" s="36">
        <f ca="1">IF(BM16&gt;0,0,RAND())</f>
        <v>0.9375492176654735</v>
      </c>
      <c r="CD41" s="29" t="s">
        <v>21</v>
      </c>
      <c r="CE41" s="31"/>
    </row>
    <row r="42" spans="1:83" x14ac:dyDescent="0.3">
      <c r="A42" s="137"/>
      <c r="B42" s="33" t="s">
        <v>5</v>
      </c>
      <c r="C42" s="33"/>
      <c r="D42" s="33" t="str">
        <f ca="1">IF(AND($AF$2="wisdom",$AF$3="wisdom"),2,IF(OR($AF$2="wisdom",$AF$3="wisdom"),1," "))</f>
        <v xml:space="preserve"> </v>
      </c>
      <c r="E42" s="33" t="str">
        <f ca="1">IF(AND($AF$4="wisdom",$AF$5="wisdom"),2,IF(OR($AF$4="wisdom",$AF$5="wisdom"),1," "))</f>
        <v xml:space="preserve"> </v>
      </c>
      <c r="F42" s="33" t="str">
        <f ca="1">IF(AND($AF$6="wisdom",$AF$7="wisdom"),2,IF(OR($AF$6="wisdom",$AF$7="wisdom"),1," "))</f>
        <v xml:space="preserve"> </v>
      </c>
      <c r="G42" s="33" t="str">
        <f ca="1">IF(AND($AF$8="wisdom",$AF$9="wisdom"),2,IF(OR($AF$8="wisdom",$AF$9="wisdom"),1," "))</f>
        <v xml:space="preserve"> </v>
      </c>
      <c r="H42" s="33" t="str">
        <f ca="1">IF(AND($AF$10="wisdom",$AF$11="wisdom"),2,IF(OR($AF$10="wisdom",$AF$11="wisdom"),1," "))</f>
        <v xml:space="preserve"> </v>
      </c>
      <c r="I42" s="33">
        <f ca="1">IF(OR(P2="hill",P2="wood",Q2="human"),SUM(J42:M42)-SMALL(J42:M42,1)+1,SUM(J42:M42)-SMALL(J42:M42,1))</f>
        <v>11</v>
      </c>
      <c r="J42" s="33">
        <f t="shared" ca="1" si="35"/>
        <v>2</v>
      </c>
      <c r="K42" s="33">
        <f t="shared" ca="1" si="35"/>
        <v>5</v>
      </c>
      <c r="L42" s="33">
        <f t="shared" ca="1" si="35"/>
        <v>4</v>
      </c>
      <c r="M42" s="33">
        <f t="shared" ca="1" si="35"/>
        <v>1</v>
      </c>
      <c r="N42" s="33"/>
      <c r="O42" s="33">
        <f ca="1">IF(OR(O11="cleric",O11="druid",O11="monk",O11="ranger"),MAX(13,(SUM(C42:I42))),IF(OR(Q11="cleric",Q11="druid",Q11="monk",Q11="ranger"),MAX(13,(SUM(C42:I42))),SUM(C42:I42)))</f>
        <v>11</v>
      </c>
      <c r="P42" s="117">
        <f ca="1">VLOOKUP(O42,Table1[],2)</f>
        <v>0</v>
      </c>
      <c r="BN42" s="29">
        <f t="shared" ca="1" si="29"/>
        <v>5</v>
      </c>
      <c r="BO42" s="29">
        <f ca="1">IF(BP42="Stealth",RAND(),0)</f>
        <v>0</v>
      </c>
      <c r="BP42" s="29" t="str">
        <f t="shared" ca="1" si="33"/>
        <v xml:space="preserve"> </v>
      </c>
      <c r="BR42" s="29">
        <f t="shared" ca="1" si="30"/>
        <v>2</v>
      </c>
      <c r="BS42" s="29">
        <f t="shared" ca="1" si="31"/>
        <v>0.84288440963693223</v>
      </c>
      <c r="CB42" s="35">
        <f t="shared" ca="1" si="34"/>
        <v>2</v>
      </c>
      <c r="CC42" s="36">
        <f ca="1">IF(BM17&gt;0,0,RAND())</f>
        <v>0.60782316968522976</v>
      </c>
      <c r="CD42" s="29" t="s">
        <v>22</v>
      </c>
    </row>
    <row r="43" spans="1:83" ht="19.5" thickBot="1" x14ac:dyDescent="0.35">
      <c r="A43" s="137"/>
      <c r="B43" s="38" t="s">
        <v>6</v>
      </c>
      <c r="C43" s="38"/>
      <c r="D43" s="38" t="str">
        <f ca="1">IF(AND($AF$2="charisma",$AF$3="charisma"),2,IF(OR($AF$2="charisma",$AF$3="charisma"),1," "))</f>
        <v xml:space="preserve"> </v>
      </c>
      <c r="E43" s="38" t="str">
        <f ca="1">IF(AND($AF$4="charisma",$AF$5="charisma"),2,IF(OR($AF$4="charisma",$AF$5="charisma"),1," "))</f>
        <v xml:space="preserve"> </v>
      </c>
      <c r="F43" s="38">
        <f ca="1">IF(AND($AF$6="charisma",$AF$7="charisma"),2,IF(OR($AF$6="charisma",$AF$7="charisma"),1," "))</f>
        <v>1</v>
      </c>
      <c r="G43" s="38">
        <f ca="1">IF(AND($AF$8="charisma",$AF$9="charisma"),2,IF(OR($AF$8="charisma",$AF$9="charisma"),1," "))</f>
        <v>1</v>
      </c>
      <c r="H43" s="38" t="str">
        <f ca="1">IF(AND($AF$10="charisma",$AF$11="charisma"),2,IF(OR($AF$10="charisma",$AF$11="charisma"),1," "))</f>
        <v xml:space="preserve"> </v>
      </c>
      <c r="I43" s="38">
        <f ca="1">IF(OR(P2="dark",P2="lightfoot",Q2="human",Q2="dragonborn"),SUM(J43:M43)-SMALL(J43:M43,1)+1,IF(OR(Q2="half-elf",Q2="tiefling"),SUM(J43:M43)-SMALL(J43:M43,1)+2,SUM(J43:M43)-SMALL(J43:M43,1)))</f>
        <v>17</v>
      </c>
      <c r="J43" s="38">
        <f t="shared" ca="1" si="35"/>
        <v>5</v>
      </c>
      <c r="K43" s="38">
        <f t="shared" ca="1" si="35"/>
        <v>5</v>
      </c>
      <c r="L43" s="38">
        <f t="shared" ca="1" si="35"/>
        <v>3</v>
      </c>
      <c r="M43" s="38">
        <f t="shared" ca="1" si="35"/>
        <v>6</v>
      </c>
      <c r="N43" s="38"/>
      <c r="O43" s="38">
        <f ca="1">IF(OR(O11="bard",O11="paladin",O11="sorcerer",O11="warlock"),MAX(13,(SUM(C43:I43))),IF(OR(Q11="bard",Q11="paladin",Q11="sorcerer",Q11="warlock"),MAX(13,(SUM(C43:I43))),SUM(C43:I43)))</f>
        <v>19</v>
      </c>
      <c r="P43" s="118">
        <f ca="1">VLOOKUP(O43,Table1[],2)</f>
        <v>4</v>
      </c>
      <c r="AJ43" s="31" t="s">
        <v>1166</v>
      </c>
      <c r="AO43" s="57"/>
      <c r="AP43" s="57"/>
      <c r="AQ43" s="57"/>
      <c r="BN43" s="29">
        <f t="shared" ca="1" si="29"/>
        <v>3</v>
      </c>
      <c r="BO43" s="29">
        <f ca="1">IF(BP43="Survival",RAND(),0)</f>
        <v>0.36236539574090065</v>
      </c>
      <c r="BP43" s="29" t="str">
        <f t="shared" ca="1" si="33"/>
        <v>Survival</v>
      </c>
      <c r="BR43" s="29">
        <f t="shared" ca="1" si="30"/>
        <v>15</v>
      </c>
      <c r="BS43" s="29">
        <f t="shared" ca="1" si="31"/>
        <v>0</v>
      </c>
      <c r="CB43" s="35">
        <f t="shared" ca="1" si="34"/>
        <v>5</v>
      </c>
      <c r="CC43" s="36">
        <f ca="1">IF(BM20&gt;0,0,RAND())</f>
        <v>0.18904159330731074</v>
      </c>
      <c r="CD43" s="29" t="s">
        <v>25</v>
      </c>
    </row>
    <row r="44" spans="1:83" ht="19.5" thickBot="1" x14ac:dyDescent="0.35">
      <c r="A44" s="33"/>
      <c r="B44" s="38"/>
      <c r="C44" s="38"/>
      <c r="D44" s="38"/>
      <c r="E44" s="38"/>
      <c r="F44" s="38"/>
      <c r="G44" s="38"/>
      <c r="H44" s="38"/>
      <c r="I44" s="38"/>
      <c r="J44" s="38"/>
      <c r="K44" s="38"/>
      <c r="L44" s="38"/>
      <c r="M44" s="38"/>
      <c r="N44" s="38"/>
      <c r="O44" s="38"/>
      <c r="P44" s="38"/>
      <c r="AJ44" s="58">
        <f ca="1">IF(Table200335449791848905314[[#This Row],[Column2]]=0," ",_xlfn.RANK.EQ(AK44,$AK$44:$AK$53))</f>
        <v>7</v>
      </c>
      <c r="AK44" s="29">
        <f ca="1">IF(Table200335449791848905314[[#This Row],[Column3]]=" ", 0,RAND())</f>
        <v>0.68836288433091797</v>
      </c>
      <c r="AL44" s="29" t="str">
        <f t="shared" ref="AL44:AL53" si="36">Q315</f>
        <v>Alarm</v>
      </c>
      <c r="AO44" s="29" t="s">
        <v>1962</v>
      </c>
      <c r="CB44" s="35">
        <f t="shared" ca="1" si="34"/>
        <v>8</v>
      </c>
      <c r="CC44" s="36">
        <f ca="1">IF(BM23&gt;0,0,RAND())</f>
        <v>0</v>
      </c>
      <c r="CD44" s="29" t="s">
        <v>28</v>
      </c>
    </row>
    <row r="45" spans="1:83" ht="30.75" thickBot="1" x14ac:dyDescent="0.45">
      <c r="A45" s="115"/>
      <c r="B45" s="122" t="s">
        <v>37</v>
      </c>
      <c r="C45" s="53"/>
      <c r="D45" s="53"/>
      <c r="E45" s="53"/>
      <c r="F45" s="53"/>
      <c r="G45" s="53"/>
      <c r="H45" s="53"/>
      <c r="I45" s="53"/>
      <c r="J45" s="53"/>
      <c r="K45" s="53"/>
      <c r="L45" s="53"/>
      <c r="M45" s="53"/>
      <c r="N45" s="53"/>
      <c r="O45" s="53" t="s">
        <v>30</v>
      </c>
      <c r="P45" s="116" t="s">
        <v>38</v>
      </c>
      <c r="AJ45" s="58">
        <f ca="1">IF(Table200335449791848905314[[#This Row],[Column2]]=0," ",_xlfn.RANK.EQ(AK45,$AK$44:$AK$53))</f>
        <v>4</v>
      </c>
      <c r="AK45" s="29">
        <f ca="1">IF(Table200335449791848905314[[#This Row],[Column3]]=" ", 0,RAND())</f>
        <v>0.76462892948664718</v>
      </c>
      <c r="AL45" s="29" t="str">
        <f t="shared" ca="1" si="36"/>
        <v>Shield</v>
      </c>
      <c r="AO45" s="29" t="str">
        <f ca="1">IF(Table293375489831888945361[[#This Row],[Column2]]=0," ",_xlfn.RANK.EQ(Table293375489831888945361[[#This Row],[Column2]],$AP$45:$AP$59))</f>
        <v xml:space="preserve"> </v>
      </c>
      <c r="AP45" s="29">
        <f ca="1">IF(OR(Table293375489831888945361[[#This Row],[Column3]]=" ",Table293375489831888945361[[#This Row],[Column3]]="simple weapons"), 0,RAND())</f>
        <v>0</v>
      </c>
      <c r="AQ45" s="29" t="str">
        <f>P76</f>
        <v xml:space="preserve"> </v>
      </c>
    </row>
    <row r="46" spans="1:83" ht="19.5" thickTop="1" x14ac:dyDescent="0.3">
      <c r="A46" s="137"/>
      <c r="B46" s="33" t="s">
        <v>1</v>
      </c>
      <c r="C46" s="33"/>
      <c r="D46" s="33"/>
      <c r="E46" s="33"/>
      <c r="F46" s="33"/>
      <c r="G46" s="33"/>
      <c r="H46" s="33"/>
      <c r="I46" s="33"/>
      <c r="J46" s="33"/>
      <c r="K46" s="33"/>
      <c r="L46" s="33"/>
      <c r="M46" s="33"/>
      <c r="N46" s="33"/>
      <c r="O46" s="33" t="str">
        <f>IF(OR($O$11="barbarian",O11="fighter",O11="monk",O11="ranger"),"x"," ")</f>
        <v xml:space="preserve"> </v>
      </c>
      <c r="P46" s="72">
        <f t="shared" ref="P46:P51" ca="1" si="37">IF(O46="x",SUM(P38,$P$8),P38)</f>
        <v>1</v>
      </c>
      <c r="T46" s="49"/>
      <c r="U46" s="49"/>
      <c r="AJ46" s="58">
        <f ca="1">IF(Table200335449791848905314[[#This Row],[Column2]]=0," ",_xlfn.RANK.EQ(AK46,$AK$44:$AK$53))</f>
        <v>6</v>
      </c>
      <c r="AK46" s="29">
        <f ca="1">IF(Table200335449791848905314[[#This Row],[Column3]]=" ", 0,RAND())</f>
        <v>0.73760014036897903</v>
      </c>
      <c r="AL46" s="29" t="str">
        <f t="shared" ca="1" si="36"/>
        <v>Charm Person</v>
      </c>
      <c r="AO46" s="29">
        <f ca="1">IF(Table293375489831888945361[[#This Row],[Column2]]=0," ",_xlfn.RANK.EQ(Table293375489831888945361[[#This Row],[Column2]],$AP$45:$AP$59))</f>
        <v>8</v>
      </c>
      <c r="AP46" s="29">
        <f ca="1">IF(OR(Table293375489831888945361[[#This Row],[Column3]]=" ",Table293375489831888945361[[#This Row],[Column3]]="martial weapons"), 0,RAND())</f>
        <v>4.9473246098409307E-2</v>
      </c>
      <c r="AQ46" s="29" t="str">
        <f ca="1">P77</f>
        <v>Rapier</v>
      </c>
      <c r="CB46" s="31" t="s">
        <v>731</v>
      </c>
      <c r="CE46" s="31"/>
    </row>
    <row r="47" spans="1:83" x14ac:dyDescent="0.3">
      <c r="A47" s="137"/>
      <c r="B47" s="33" t="s">
        <v>2</v>
      </c>
      <c r="C47" s="33"/>
      <c r="D47" s="33"/>
      <c r="E47" s="33"/>
      <c r="F47" s="33"/>
      <c r="G47" s="33"/>
      <c r="H47" s="33"/>
      <c r="I47" s="33"/>
      <c r="J47" s="33"/>
      <c r="K47" s="33"/>
      <c r="L47" s="33"/>
      <c r="M47" s="33"/>
      <c r="N47" s="33"/>
      <c r="O47" s="33" t="str">
        <f>IF(OR($O$11="bard",O11="monk",O11="ranger",O11="rogue"),"x"," ")</f>
        <v xml:space="preserve"> </v>
      </c>
      <c r="P47" s="72">
        <f t="shared" ca="1" si="37"/>
        <v>4</v>
      </c>
      <c r="T47" s="49"/>
      <c r="U47" s="49"/>
      <c r="AJ47" s="58">
        <f ca="1">IF(Table200335449791848905314[[#This Row],[Column2]]=0," ",_xlfn.RANK.EQ(AK47,$AK$44:$AK$53))</f>
        <v>10</v>
      </c>
      <c r="AK47" s="29">
        <f ca="1">IF(Table200335449791848905314[[#This Row],[Column3]]=" ", 0,RAND())</f>
        <v>0.21410228569380907</v>
      </c>
      <c r="AL47" s="29" t="str">
        <f t="shared" ca="1" si="36"/>
        <v>Expeditious Retreat</v>
      </c>
      <c r="AO47" s="29">
        <f ca="1">IF(Table293375489831888945361[[#This Row],[Column2]]=0," ",_xlfn.RANK.EQ(Table293375489831888945361[[#This Row],[Column2]],$AP$45:$AP$59))</f>
        <v>5</v>
      </c>
      <c r="AP47" s="29">
        <f ca="1">IF(Table293375489831888945361[[#This Row],[Column3]]=" ", 0,RAND())</f>
        <v>0.3492356797468521</v>
      </c>
      <c r="AQ47" s="29" t="str">
        <f ca="1">P78</f>
        <v>Hand Crossbow</v>
      </c>
      <c r="CB47" s="35">
        <f t="shared" ref="CB47:CB54" ca="1" si="38">_xlfn.RANK.EQ(CC47,$CC$47:$CC$54)</f>
        <v>1</v>
      </c>
      <c r="CC47" s="36">
        <f ca="1">IF(BM6&gt;0,0,RAND())</f>
        <v>0.82896051616161437</v>
      </c>
      <c r="CD47" s="29" t="s">
        <v>12</v>
      </c>
    </row>
    <row r="48" spans="1:83" x14ac:dyDescent="0.3">
      <c r="A48" s="137"/>
      <c r="B48" s="33" t="s">
        <v>3</v>
      </c>
      <c r="C48" s="33"/>
      <c r="D48" s="33"/>
      <c r="E48" s="33"/>
      <c r="F48" s="33"/>
      <c r="G48" s="33"/>
      <c r="H48" s="33"/>
      <c r="I48" s="33"/>
      <c r="J48" s="33"/>
      <c r="K48" s="33"/>
      <c r="L48" s="33"/>
      <c r="M48" s="33"/>
      <c r="N48" s="33"/>
      <c r="O48" s="33" t="str">
        <f>IF(OR(O11="barbarian",O11="fighter",O11="sorcerer"),"x"," ")</f>
        <v xml:space="preserve"> </v>
      </c>
      <c r="P48" s="72">
        <f t="shared" ca="1" si="37"/>
        <v>0</v>
      </c>
      <c r="T48" s="49"/>
      <c r="U48" s="49"/>
      <c r="AJ48" s="58">
        <f ca="1">IF(Table200335449791848905314[[#This Row],[Column2]]=0," ",_xlfn.RANK.EQ(AK48,$AK$44:$AK$53))</f>
        <v>9</v>
      </c>
      <c r="AK48" s="29">
        <f ca="1">IF(Table200335449791848905314[[#This Row],[Column3]]=" ", 0,RAND())</f>
        <v>0.22111583165693527</v>
      </c>
      <c r="AL48" s="29" t="str">
        <f t="shared" ca="1" si="36"/>
        <v>Protection from Evil and Good</v>
      </c>
      <c r="AO48" s="29" t="str">
        <f ca="1">IF(Table293375489831888945361[[#This Row],[Column2]]=0," ",_xlfn.RANK.EQ(Table293375489831888945361[[#This Row],[Column2]],$AP$45:$AP$59))</f>
        <v xml:space="preserve"> </v>
      </c>
      <c r="AP48" s="29">
        <f ca="1">IF(Table293375489831888945361[[#This Row],[Column3]]=" ", 0,RAND())</f>
        <v>0</v>
      </c>
      <c r="AQ48" s="29" t="str">
        <f ca="1">P79</f>
        <v xml:space="preserve"> </v>
      </c>
      <c r="CB48" s="35">
        <f t="shared" ca="1" si="38"/>
        <v>2</v>
      </c>
      <c r="CC48" s="36">
        <f ca="1">IF(BM7&gt;0,0,RAND())</f>
        <v>0.75974012312051586</v>
      </c>
      <c r="CD48" s="29" t="s">
        <v>29</v>
      </c>
    </row>
    <row r="49" spans="1:83" x14ac:dyDescent="0.3">
      <c r="A49" s="137"/>
      <c r="B49" s="33" t="s">
        <v>4</v>
      </c>
      <c r="C49" s="33"/>
      <c r="D49" s="33"/>
      <c r="E49" s="33"/>
      <c r="F49" s="33"/>
      <c r="G49" s="33"/>
      <c r="H49" s="33"/>
      <c r="I49" s="33"/>
      <c r="J49" s="33"/>
      <c r="K49" s="33"/>
      <c r="L49" s="33"/>
      <c r="M49" s="33"/>
      <c r="N49" s="33"/>
      <c r="O49" s="33" t="str">
        <f>IF(OR(O11="rogue",O11="druid",O11="wizard"),"x"," ")</f>
        <v>x</v>
      </c>
      <c r="P49" s="72">
        <f t="shared" ca="1" si="37"/>
        <v>10</v>
      </c>
      <c r="T49" s="49"/>
      <c r="U49" s="49"/>
      <c r="AJ49" s="58">
        <f ca="1">IF(Table200335449791848905314[[#This Row],[Column2]]=0," ",_xlfn.RANK.EQ(AK49,$AK$44:$AK$53))</f>
        <v>2</v>
      </c>
      <c r="AK49" s="29">
        <f ca="1">IF(Table200335449791848905314[[#This Row],[Column3]]=" ", 0,RAND())</f>
        <v>0.90523216478147106</v>
      </c>
      <c r="AL49" s="29" t="str">
        <f t="shared" ca="1" si="36"/>
        <v>Feather Fall</v>
      </c>
      <c r="AO49" s="29">
        <f ca="1">IF(Table293375489831888945361[[#This Row],[Column2]]=0," ",_xlfn.RANK.EQ(Table293375489831888945361[[#This Row],[Column2]],$AP$45:$AP$59))</f>
        <v>7</v>
      </c>
      <c r="AP49" s="29">
        <f ca="1">IF(Table293375489831888945361[[#This Row],[Column3]]=" ", 0,RAND())</f>
        <v>0.25521351166713202</v>
      </c>
      <c r="AQ49" s="29" t="str">
        <f ca="1">P80</f>
        <v>Shortsword</v>
      </c>
      <c r="CB49" s="35">
        <f t="shared" ca="1" si="38"/>
        <v>7</v>
      </c>
      <c r="CC49" s="36">
        <f ca="1">IF(BM9&gt;0,0,RAND())</f>
        <v>0</v>
      </c>
      <c r="CD49" s="29" t="s">
        <v>14</v>
      </c>
    </row>
    <row r="50" spans="1:83" x14ac:dyDescent="0.3">
      <c r="A50" s="137"/>
      <c r="B50" s="33" t="s">
        <v>39</v>
      </c>
      <c r="C50" s="33"/>
      <c r="D50" s="33"/>
      <c r="E50" s="33"/>
      <c r="F50" s="33"/>
      <c r="G50" s="33"/>
      <c r="H50" s="33"/>
      <c r="I50" s="33"/>
      <c r="J50" s="33"/>
      <c r="K50" s="33"/>
      <c r="L50" s="33"/>
      <c r="M50" s="33"/>
      <c r="N50" s="33"/>
      <c r="O50" s="33" t="str">
        <f>IF(OR(O11="cleric",O11="druid",O11="paladin",O11="warlock",O11="wizard"),"x",IF(AND(O11="rogue",O12&gt;=15),"x"," "))</f>
        <v>x</v>
      </c>
      <c r="P50" s="72">
        <f t="shared" ca="1" si="37"/>
        <v>6</v>
      </c>
      <c r="T50" s="49"/>
      <c r="U50" s="49"/>
      <c r="AJ50" s="58">
        <f ca="1">IF(Table200335449791848905314[[#This Row],[Column2]]=0," ",_xlfn.RANK.EQ(AK50,$AK$44:$AK$53))</f>
        <v>3</v>
      </c>
      <c r="AK50" s="29">
        <f ca="1">IF(Table200335449791848905314[[#This Row],[Column3]]=" ", 0,RAND())</f>
        <v>0.87147560820229064</v>
      </c>
      <c r="AL50" s="29" t="str">
        <f t="shared" ca="1" si="36"/>
        <v>Silent Image</v>
      </c>
      <c r="AO50" s="29" t="str">
        <f ca="1">IF(Table293375489831888945361[[#This Row],[Column2]]=0," ",_xlfn.RANK.EQ(Table293375489831888945361[[#This Row],[Column2]],$AP$45:$AP$59))</f>
        <v xml:space="preserve"> </v>
      </c>
      <c r="AP50" s="29">
        <f ca="1">IF(Table293375489831888945361[[#This Row],[Column3]]=" ", 0,RAND())</f>
        <v>0</v>
      </c>
      <c r="AQ50" s="29" t="str">
        <f ca="1">Q76</f>
        <v xml:space="preserve"> </v>
      </c>
      <c r="CB50" s="35">
        <f t="shared" ca="1" si="38"/>
        <v>6</v>
      </c>
      <c r="CC50" s="36">
        <f ca="1">IF(BM11&gt;0,0,RAND())</f>
        <v>0.1040833213099388</v>
      </c>
      <c r="CD50" s="29" t="s">
        <v>16</v>
      </c>
    </row>
    <row r="51" spans="1:83" ht="19.5" thickBot="1" x14ac:dyDescent="0.35">
      <c r="A51" s="137"/>
      <c r="B51" s="38" t="s">
        <v>6</v>
      </c>
      <c r="C51" s="38"/>
      <c r="D51" s="38"/>
      <c r="E51" s="38"/>
      <c r="F51" s="38"/>
      <c r="G51" s="38"/>
      <c r="H51" s="38"/>
      <c r="I51" s="38"/>
      <c r="J51" s="38"/>
      <c r="K51" s="38"/>
      <c r="L51" s="38"/>
      <c r="M51" s="38"/>
      <c r="N51" s="38"/>
      <c r="O51" s="38" t="str">
        <f>IF(OR($O$11="bard",O11="cleric",O11="paladin",O11="sorcerer",O11="warlock"),"x"," ")</f>
        <v xml:space="preserve"> </v>
      </c>
      <c r="P51" s="73">
        <f t="shared" ca="1" si="37"/>
        <v>4</v>
      </c>
      <c r="AJ51" s="58">
        <f ca="1">IF(Table200335449791848905314[[#This Row],[Column2]]=0," ",_xlfn.RANK.EQ(AK51,$AK$44:$AK$53))</f>
        <v>5</v>
      </c>
      <c r="AK51" s="29">
        <f ca="1">IF(Table200335449791848905314[[#This Row],[Column3]]=" ", 0,RAND())</f>
        <v>0.76225610953630218</v>
      </c>
      <c r="AL51" s="29" t="str">
        <f t="shared" ca="1" si="36"/>
        <v>Fog Cloud</v>
      </c>
      <c r="AO51" s="29">
        <f ca="1">IF(Table293375489831888945361[[#This Row],[Column2]]=0," ",_xlfn.RANK.EQ(Table293375489831888945361[[#This Row],[Column2]],$AP$45:$AP$59))</f>
        <v>3</v>
      </c>
      <c r="AP51" s="29">
        <f ca="1">IF(Table293375489831888945361[[#This Row],[Column3]]=" ", 0,RAND())</f>
        <v>0.49909531756665237</v>
      </c>
      <c r="AQ51" s="29" t="str">
        <f>Q77</f>
        <v>Dagger</v>
      </c>
      <c r="CB51" s="35">
        <f t="shared" ca="1" si="38"/>
        <v>5</v>
      </c>
      <c r="CC51" s="36">
        <f ca="1">IF(BM12&gt;0,0,RAND())</f>
        <v>0.30710094709871105</v>
      </c>
      <c r="CD51" s="29" t="s">
        <v>17</v>
      </c>
      <c r="CE51" s="31"/>
    </row>
    <row r="52" spans="1:83" ht="19.5" thickBot="1" x14ac:dyDescent="0.35">
      <c r="A52" s="138"/>
      <c r="B52" s="99"/>
      <c r="C52" s="99"/>
      <c r="D52" s="99"/>
      <c r="E52" s="99"/>
      <c r="F52" s="99"/>
      <c r="G52" s="99"/>
      <c r="H52" s="99"/>
      <c r="I52" s="99"/>
      <c r="J52" s="99"/>
      <c r="K52" s="99"/>
      <c r="L52" s="99"/>
      <c r="M52" s="99"/>
      <c r="N52" s="99"/>
      <c r="O52" s="99"/>
      <c r="P52" s="99"/>
      <c r="AJ52" s="58">
        <f ca="1">IF(Table200335449791848905314[[#This Row],[Column2]]=0," ",_xlfn.RANK.EQ(AK52,$AK$44:$AK$53))</f>
        <v>8</v>
      </c>
      <c r="AK52" s="29">
        <f ca="1">IF(Table200335449791848905314[[#This Row],[Column3]]=" ", 0,RAND())</f>
        <v>0.27420259723360108</v>
      </c>
      <c r="AL52" s="29" t="str">
        <f t="shared" ca="1" si="36"/>
        <v>Alarm</v>
      </c>
      <c r="AO52" s="29">
        <f ca="1">IF(Table293375489831888945361[[#This Row],[Column2]]=0," ",_xlfn.RANK.EQ(Table293375489831888945361[[#This Row],[Column2]],$AP$45:$AP$59))</f>
        <v>6</v>
      </c>
      <c r="AP52" s="29">
        <f ca="1">IF(Table293375489831888945361[[#This Row],[Column3]]=" ", 0,RAND())</f>
        <v>0.32842729461068298</v>
      </c>
      <c r="AQ52" s="29" t="str">
        <f>Q78</f>
        <v>Dart</v>
      </c>
      <c r="CB52" s="35">
        <f t="shared" ca="1" si="38"/>
        <v>4</v>
      </c>
      <c r="CC52" s="36">
        <f ca="1">IF(BM13&gt;0,0,RAND())</f>
        <v>0.51597946255196936</v>
      </c>
      <c r="CD52" s="29" t="s">
        <v>18</v>
      </c>
    </row>
    <row r="53" spans="1:83" ht="30.75" thickBot="1" x14ac:dyDescent="0.45">
      <c r="A53" s="137"/>
      <c r="B53" s="122" t="s">
        <v>11</v>
      </c>
      <c r="C53" s="33"/>
      <c r="D53" s="33"/>
      <c r="E53" s="33"/>
      <c r="F53" s="33"/>
      <c r="G53" s="33"/>
      <c r="H53" s="33"/>
      <c r="I53" s="33"/>
      <c r="J53" s="33"/>
      <c r="K53" s="33"/>
      <c r="L53" s="33"/>
      <c r="M53" s="33"/>
      <c r="N53" s="33"/>
      <c r="O53" s="53" t="s">
        <v>30</v>
      </c>
      <c r="P53" s="119" t="s">
        <v>529</v>
      </c>
      <c r="AJ53" s="58">
        <f ca="1">IF(Table200335449791848905314[[#This Row],[Column2]]=0," ",_xlfn.RANK.EQ(AK53,$AK$44:$AK$53))</f>
        <v>1</v>
      </c>
      <c r="AK53" s="29">
        <f ca="1">IF(Table200335449791848905314[[#This Row],[Column3]]=" ", 0,RAND())</f>
        <v>0.96798478900784091</v>
      </c>
      <c r="AL53" s="29" t="str">
        <f t="shared" ca="1" si="36"/>
        <v>Disguise Self</v>
      </c>
      <c r="AO53" s="29">
        <f ca="1">IF(Table293375489831888945361[[#This Row],[Column2]]=0," ",_xlfn.RANK.EQ(Table293375489831888945361[[#This Row],[Column2]],$AP$45:$AP$59))</f>
        <v>4</v>
      </c>
      <c r="AP53" s="29">
        <f ca="1">IF(Table293375489831888945361[[#This Row],[Column3]]=" ", 0,RAND())</f>
        <v>0.38842820072284612</v>
      </c>
      <c r="AQ53" s="29" t="str">
        <f>Q79</f>
        <v>Light Crossbow</v>
      </c>
      <c r="CB53" s="35">
        <f t="shared" ca="1" si="38"/>
        <v>3</v>
      </c>
      <c r="CC53" s="36">
        <f ca="1">IF(BM17&gt;0,0,RAND())</f>
        <v>0.63658603256496904</v>
      </c>
      <c r="CD53" s="29" t="s">
        <v>22</v>
      </c>
    </row>
    <row r="54" spans="1:83" ht="19.5" thickTop="1" x14ac:dyDescent="0.3">
      <c r="A54" s="137"/>
      <c r="B54" s="33" t="s">
        <v>12</v>
      </c>
      <c r="C54" s="59"/>
      <c r="D54" s="33"/>
      <c r="E54" s="33"/>
      <c r="F54" s="33"/>
      <c r="G54" s="33"/>
      <c r="H54" s="33"/>
      <c r="I54" s="33"/>
      <c r="J54" s="33"/>
      <c r="K54" s="33"/>
      <c r="L54" s="33"/>
      <c r="M54" s="33"/>
      <c r="N54" s="33"/>
      <c r="O54" s="33" t="str">
        <f t="shared" ref="O54:O71" ca="1" si="39">IF(BU6&gt;0,"x"," ")</f>
        <v>x</v>
      </c>
      <c r="P54" s="120">
        <f ca="1">SUM(BU6,P39)</f>
        <v>8</v>
      </c>
      <c r="AO54" s="29" t="str">
        <f ca="1">IF(Table293375489831888945361[[#This Row],[Column2]]=0," ",_xlfn.RANK.EQ(Table293375489831888945361[[#This Row],[Column2]],$AP$45:$AP$59))</f>
        <v xml:space="preserve"> </v>
      </c>
      <c r="AP54" s="29">
        <f ca="1">IF(Table293375489831888945361[[#This Row],[Column3]]=" ", 0,RAND())</f>
        <v>0</v>
      </c>
      <c r="AQ54" s="29" t="str">
        <f>Q80</f>
        <v xml:space="preserve"> </v>
      </c>
      <c r="CB54" s="35">
        <f t="shared" ca="1" si="38"/>
        <v>7</v>
      </c>
      <c r="CC54" s="36">
        <f ca="1">IF(BM23&gt;0,0,RAND())</f>
        <v>0</v>
      </c>
      <c r="CD54" s="29" t="s">
        <v>28</v>
      </c>
    </row>
    <row r="55" spans="1:83" x14ac:dyDescent="0.3">
      <c r="A55" s="137"/>
      <c r="B55" s="33" t="s">
        <v>29</v>
      </c>
      <c r="C55" s="59"/>
      <c r="D55" s="33"/>
      <c r="E55" s="33"/>
      <c r="F55" s="33"/>
      <c r="G55" s="33"/>
      <c r="H55" s="33"/>
      <c r="I55" s="33"/>
      <c r="J55" s="33"/>
      <c r="K55" s="33"/>
      <c r="L55" s="33"/>
      <c r="M55" s="33"/>
      <c r="N55" s="33"/>
      <c r="O55" s="33" t="str">
        <f t="shared" ca="1" si="39"/>
        <v xml:space="preserve"> </v>
      </c>
      <c r="P55" s="120">
        <f ca="1">SUM(BU7,P42)</f>
        <v>0</v>
      </c>
      <c r="AJ55" s="31" t="s">
        <v>1167</v>
      </c>
      <c r="AO55" s="29">
        <f ca="1">IF(Table293375489831888945361[[#This Row],[Column2]]=0," ",_xlfn.RANK.EQ(Table293375489831888945361[[#This Row],[Column2]],$AP$45:$AP$59))</f>
        <v>1</v>
      </c>
      <c r="AP55" s="29">
        <f ca="1">IF(Table293375489831888945361[[#This Row],[Column3]]=" ", 0,RAND())</f>
        <v>0.75490228085447508</v>
      </c>
      <c r="AQ55" s="29" t="str">
        <f>R76</f>
        <v>Quarterstaff</v>
      </c>
    </row>
    <row r="56" spans="1:83" x14ac:dyDescent="0.3">
      <c r="A56" s="137"/>
      <c r="B56" s="33" t="s">
        <v>13</v>
      </c>
      <c r="C56" s="33"/>
      <c r="D56" s="33"/>
      <c r="E56" s="33"/>
      <c r="F56" s="33"/>
      <c r="G56" s="33"/>
      <c r="H56" s="33"/>
      <c r="I56" s="33"/>
      <c r="J56" s="33"/>
      <c r="K56" s="33"/>
      <c r="L56" s="33"/>
      <c r="M56" s="33"/>
      <c r="N56" s="33"/>
      <c r="O56" s="33" t="str">
        <f t="shared" ca="1" si="39"/>
        <v xml:space="preserve"> </v>
      </c>
      <c r="P56" s="120">
        <f ca="1">SUM(BU8,P41)</f>
        <v>4</v>
      </c>
      <c r="AJ56" s="58">
        <f ca="1">IF(Table201336450792849906315[[#This Row],[Column2]]=0," ",_xlfn.RANK.EQ(AK56,$AK$56:$AK$65))</f>
        <v>2</v>
      </c>
      <c r="AK56" s="29">
        <f ca="1">IF(AL56=" ", 0,RAND())</f>
        <v>0.445934553821005</v>
      </c>
      <c r="AL56" s="29" t="str">
        <f t="shared" ref="AL56:AL65" ca="1" si="40">R315</f>
        <v>Invisibility</v>
      </c>
      <c r="AO56" s="29" t="str">
        <f ca="1">IF(Table293375489831888945361[[#This Row],[Column2]]=0," ",_xlfn.RANK.EQ(Table293375489831888945361[[#This Row],[Column2]],$AP$45:$AP$59))</f>
        <v xml:space="preserve"> </v>
      </c>
      <c r="AP56" s="29">
        <f ca="1">IF(Table293375489831888945361[[#This Row],[Column3]]=" ", 0,RAND())</f>
        <v>0</v>
      </c>
      <c r="AQ56" s="29" t="str">
        <f ca="1">R77</f>
        <v xml:space="preserve"> </v>
      </c>
      <c r="CB56" s="31" t="s">
        <v>732</v>
      </c>
      <c r="CE56" s="31"/>
    </row>
    <row r="57" spans="1:83" x14ac:dyDescent="0.3">
      <c r="A57" s="137"/>
      <c r="B57" s="33" t="s">
        <v>14</v>
      </c>
      <c r="C57" s="33"/>
      <c r="D57" s="33"/>
      <c r="E57" s="33"/>
      <c r="F57" s="33"/>
      <c r="G57" s="33"/>
      <c r="H57" s="33"/>
      <c r="I57" s="33"/>
      <c r="J57" s="33"/>
      <c r="K57" s="33"/>
      <c r="L57" s="33"/>
      <c r="M57" s="33"/>
      <c r="N57" s="33"/>
      <c r="O57" s="33" t="str">
        <f t="shared" ca="1" si="39"/>
        <v>x</v>
      </c>
      <c r="P57" s="120">
        <f ca="1">SUM(BU9,P38)</f>
        <v>7</v>
      </c>
      <c r="AJ57" s="58">
        <f ca="1">IF(Table201336450792849906315[[#This Row],[Column2]]=0," ",_xlfn.RANK.EQ(AK57,$AK$56:$AK$65))</f>
        <v>4</v>
      </c>
      <c r="AK57" s="29">
        <f t="shared" ref="AK57:AK65" ca="1" si="41">IF(AL57=" ", 0,RAND())</f>
        <v>0.34933204341605639</v>
      </c>
      <c r="AL57" s="29" t="str">
        <f t="shared" ca="1" si="40"/>
        <v>Alter Self</v>
      </c>
      <c r="AO57" s="29" t="str">
        <f ca="1">IF(Table293375489831888945361[[#This Row],[Column2]]=0," ",_xlfn.RANK.EQ(Table293375489831888945361[[#This Row],[Column2]],$AP$45:$AP$59))</f>
        <v xml:space="preserve"> </v>
      </c>
      <c r="AP57" s="29">
        <f ca="1">IF(Table293375489831888945361[[#This Row],[Column3]]=" ", 0,RAND())</f>
        <v>0</v>
      </c>
      <c r="AQ57" s="29" t="str">
        <f>R78</f>
        <v xml:space="preserve"> </v>
      </c>
      <c r="CB57" s="35">
        <f t="shared" ref="CB57:CB62" ca="1" si="42">_xlfn.RANK.EQ(CC57,$CC$57:$CC$62)</f>
        <v>1</v>
      </c>
      <c r="CC57" s="36">
        <f ca="1">IF(BM6&gt;0,0,RAND())</f>
        <v>0.9736572875958579</v>
      </c>
      <c r="CD57" s="29" t="s">
        <v>12</v>
      </c>
    </row>
    <row r="58" spans="1:83" x14ac:dyDescent="0.3">
      <c r="A58" s="137"/>
      <c r="B58" s="33" t="s">
        <v>15</v>
      </c>
      <c r="C58" s="33"/>
      <c r="D58" s="33"/>
      <c r="E58" s="33"/>
      <c r="F58" s="33"/>
      <c r="G58" s="33"/>
      <c r="H58" s="33"/>
      <c r="I58" s="33"/>
      <c r="J58" s="33"/>
      <c r="K58" s="33"/>
      <c r="L58" s="33"/>
      <c r="M58" s="33"/>
      <c r="N58" s="33"/>
      <c r="O58" s="33" t="str">
        <f t="shared" ca="1" si="39"/>
        <v xml:space="preserve"> </v>
      </c>
      <c r="P58" s="120">
        <f ca="1">SUM(BU10,P43)</f>
        <v>4</v>
      </c>
      <c r="AJ58" s="58">
        <f ca="1">IF(Table201336450792849906315[[#This Row],[Column2]]=0," ",_xlfn.RANK.EQ(AK58,$AK$56:$AK$65))</f>
        <v>5</v>
      </c>
      <c r="AK58" s="29">
        <f t="shared" ca="1" si="41"/>
        <v>0.27074669062185752</v>
      </c>
      <c r="AL58" s="29" t="str">
        <f t="shared" ca="1" si="40"/>
        <v>Mirror Image</v>
      </c>
      <c r="AO58" s="29">
        <f ca="1">IF(Table293375489831888945361[[#This Row],[Column2]]=0," ",_xlfn.RANK.EQ(Table293375489831888945361[[#This Row],[Column2]],$AP$45:$AP$59))</f>
        <v>2</v>
      </c>
      <c r="AP58" s="29">
        <f ca="1">IF(Table293375489831888945361[[#This Row],[Column3]]=" ", 0,RAND())</f>
        <v>0.50150746132168911</v>
      </c>
      <c r="AQ58" s="29" t="str">
        <f>R79</f>
        <v>Sling</v>
      </c>
      <c r="CB58" s="35">
        <f t="shared" ca="1" si="42"/>
        <v>6</v>
      </c>
      <c r="CC58" s="36">
        <f ca="1">IF(BM9&gt;0,0,RAND())</f>
        <v>0</v>
      </c>
      <c r="CD58" s="29" t="s">
        <v>14</v>
      </c>
    </row>
    <row r="59" spans="1:83" x14ac:dyDescent="0.3">
      <c r="A59" s="137"/>
      <c r="B59" s="33" t="s">
        <v>16</v>
      </c>
      <c r="C59" s="33"/>
      <c r="D59" s="33"/>
      <c r="E59" s="33"/>
      <c r="F59" s="33"/>
      <c r="G59" s="33"/>
      <c r="H59" s="33"/>
      <c r="I59" s="33"/>
      <c r="J59" s="33"/>
      <c r="K59" s="33"/>
      <c r="L59" s="33"/>
      <c r="M59" s="33"/>
      <c r="N59" s="33"/>
      <c r="O59" s="33" t="str">
        <f t="shared" ca="1" si="39"/>
        <v>x</v>
      </c>
      <c r="P59" s="120">
        <f ca="1">SUM(P41,BU11)</f>
        <v>10</v>
      </c>
      <c r="AJ59" s="58">
        <f ca="1">IF(Table201336450792849906315[[#This Row],[Column2]]=0," ",_xlfn.RANK.EQ(AK59,$AK$56:$AK$65))</f>
        <v>1</v>
      </c>
      <c r="AK59" s="29">
        <f t="shared" ca="1" si="41"/>
        <v>0.86413406483496669</v>
      </c>
      <c r="AL59" s="29" t="str">
        <f t="shared" ca="1" si="40"/>
        <v>Magic Mouth</v>
      </c>
      <c r="AO59" s="29" t="str">
        <f ca="1">IF(Table293375489831888945361[[#This Row],[Column2]]=0," ",_xlfn.RANK.EQ(Table293375489831888945361[[#This Row],[Column2]],$AP$45:$AP$59))</f>
        <v xml:space="preserve"> </v>
      </c>
      <c r="AP59" s="29">
        <f ca="1">IF(Table293375489831888945361[[#This Row],[Column3]]=" ", 0,RAND())</f>
        <v>0</v>
      </c>
      <c r="AQ59" s="29" t="str">
        <f>R80</f>
        <v xml:space="preserve"> </v>
      </c>
      <c r="CB59" s="35">
        <f t="shared" ca="1" si="42"/>
        <v>3</v>
      </c>
      <c r="CC59" s="36">
        <f ca="1">IF(BM11&gt;0,0,RAND())</f>
        <v>0.69118635144918383</v>
      </c>
      <c r="CD59" s="29" t="s">
        <v>16</v>
      </c>
    </row>
    <row r="60" spans="1:83" x14ac:dyDescent="0.3">
      <c r="A60" s="137"/>
      <c r="B60" s="33" t="s">
        <v>17</v>
      </c>
      <c r="C60" s="33"/>
      <c r="D60" s="33"/>
      <c r="E60" s="33"/>
      <c r="F60" s="33"/>
      <c r="G60" s="33"/>
      <c r="H60" s="33"/>
      <c r="I60" s="33"/>
      <c r="J60" s="33"/>
      <c r="K60" s="33"/>
      <c r="L60" s="33"/>
      <c r="M60" s="33"/>
      <c r="N60" s="33"/>
      <c r="O60" s="33" t="str">
        <f t="shared" ca="1" si="39"/>
        <v xml:space="preserve"> </v>
      </c>
      <c r="P60" s="120">
        <f ca="1">SUM(BU12,P42)</f>
        <v>0</v>
      </c>
      <c r="AJ60" s="58">
        <f ca="1">IF(Table201336450792849906315[[#This Row],[Column2]]=0," ",_xlfn.RANK.EQ(AK60,$AK$56:$AK$65))</f>
        <v>3</v>
      </c>
      <c r="AK60" s="29">
        <f t="shared" ca="1" si="41"/>
        <v>0.34996285458025855</v>
      </c>
      <c r="AL60" s="29" t="str">
        <f t="shared" ca="1" si="40"/>
        <v>Darkvision</v>
      </c>
      <c r="CB60" s="35">
        <f t="shared" ca="1" si="42"/>
        <v>5</v>
      </c>
      <c r="CC60" s="36">
        <f ca="1">IF(BM12&gt;0,0,RAND())</f>
        <v>0.35243909731759659</v>
      </c>
      <c r="CD60" s="29" t="s">
        <v>17</v>
      </c>
    </row>
    <row r="61" spans="1:83" x14ac:dyDescent="0.3">
      <c r="A61" s="137"/>
      <c r="B61" s="33" t="s">
        <v>18</v>
      </c>
      <c r="C61" s="33"/>
      <c r="D61" s="33"/>
      <c r="E61" s="33"/>
      <c r="F61" s="33"/>
      <c r="G61" s="33"/>
      <c r="H61" s="33"/>
      <c r="I61" s="33"/>
      <c r="J61" s="33"/>
      <c r="K61" s="33"/>
      <c r="L61" s="33"/>
      <c r="M61" s="33"/>
      <c r="N61" s="33"/>
      <c r="O61" s="33" t="str">
        <f t="shared" ca="1" si="39"/>
        <v xml:space="preserve"> </v>
      </c>
      <c r="P61" s="120">
        <f ca="1">SUM(BU13,P43)</f>
        <v>4</v>
      </c>
      <c r="AJ61" s="58">
        <f ca="1">IF(Table201336450792849906315[[#This Row],[Column2]]=0," ",_xlfn.RANK.EQ(AK61,$AK$56:$AK$65))</f>
        <v>6</v>
      </c>
      <c r="AK61" s="29">
        <f t="shared" ca="1" si="41"/>
        <v>0.21311531129585282</v>
      </c>
      <c r="AL61" s="29" t="str">
        <f t="shared" ca="1" si="40"/>
        <v>Rope Trick</v>
      </c>
      <c r="CB61" s="35">
        <f t="shared" ca="1" si="42"/>
        <v>4</v>
      </c>
      <c r="CC61" s="36">
        <f ca="1">IF(BM20&gt;0,0,RAND())</f>
        <v>0.41238334952602573</v>
      </c>
      <c r="CD61" s="29" t="s">
        <v>25</v>
      </c>
    </row>
    <row r="62" spans="1:83" x14ac:dyDescent="0.3">
      <c r="A62" s="137"/>
      <c r="B62" s="33" t="s">
        <v>19</v>
      </c>
      <c r="C62" s="33"/>
      <c r="D62" s="33"/>
      <c r="E62" s="33"/>
      <c r="F62" s="33"/>
      <c r="G62" s="33"/>
      <c r="H62" s="33"/>
      <c r="I62" s="33"/>
      <c r="J62" s="33"/>
      <c r="K62" s="33"/>
      <c r="L62" s="33"/>
      <c r="M62" s="33"/>
      <c r="N62" s="33"/>
      <c r="O62" s="33" t="str">
        <f t="shared" ca="1" si="39"/>
        <v>x</v>
      </c>
      <c r="P62" s="120">
        <f ca="1">SUM(BU14,P41)</f>
        <v>10</v>
      </c>
      <c r="AJ62" s="58" t="str">
        <f ca="1">IF(Table201336450792849906315[[#This Row],[Column2]]=0," ",_xlfn.RANK.EQ(AK62,$AK$56:$AK$65))</f>
        <v xml:space="preserve"> </v>
      </c>
      <c r="AK62" s="29">
        <f t="shared" ca="1" si="41"/>
        <v>0</v>
      </c>
      <c r="AL62" s="29" t="str">
        <f t="shared" ca="1" si="40"/>
        <v xml:space="preserve"> </v>
      </c>
      <c r="CB62" s="35">
        <f t="shared" ca="1" si="42"/>
        <v>2</v>
      </c>
      <c r="CC62" s="36">
        <f ca="1">IF(BM22&gt;0,0,RAND())</f>
        <v>0.85775662807594411</v>
      </c>
      <c r="CD62" s="29" t="s">
        <v>27</v>
      </c>
      <c r="CE62" s="31"/>
    </row>
    <row r="63" spans="1:83" x14ac:dyDescent="0.3">
      <c r="A63" s="137"/>
      <c r="B63" s="33" t="s">
        <v>20</v>
      </c>
      <c r="C63" s="33"/>
      <c r="D63" s="33"/>
      <c r="E63" s="33"/>
      <c r="F63" s="33"/>
      <c r="G63" s="33"/>
      <c r="H63" s="33"/>
      <c r="I63" s="33"/>
      <c r="J63" s="33"/>
      <c r="K63" s="33"/>
      <c r="L63" s="33"/>
      <c r="M63" s="33"/>
      <c r="N63" s="33"/>
      <c r="O63" s="33" t="str">
        <f t="shared" ca="1" si="39"/>
        <v xml:space="preserve"> </v>
      </c>
      <c r="P63" s="120">
        <f ca="1">SUM(BU15,P42)</f>
        <v>0</v>
      </c>
      <c r="AJ63" s="58" t="str">
        <f ca="1">IF(Table201336450792849906315[[#This Row],[Column2]]=0," ",_xlfn.RANK.EQ(AK63,$AK$56:$AK$65))</f>
        <v xml:space="preserve"> </v>
      </c>
      <c r="AK63" s="29">
        <f t="shared" ca="1" si="41"/>
        <v>0</v>
      </c>
      <c r="AL63" s="29" t="str">
        <f t="shared" ca="1" si="40"/>
        <v xml:space="preserve"> </v>
      </c>
    </row>
    <row r="64" spans="1:83" x14ac:dyDescent="0.3">
      <c r="A64" s="137"/>
      <c r="B64" s="33" t="s">
        <v>21</v>
      </c>
      <c r="C64" s="33"/>
      <c r="D64" s="33"/>
      <c r="E64" s="33"/>
      <c r="F64" s="33"/>
      <c r="G64" s="33"/>
      <c r="H64" s="33"/>
      <c r="I64" s="33"/>
      <c r="J64" s="33"/>
      <c r="K64" s="33"/>
      <c r="L64" s="33"/>
      <c r="M64" s="33"/>
      <c r="N64" s="33"/>
      <c r="O64" s="33" t="str">
        <f t="shared" ca="1" si="39"/>
        <v xml:space="preserve"> </v>
      </c>
      <c r="P64" s="120">
        <f ca="1">SUM(BU16,P41)</f>
        <v>4</v>
      </c>
      <c r="AJ64" s="58" t="str">
        <f ca="1">IF(Table201336450792849906315[[#This Row],[Column2]]=0," ",_xlfn.RANK.EQ(AK64,$AK$56:$AK$65))</f>
        <v xml:space="preserve"> </v>
      </c>
      <c r="AK64" s="29">
        <f t="shared" ca="1" si="41"/>
        <v>0</v>
      </c>
      <c r="AL64" s="29" t="str">
        <f t="shared" ca="1" si="40"/>
        <v xml:space="preserve"> </v>
      </c>
      <c r="CB64" s="31" t="s">
        <v>733</v>
      </c>
    </row>
    <row r="65" spans="1:82" x14ac:dyDescent="0.3">
      <c r="A65" s="137"/>
      <c r="B65" s="33" t="s">
        <v>22</v>
      </c>
      <c r="C65" s="33"/>
      <c r="D65" s="33"/>
      <c r="E65" s="33"/>
      <c r="F65" s="33"/>
      <c r="G65" s="33"/>
      <c r="H65" s="33"/>
      <c r="I65" s="33"/>
      <c r="J65" s="33"/>
      <c r="K65" s="33"/>
      <c r="L65" s="33"/>
      <c r="M65" s="33"/>
      <c r="N65" s="33"/>
      <c r="O65" s="33" t="str">
        <f t="shared" ca="1" si="39"/>
        <v xml:space="preserve"> </v>
      </c>
      <c r="P65" s="120">
        <f ca="1">SUM(BU17,P42)</f>
        <v>0</v>
      </c>
      <c r="AJ65" s="58" t="str">
        <f ca="1">IF(Table201336450792849906315[[#This Row],[Column2]]=0," ",_xlfn.RANK.EQ(AK65,$AK$56:$AK$65))</f>
        <v xml:space="preserve"> </v>
      </c>
      <c r="AK65" s="29">
        <f t="shared" ca="1" si="41"/>
        <v>0</v>
      </c>
      <c r="AL65" s="29" t="str">
        <f t="shared" ca="1" si="40"/>
        <v xml:space="preserve"> </v>
      </c>
      <c r="CB65" s="35">
        <f t="shared" ref="CB65:CB70" ca="1" si="43">_xlfn.RANK.EQ(CC65,$CC$65:$CC$70)</f>
        <v>6</v>
      </c>
      <c r="CC65" s="36">
        <f ca="1">IF(BM9&gt;0,0,RAND())</f>
        <v>0</v>
      </c>
      <c r="CD65" s="29" t="s">
        <v>14</v>
      </c>
    </row>
    <row r="66" spans="1:82" x14ac:dyDescent="0.3">
      <c r="A66" s="137"/>
      <c r="B66" s="33" t="s">
        <v>23</v>
      </c>
      <c r="C66" s="33"/>
      <c r="D66" s="33"/>
      <c r="E66" s="33"/>
      <c r="F66" s="33"/>
      <c r="G66" s="33"/>
      <c r="H66" s="33"/>
      <c r="I66" s="33"/>
      <c r="J66" s="33"/>
      <c r="K66" s="33"/>
      <c r="L66" s="33"/>
      <c r="M66" s="33"/>
      <c r="N66" s="33"/>
      <c r="O66" s="33" t="str">
        <f t="shared" ca="1" si="39"/>
        <v xml:space="preserve"> </v>
      </c>
      <c r="P66" s="120">
        <f ca="1">SUM(BU18,P43)</f>
        <v>4</v>
      </c>
      <c r="CB66" s="35">
        <f t="shared" ca="1" si="43"/>
        <v>5</v>
      </c>
      <c r="CC66" s="36">
        <f ca="1">IF(BM12&gt;0,0,RAND())</f>
        <v>5.512768722050454E-2</v>
      </c>
      <c r="CD66" s="29" t="s">
        <v>17</v>
      </c>
    </row>
    <row r="67" spans="1:82" x14ac:dyDescent="0.3">
      <c r="A67" s="137"/>
      <c r="B67" s="33" t="s">
        <v>24</v>
      </c>
      <c r="C67" s="33"/>
      <c r="D67" s="33"/>
      <c r="E67" s="33"/>
      <c r="F67" s="33"/>
      <c r="G67" s="33"/>
      <c r="H67" s="33"/>
      <c r="I67" s="33"/>
      <c r="J67" s="33"/>
      <c r="K67" s="33"/>
      <c r="L67" s="33"/>
      <c r="M67" s="33"/>
      <c r="N67" s="33"/>
      <c r="O67" s="33" t="str">
        <f t="shared" ca="1" si="39"/>
        <v xml:space="preserve"> </v>
      </c>
      <c r="P67" s="120">
        <f ca="1">SUM(BU19,P43)</f>
        <v>4</v>
      </c>
      <c r="AJ67" s="31" t="s">
        <v>1168</v>
      </c>
      <c r="CB67" s="35">
        <f t="shared" ca="1" si="43"/>
        <v>4</v>
      </c>
      <c r="CC67" s="36">
        <f ca="1">IF(BM13&gt;0,0,RAND())</f>
        <v>0.1536496526162513</v>
      </c>
      <c r="CD67" s="29" t="s">
        <v>18</v>
      </c>
    </row>
    <row r="68" spans="1:82" x14ac:dyDescent="0.3">
      <c r="A68" s="137"/>
      <c r="B68" s="33" t="s">
        <v>25</v>
      </c>
      <c r="C68" s="33"/>
      <c r="D68" s="33"/>
      <c r="E68" s="33"/>
      <c r="F68" s="33"/>
      <c r="G68" s="33"/>
      <c r="H68" s="33"/>
      <c r="I68" s="33"/>
      <c r="J68" s="33"/>
      <c r="K68" s="33"/>
      <c r="L68" s="33"/>
      <c r="M68" s="33"/>
      <c r="N68" s="33"/>
      <c r="O68" s="33" t="str">
        <f t="shared" ca="1" si="39"/>
        <v xml:space="preserve"> </v>
      </c>
      <c r="P68" s="120">
        <f ca="1">SUM(BU20,P41)</f>
        <v>4</v>
      </c>
      <c r="AJ68" s="58">
        <f ca="1">IF(Table202337451793850907320[[#This Row],[Column2]]=0," ",_xlfn.RANK.EQ(AK68,$AK$68:$AK$77))</f>
        <v>1</v>
      </c>
      <c r="AK68" s="60">
        <f t="shared" ref="AK68:AK77" ca="1" si="44">IF(AL68=" ", 0,RAND())</f>
        <v>0.97821549287423759</v>
      </c>
      <c r="AL68" s="29" t="str">
        <f t="shared" ref="AL68:AL77" ca="1" si="45">S315</f>
        <v>Clairvoyance</v>
      </c>
      <c r="CB68" s="35">
        <f t="shared" ca="1" si="43"/>
        <v>1</v>
      </c>
      <c r="CC68" s="36">
        <f ca="1">IF(BM15&gt;0,0,RAND())</f>
        <v>0.85177473558947625</v>
      </c>
      <c r="CD68" s="29" t="s">
        <v>20</v>
      </c>
    </row>
    <row r="69" spans="1:82" x14ac:dyDescent="0.3">
      <c r="A69" s="137"/>
      <c r="B69" s="33" t="s">
        <v>26</v>
      </c>
      <c r="C69" s="33"/>
      <c r="D69" s="33"/>
      <c r="E69" s="33"/>
      <c r="F69" s="33"/>
      <c r="G69" s="33"/>
      <c r="H69" s="33"/>
      <c r="I69" s="33"/>
      <c r="J69" s="33"/>
      <c r="K69" s="33"/>
      <c r="L69" s="33"/>
      <c r="M69" s="33"/>
      <c r="N69" s="33"/>
      <c r="O69" s="33" t="str">
        <f t="shared" ca="1" si="39"/>
        <v xml:space="preserve"> </v>
      </c>
      <c r="P69" s="120">
        <f ca="1">SUM(BU21,P39)</f>
        <v>4</v>
      </c>
      <c r="AJ69" s="58">
        <f ca="1">IF(Table202337451793850907320[[#This Row],[Column2]]=0," ",_xlfn.RANK.EQ(AK69,$AK$68:$AK$77))</f>
        <v>7</v>
      </c>
      <c r="AK69" s="60">
        <f t="shared" ca="1" si="44"/>
        <v>0.65218420333609661</v>
      </c>
      <c r="AL69" s="29" t="str">
        <f t="shared" ca="1" si="45"/>
        <v>Protection from Energy</v>
      </c>
      <c r="CB69" s="35">
        <f t="shared" ca="1" si="43"/>
        <v>3</v>
      </c>
      <c r="CC69" s="36">
        <f ca="1">IF(BM19&gt;0,0,RAND())</f>
        <v>0.69087929247462887</v>
      </c>
      <c r="CD69" s="29" t="s">
        <v>24</v>
      </c>
    </row>
    <row r="70" spans="1:82" x14ac:dyDescent="0.3">
      <c r="A70" s="137"/>
      <c r="B70" s="33" t="s">
        <v>27</v>
      </c>
      <c r="C70" s="33"/>
      <c r="D70" s="33"/>
      <c r="E70" s="33"/>
      <c r="F70" s="33"/>
      <c r="G70" s="33"/>
      <c r="H70" s="33"/>
      <c r="I70" s="33"/>
      <c r="J70" s="33"/>
      <c r="K70" s="33"/>
      <c r="L70" s="33"/>
      <c r="M70" s="33"/>
      <c r="N70" s="33"/>
      <c r="O70" s="33" t="str">
        <f t="shared" ca="1" si="39"/>
        <v xml:space="preserve"> </v>
      </c>
      <c r="P70" s="120">
        <f ca="1">SUM(BU22,P39)</f>
        <v>4</v>
      </c>
      <c r="AJ70" s="58">
        <f ca="1">IF(Table202337451793850907320[[#This Row],[Column2]]=0," ",_xlfn.RANK.EQ(AK70,$AK$68:$AK$77))</f>
        <v>10</v>
      </c>
      <c r="AK70" s="60">
        <f t="shared" ca="1" si="44"/>
        <v>5.2695573532638318E-2</v>
      </c>
      <c r="AL70" s="29" t="str">
        <f t="shared" ca="1" si="45"/>
        <v>Magic Circle</v>
      </c>
      <c r="CB70" s="35">
        <f t="shared" ca="1" si="43"/>
        <v>2</v>
      </c>
      <c r="CC70" s="36">
        <f ca="1">IF(BM20&gt;0,0,RAND())</f>
        <v>0.69715515833248598</v>
      </c>
      <c r="CD70" s="29" t="s">
        <v>25</v>
      </c>
    </row>
    <row r="71" spans="1:82" x14ac:dyDescent="0.3">
      <c r="A71" s="137"/>
      <c r="B71" s="33" t="s">
        <v>28</v>
      </c>
      <c r="C71" s="33"/>
      <c r="D71" s="33"/>
      <c r="E71" s="33"/>
      <c r="F71" s="33"/>
      <c r="G71" s="33"/>
      <c r="H71" s="33"/>
      <c r="I71" s="33"/>
      <c r="J71" s="33"/>
      <c r="K71" s="33"/>
      <c r="L71" s="33"/>
      <c r="M71" s="33"/>
      <c r="N71" s="33"/>
      <c r="O71" s="33" t="str">
        <f t="shared" ca="1" si="39"/>
        <v>x</v>
      </c>
      <c r="P71" s="120">
        <f ca="1">SUM(BU23,P42)</f>
        <v>6</v>
      </c>
      <c r="AJ71" s="58">
        <f ca="1">IF(Table202337451793850907320[[#This Row],[Column2]]=0," ",_xlfn.RANK.EQ(AK71,$AK$68:$AK$77))</f>
        <v>2</v>
      </c>
      <c r="AK71" s="60">
        <f t="shared" ca="1" si="44"/>
        <v>0.92460244463686947</v>
      </c>
      <c r="AL71" s="29" t="str">
        <f t="shared" ca="1" si="45"/>
        <v>Vampiric Touch</v>
      </c>
    </row>
    <row r="72" spans="1:82" ht="19.5" thickBot="1" x14ac:dyDescent="0.35">
      <c r="A72" s="137"/>
      <c r="B72" s="38" t="str">
        <f>IF(O11="non-classed","Profession"," ")</f>
        <v xml:space="preserve"> </v>
      </c>
      <c r="C72" s="38"/>
      <c r="D72" s="38"/>
      <c r="E72" s="38"/>
      <c r="F72" s="38"/>
      <c r="G72" s="38"/>
      <c r="H72" s="38"/>
      <c r="I72" s="38"/>
      <c r="J72" s="38"/>
      <c r="K72" s="38"/>
      <c r="L72" s="38"/>
      <c r="M72" s="38"/>
      <c r="N72" s="38"/>
      <c r="O72" s="38" t="str">
        <f>IF(O11="non-classed","x"," ")</f>
        <v xml:space="preserve"> </v>
      </c>
      <c r="P72" s="121" t="str">
        <f>IF(O11="non-classed",P8*2," ")</f>
        <v xml:space="preserve"> </v>
      </c>
      <c r="AJ72" s="58">
        <f ca="1">IF(Table202337451793850907320[[#This Row],[Column2]]=0," ",_xlfn.RANK.EQ(AK72,$AK$68:$AK$77))</f>
        <v>9</v>
      </c>
      <c r="AK72" s="60">
        <f t="shared" ca="1" si="44"/>
        <v>0.30649044520407542</v>
      </c>
      <c r="AL72" s="29" t="str">
        <f t="shared" ca="1" si="45"/>
        <v>Sending</v>
      </c>
      <c r="CB72" s="31" t="s">
        <v>734</v>
      </c>
    </row>
    <row r="73" spans="1:82" ht="19.5" thickBot="1" x14ac:dyDescent="0.35">
      <c r="AJ73" s="58">
        <f ca="1">IF(Table202337451793850907320[[#This Row],[Column2]]=0," ",_xlfn.RANK.EQ(AK73,$AK$68:$AK$77))</f>
        <v>3</v>
      </c>
      <c r="AK73" s="60">
        <f t="shared" ca="1" si="44"/>
        <v>0.87091885232248001</v>
      </c>
      <c r="AL73" s="29" t="str">
        <f t="shared" ca="1" si="45"/>
        <v>Lightning Bolt</v>
      </c>
      <c r="CB73" s="35">
        <f t="shared" ref="CB73:CB81" ca="1" si="46">_xlfn.RANK.EQ(CC73,$CC$73:$CC$81)</f>
        <v>7</v>
      </c>
      <c r="CC73" s="36">
        <f ca="1">IF(BM7&gt;0,0,RAND())</f>
        <v>9.6390547910896074E-2</v>
      </c>
      <c r="CD73" s="29" t="s">
        <v>29</v>
      </c>
    </row>
    <row r="74" spans="1:82" ht="30.75" thickBot="1" x14ac:dyDescent="0.45">
      <c r="B74" s="106" t="s">
        <v>2716</v>
      </c>
      <c r="AJ74" s="58">
        <f ca="1">IF(Table202337451793850907320[[#This Row],[Column2]]=0," ",_xlfn.RANK.EQ(AK74,$AK$68:$AK$77))</f>
        <v>8</v>
      </c>
      <c r="AK74" s="60">
        <f t="shared" ca="1" si="44"/>
        <v>0.3568007653027736</v>
      </c>
      <c r="AL74" s="29" t="str">
        <f t="shared" ca="1" si="45"/>
        <v>Water Breathing</v>
      </c>
      <c r="CB74" s="35">
        <f t="shared" ca="1" si="46"/>
        <v>8</v>
      </c>
      <c r="CC74" s="36">
        <f ca="1">IF(BM9&gt;0,0,RAND())</f>
        <v>0</v>
      </c>
      <c r="CD74" s="29" t="s">
        <v>14</v>
      </c>
    </row>
    <row r="75" spans="1:82" ht="19.5" thickBot="1" x14ac:dyDescent="0.35">
      <c r="B75" s="55" t="s">
        <v>52</v>
      </c>
      <c r="O75" s="53" t="s">
        <v>121</v>
      </c>
      <c r="P75" s="26" t="s">
        <v>46</v>
      </c>
      <c r="Q75" s="61"/>
      <c r="R75" s="28"/>
      <c r="AJ75" s="58">
        <f ca="1">IF(Table202337451793850907320[[#This Row],[Column2]]=0," ",_xlfn.RANK.EQ(AK75,$AK$68:$AK$77))</f>
        <v>4</v>
      </c>
      <c r="AK75" s="60">
        <f t="shared" ca="1" si="44"/>
        <v>0.70863986334913553</v>
      </c>
      <c r="AL75" s="29" t="str">
        <f t="shared" ca="1" si="45"/>
        <v>Gaseous Form</v>
      </c>
      <c r="CB75" s="35">
        <f t="shared" ca="1" si="46"/>
        <v>3</v>
      </c>
      <c r="CC75" s="36">
        <f ca="1">IF(BM12&gt;0,0,RAND())</f>
        <v>0.7011733183971206</v>
      </c>
      <c r="CD75" s="29" t="s">
        <v>17</v>
      </c>
    </row>
    <row r="76" spans="1:82" ht="19.5" thickTop="1" x14ac:dyDescent="0.3">
      <c r="B76" s="56" t="str">
        <f ca="1">IF(OR(O11="warlock",Q11="warlock",P2="mountain",O11="barbarian",O11="bard",Q11="barbarian",O11="cleric",Q11="bard",Q11="cleric",O11="druid",Q11="druid",O11="fighter",Q11="fighter",O11="paladin",Q11="paladin",O11="ranger",Q11="ranger",O11="rogue",Q11="rogue"),"Light Armor"," ")</f>
        <v xml:space="preserve"> </v>
      </c>
      <c r="O76" s="33" t="str">
        <f ca="1">IF(Q2="dwarf",VLOOKUP(RANDBETWEEN(1,3),Table3[],2),IF(P2="rock","Artisan's Tools"," "))</f>
        <v xml:space="preserve"> </v>
      </c>
      <c r="P76" s="62" t="str">
        <f>IF(OR(O11="warlock",Q11="warlock",O11="barbarian",O11="bard",Q11="barbarian",Q11="bard",O11="cleric",O11="fighter",Q11="fighter",O11="monk",Q11="monk",O11="paladin",Q11="paladin",O11="ranger",Q11="ranger",O11="rogue"),"Simple Weapons",IF(Q2="dwarf","Handaxe"," "))</f>
        <v xml:space="preserve"> </v>
      </c>
      <c r="Q76" s="60" t="str">
        <f ca="1">IF(AND(P76&lt;&gt;"simple weapons",OR($O$11="druid",O11="non-classed")),"Club",IF(P80="shortsword"," ",IF(AND(P77&lt;&gt;"martial weapons",OR(O11="monk",O11="bard",Q11="monk",O11="rogue")),"Shortsword"," ")))</f>
        <v xml:space="preserve"> </v>
      </c>
      <c r="R76" s="63" t="str">
        <f>IF(AND(P76&lt;&gt;"simple weapons",OR($O$11="druid",O11="sorcerer",O11="wizard",O11="non-classed")),"Quarterstaff"," ")</f>
        <v>Quarterstaff</v>
      </c>
      <c r="AJ76" s="58">
        <f ca="1">IF(Table202337451793850907320[[#This Row],[Column2]]=0," ",_xlfn.RANK.EQ(AK76,$AK$68:$AK$77))</f>
        <v>5</v>
      </c>
      <c r="AK76" s="60">
        <f t="shared" ca="1" si="44"/>
        <v>0.70197604446720485</v>
      </c>
      <c r="AL76" s="29" t="str">
        <f t="shared" ca="1" si="45"/>
        <v>Tongues</v>
      </c>
      <c r="CB76" s="35">
        <f t="shared" ca="1" si="46"/>
        <v>2</v>
      </c>
      <c r="CC76" s="36">
        <f ca="1">IF(BM13&gt;0,0,RAND())</f>
        <v>0.78863596306535344</v>
      </c>
      <c r="CD76" s="29" t="s">
        <v>18</v>
      </c>
    </row>
    <row r="77" spans="1:82" x14ac:dyDescent="0.3">
      <c r="B77" s="56" t="str">
        <f ca="1">IF(OR(P2="mountain",O11="barbarian",Q11="barbarian",P15="college of valor",R15="college of valor",O11="cleric",Q11="cleric",O11="druid",Q11="druid",O11="fighter",Q11="fighter",O11="paladin",Q11="paladin",O11="ranger",Q11="ranger"),"Medium Armor"," ")</f>
        <v xml:space="preserve"> </v>
      </c>
      <c r="O77" s="33" t="str">
        <f ca="1">IF(AND(O11="monk",AF23=2),INDEX('Class Tables'!F25:F34,MATCH(1,('Class Tables'!D25:D34),0)),IF(AND(O11="monk",AF23=1),INDEX('Class Tables'!J80:J95,MATCH(1,('Class Tables'!I80:I95),0)),IF(P15="battle master",VLOOKUP(RANDBETWEEN(1,16),Table79[],2),IF(OR($O$11="bard"),INDEX('Class Tables'!$F$25:$F$34,MATCH(1,('Class Tables'!$D$25:$D$34),0))," "))))</f>
        <v xml:space="preserve"> </v>
      </c>
      <c r="P77" s="64" t="str">
        <f ca="1">IF(OR($O$11="barbarian",Q11="barbarian",P15="college of valor",R15="college of valor",R15="tempest",P15="tempest",P15="war",R15="war",O11="fighter",Q11="fighter",O11="paladin",Q11="paladin",O11="ranger",Q11="ranger"),"Martial Weapons",IF($Q$2="dwarf","Battleaxe",IF(OR($P$2="high",$P$2="wood"),"Longsword",IF($P$2="dark","Rapier"," "))))</f>
        <v>Rapier</v>
      </c>
      <c r="Q77" s="65" t="str">
        <f>IF(AND(OR($O$11="druid",O11="sorcerer",O11="wizard",O11="non-classed"),P76&lt;&gt;"Simple weapons"),"Dagger",IF(AND(O11="bard",P77&lt;&gt;"Martial Weapons"),"Hand Crossbow",IF(AND(O11="rogue",P77&lt;&gt;"martial weapons"),"Hand Crossbow"," ")))</f>
        <v>Dagger</v>
      </c>
      <c r="R77" s="66" t="str">
        <f ca="1">IF(AND(P77&lt;&gt;"martial weapons",$O$11="druid"),"Scimitar"," ")</f>
        <v xml:space="preserve"> </v>
      </c>
      <c r="AJ77" s="58">
        <f ca="1">IF(Table202337451793850907320[[#This Row],[Column2]]=0," ",_xlfn.RANK.EQ(AK77,$AK$68:$AK$77))</f>
        <v>6</v>
      </c>
      <c r="AK77" s="60">
        <f t="shared" ca="1" si="44"/>
        <v>0.6783959682175289</v>
      </c>
      <c r="AL77" s="29" t="str">
        <f t="shared" ca="1" si="45"/>
        <v>Stinking Cloud</v>
      </c>
      <c r="CB77" s="35">
        <f t="shared" ca="1" si="46"/>
        <v>1</v>
      </c>
      <c r="CC77" s="36">
        <f ca="1">IF(BM14&gt;0,0,RAND())</f>
        <v>0.87558372567271192</v>
      </c>
      <c r="CD77" s="29" t="s">
        <v>19</v>
      </c>
    </row>
    <row r="78" spans="1:82" x14ac:dyDescent="0.3">
      <c r="B78" s="56" t="str">
        <f ca="1">IF(OR(O11="barbarian",Q11="barbarian",R15="college of valor",P15="college of valor",O11="cleric",Q11="cleric",O11="druid",Q11="Druid",O11="fighter",Q11="fighter",O11="paladin",Q11="paladin",O11="ranger",Q11="ranger"),"Shields"," ")</f>
        <v xml:space="preserve"> </v>
      </c>
      <c r="O78" s="33" t="str">
        <f>IF(OR($O$11="bard"),INDEX('Class Tables'!$F$25:$F$34,MATCH(2,('Class Tables'!$D$25:$D$34),0))," ")</f>
        <v xml:space="preserve"> </v>
      </c>
      <c r="P78" s="62" t="str">
        <f ca="1">IF(AND(P76&lt;&gt;"Simple Weapons",Q2="dwarf"),"Light Hammer",IF(AND(P2="high",P76&lt;&gt;"Simple Weapons"),"Shortbow",IF(AND(P76&lt;&gt;"Simple Weapons",P2="wood"),"Shortbow",IF(AND(P2="dark",P77&lt;&gt;"Martial Weapons"),"Hand Crossbow"," "))))</f>
        <v>Hand Crossbow</v>
      </c>
      <c r="Q78" s="60" t="str">
        <f>IF(AND(OR($O$11="druid",O11="sorcerer",O11="wizard"),P76&lt;&gt;"Simple weapons"),"Dart",IF(AND(P77&lt;&gt;"martial weapons",OR(O11="bard",O11="rogue")),"Longsword"," "))</f>
        <v>Dart</v>
      </c>
      <c r="R78" s="63" t="str">
        <f>IF(AND(P76&lt;&gt;"simple weapons",$O$11="druid"),"Sickle"," ")</f>
        <v xml:space="preserve"> </v>
      </c>
      <c r="CB78" s="35">
        <f t="shared" ca="1" si="46"/>
        <v>6</v>
      </c>
      <c r="CC78" s="36">
        <f ca="1">IF(BM16&gt;0,0,RAND())</f>
        <v>0.33792514027056209</v>
      </c>
      <c r="CD78" s="29" t="s">
        <v>21</v>
      </c>
    </row>
    <row r="79" spans="1:82" x14ac:dyDescent="0.3">
      <c r="B79" s="33" t="str">
        <f ca="1">IF(OR(P15="life",R15="life",P15="nature",R15="nature",P15="tempest",R15="tempest",P15="war",R15="war",O11="fighter",Q11="fighter",O11="paladin"),"Heavy Armor"," ")</f>
        <v xml:space="preserve"> </v>
      </c>
      <c r="O79" s="33" t="str">
        <f>IF(OR($O$11="bard",$Q$11="bard"),INDEX('Class Tables'!$F$25:$F$34,MATCH(3,('Class Tables'!$D$25:$D$34),0))," ")</f>
        <v xml:space="preserve"> </v>
      </c>
      <c r="P79" s="64" t="str">
        <f ca="1">IF(P77="martial weapons"," ",IF(Q2="dwarf","Warhammer",IF(OR(P2="high",P2="wood"),"Longbow"," ")))</f>
        <v xml:space="preserve"> </v>
      </c>
      <c r="Q79" s="65" t="str">
        <f>IF(AND($O$11="druid",P76&lt;&gt;"simple weapons"),"Javelin",IF(AND(O11="sorcerer",P76&lt;&gt;"simple weapons"),"Light Crossbow",IF(AND(O11="wizard",P76&lt;&gt;"simple weapons"),"Light Crossbow",IF(AND(OR(O11="bard",O11="rogue"),P77&lt;&gt;"martial weapons"),"Rapier"," "))))</f>
        <v>Light Crossbow</v>
      </c>
      <c r="R79" s="66" t="str">
        <f>IF(AND(P76&lt;&gt;"simple weapons",OR($O$11="druid",O11="sorcerer",O11="wizard")),"Sling"," ")</f>
        <v>Sling</v>
      </c>
      <c r="AJ79" s="31" t="s">
        <v>676</v>
      </c>
      <c r="CB79" s="35">
        <f t="shared" ca="1" si="46"/>
        <v>5</v>
      </c>
      <c r="CC79" s="36">
        <f ca="1">IF(BM17&gt;0,0,RAND())</f>
        <v>0.33913321503274185</v>
      </c>
      <c r="CD79" s="29" t="s">
        <v>22</v>
      </c>
    </row>
    <row r="80" spans="1:82" ht="19.5" thickBot="1" x14ac:dyDescent="0.35">
      <c r="O80" s="33" t="str">
        <f ca="1">IF(OR(O11="druid",S11="hermit"),"Herbalism Kit"," ")</f>
        <v xml:space="preserve"> </v>
      </c>
      <c r="P80" s="51" t="str">
        <f ca="1">IF(AND(P77&lt;&gt;"martial weapons",OR(P2="high",P2="wood",P2="dark")),"Shortsword"," ")</f>
        <v>Shortsword</v>
      </c>
      <c r="Q80" s="67" t="str">
        <f>IF(AND(P76&lt;&gt;"simple weapons",$O$11="druid"),"Mace"," ")</f>
        <v xml:space="preserve"> </v>
      </c>
      <c r="R80" s="68" t="str">
        <f>IF(AND(P76&lt;&gt;"simple weapons",$O$11="druid"),"Spear"," ")</f>
        <v xml:space="preserve"> </v>
      </c>
      <c r="AJ80" s="58">
        <f ca="1">IF(Table203338452794851908321[[#This Row],[Column2]]=0," ",_xlfn.RANK.EQ(AK80,$AK$80:$AK$89))</f>
        <v>5</v>
      </c>
      <c r="AK80" s="60">
        <f t="shared" ref="AK80:AK89" ca="1" si="47">IF(AL80=" ", 0,RAND())</f>
        <v>8.2432923658240842E-2</v>
      </c>
      <c r="AL80" s="29" t="str">
        <f t="shared" ref="AL80:AL89" ca="1" si="48">T315</f>
        <v>Blight</v>
      </c>
      <c r="CB80" s="35">
        <f t="shared" ca="1" si="46"/>
        <v>4</v>
      </c>
      <c r="CC80" s="36">
        <f ca="1">IF(BM22&gt;0,0,RAND())</f>
        <v>0.50091307936844043</v>
      </c>
      <c r="CD80" s="29" t="s">
        <v>27</v>
      </c>
    </row>
    <row r="81" spans="1:82" x14ac:dyDescent="0.3">
      <c r="O81" s="33" t="str">
        <f ca="1">IF(AND(AF25=2,OR(O11="rogue",Q11="rogue")),"Thieves' Tools - Expert",IF(OR(O11="rogue",Q11="rogue"),"Thieves' Tools"," "))</f>
        <v xml:space="preserve"> </v>
      </c>
      <c r="AJ81" s="58">
        <f ca="1">IF(Table203338452794851908321[[#This Row],[Column2]]=0," ",_xlfn.RANK.EQ(AK81,$AK$80:$AK$89))</f>
        <v>3</v>
      </c>
      <c r="AK81" s="60">
        <f t="shared" ca="1" si="47"/>
        <v>0.7206690674000561</v>
      </c>
      <c r="AL81" s="29" t="str">
        <f t="shared" ca="1" si="48"/>
        <v>Ice Storm</v>
      </c>
      <c r="CB81" s="35">
        <f t="shared" ca="1" si="46"/>
        <v>8</v>
      </c>
      <c r="CC81" s="36">
        <f ca="1">IF(BM23&gt;0,0,RAND())</f>
        <v>0</v>
      </c>
      <c r="CD81" s="29" t="s">
        <v>28</v>
      </c>
    </row>
    <row r="82" spans="1:82" x14ac:dyDescent="0.3">
      <c r="O82" s="33" t="str">
        <f ca="1">IF(P15="assassin","Disguise Kit"," ")</f>
        <v xml:space="preserve"> </v>
      </c>
      <c r="AJ82" s="58">
        <f ca="1">IF(Table203338452794851908321[[#This Row],[Column2]]=0," ",_xlfn.RANK.EQ(AK82,$AK$80:$AK$89))</f>
        <v>2</v>
      </c>
      <c r="AK82" s="60">
        <f t="shared" ca="1" si="47"/>
        <v>0.82445236652731879</v>
      </c>
      <c r="AL82" s="29" t="str">
        <f t="shared" ca="1" si="48"/>
        <v>Polymorph</v>
      </c>
    </row>
    <row r="83" spans="1:82" x14ac:dyDescent="0.3">
      <c r="O83" s="33" t="str">
        <f ca="1">IF(P15="assassin","Poisoner's Kit"," ")</f>
        <v xml:space="preserve"> </v>
      </c>
      <c r="AJ83" s="58">
        <f ca="1">IF(Table203338452794851908321[[#This Row],[Column2]]=0," ",_xlfn.RANK.EQ(AK83,$AK$80:$AK$89))</f>
        <v>6</v>
      </c>
      <c r="AK83" s="60">
        <f t="shared" ca="1" si="47"/>
        <v>3.5538796897006009E-2</v>
      </c>
      <c r="AL83" s="29" t="str">
        <f t="shared" ca="1" si="48"/>
        <v>Fabricate</v>
      </c>
      <c r="CB83" s="31" t="s">
        <v>735</v>
      </c>
    </row>
    <row r="84" spans="1:82" x14ac:dyDescent="0.3">
      <c r="O84" s="33" t="str">
        <f ca="1">IF(S11="soldier",VLOOKUP(RANDBETWEEN(1,4),Table258[],2),IF(OR(S11="sailor",S11="pirate"),"Navigator's Tools",IF(OR(S11="folk hero",S11="Guild Artisan"),VLOOKUP(RANDBETWEEN(1,16),Table79[],2),IF(AND(OR(S11="criminal",S11="urchin"),OR(O81&lt;&gt;"Thieves' Tools",O81&lt;&gt;"Thieves' Tools - Expert")),"Thieves' Tools",IF(AND(OR(S11="charlatan",S11="entertainer"),O82&lt;&gt;"Disguise Kit"),"Disguise Kit"," ")))))</f>
        <v xml:space="preserve"> </v>
      </c>
      <c r="AJ84" s="58">
        <f ca="1">IF(Table203338452794851908321[[#This Row],[Column2]]=0," ",_xlfn.RANK.EQ(AK84,$AK$80:$AK$89))</f>
        <v>4</v>
      </c>
      <c r="AK84" s="60">
        <f t="shared" ca="1" si="47"/>
        <v>0.34314783210538113</v>
      </c>
      <c r="AL84" s="29" t="str">
        <f t="shared" ca="1" si="48"/>
        <v>Wall of Fire</v>
      </c>
      <c r="CB84" s="35">
        <f t="shared" ref="CB84:CB94" ca="1" si="49">_xlfn.RANK.EQ(CC84,$CC$84:$CC$94)</f>
        <v>7</v>
      </c>
      <c r="CC84" s="36">
        <f ca="1">IF(BM6&gt;0,0,RAND())</f>
        <v>0.30840943262804521</v>
      </c>
      <c r="CD84" s="29" t="s">
        <v>12</v>
      </c>
    </row>
    <row r="85" spans="1:82" x14ac:dyDescent="0.3">
      <c r="O85" s="33" t="str">
        <f ca="1">IF(AND(S11="urchin",O82&lt;&gt;"Disguise Kit"),"Disguise Kit",IF(OR(S11="Sailor",S11="pirate"),"Vehicles (Water)",IF(OR(S11="folk hero",S11="Soldier"),"Vehicles (Land)",IF(OR(S11="entertainer",S11="outlander"),INDEX('Class Tables'!$F$25:$F$34,MATCH(4,('Class Tables'!$D$25:$D$34),0)),IF(OR(S11="criminal",S11="noble",S11="knight"),VLOOKUP(RANDBETWEEN(1,4),Table258[],2),IF(S11="charlatan","Forgery Kit"," "))))))</f>
        <v>Viol</v>
      </c>
      <c r="AJ85" s="58">
        <f ca="1">IF(Table203338452794851908321[[#This Row],[Column2]]=0," ",_xlfn.RANK.EQ(AK85,$AK$80:$AK$89))</f>
        <v>1</v>
      </c>
      <c r="AK85" s="60">
        <f t="shared" ca="1" si="47"/>
        <v>0.90206096927398016</v>
      </c>
      <c r="AL85" s="29" t="str">
        <f t="shared" ca="1" si="48"/>
        <v>Arcane Eye</v>
      </c>
      <c r="CB85" s="35">
        <f t="shared" ca="1" si="49"/>
        <v>11</v>
      </c>
      <c r="CC85" s="36">
        <f ca="1">IF(BM9&gt;0,0,RAND())</f>
        <v>0</v>
      </c>
      <c r="CD85" s="29" t="s">
        <v>14</v>
      </c>
    </row>
    <row r="86" spans="1:82" ht="19.5" thickBot="1" x14ac:dyDescent="0.35">
      <c r="AJ86" s="58" t="str">
        <f ca="1">IF(Table203338452794851908321[[#This Row],[Column2]]=0," ",_xlfn.RANK.EQ(AK86,$AK$80:$AK$89))</f>
        <v xml:space="preserve"> </v>
      </c>
      <c r="AK86" s="60">
        <f t="shared" ca="1" si="47"/>
        <v>0</v>
      </c>
      <c r="AL86" s="29" t="str">
        <f t="shared" ca="1" si="48"/>
        <v xml:space="preserve"> </v>
      </c>
      <c r="CB86" s="35">
        <f t="shared" ca="1" si="49"/>
        <v>9</v>
      </c>
      <c r="CC86" s="36">
        <f ca="1">IF(BM10&gt;0,0,RAND())</f>
        <v>0.14158038405573081</v>
      </c>
      <c r="CD86" s="29" t="s">
        <v>15</v>
      </c>
    </row>
    <row r="87" spans="1:82" ht="30.75" thickBot="1" x14ac:dyDescent="0.45">
      <c r="A87" s="72"/>
      <c r="B87" s="128" t="s">
        <v>1953</v>
      </c>
      <c r="AJ87" s="58" t="str">
        <f ca="1">IF(Table203338452794851908321[[#This Row],[Column2]]=0," ",_xlfn.RANK.EQ(AK87,$AK$80:$AK$89))</f>
        <v xml:space="preserve"> </v>
      </c>
      <c r="AK87" s="60">
        <f t="shared" ca="1" si="47"/>
        <v>0</v>
      </c>
      <c r="AL87" s="29" t="str">
        <f t="shared" ca="1" si="48"/>
        <v xml:space="preserve"> </v>
      </c>
      <c r="CB87" s="35">
        <f t="shared" ca="1" si="49"/>
        <v>10</v>
      </c>
      <c r="CC87" s="36">
        <f ca="1">IF(BM12&gt;0,0,RAND())</f>
        <v>0.12717796837068907</v>
      </c>
      <c r="CD87" s="29" t="s">
        <v>17</v>
      </c>
    </row>
    <row r="88" spans="1:82" x14ac:dyDescent="0.3">
      <c r="A88" s="115"/>
      <c r="B88" s="130" t="s">
        <v>1952</v>
      </c>
      <c r="C88" s="130"/>
      <c r="D88" s="130"/>
      <c r="E88" s="130"/>
      <c r="F88" s="130"/>
      <c r="G88" s="130"/>
      <c r="H88" s="130"/>
      <c r="I88" s="130"/>
      <c r="J88" s="130"/>
      <c r="K88" s="130"/>
      <c r="L88" s="130"/>
      <c r="M88" s="130"/>
      <c r="N88" s="130"/>
      <c r="O88" s="130" t="s">
        <v>1954</v>
      </c>
      <c r="P88" s="130" t="s">
        <v>1955</v>
      </c>
      <c r="Q88" s="130" t="s">
        <v>1956</v>
      </c>
      <c r="R88" s="130" t="s">
        <v>1088</v>
      </c>
      <c r="S88" s="130" t="s">
        <v>2480</v>
      </c>
      <c r="T88" s="130" t="s">
        <v>1957</v>
      </c>
      <c r="AJ88" s="58" t="str">
        <f ca="1">IF(Table203338452794851908321[[#This Row],[Column2]]=0," ",_xlfn.RANK.EQ(AK88,$AK$80:$AK$89))</f>
        <v xml:space="preserve"> </v>
      </c>
      <c r="AK88" s="60">
        <f t="shared" ca="1" si="47"/>
        <v>0</v>
      </c>
      <c r="AL88" s="29" t="str">
        <f t="shared" ca="1" si="48"/>
        <v xml:space="preserve"> </v>
      </c>
      <c r="CB88" s="35">
        <f t="shared" ca="1" si="49"/>
        <v>1</v>
      </c>
      <c r="CC88" s="36">
        <f ca="1">IF(BM13&gt;0,0,RAND())</f>
        <v>0.88343450354251662</v>
      </c>
      <c r="CD88" s="29" t="s">
        <v>18</v>
      </c>
    </row>
    <row r="89" spans="1:82" x14ac:dyDescent="0.3">
      <c r="A89" s="137"/>
      <c r="B89" s="33" t="str">
        <f ca="1">IF(OR(O15="unarmored defense",O16="unarmored defense",Q15="unarmored defense",Q16="unarmored defense"),"Unarmored Defense",IF(B79="heavy armor",VLOOKUP(RANDBETWEEN(1,4),Table286[],2),IF(B77="medium armor",VLOOKUP(RANDBETWEEN(1,5),Table285[],2),IF(B76="light armor",VLOOKUP(RANDBETWEEN(1,3),Table284[],2),VLOOKUP(RANDBETWEEN(1,3),Table291[],2)))))</f>
        <v>Fine Clothes</v>
      </c>
      <c r="C89" s="33"/>
      <c r="D89" s="33"/>
      <c r="E89" s="33"/>
      <c r="F89" s="33"/>
      <c r="G89" s="33"/>
      <c r="H89" s="33"/>
      <c r="I89" s="33"/>
      <c r="J89" s="33"/>
      <c r="K89" s="33"/>
      <c r="L89" s="33"/>
      <c r="M89" s="33"/>
      <c r="N89" s="33"/>
      <c r="O89" s="33">
        <f ca="1">IF(B89="unarmored Defense",10,INDEX(Items!C2:C22,MATCH(B89,(Items!B2:B22),0)))</f>
        <v>10</v>
      </c>
      <c r="P89" s="33">
        <f ca="1">IF(OR(B89="ring mail",B89="chain mail",B89="splint",B89="plate"),0,IF(B89="fine clothes",P39,IF(B89="common clothes",P39,IF(B89="traveler's clothes",P39,IF(B89="unarmored defense",P39,IF(B89="padded",P39,IF(B89="leather",P39,IF(B89="Studded Leather",P39,IF(B89="Hide",MIN(2,(P39)),IF(B89="chain shirt",MIN(2,(P39)),IF(B89="scale mail",MIN(2,(P39)),IF(B89="breastplate",MIN(2,(P39)),IF(B89="half plate",MIN(2,(Q2)),0)))))))))))))</f>
        <v>4</v>
      </c>
      <c r="Q89" s="33">
        <f ca="1">IF(AND(B89="unarmored defense",OR(O11="barbarian",Q11="barbarian")),P40,IF(AND(B89="unarmored defense",OR(O11="monk",Q11="monk")),P42,IF(AND(OR(O17="defense style",Q17="defense style",P18="defense style",O15="defense style",S18="defense style",Q15="defense style"),B89&lt;&gt;"unarmored defense"),2,0)))</f>
        <v>0</v>
      </c>
      <c r="R89" s="33">
        <f ca="1">IF(AND(B90="shield",COUNTIF(B109:P109,"*"&amp;"Shield +3"&amp;"*")),5,IF(AND(B90="shield",COUNTIF(B109:P109,"*"&amp;"Shield +2"&amp;"*")),4,IF(AND(B90="shield",COUNTIF(B109:P109,"*"&amp;"Shield +1"&amp;"*")),3,IF(B90="shield",2,0))))</f>
        <v>0</v>
      </c>
      <c r="S89" s="29">
        <f ca="1">IF(COUNTIF(B109:P109,"*"&amp;"Armor +3"&amp;"*"),3,IF(COUNTIF(B109:P109,"*"&amp;"Armor +2"&amp;"*"),2,IF(COUNTIF(B109:P109,"*"&amp;"Armor +1"&amp;"*"),1," ")))</f>
        <v>2</v>
      </c>
      <c r="T89" s="33">
        <f ca="1">SUM(C89:S89)</f>
        <v>16</v>
      </c>
      <c r="AJ89" s="58" t="str">
        <f ca="1">IF(Table203338452794851908321[[#This Row],[Column2]]=0," ",_xlfn.RANK.EQ(AK89,$AK$80:$AK$89))</f>
        <v xml:space="preserve"> </v>
      </c>
      <c r="AK89" s="60">
        <f t="shared" ca="1" si="47"/>
        <v>0</v>
      </c>
      <c r="AL89" s="29" t="str">
        <f t="shared" ca="1" si="48"/>
        <v xml:space="preserve"> </v>
      </c>
      <c r="CB89" s="35">
        <f t="shared" ca="1" si="49"/>
        <v>5</v>
      </c>
      <c r="CC89" s="36">
        <f ca="1">IF(BM14&gt;0,0,RAND())</f>
        <v>0.55828112168844524</v>
      </c>
      <c r="CD89" s="29" t="s">
        <v>19</v>
      </c>
    </row>
    <row r="90" spans="1:82" x14ac:dyDescent="0.3">
      <c r="A90" s="137"/>
      <c r="B90" s="33" t="str">
        <f ca="1">IF(B78="shields","Shield"," ")</f>
        <v xml:space="preserve"> </v>
      </c>
      <c r="C90" s="33"/>
      <c r="D90" s="33"/>
      <c r="E90" s="33"/>
      <c r="F90" s="33"/>
      <c r="G90" s="33"/>
      <c r="H90" s="33"/>
      <c r="I90" s="33"/>
      <c r="J90" s="33"/>
      <c r="K90" s="33"/>
      <c r="L90" s="33"/>
      <c r="M90" s="33"/>
      <c r="N90" s="33"/>
      <c r="O90" s="33"/>
      <c r="P90" s="33"/>
      <c r="Q90" s="33"/>
      <c r="R90" s="33"/>
      <c r="S90" s="33"/>
      <c r="CB90" s="35">
        <f t="shared" ca="1" si="49"/>
        <v>6</v>
      </c>
      <c r="CC90" s="36">
        <f ca="1">IF(BM17&gt;0,0,RAND())</f>
        <v>0.49756639180429241</v>
      </c>
      <c r="CD90" s="29" t="s">
        <v>22</v>
      </c>
    </row>
    <row r="91" spans="1:82" x14ac:dyDescent="0.3">
      <c r="A91" s="137"/>
      <c r="B91" s="69" t="s">
        <v>1962</v>
      </c>
      <c r="C91" s="69"/>
      <c r="D91" s="69"/>
      <c r="E91" s="69"/>
      <c r="F91" s="69"/>
      <c r="G91" s="69"/>
      <c r="H91" s="69"/>
      <c r="I91" s="69"/>
      <c r="J91" s="69"/>
      <c r="K91" s="69"/>
      <c r="L91" s="69"/>
      <c r="M91" s="69"/>
      <c r="N91" s="69"/>
      <c r="O91" s="69" t="s">
        <v>1963</v>
      </c>
      <c r="P91" s="69" t="s">
        <v>1982</v>
      </c>
      <c r="Q91" s="70" t="s">
        <v>1983</v>
      </c>
      <c r="R91" s="71" t="s">
        <v>2715</v>
      </c>
      <c r="S91" s="30"/>
      <c r="AJ91" s="31" t="s">
        <v>1169</v>
      </c>
      <c r="CB91" s="35">
        <f t="shared" ca="1" si="49"/>
        <v>3</v>
      </c>
      <c r="CC91" s="36">
        <f ca="1">IF(BM18&gt;0,0,RAND())</f>
        <v>0.60072322035674397</v>
      </c>
      <c r="CD91" s="29" t="s">
        <v>23</v>
      </c>
    </row>
    <row r="92" spans="1:82" x14ac:dyDescent="0.3">
      <c r="A92" s="137"/>
      <c r="B92" s="33" t="str">
        <f ca="1">IF(P77="martial weapons",VLOOKUP(RANDBETWEEN(1,18),Table289[],2),IF(P76="simple weapons",VLOOKUP(RANDBETWEEN(1,10),Table287[],2),INDEX(AQ45:AQ59,MATCH(1,(AO45:AO59),0))))</f>
        <v>Quarterstaff</v>
      </c>
      <c r="C92" s="33"/>
      <c r="D92" s="33"/>
      <c r="E92" s="33"/>
      <c r="F92" s="33"/>
      <c r="G92" s="33"/>
      <c r="H92" s="33"/>
      <c r="I92" s="33"/>
      <c r="J92" s="33"/>
      <c r="K92" s="33"/>
      <c r="L92" s="33"/>
      <c r="M92" s="33"/>
      <c r="N92" s="33"/>
      <c r="O92" s="33" t="str">
        <f ca="1">INDEX(Items!$G$2:$G$44,MATCH(B92,(Items!$F$2:$F$44),0))</f>
        <v>1d6b</v>
      </c>
      <c r="P92" s="33" t="str">
        <f ca="1">INDEX(Items!$I$2:$I$44,MATCH(B92,(Items!$F$2:$F$44),0))</f>
        <v>1d8b</v>
      </c>
      <c r="Q92" s="72" t="str">
        <f ca="1">INDEX(Items!$H$2:$H$44,MATCH(B92,(Items!$F$2:$F$44),0))</f>
        <v>n/a</v>
      </c>
      <c r="R92" s="30"/>
      <c r="S92" s="30"/>
      <c r="AJ92" s="58">
        <f ca="1">IF(Table204339453795852909322[[#This Row],[Column2]]=0," ",_xlfn.RANK.EQ(AK92,$AK$92:$AK$101))</f>
        <v>5</v>
      </c>
      <c r="AK92" s="60">
        <f t="shared" ref="AK92:AK101" ca="1" si="50">IF(AL92=" ", 0,RAND())</f>
        <v>0.14619855725443953</v>
      </c>
      <c r="AL92" s="29" t="str">
        <f t="shared" ref="AL92:AL101" ca="1" si="51">P334</f>
        <v>Animate Objects</v>
      </c>
      <c r="CB92" s="35">
        <f t="shared" ca="1" si="49"/>
        <v>4</v>
      </c>
      <c r="CC92" s="36">
        <f ca="1">IF(BM19&gt;0,0,RAND())</f>
        <v>0.59299760483756536</v>
      </c>
      <c r="CD92" s="29" t="s">
        <v>24</v>
      </c>
    </row>
    <row r="93" spans="1:82" x14ac:dyDescent="0.3">
      <c r="A93" s="137"/>
      <c r="B93" s="33" t="str">
        <f ca="1">IF(P77="martial weapons",VLOOKUP(RANDBETWEEN(1,18),Table289[],2),IF(P76="simple weapons",VLOOKUP(RANDBETWEEN(1,10),Table287[],2),INDEX(AQ45:AQ59,MATCH(2,(AO45:AO59),0))))</f>
        <v>Sling</v>
      </c>
      <c r="C93" s="33"/>
      <c r="D93" s="33"/>
      <c r="E93" s="33"/>
      <c r="F93" s="33"/>
      <c r="G93" s="33"/>
      <c r="H93" s="33"/>
      <c r="I93" s="33"/>
      <c r="J93" s="33"/>
      <c r="K93" s="33"/>
      <c r="L93" s="33"/>
      <c r="M93" s="33"/>
      <c r="N93" s="33"/>
      <c r="O93" s="33" t="str">
        <f ca="1">INDEX(Items!$G$2:$G$44,MATCH(B93,(Items!$F$2:$F$44),0))</f>
        <v>1d4b</v>
      </c>
      <c r="P93" s="33" t="str">
        <f ca="1">INDEX(Items!$I$2:$I$44,MATCH(B93,(Items!$F$2:$F$44),0))</f>
        <v>n/a</v>
      </c>
      <c r="Q93" s="72" t="str">
        <f ca="1">INDEX(Items!$H$2:$H$44,MATCH(B93,(Items!$F$2:$F$44),0))</f>
        <v>Ammo,30/120</v>
      </c>
      <c r="R93" s="30"/>
      <c r="S93" s="30"/>
      <c r="AJ93" s="58">
        <f ca="1">IF(Table204339453795852909322[[#This Row],[Column2]]=0," ",_xlfn.RANK.EQ(AK93,$AK$92:$AK$101))</f>
        <v>2</v>
      </c>
      <c r="AK93" s="60">
        <f t="shared" ca="1" si="50"/>
        <v>0.76481468355050108</v>
      </c>
      <c r="AL93" s="29" t="str">
        <f t="shared" ca="1" si="51"/>
        <v>Rary's Telepathic Bond</v>
      </c>
      <c r="CB93" s="35">
        <f t="shared" ca="1" si="49"/>
        <v>8</v>
      </c>
      <c r="CC93" s="36">
        <f ca="1">IF(BM21&gt;0,0,RAND())</f>
        <v>0.16489730782974577</v>
      </c>
      <c r="CD93" s="29" t="s">
        <v>26</v>
      </c>
    </row>
    <row r="94" spans="1:82" x14ac:dyDescent="0.3">
      <c r="A94" s="137"/>
      <c r="B94" s="33" t="str">
        <f ca="1">IF(P77="martial weapons",VLOOKUP(RANDBETWEEN(1,5),Table290[],2),IF(P76="simple weapons",VLOOKUP(RANDBETWEEN(1,4),Table288[],2,),INDEX(AQ45:AQ59,MATCH(3,(AO45:AO59),0))))</f>
        <v>Dagger</v>
      </c>
      <c r="C94" s="33"/>
      <c r="D94" s="33"/>
      <c r="E94" s="33"/>
      <c r="F94" s="33"/>
      <c r="G94" s="33"/>
      <c r="H94" s="33"/>
      <c r="I94" s="33"/>
      <c r="J94" s="33"/>
      <c r="K94" s="33"/>
      <c r="L94" s="33"/>
      <c r="M94" s="33"/>
      <c r="N94" s="33"/>
      <c r="O94" s="33" t="str">
        <f ca="1">IF(B94=" "," ",INDEX(Items!$G$2:$G$44,MATCH(B94,(Items!$F$2:$F$44),0)))</f>
        <v>1d4p</v>
      </c>
      <c r="P94" s="33" t="str">
        <f ca="1">IF(B94=" "," ",INDEX(Items!$I$2:$I$44,MATCH(B94,(Items!$F$2:$F$44),0)))</f>
        <v>n/a</v>
      </c>
      <c r="Q94" s="72" t="str">
        <f ca="1">IF(B94=" "," ",INDEX(Items!$H$2:$H$44,MATCH(B94,(Items!$F$2:$F$44),0)))</f>
        <v>Light,Finesse,Thrown(20/60)</v>
      </c>
      <c r="R94" s="30"/>
      <c r="S94" s="30"/>
      <c r="AJ94" s="58">
        <f ca="1">IF(Table204339453795852909322[[#This Row],[Column2]]=0," ",_xlfn.RANK.EQ(AK94,$AK$92:$AK$101))</f>
        <v>4</v>
      </c>
      <c r="AK94" s="60">
        <f t="shared" ca="1" si="50"/>
        <v>0.15954840461997299</v>
      </c>
      <c r="AL94" s="29" t="str">
        <f t="shared" ca="1" si="51"/>
        <v>Modify Memory</v>
      </c>
      <c r="CB94" s="35">
        <f t="shared" ca="1" si="49"/>
        <v>2</v>
      </c>
      <c r="CC94" s="36">
        <f ca="1">IF(BM22&gt;0,0,RAND())</f>
        <v>0.73825264993975848</v>
      </c>
      <c r="CD94" s="29" t="s">
        <v>27</v>
      </c>
    </row>
    <row r="95" spans="1:82" ht="19.5" thickBot="1" x14ac:dyDescent="0.35">
      <c r="A95" s="137"/>
      <c r="B95" s="38" t="str">
        <f>IF(O11="monk","Martial Arts"," ")</f>
        <v xml:space="preserve"> </v>
      </c>
      <c r="C95" s="33"/>
      <c r="D95" s="33"/>
      <c r="E95" s="33"/>
      <c r="F95" s="33"/>
      <c r="G95" s="33"/>
      <c r="H95" s="33"/>
      <c r="I95" s="33"/>
      <c r="J95" s="33"/>
      <c r="K95" s="33"/>
      <c r="L95" s="33"/>
      <c r="M95" s="33"/>
      <c r="N95" s="33"/>
      <c r="O95" s="38" t="str">
        <f>IF(B95="martial arts",INDEX('Class Tables'!J98:J117,MATCH(O12,('Class Tables'!I98:I117),0))," ")</f>
        <v xml:space="preserve"> </v>
      </c>
      <c r="P95" s="38" t="str">
        <f>IF(B95=" "," ",IF(B95="martial arts", " ",INDEX(Items!$I$2:$I$44,MATCH(B95,(Items!$F$2:$F$44),0))))</f>
        <v xml:space="preserve"> </v>
      </c>
      <c r="Q95" s="73" t="str">
        <f>IF(B95=" "," ",IF(B95="martial arts"," ",INDEX(Items!$H$2:$H$44,MATCH(B95,(Items!$F$2:$F$44),0))))</f>
        <v xml:space="preserve"> </v>
      </c>
      <c r="R95" s="41"/>
      <c r="S95" s="41"/>
      <c r="AJ95" s="58">
        <f ca="1">IF(Table204339453795852909322[[#This Row],[Column2]]=0," ",_xlfn.RANK.EQ(AK95,$AK$92:$AK$101))</f>
        <v>3</v>
      </c>
      <c r="AK95" s="60">
        <f t="shared" ca="1" si="50"/>
        <v>0.3865523138166822</v>
      </c>
      <c r="AL95" s="29" t="str">
        <f t="shared" ca="1" si="51"/>
        <v>Dream</v>
      </c>
    </row>
    <row r="96" spans="1:82" x14ac:dyDescent="0.3">
      <c r="A96" s="137"/>
      <c r="O96" s="69" t="s">
        <v>1964</v>
      </c>
      <c r="P96" s="69" t="s">
        <v>34</v>
      </c>
      <c r="Q96" s="69" t="s">
        <v>1986</v>
      </c>
      <c r="R96" s="69" t="s">
        <v>2753</v>
      </c>
      <c r="S96" s="70" t="s">
        <v>2480</v>
      </c>
      <c r="AJ96" s="58">
        <f ca="1">IF(Table204339453795852909322[[#This Row],[Column2]]=0," ",_xlfn.RANK.EQ(AK96,$AK$92:$AK$101))</f>
        <v>6</v>
      </c>
      <c r="AK96" s="60">
        <f t="shared" ca="1" si="50"/>
        <v>0.14388188028006399</v>
      </c>
      <c r="AL96" s="29" t="str">
        <f t="shared" ca="1" si="51"/>
        <v>Telekinesis</v>
      </c>
      <c r="CB96" s="31" t="s">
        <v>736</v>
      </c>
    </row>
    <row r="97" spans="1:82" x14ac:dyDescent="0.3">
      <c r="A97" s="137"/>
      <c r="B97" s="29" t="str">
        <f ca="1">B92</f>
        <v>Quarterstaff</v>
      </c>
      <c r="O97" s="33">
        <f ca="1">IF(VLOOKUP(B92,Items!$F$2:$J$44,5,FALSE)="fin",SUM($P$38:$P$39)-SMALL($P$38:$P$39,1),IF(VLOOKUP(B92,(Items!$F$2:$J$44),5,FALSE)="str",$P$38,IF(VLOOKUP(B92,(Items!$F$2:$J$44),5,FALSE)="dex",$P$39,0)))</f>
        <v>1</v>
      </c>
      <c r="P97" s="33">
        <f ca="1">P8</f>
        <v>6</v>
      </c>
      <c r="Q97" s="33">
        <f ca="1">IF(AND(OR(B92&lt;&gt;"light crossbow",B92&lt;&gt;"dart",B92="shortbow",B92&lt;&gt;"Sling",B92&lt;&gt;"blowgun",B92&lt;&gt;"hand crossbow",B92&lt;&gt;"heavy crossbow",B92&lt;&gt;"longbow",B92&lt;&gt;"net",B92&lt;&gt;"greatclub",B92&lt;&gt;"glaive",B92&lt;&gt;"Greataxe",B92&lt;&gt;"Greatsword",B92&lt;&gt;"halbard",B92&lt;&gt;"maul",B92&lt;&gt;"pike"),OR($O$18="dueling style",$Q$18="dueling style",$P$18="dueling style",$S$18="dueling style",$O$15="dueling style",$Q$15="dueling style")),2,0)</f>
        <v>0</v>
      </c>
      <c r="R97" s="33">
        <f ca="1">IF(AND(OR(B92="light crossbow",B92="dart",B92="shortbow",B92="Sling",B92="blowgun",B92="hand crossbow",B92="heavy crossbow",B92="longbow",B92="net"),OR($P$18="archery style",$S$18="archery style",$O$15="archery style",$Q$15="archery style")),2,0)</f>
        <v>0</v>
      </c>
      <c r="S97" s="72">
        <f ca="1">IF(COUNTIF(B109:P109,"*"&amp;"Weapon +3"&amp;"*"),3,IF(COUNTIF(B109:P109,"*"&amp;"Weapon +2"&amp;"*"),2,IF(COUNTIF(B109:P109,"*"&amp;"Weapon +1"&amp;"*"),1," ")))</f>
        <v>2</v>
      </c>
      <c r="AJ97" s="58">
        <f ca="1">IF(Table204339453795852909322[[#This Row],[Column2]]=0," ",_xlfn.RANK.EQ(AK97,$AK$92:$AK$101))</f>
        <v>1</v>
      </c>
      <c r="AK97" s="60">
        <f t="shared" ca="1" si="50"/>
        <v>0.95653746246844285</v>
      </c>
      <c r="AL97" s="29" t="str">
        <f t="shared" ca="1" si="51"/>
        <v>Conjure Elemental</v>
      </c>
      <c r="CB97" s="35">
        <f t="shared" ref="CB97:CB102" ca="1" si="52">_xlfn.RANK.EQ(CC97,$CC$97:$CC$102)</f>
        <v>6</v>
      </c>
      <c r="CC97" s="36">
        <f ca="1">IF(BM8&gt;0,0,RAND())</f>
        <v>0.29443362121016603</v>
      </c>
      <c r="CD97" s="29" t="s">
        <v>13</v>
      </c>
    </row>
    <row r="98" spans="1:82" x14ac:dyDescent="0.3">
      <c r="A98" s="137"/>
      <c r="B98" s="29" t="str">
        <f ca="1">B93</f>
        <v>Sling</v>
      </c>
      <c r="O98" s="33">
        <f ca="1">IF(VLOOKUP(B93,Items!$F$2:$J$44,5,FALSE)="fin",SUM($P$38:$P$39)-SMALL($P$38:$P$39,1),IF(VLOOKUP(B93,(Items!$F$2:$J$44),5,FALSE)="str",$P$38,IF(VLOOKUP(B93,(Items!$F$2:$J$44),5,FALSE)="dex",$P$39,0)))</f>
        <v>4</v>
      </c>
      <c r="P98" s="33">
        <f ca="1">P8</f>
        <v>6</v>
      </c>
      <c r="Q98" s="33">
        <f ca="1">IF(AND(OR(B93&lt;&gt;"light crossbow",B93&lt;&gt;"dart",B93="shortbow",B93&lt;&gt;"Sling",B93&lt;&gt;"blowgun",B93&lt;&gt;"hand crossbow",B93&lt;&gt;"heavy crossbow",B93&lt;&gt;"longbow",B93&lt;&gt;"net",B93&lt;&gt;"greatclub",B93&lt;&gt;"glaive",B93&lt;&gt;"Greataxe",B93&lt;&gt;"Greatsword",B93&lt;&gt;"halbard",B93&lt;&gt;"maul",B93&lt;&gt;"pike"),OR($O$18="dueling style",$Q$18="dueling style",$P$18="dueling style",$S$18="dueling style",$O$15="dueling style",$Q$15="dueling style")),2,0)</f>
        <v>0</v>
      </c>
      <c r="R98" s="33">
        <f ca="1">IF(AND(OR(B93="light crossbow",B93="dart",B93="shortbow",B93="Sling",B93="blowgun",B93="hand crossbow",B93="heavy crossbow",B93="longbow",B93="net"),OR($P$18="archery style",$S$18="archery style",$O$15="archery style",$Q$15="archery style")),2,0)</f>
        <v>0</v>
      </c>
      <c r="S98" s="72" t="str">
        <f ca="1">IF(AND(S97&lt;&gt;2,COUNTIF(B109:P109,"*"&amp;"Weapon +2"&amp;"*")),2,IF(AND(S97&lt;&gt;1,COUNTIF(B109:P109,"*"&amp;"Weapon +1"&amp;"*")),1," "))</f>
        <v xml:space="preserve"> </v>
      </c>
      <c r="AJ98" s="58" t="str">
        <f ca="1">IF(Table204339453795852909322[[#This Row],[Column2]]=0," ",_xlfn.RANK.EQ(AK98,$AK$92:$AK$101))</f>
        <v xml:space="preserve"> </v>
      </c>
      <c r="AK98" s="60">
        <f t="shared" ca="1" si="50"/>
        <v>0</v>
      </c>
      <c r="AL98" s="29" t="str">
        <f t="shared" ca="1" si="51"/>
        <v xml:space="preserve"> </v>
      </c>
      <c r="CB98" s="35">
        <f t="shared" ca="1" si="52"/>
        <v>4</v>
      </c>
      <c r="CC98" s="36">
        <f ca="1">IF(BM10&gt;0,0,RAND())</f>
        <v>0.46302366540088236</v>
      </c>
      <c r="CD98" s="29" t="s">
        <v>15</v>
      </c>
    </row>
    <row r="99" spans="1:82" x14ac:dyDescent="0.3">
      <c r="A99" s="137"/>
      <c r="B99" s="29" t="str">
        <f ca="1">B94</f>
        <v>Dagger</v>
      </c>
      <c r="O99" s="33">
        <f ca="1">IF(VLOOKUP(B94,Items!$F$2:$J$44,5,FALSE)="fin",SUM($P$38:$P$39)-SMALL($P$38:$P$39,1),IF(VLOOKUP(B94,(Items!$F$2:$J$44),5,FALSE)="str",$P$38,IF(VLOOKUP(B94,(Items!$F$2:$J$44),5,FALSE)="dex",$P$39,0)))</f>
        <v>4</v>
      </c>
      <c r="P99" s="33">
        <f ca="1">IF(B94=" "," ",P8)</f>
        <v>6</v>
      </c>
      <c r="Q99" s="33">
        <f ca="1">IF(AND(OR(B94&lt;&gt;"light crossbow",B94&lt;&gt;"dart",B94="shortbow",B94&lt;&gt;"Sling",B94&lt;&gt;"blowgun",B94&lt;&gt;"hand crossbow",B94&lt;&gt;"heavy crossbow",B94&lt;&gt;"longbow",B94&lt;&gt;"net",B94&lt;&gt;"greatclub",B94&lt;&gt;"glaive",B94&lt;&gt;"Greataxe",B94&lt;&gt;"Greatsword",B94&lt;&gt;"halbard",B94&lt;&gt;"maul",B94&lt;&gt;"pike"),OR($O$18="dueling style",$Q$18="dueling style",$P$18="dueling style",$S$18="dueling style",$O$15="dueling style",$Q$15="dueling style")),2,0)</f>
        <v>0</v>
      </c>
      <c r="R99" s="33">
        <f ca="1">IF(AND(OR(B94="light crossbow",B94="dart",B94="shortbow",B94="Sling",B94="blowgun",B94="hand crossbow",B94="heavy crossbow",B94="longbow",B94="net"),OR($P$18="archery style",$S$18="archery style",$O$15="archery style",$Q$15="archery style")),2,0)</f>
        <v>0</v>
      </c>
      <c r="S99" s="72" t="str">
        <f ca="1">IF(AND(S97&lt;&gt;1,S98&lt;&gt;1,COUNTIF(B109:P109,"*"&amp;"Weapon +1"&amp;"*")),1," ")</f>
        <v xml:space="preserve"> </v>
      </c>
      <c r="AJ99" s="58" t="str">
        <f ca="1">IF(Table204339453795852909322[[#This Row],[Column2]]=0," ",_xlfn.RANK.EQ(AK99,$AK$92:$AK$101))</f>
        <v xml:space="preserve"> </v>
      </c>
      <c r="AK99" s="60">
        <f t="shared" ca="1" si="50"/>
        <v>0</v>
      </c>
      <c r="AL99" s="29" t="str">
        <f t="shared" ca="1" si="51"/>
        <v xml:space="preserve"> </v>
      </c>
      <c r="CB99" s="35">
        <f t="shared" ca="1" si="52"/>
        <v>1</v>
      </c>
      <c r="CC99" s="36">
        <f ca="1">IF(BM12&gt;0,0,RAND())</f>
        <v>0.8287270717624865</v>
      </c>
      <c r="CD99" s="29" t="s">
        <v>17</v>
      </c>
    </row>
    <row r="100" spans="1:82" x14ac:dyDescent="0.3">
      <c r="A100" s="138"/>
      <c r="B100" s="29" t="str">
        <f>B95</f>
        <v xml:space="preserve"> </v>
      </c>
      <c r="O100" s="33" t="str">
        <f>IF(B95="martial arts",SUM($P$38:$P$39)-SMALL($P$38:$P$39,1)," ")</f>
        <v xml:space="preserve"> </v>
      </c>
      <c r="P100" s="33" t="str">
        <f>IF(B95=" "," ",P8)</f>
        <v xml:space="preserve"> </v>
      </c>
      <c r="Q100" s="33">
        <f ca="1">IF(AND(OR(B95&lt;&gt;"light crossbow",B95&lt;&gt;"dart",B95="shortbow",B95&lt;&gt;"Sling",B95&lt;&gt;"blowgun",B95&lt;&gt;"hand crossbow",B95&lt;&gt;"heavy crossbow",B95&lt;&gt;"longbow",B95&lt;&gt;"net",B95&lt;&gt;"greatclub",B95&lt;&gt;"glaive",B95&lt;&gt;"Greataxe",B95&lt;&gt;"Greatsword",B95&lt;&gt;"halbard",B95&lt;&gt;"maul",B95&lt;&gt;"pike"),OR($O$18="dueling style",$Q$18="dueling style",$P$18="dueling style",$S$18="dueling style",$O$15="dueling style",$Q$15="dueling style")),2,0)</f>
        <v>0</v>
      </c>
      <c r="R100" s="33">
        <f ca="1">IF(AND(OR(B95="light crossbow",B95="dart",B95="shortbow",B95="Sling",B95="blowgun",B95="hand crossbow",B95="heavy crossbow",B95="longbow",B95="net"),OR($P$18="archery style",$S$18="archery style",$O$15="archery style",$Q$15="archery style")),2,0)</f>
        <v>0</v>
      </c>
      <c r="S100" s="72" t="str">
        <f ca="1">IF(AND(S98&lt;&gt;1,S99&lt;&gt;1,COUNTIF(B110:P110,"*"&amp;"Weapon +1"&amp;"*")),1," ")</f>
        <v xml:space="preserve"> </v>
      </c>
      <c r="AJ100" s="58" t="str">
        <f ca="1">IF(Table204339453795852909322[[#This Row],[Column2]]=0," ",_xlfn.RANK.EQ(AK100,$AK$92:$AK$101))</f>
        <v xml:space="preserve"> </v>
      </c>
      <c r="AK100" s="60">
        <f t="shared" ca="1" si="50"/>
        <v>0</v>
      </c>
      <c r="AL100" s="29" t="str">
        <f t="shared" ca="1" si="51"/>
        <v xml:space="preserve"> </v>
      </c>
      <c r="CB100" s="35">
        <f t="shared" ca="1" si="52"/>
        <v>5</v>
      </c>
      <c r="CC100" s="36">
        <f ca="1">IF(BM13&gt;0,0,RAND())</f>
        <v>0.30197160533634038</v>
      </c>
      <c r="CD100" s="29" t="s">
        <v>18</v>
      </c>
    </row>
    <row r="101" spans="1:82" x14ac:dyDescent="0.3">
      <c r="A101" s="138"/>
      <c r="AJ101" s="58" t="str">
        <f ca="1">IF(Table204339453795852909322[[#This Row],[Column2]]=0," ",_xlfn.RANK.EQ(AK101,$AK$92:$AK$101))</f>
        <v xml:space="preserve"> </v>
      </c>
      <c r="AK101" s="60">
        <f t="shared" ca="1" si="50"/>
        <v>0</v>
      </c>
      <c r="AL101" s="29" t="str">
        <f t="shared" ca="1" si="51"/>
        <v xml:space="preserve"> </v>
      </c>
      <c r="CB101" s="35">
        <f t="shared" ca="1" si="52"/>
        <v>3</v>
      </c>
      <c r="CC101" s="36">
        <f ca="1">IF(BM19&gt;0,0,RAND())</f>
        <v>0.64362553148469637</v>
      </c>
      <c r="CD101" s="29" t="s">
        <v>24</v>
      </c>
    </row>
    <row r="102" spans="1:82" x14ac:dyDescent="0.3">
      <c r="A102" s="137"/>
      <c r="B102" s="69" t="str">
        <f ca="1">IF(B40="non-classed","Shoulder Bag",IF(B103="diplomat's pack","Small Chest","Backpack"))</f>
        <v>Backpack</v>
      </c>
      <c r="C102" s="33"/>
      <c r="D102" s="33"/>
      <c r="E102" s="33"/>
      <c r="F102" s="33"/>
      <c r="G102" s="33"/>
      <c r="H102" s="33"/>
      <c r="I102" s="33"/>
      <c r="J102" s="33"/>
      <c r="K102" s="33"/>
      <c r="L102" s="33"/>
      <c r="M102" s="33"/>
      <c r="N102" s="33"/>
      <c r="O102" s="33"/>
      <c r="P102" s="33"/>
      <c r="Q102" s="69" t="s">
        <v>1988</v>
      </c>
      <c r="R102" s="69" t="str">
        <f ca="1">IF(OR(P15="eldritch knight",R15="eldritch knight",P15="arcane trickster",R15="arcane trickster",O11="ranger",Q11="ranger",O11="bard",Q11="bard",O11="cleric",Q11="cleric",O11="druid",Q11="druid",O11="paladin",Q11="paladin",O11="sorcerer",Q11="sorcerer",O11="warlock",Q11="warlock",O11="wizard",Q11="wizard"),"Component Pouch"," ")</f>
        <v>Component Pouch</v>
      </c>
      <c r="CB102" s="35">
        <f t="shared" ca="1" si="52"/>
        <v>2</v>
      </c>
      <c r="CC102" s="36">
        <f ca="1">IF(BM20&gt;0,0,RAND())</f>
        <v>0.65543315376843825</v>
      </c>
      <c r="CD102" s="29" t="s">
        <v>25</v>
      </c>
    </row>
    <row r="103" spans="1:82" x14ac:dyDescent="0.3">
      <c r="A103" s="137"/>
      <c r="B103" s="33" t="str">
        <f ca="1">IF(AND(AF21=2,O11="wizard"),"Explorer's Pack",IF(AND(AF21=1,OR(O11="sorcerer",O11="wizard",O11="warlock")),"Scholar's Pack",IF(AND(AF20=1,O11="rogue"),"Dungeoneer's Pack",IF(AND(AF20=2,O11="rogue"),"Explorer's Pack",IF(AND(AF20=3,O11="rogue"),"Burglar's Pack",IF(AND(AF21=1,OR(O11="monk",O11="Fighter",O11="ranger",O11="Sorcerer")),"Explorer's Pack",IF(AND(AF21=2,OR(O11="fighter",O11="monk",O11="ranger",O11="sorcerer",O11="warlock")),"Dungeoneer's Pack",IF(O11="druid","Explorer's Pack",IF(AND(AF21=2,OR(O11="cleric",O11="paladin")),"Explorer's Pack",IF(AND(AF21=1,OR(O11="cleric",O11="paladin")),"Priest's Pack",IF(AND(AF21=1,O11="bard"),"Diplomat's Pack",IF(AND(AF21=2,O11="bard"),"Entertainer's Pack",IF(O11="barbarian","Explorer's Pack"," ")))))))))))))</f>
        <v>Scholar's Pack</v>
      </c>
      <c r="C103" s="33"/>
      <c r="D103" s="33"/>
      <c r="E103" s="33"/>
      <c r="F103" s="33"/>
      <c r="G103" s="33"/>
      <c r="H103" s="33"/>
      <c r="I103" s="33"/>
      <c r="J103" s="33"/>
      <c r="K103" s="33"/>
      <c r="L103" s="33"/>
      <c r="M103" s="33"/>
      <c r="N103" s="33"/>
      <c r="O103" s="33" t="str">
        <f ca="1">IF(B103="Scholar's Pack","SP - Little Bag of Sand",IF(B103="Priest's Pack","PP - 2 Blocks of Incense",IF(B103="Entertainer's Pack","EP - Waterskin",IF(B103="Dungeoneer's Pack","DP - Tinderbox",IF(B103="Diplomat's Pack","DP - Lamp",IF(B103="Burglar's Pack","BP - Hammer",IF(B103="explorer's pack","EP - 10 Days Rations"," ")))))))</f>
        <v>SP - Little Bag of Sand</v>
      </c>
      <c r="P103" s="33" t="str">
        <f ca="1">IF(B103="Diplomat's Pack","DP - Soap",IF(B103="Burglar's Pack","BP - Tinderbox"," "))</f>
        <v xml:space="preserve"> </v>
      </c>
      <c r="Q103" s="33" t="str">
        <f ca="1">INDEX(Items!C47:C66,MATCH(P6,(Items!A47:A66),0))&amp;" CP"</f>
        <v>0 CP</v>
      </c>
      <c r="R103" s="33" t="str">
        <f>IF(OR(,O11="bard",Q11="bard",O11="cleric",Q11="cleric",O11="druid",Q11="druid",O11="paladin",Q11="paladin",O11="sorcerer",Q11="sorcerer",O11="warlock",Q11="warlock",O11="wizard",Q11="wizard"),"Arcane Focus"," ")</f>
        <v>Arcane Focus</v>
      </c>
      <c r="AJ103" s="31" t="s">
        <v>1170</v>
      </c>
    </row>
    <row r="104" spans="1:82" x14ac:dyDescent="0.3">
      <c r="A104" s="137"/>
      <c r="B104" s="33" t="str">
        <f ca="1">IF(B103="Scholar's Pack","SP - Book of Lore",IF(B103="Priest's Pack","PP - Blanket",IF(B103="Entertainer's Pack","EP - Bedroll",IF(B103="Dungeoneer's Pack","DP - Crowbar",IF(B103="Diplomat's Pack","DP - 2 Map/Scroll Cases",IF(B103="Burglar's Pack","BP - 10' of String",IF(B103="explorer's pack"," EP - Bedroll"," ")))))))</f>
        <v>SP - Book of Lore</v>
      </c>
      <c r="C104" s="33"/>
      <c r="D104" s="33"/>
      <c r="E104" s="33"/>
      <c r="F104" s="33"/>
      <c r="G104" s="33"/>
      <c r="H104" s="33"/>
      <c r="I104" s="33"/>
      <c r="J104" s="33"/>
      <c r="K104" s="33"/>
      <c r="L104" s="33"/>
      <c r="M104" s="33"/>
      <c r="N104" s="33"/>
      <c r="O104" s="33" t="str">
        <f ca="1">IF(B103="Scholar's Pack","SP - Small Knife",IF(B103="Priest's Pack","PP - Censer",IF(B103="Entertainer's Pack","EP - Disguise Kit",IF(B103="Dungeoneer's Pack","DP - 10 Days Rations",IF(B103="Diplomat's Pack","DP - 2 Flasks of Oil",IF(B103="Burglar's Pack","BP - 10 Pitons",IF(B103="explorer's pack","EP - Waterskin"," ")))))))</f>
        <v>SP - Small Knife</v>
      </c>
      <c r="P104" s="33" t="str">
        <f ca="1">IF(B103="Burglar's Pack","BP - Waterskin"," ")</f>
        <v xml:space="preserve"> </v>
      </c>
      <c r="Q104" s="33" t="str">
        <f ca="1">INDEX(Items!D47:D66,MATCH(P6,(Items!A47:A66),0))&amp;" SP"</f>
        <v>0 SP</v>
      </c>
      <c r="R104" s="69" t="str">
        <f ca="1">IF(COUNTIF(B92:B94,"*"&amp;"sling"&amp;"*"),"Sling Bullet Pouch"," ")</f>
        <v>Sling Bullet Pouch</v>
      </c>
      <c r="AJ104" s="58">
        <f ca="1">IF(AK104=0," ",_xlfn.RANK.EQ(AK104,$AK$104:$AK$113))</f>
        <v>4</v>
      </c>
      <c r="AK104" s="60">
        <f t="shared" ref="AK104:AK113" ca="1" si="53">IF(AL104=" ", 0,RAND())</f>
        <v>0.14928528747903846</v>
      </c>
      <c r="AL104" s="29" t="str">
        <f t="shared" ref="AL104:AL113" ca="1" si="54">Q334</f>
        <v>Globe of Invulnerability</v>
      </c>
      <c r="CB104" s="31" t="s">
        <v>737</v>
      </c>
    </row>
    <row r="105" spans="1:82" x14ac:dyDescent="0.3">
      <c r="A105" s="137"/>
      <c r="B105" s="33" t="str">
        <f ca="1">IF(B103="Scholar's Pack","SP - Bottle of Ink",IF(B103="Priest's Pack","PP - 10 Candles",IF(B103="Entertainer's Pack","EP - 2 Costumes",IF(B103="Dungeoneer's Pack","DP -Hammer ",IF(B103="Diplomat's Pack","DP - Set of Fine Clothes",IF(B103="Burglar's Pack","BP - Bell",IF(B103="explorer's pack","EP - Mess Kit"," ")))))))</f>
        <v>SP - Bottle of Ink</v>
      </c>
      <c r="C105" s="33"/>
      <c r="D105" s="33"/>
      <c r="E105" s="33"/>
      <c r="F105" s="33"/>
      <c r="G105" s="33"/>
      <c r="H105" s="33"/>
      <c r="I105" s="33"/>
      <c r="J105" s="33"/>
      <c r="K105" s="33"/>
      <c r="L105" s="33"/>
      <c r="M105" s="33"/>
      <c r="N105" s="33"/>
      <c r="O105" s="33" t="str">
        <f ca="1">IF(B103="Priest's Pack","PP - Vestments",IF(B103="Dungeoneer's Pack","DP - Waterskin",IF(B103="Diplomat's Pack","DP - 5 Sheets of Paper",IF(B103="Burglar's Pack","BP - Hooded Lantern",IF(B103="explorer's pack","EP - 50' Hempen Rope"," ")))))</f>
        <v xml:space="preserve"> </v>
      </c>
      <c r="P105" s="33" t="str">
        <f ca="1">IF(B103="Burglar's Pack","BP - 50' Hempen Rope"," ")</f>
        <v xml:space="preserve"> </v>
      </c>
      <c r="Q105" s="33" t="str">
        <f ca="1">INDEX(Items!E47:E66,MATCH(P6,(Items!A47:A66),0))&amp;" EP"</f>
        <v>0 EP</v>
      </c>
      <c r="R105" s="33" t="str">
        <f ca="1">IF(COUNTIF(B92:B94,"*"&amp;"sling"&amp;"*"),RANDBETWEEN(6,13)&amp;" Sling Bullets"," ")</f>
        <v>11 Sling Bullets</v>
      </c>
      <c r="AJ105" s="58">
        <f t="shared" ref="AJ105:AJ113" ca="1" si="55">IF(AK105=0," ",_xlfn.RANK.EQ(AK105,$AK$104:$AK$113))</f>
        <v>1</v>
      </c>
      <c r="AK105" s="60">
        <f t="shared" ca="1" si="53"/>
        <v>0.79554169993945456</v>
      </c>
      <c r="AL105" s="29" t="str">
        <f t="shared" ca="1" si="54"/>
        <v>Flesh to Stone</v>
      </c>
      <c r="CB105" s="35">
        <f t="shared" ref="CB105:CB111" ca="1" si="56">_xlfn.RANK.EQ(CC105,$CC$105:$CC$111)</f>
        <v>3</v>
      </c>
      <c r="CC105" s="36">
        <f ca="1">IF(BM8&gt;0,0,RAND())</f>
        <v>0.47496200001486033</v>
      </c>
      <c r="CD105" s="29" t="s">
        <v>13</v>
      </c>
    </row>
    <row r="106" spans="1:82" x14ac:dyDescent="0.3">
      <c r="A106" s="137"/>
      <c r="B106" s="33" t="str">
        <f ca="1">IF(B103="Scholar's Pack","SP - Ink Pen",IF(B103="Priest's Pack","PP - Tinderbox",IF(B103="Entertainer's Pack","EP - 5 Candles",IF(B103="Dungeoneer's Pack","DP - 10 Pitons",IF(B103="Diplomat's Pack","DP - Bottle of Ink",IF(B103="Burglar's Pack","BP - 5 Candles",IF(B103="explorer's pack","EP - Tinderbox"," ")))))))</f>
        <v>SP - Ink Pen</v>
      </c>
      <c r="C106" s="33"/>
      <c r="D106" s="33"/>
      <c r="E106" s="33"/>
      <c r="F106" s="33"/>
      <c r="G106" s="33"/>
      <c r="H106" s="33"/>
      <c r="I106" s="33"/>
      <c r="J106" s="33"/>
      <c r="K106" s="33"/>
      <c r="L106" s="33"/>
      <c r="M106" s="33"/>
      <c r="N106" s="33"/>
      <c r="O106" s="33" t="str">
        <f ca="1">IF(B103="Priest's Pack","PP - 2 Days Rations",IF(B103="Dungeoneer's Pack","DP - 50' Hempen Rope",IF(B103="Diplomat's Pack","DP - Vial of Perfume",IF(B103="Burglar's Pack","BP - 2 Flasks of Oil"," "))))</f>
        <v xml:space="preserve"> </v>
      </c>
      <c r="P106" s="33" t="str">
        <f ca="1">VLOOKUP(RANDBETWEEN(1,58),Table296[],2)</f>
        <v>Two Person Tent</v>
      </c>
      <c r="Q106" s="33" t="str">
        <f ca="1">INDEX(Items!F47:F66,MATCH(P6,(Items!A47:A66),0))&amp;" GP"</f>
        <v>4264 GP</v>
      </c>
      <c r="R106" s="69" t="str">
        <f ca="1">IF(COUNTIF(B92:B94,"*"&amp;"light crossbow"&amp;"*"),"Quiver",IF(COUNTIF(B92:B94,"*"&amp;"hand crossbow"&amp;"*"),"Quiver",IF(COUNTIF(B92:B94,"*"&amp;"heavy crossbow"&amp;"*"),"Quiver",IF(COUNTIF(B92:B94,"*"&amp;"longbow"&amp;"*"),"Quiver",IF(COUNTIF(B92:B94,"*"&amp;"shortbow"&amp;"*"),"Quiver"," ")))))</f>
        <v xml:space="preserve"> </v>
      </c>
      <c r="AJ106" s="58">
        <f t="shared" ca="1" si="55"/>
        <v>6</v>
      </c>
      <c r="AK106" s="60">
        <f t="shared" ca="1" si="53"/>
        <v>3.3084190138718106E-2</v>
      </c>
      <c r="AL106" s="29" t="str">
        <f t="shared" ca="1" si="54"/>
        <v>Wall of Ice</v>
      </c>
      <c r="CB106" s="35">
        <f t="shared" ca="1" si="56"/>
        <v>6</v>
      </c>
      <c r="CC106" s="36">
        <f ca="1">IF(BM10&gt;0,0,RAND())</f>
        <v>3.0104676936760444E-2</v>
      </c>
      <c r="CD106" s="29" t="s">
        <v>15</v>
      </c>
    </row>
    <row r="107" spans="1:82" x14ac:dyDescent="0.3">
      <c r="A107" s="137"/>
      <c r="B107" s="33" t="str">
        <f ca="1">IF(B103="Scholar's Pack","SP - 10 Sheets of Parchment",IF(B103="Priest's Pack","PP - Alms Box",IF(B103="Entertainer's Pack","EP - 5 Days Rations",IF(B103="Dungeoneer's Pack","DP - 10 Torches",IF(B103="Diplomat's Pack","DP - Ink Pen",IF(B103="Burglar's Pack","BP - Crowbar",IF(B103="explorer's pack","EP - 10 Torches"," ")))))))</f>
        <v>SP - 10 Sheets of Parchment</v>
      </c>
      <c r="C107" s="33"/>
      <c r="D107" s="33"/>
      <c r="E107" s="33"/>
      <c r="F107" s="33"/>
      <c r="G107" s="33"/>
      <c r="H107" s="33"/>
      <c r="I107" s="33"/>
      <c r="J107" s="33"/>
      <c r="K107" s="33"/>
      <c r="L107" s="33"/>
      <c r="M107" s="33"/>
      <c r="N107" s="33"/>
      <c r="O107" s="33" t="str">
        <f ca="1">IF(B103="Priest's Pack","PP - Waterskin",IF(B103="Diplomat's Pack","DP - Sealing Wax",IF(B103="Burglar's Pack","BP - 5 Days Rations"," ")))</f>
        <v xml:space="preserve"> </v>
      </c>
      <c r="P107" s="33" t="str">
        <f ca="1">VLOOKUP(RANDBETWEEN(1,58),Table296[],2)</f>
        <v>Flask</v>
      </c>
      <c r="Q107" s="33" t="str">
        <f ca="1">INDEX(Items!G47:G66,MATCH(P6,(Items!A47:A66),0))&amp;" PP"</f>
        <v>594 PP</v>
      </c>
      <c r="R107" s="33" t="str">
        <f ca="1">IF(COUNTIF(B92:B94,"*"&amp;"longbow"&amp;"*"),RANDBETWEEN(10,24)&amp;" Arrows",IF(COUNTIF(B92:B94,"*"&amp;"shortbow"&amp;"*"),RANDBETWEEN(10,24)&amp;" Arrows",IF(COUNTIF(B92:B94,"*"&amp;"light crossbow"&amp;"*"),RANDBETWEEN(10,24)&amp;" Bolts",IF(COUNTIF(B92:B94,"*"&amp;"hand crossbow"&amp;"*"),RANDBETWEEN(10,24)&amp;" Bolts",IF(COUNTIF(B92:B94,"*"&amp;"heavy crossbow"&amp;"*"),RANDBETWEEN(10,24)&amp;" Bolts"," ")))))</f>
        <v xml:space="preserve"> </v>
      </c>
      <c r="AJ107" s="58">
        <f t="shared" ca="1" si="55"/>
        <v>3</v>
      </c>
      <c r="AK107" s="60">
        <f t="shared" ca="1" si="53"/>
        <v>0.25680439450752435</v>
      </c>
      <c r="AL107" s="29" t="str">
        <f t="shared" ca="1" si="54"/>
        <v>Guards and Wards</v>
      </c>
      <c r="CB107" s="35">
        <f t="shared" ca="1" si="56"/>
        <v>2</v>
      </c>
      <c r="CC107" s="36">
        <f ca="1">IF(BM11&gt;0,0,RAND())</f>
        <v>0.58388462629433058</v>
      </c>
      <c r="CD107" s="29" t="s">
        <v>16</v>
      </c>
    </row>
    <row r="108" spans="1:82" x14ac:dyDescent="0.3">
      <c r="A108" s="137"/>
      <c r="B108" s="33" t="str">
        <f ca="1">IF(AF35&gt;=1,VLOOKUP(RANDBETWEEN(1,200),Table298[],2)," ")</f>
        <v>a bent piece of wire</v>
      </c>
      <c r="C108" s="33"/>
      <c r="D108" s="33"/>
      <c r="E108" s="33"/>
      <c r="F108" s="33"/>
      <c r="G108" s="33"/>
      <c r="H108" s="33"/>
      <c r="I108" s="33"/>
      <c r="J108" s="33"/>
      <c r="K108" s="33"/>
      <c r="L108" s="33"/>
      <c r="M108" s="33"/>
      <c r="N108" s="33"/>
      <c r="O108" s="33" t="str">
        <f ca="1">IF(AF35&gt;=2,VLOOKUP(RANDBETWEEN(1,200),Table298[],2)," ")</f>
        <v xml:space="preserve"> </v>
      </c>
      <c r="P108" s="33" t="str">
        <f ca="1">IF(AF35&gt;=3,VLOOKUP(RANDBETWEEN(1,200),Table298[],2)," ")</f>
        <v xml:space="preserve"> </v>
      </c>
      <c r="AJ108" s="58">
        <f t="shared" ca="1" si="55"/>
        <v>2</v>
      </c>
      <c r="AK108" s="60">
        <f t="shared" ca="1" si="53"/>
        <v>0.47870021026706588</v>
      </c>
      <c r="AL108" s="29" t="str">
        <f t="shared" ca="1" si="54"/>
        <v>Eyebite</v>
      </c>
      <c r="CB108" s="35">
        <f t="shared" ca="1" si="56"/>
        <v>1</v>
      </c>
      <c r="CC108" s="36">
        <f ca="1">IF(BM13&gt;0,0,RAND())</f>
        <v>0.59176050169129302</v>
      </c>
      <c r="CD108" s="29" t="s">
        <v>18</v>
      </c>
    </row>
    <row r="109" spans="1:82" ht="19.5" thickBot="1" x14ac:dyDescent="0.35">
      <c r="B109" s="38" t="str">
        <f ca="1">IF(AND(P6&gt;=5,O11&lt;&gt;"non-classed"),VLOOKUP(RANDBETWEEN(1,100),Table5764[],2)," ")</f>
        <v>Armor +2 (Bonus Above)</v>
      </c>
      <c r="O109" s="29" t="str">
        <f ca="1">IF(AND(P6&gt;=11,O11&lt;&gt;"non-classed"),VLOOKUP(RANDBETWEEN(1,100),Table576465[],2)," ")</f>
        <v>Weapon +2 (Bonus Above)</v>
      </c>
      <c r="P109" s="29" t="str">
        <f ca="1">IF(AND(P6&gt;=17,O11&lt;&gt;"non-classed"),VLOOKUP(RANDBETWEEN(1,100),Table576466[],2)," ")</f>
        <v>Staff of Fire</v>
      </c>
      <c r="AJ109" s="58">
        <f t="shared" ca="1" si="55"/>
        <v>5</v>
      </c>
      <c r="AK109" s="60">
        <f t="shared" ca="1" si="53"/>
        <v>0.10154555638671781</v>
      </c>
      <c r="AL109" s="29" t="str">
        <f t="shared" ca="1" si="54"/>
        <v>Create Undead</v>
      </c>
      <c r="CB109" s="35">
        <f t="shared" ca="1" si="56"/>
        <v>4</v>
      </c>
      <c r="CC109" s="36">
        <f ca="1">IF(BM14&gt;0,0,RAND())</f>
        <v>0.20744010717538364</v>
      </c>
      <c r="CD109" s="29" t="s">
        <v>19</v>
      </c>
    </row>
    <row r="110" spans="1:82" ht="19.5" thickBot="1" x14ac:dyDescent="0.35">
      <c r="A110" s="33"/>
      <c r="AJ110" s="58" t="str">
        <f t="shared" ca="1" si="55"/>
        <v xml:space="preserve"> </v>
      </c>
      <c r="AK110" s="60">
        <f t="shared" ca="1" si="53"/>
        <v>0</v>
      </c>
      <c r="AL110" s="29" t="str">
        <f t="shared" ca="1" si="54"/>
        <v xml:space="preserve"> </v>
      </c>
      <c r="CB110" s="35">
        <f t="shared" ca="1" si="56"/>
        <v>7</v>
      </c>
      <c r="CC110" s="36">
        <f ca="1">IF(BM16&gt;0,0,RAND())</f>
        <v>8.6729594876958638E-3</v>
      </c>
      <c r="CD110" s="29" t="s">
        <v>21</v>
      </c>
    </row>
    <row r="111" spans="1:82" ht="30.75" thickBot="1" x14ac:dyDescent="0.45">
      <c r="B111" s="105" t="s">
        <v>1327</v>
      </c>
      <c r="AJ111" s="58" t="str">
        <f t="shared" ca="1" si="55"/>
        <v xml:space="preserve"> </v>
      </c>
      <c r="AK111" s="60">
        <f t="shared" ca="1" si="53"/>
        <v>0</v>
      </c>
      <c r="AL111" s="29" t="str">
        <f t="shared" ca="1" si="54"/>
        <v xml:space="preserve"> </v>
      </c>
      <c r="CB111" s="35">
        <f t="shared" ca="1" si="56"/>
        <v>5</v>
      </c>
      <c r="CC111" s="36">
        <f ca="1">IF(BM20&gt;0,0,RAND())</f>
        <v>6.7019185906036172E-2</v>
      </c>
      <c r="CD111" s="29" t="s">
        <v>25</v>
      </c>
    </row>
    <row r="112" spans="1:82" x14ac:dyDescent="0.3">
      <c r="B112" s="74"/>
      <c r="C112" s="75"/>
      <c r="D112" s="75"/>
      <c r="E112" s="75"/>
      <c r="F112" s="75"/>
      <c r="G112" s="75"/>
      <c r="H112" s="75"/>
      <c r="I112" s="75"/>
      <c r="J112" s="75"/>
      <c r="K112" s="75"/>
      <c r="L112" s="75"/>
      <c r="M112" s="75"/>
      <c r="N112" s="75"/>
      <c r="O112" s="75"/>
      <c r="P112" s="76" t="s">
        <v>1124</v>
      </c>
      <c r="Q112" s="76" t="s">
        <v>1166</v>
      </c>
      <c r="R112" s="77" t="s">
        <v>1167</v>
      </c>
      <c r="AJ112" s="58" t="str">
        <f t="shared" ca="1" si="55"/>
        <v xml:space="preserve"> </v>
      </c>
      <c r="AK112" s="60">
        <f t="shared" ca="1" si="53"/>
        <v>0</v>
      </c>
      <c r="AL112" s="29" t="str">
        <f t="shared" ca="1" si="54"/>
        <v xml:space="preserve"> </v>
      </c>
    </row>
    <row r="113" spans="2:82" x14ac:dyDescent="0.3">
      <c r="B113" s="78" t="s">
        <v>1122</v>
      </c>
      <c r="C113" s="33"/>
      <c r="D113" s="33"/>
      <c r="E113" s="33"/>
      <c r="F113" s="33"/>
      <c r="G113" s="33"/>
      <c r="H113" s="33"/>
      <c r="I113" s="33"/>
      <c r="J113" s="33"/>
      <c r="K113" s="33"/>
      <c r="L113" s="33"/>
      <c r="M113" s="33"/>
      <c r="N113" s="33"/>
      <c r="O113" s="34">
        <v>1</v>
      </c>
      <c r="P113" s="33" t="str">
        <f ca="1">IF(P2="forest","Minor Illusion",IF(Q2="tiefling","Thaumaturgy",IF(P2="dark","Dancing Lights",IF(P2="high",INDEX('Spell Tables'!P242:P257,MATCH(1,('Spell Tables'!N242:N257),0))," "))))</f>
        <v>Dancing Lights</v>
      </c>
      <c r="Q113" s="33" t="str">
        <f ca="1">IF(AND($P$2="Dark",$P$6&gt;=3),"Faerie Fire (1/day)",IF(AND(Q2="tiefling",P6&gt;=3),"Hellish Rebuke (as 2nd Level - 1/day)"," "))</f>
        <v>Faerie Fire (1/day)</v>
      </c>
      <c r="R113" s="72" t="str">
        <f ca="1">IF(AND($P$2="Dark",$P$6&gt;=5),"Darkness (1/day)",IF(AND(Q2="tiefling",P6&gt;=5),"Darkness (1/day)"," "))</f>
        <v>Darkness (1/day)</v>
      </c>
      <c r="AJ113" s="58" t="str">
        <f t="shared" ca="1" si="55"/>
        <v xml:space="preserve"> </v>
      </c>
      <c r="AK113" s="60">
        <f t="shared" ca="1" si="53"/>
        <v>0</v>
      </c>
      <c r="AL113" s="29" t="str">
        <f t="shared" ca="1" si="54"/>
        <v xml:space="preserve"> </v>
      </c>
      <c r="CB113" s="31" t="s">
        <v>738</v>
      </c>
    </row>
    <row r="114" spans="2:82" x14ac:dyDescent="0.3">
      <c r="B114" s="79">
        <f ca="1">IF(OR(P2="dark",Q2="tiefling"),8+$P$8+$N$43,IF(P2="Forest",8+$P$8+$N$41," "))</f>
        <v>14</v>
      </c>
      <c r="C114" s="33"/>
      <c r="D114" s="33"/>
      <c r="E114" s="33"/>
      <c r="F114" s="33"/>
      <c r="G114" s="33"/>
      <c r="H114" s="33"/>
      <c r="I114" s="33"/>
      <c r="J114" s="33"/>
      <c r="K114" s="33"/>
      <c r="L114" s="33"/>
      <c r="M114" s="33"/>
      <c r="N114" s="33"/>
      <c r="O114" s="34">
        <v>2</v>
      </c>
      <c r="P114" s="33"/>
      <c r="Q114" s="33"/>
      <c r="R114" s="72"/>
      <c r="CB114" s="35">
        <f t="shared" ref="CB114:CB119" ca="1" si="57">_xlfn.RANK.EQ(CC114,$CC$114:$CC$119)</f>
        <v>3</v>
      </c>
      <c r="CC114" s="36">
        <f ca="1">IF(BM8&gt;0,0,RAND())</f>
        <v>0.69975189254770642</v>
      </c>
      <c r="CD114" s="29" t="s">
        <v>13</v>
      </c>
    </row>
    <row r="115" spans="2:82" x14ac:dyDescent="0.3">
      <c r="B115" s="78" t="s">
        <v>1123</v>
      </c>
      <c r="C115" s="33"/>
      <c r="D115" s="33"/>
      <c r="E115" s="33"/>
      <c r="F115" s="33"/>
      <c r="G115" s="33"/>
      <c r="H115" s="33"/>
      <c r="I115" s="33"/>
      <c r="J115" s="33"/>
      <c r="K115" s="33"/>
      <c r="L115" s="33"/>
      <c r="M115" s="33"/>
      <c r="N115" s="33"/>
      <c r="O115" s="34">
        <v>3</v>
      </c>
      <c r="P115" s="33"/>
      <c r="Q115" s="33"/>
      <c r="R115" s="72"/>
      <c r="AJ115" s="31" t="s">
        <v>1171</v>
      </c>
      <c r="CB115" s="35">
        <f t="shared" ca="1" si="57"/>
        <v>1</v>
      </c>
      <c r="CC115" s="36">
        <f ca="1">IF(BM11&gt;0,0,RAND())</f>
        <v>0.86143346124955333</v>
      </c>
      <c r="CD115" s="29" t="s">
        <v>16</v>
      </c>
    </row>
    <row r="116" spans="2:82" ht="19.5" thickBot="1" x14ac:dyDescent="0.35">
      <c r="B116" s="80">
        <f ca="1">IF(OR(P2="dark",Q2="tiefling"),P8+$N$43,IF(P2="forest",P8+$N$41," "))</f>
        <v>6</v>
      </c>
      <c r="C116" s="38"/>
      <c r="D116" s="38"/>
      <c r="E116" s="38"/>
      <c r="F116" s="38"/>
      <c r="G116" s="38"/>
      <c r="H116" s="38"/>
      <c r="I116" s="38"/>
      <c r="J116" s="38"/>
      <c r="K116" s="38"/>
      <c r="L116" s="38"/>
      <c r="M116" s="38"/>
      <c r="N116" s="38"/>
      <c r="O116" s="38"/>
      <c r="P116" s="38"/>
      <c r="Q116" s="38"/>
      <c r="R116" s="73"/>
      <c r="AJ116" s="58">
        <f ca="1">IF(AK116=0," ",_xlfn.RANK.EQ(AK116,$AK$116:$AK$125))</f>
        <v>3</v>
      </c>
      <c r="AK116" s="60">
        <f t="shared" ref="AK116:AK125" ca="1" si="58">IF(AL116=" ", 0,RAND())</f>
        <v>0.63066831909320342</v>
      </c>
      <c r="AL116" s="29" t="str">
        <f t="shared" ref="AL116:AL125" ca="1" si="59">R334</f>
        <v>Finger of Death</v>
      </c>
      <c r="CB116" s="35">
        <f t="shared" ca="1" si="57"/>
        <v>6</v>
      </c>
      <c r="CC116" s="36">
        <f ca="1">IF(BM12&gt;0,0,RAND())</f>
        <v>0.10159699626254959</v>
      </c>
      <c r="CD116" s="29" t="s">
        <v>17</v>
      </c>
    </row>
    <row r="117" spans="2:82" ht="19.5" thickBot="1" x14ac:dyDescent="0.35">
      <c r="AJ117" s="58">
        <f t="shared" ref="AJ117:AJ125" ca="1" si="60">IF(AK117=0," ",_xlfn.RANK.EQ(AK117,$AK$116:$AK$125))</f>
        <v>5</v>
      </c>
      <c r="AK117" s="60">
        <f t="shared" ca="1" si="58"/>
        <v>8.3683256899234837E-2</v>
      </c>
      <c r="AL117" s="29" t="str">
        <f t="shared" ca="1" si="59"/>
        <v>Forcecage</v>
      </c>
      <c r="CB117" s="35">
        <f t="shared" ca="1" si="57"/>
        <v>2</v>
      </c>
      <c r="CC117" s="36">
        <f ca="1">IF(BM14&gt;0,0,RAND())</f>
        <v>0.7984818950723731</v>
      </c>
      <c r="CD117" s="29" t="s">
        <v>19</v>
      </c>
    </row>
    <row r="118" spans="2:82" ht="30.75" thickBot="1" x14ac:dyDescent="0.45">
      <c r="B118" s="105" t="s">
        <v>1334</v>
      </c>
      <c r="AJ118" s="58">
        <f t="shared" ca="1" si="60"/>
        <v>4</v>
      </c>
      <c r="AK118" s="60">
        <f t="shared" ca="1" si="58"/>
        <v>0.31359258574681448</v>
      </c>
      <c r="AL118" s="29" t="str">
        <f t="shared" ca="1" si="59"/>
        <v>Project Image</v>
      </c>
      <c r="CB118" s="35">
        <f t="shared" ca="1" si="57"/>
        <v>5</v>
      </c>
      <c r="CC118" s="36">
        <f ca="1">IF(BM15&gt;0,0,RAND())</f>
        <v>0.41351125092376728</v>
      </c>
      <c r="CD118" s="29" t="s">
        <v>20</v>
      </c>
    </row>
    <row r="119" spans="2:82" x14ac:dyDescent="0.3">
      <c r="B119" s="79"/>
      <c r="C119" s="27"/>
      <c r="D119" s="27"/>
      <c r="E119" s="27"/>
      <c r="F119" s="27"/>
      <c r="G119" s="27"/>
      <c r="H119" s="27"/>
      <c r="I119" s="27"/>
      <c r="J119" s="27"/>
      <c r="K119" s="27"/>
      <c r="L119" s="27"/>
      <c r="M119" s="27"/>
      <c r="N119" s="27"/>
      <c r="O119" s="27"/>
      <c r="P119" s="76" t="s">
        <v>1124</v>
      </c>
      <c r="Q119" s="76" t="s">
        <v>1166</v>
      </c>
      <c r="R119" s="76" t="s">
        <v>1167</v>
      </c>
      <c r="S119" s="76" t="s">
        <v>1168</v>
      </c>
      <c r="T119" s="77" t="s">
        <v>676</v>
      </c>
      <c r="AJ119" s="58">
        <f t="shared" ca="1" si="60"/>
        <v>1</v>
      </c>
      <c r="AK119" s="60">
        <f t="shared" ca="1" si="58"/>
        <v>0.92963454164838699</v>
      </c>
      <c r="AL119" s="29" t="str">
        <f t="shared" ca="1" si="59"/>
        <v>Mordenkainen's Sword</v>
      </c>
      <c r="CB119" s="35">
        <f t="shared" ca="1" si="57"/>
        <v>4</v>
      </c>
      <c r="CC119" s="36">
        <f ca="1">IF(BM20&gt;0,0,RAND())</f>
        <v>0.60655595845282761</v>
      </c>
      <c r="CD119" s="29" t="s">
        <v>25</v>
      </c>
    </row>
    <row r="120" spans="2:82" x14ac:dyDescent="0.3">
      <c r="B120" s="78" t="str">
        <f ca="1">IF(P15="way of the four elements","Way of the Four Elements",IF(AND(O11="wizard",O12&gt;=20),"Signature Spell",IF(AND($O$11="paladin",$O$12&gt;=3),"Oath Spells",IF(AND($P$15="moon",$O$12&gt;=14),"Thousand Forms",IF($P$15="way of the shadow","Shadow Arts",IF(AND($O$11="druid",$P$15="land"),"Land Circle Spells",IF($O$11="cleric","Domain Spells",IF($O$11="bard","Magical Secrets",IF($P$15="path of the totem warrior","Totem Warrior Spells",IF(AND($O$11="warlock",$O$12&gt;=2),"Mystic Arcanum and Invocation",IF($P$15="arcane trickster","4th,8th,14th,20th non E&amp;I spells",IF($P$15="eldritch knight","4th,8th,14th,20th non A&amp;E spells"," "))))))))))))</f>
        <v>Signature Spell</v>
      </c>
      <c r="C120" s="33"/>
      <c r="D120" s="33"/>
      <c r="E120" s="33"/>
      <c r="F120" s="33"/>
      <c r="G120" s="33"/>
      <c r="H120" s="33"/>
      <c r="I120" s="33"/>
      <c r="J120" s="33"/>
      <c r="K120" s="33"/>
      <c r="L120" s="33"/>
      <c r="M120" s="33"/>
      <c r="N120" s="33"/>
      <c r="O120" s="34">
        <v>1</v>
      </c>
      <c r="P120" s="33" t="str">
        <f ca="1">IF($O$16="pact of the tome",INDEX('Spell Tables'!$BD$19:$BD$37,MATCH(1,('Spell Tables'!$BB$19:$BB$37),0)),IF($P$15="way of the shadow","Minor Illusion (free)",IF($P$15="land",INDEX('Spell Tables'!P48:P55,MATCH(8,('Spell Tables'!N48:N55),0)),IF($P$15="nature",INDEX('Spell Tables'!P48:P55,MATCH(6,('Spell Tables'!N48:N55),0)),IF($P$15="light","Light",IF(AND($O$11="bard",AL191="c"),INDEX('Spell Tables'!$BD$2:$BD$16,MATCH(10,('Spell Tables'!$BB$2:$BB$16),0))," "))))))</f>
        <v xml:space="preserve"> </v>
      </c>
      <c r="Q120" s="33" t="str">
        <f ca="1">IF(COUNTIF(P18:P21,"*"&amp;"Fist of Four Thunders"&amp;"*"),"Thunderwave (2 ki)",IF(COUNTIF($O$18:$O$25,"*"&amp;"armor of shadows"&amp;"*"),"Mage Armor*",IF($P$15="oath of vengeance","Bane",IF($P$15="Oath of the Ancients","Ensnaring Strike",IF($P$15="Oath of Devotion","Protection from Good and Evil",IF(AND($P$15="war",$O$12&gt;=1),"Divine Favor",IF(AND($P$15="Trickery",$O$12&gt;=1),"Charm Person",IF(AND($P$15="tempest",$O$12&gt;=1),"Fog Cloud",IF(AND($P$15="nature",$O$12&gt;=1),"Animal Friendship",IF(AND($P$15="light",$O$12&gt;=1),"Burning Hands",IF($P$15="life","Bless",IF($P$15="knowledge","Command",IF(AND($O$11="bard",AL155=1),INDEX('Spell Tables'!$BH$2:$BH$41,MATCH($O$120,('Spell Tables'!$BF$2:$BF$41),0)),IF($P$15="arcane trickster",INDEX('Spell Tables'!$X$141:$X$163,MATCH(O120,('Spell Tables'!$V$141:$V$163),0)),IF($P$15="path of the totem warrior","Speak with Animals (as ritual)",IF($P$15="eldritch knight",INDEX('Spell Tables'!$X$70:$X$90,MATCH($O$120,('Spell Tables'!$V$70:$V$90),0))," "))))))))))))))))</f>
        <v xml:space="preserve"> </v>
      </c>
      <c r="R120" s="33" t="str">
        <f ca="1">IF(COUNTIF(P18:P21,"*"&amp;"Clench of the North Wind"&amp;"*"),"Hold Person (3 ki)",IF(COUNTIF(P18:P21,"*"&amp;"Clench of the North Wind"&amp;"*"),"Hold Person (3 ki)",IF(COUNTIF(O18:O25,"*"&amp;"ascendant step"&amp;"*"),"Levitate*",IF(AND(P15="oath of vengeance",O12&gt;=5),"Hold Person",IF(AND(P15="Oath of the Ancients",O12&gt;=5),"Moonbeam",IF(AND(P15="Oath of Devotion",O12&gt;=5),"Lesser Restoration",IF(AND(P15="moon",O12&gt;=14),"Alter Self",IF(P15="Way of the Shadow","Darkness",IF(AND($P$20="Underdark",$O$12&gt;=3),"Spider Climb",IF(AND($P$20="Swamp",$O$12&gt;=3),"Darkness",IF(AND($P$20="Mountain",$O$12&gt;=3),"Spider Climb",IF(AND($P$20="Grassland",$O$12&gt;=3),"Invisibility",IF(AND($P$20="Forest",$O$12&gt;=3),"Barkskin",IF(AND($P$20="Desert",$O$12&gt;=3),"Blur",IF(AND($P$20="Coast",$O$12&gt;=3),"Mirror Image",IF(AND($P$20="arctic",$O$12&gt;=3),"Hold Person",IF(AND(P15="war",O12&gt;=3),"Magic Weapon",IF(AND(P15="Trickery",O12&gt;=3),"Mirror Image",IF(AND(P15="tempest",O12&gt;=3),"Gust of Wind",IF(AND(P15="nature",O12&gt;=3),"Barkskin",IF(AND(P15="light",O12&gt;=3),"Flaming Sphere",IF(AND(P15="Life",O12&gt;=3),"Lesser Restoration",IF(AND(P15="knowledge",O12&gt;=3),"Augury",IF(AND(O11="bard",AL155=2),INDEX('Spell Tables'!BL2:BL37,MATCH(O120,('Spell Tables'!BJ2:BJ37),0)),IF(P15="path of the totem warrior","Beast Sense (as ritual)",IF(AND(P15="eldritch knight",O12&gt;=8),INDEX('Spell Tables'!AF70:AF94,MATCH('Pick and Choose'!O120,('Spell Tables'!AD70:AD94),0)),IF(AND(P15="arcane trickster",O12&gt;=8),INDEX('Spell Tables'!AF141:AF165,MATCH('Pick and Choose'!O120,('Spell Tables'!AD141:AD165),0))," ")))))))))))))))))))))))))))</f>
        <v xml:space="preserve"> </v>
      </c>
      <c r="S120" s="33" t="str">
        <f ca="1">IF(COUNTIF(P18:P21,"*"&amp;"Mist Stance"&amp;"*"),"Gaseous Form (4 ki)",IF(AND($O$11="wizard",O12&gt;=20),INDEX('Spell Tables'!$AB$242:$AB$270,MATCH(29,('Spell Tables'!$Z$242:$Z$270),0)),IF(COUNTIF(O18:O25,"*"&amp;"mire the mind"&amp;"*"),"Slow**",IF(AND(P15="oath of vengeance",O12&gt;=9),"Haste",IF(AND(P15="Oath of the Ancients",O12&gt;=9),"Plant Growth",IF(AND(P15="Oath of Devotion",O12&gt;=9),"Beacon of Hope",IF(AND($P$20="Underdark",$O$12&gt;=5),"Gaseous Form",IF(AND($P$20="Swamp",$O$12&gt;=5),"Water Walk",IF(AND($P$20="Mountain",$O$12&gt;=5),"Lightning Bolt",IF(AND($P$20="Grassland",$O$12&gt;=5),"Daylight",IF(AND($P$20="Forest",$O$12&gt;=5),"Call Lightning",IF(AND($P$20="Desert",$O$12&gt;=5),"Create Food and Water",IF(AND($P$20="Coast",$O$12&gt;=5),"Water Breathing",IF(AND($P$20="arctic",$O$12&gt;=5),"Sleet Storm",IF(AND(P15="war",O12&gt;=5),"Crusader's Mantle",IF(AND(P15="trickery",O12&gt;=5),"Blink",IF(AND(P15="tempest",O12&gt;=5),"Call Lightning",IF(AND(P15="nature",O12&gt;=5),"Plant Growth",IF(AND(P15="light",O12&gt;=5),"Daylight",IF(AND(P15="life",O12&gt;=5),"Beacon of Hope",IF(AND(P15="knowledge",O12&gt;=5),"Nondetection",IF(AND(O11="bard",AL155=3),INDEX('Spell Tables'!BP2:BP35,MATCH(O120,('Spell Tables'!BN2:BN35),0)),IF(AND(P15="arcane trickster",O12&gt;=14),INDEX('Spell Tables'!AN141:AN165,MATCH(O120,('Spell Tables'!AL141:AL165),0)),IF(AND(P15="eldritch knight",O12&gt;=14),INDEX('Spell Tables'!AN70:AN88,MATCH(O120,('Spell Tables'!AL70:AL88),0))," "))))))))))))))))))))))))</f>
        <v>Fear</v>
      </c>
      <c r="T120" s="72" t="str">
        <f ca="1">IF(COUNTIF(P18:P21,"*"&amp;"Eternal Mountain Defense"&amp;"*"),"Stoneskin (5 ki)",IF(COUNTIF(O18:O25,"*"&amp;"bewitching whispers"&amp;"*"),"Compulsion**",IF(AND(P15="oath of vengeance",O12&gt;=13),"Banishment",IF(AND(P15="Oath of the Ancients",O12&gt;=13),"Ice Storm",IF(AND(P15="Oath of Devotion",O12&gt;=13),"Freedom of Movement",IF(AND($P$20="Underdark",$O$12&gt;=7),"Greater Invisibility",IF(AND($P$20="Swamp",$O$12&gt;=7),"Freedom of Movement",IF(AND($P$20="Mountain",$O$12&gt;=7),"Stone Shape",IF(AND($P$20="Grassland",$O$12&gt;=7),"Divination",IF(AND($P$20="Forest",$O$12&gt;=7),"Divination",IF(AND($P$20="Desert",$O$12&gt;=7),"Blight",IF(AND($P$20="Coast",$O$12&gt;=7),"Control Water",IF(AND($P$20="arctic",$O$12&gt;=7),"Freedom of Movement",IF(AND(P15="war",O12&gt;=7),"Freedom of Movement",IF(AND(P15="trickery",O12&gt;=7),"Dimension Door",IF(AND(P15="tempest",O12&gt;=7),"Control Water",IF(AND(P15="nature",O12&gt;=7),"Dominate Beast",IF(AND(P15="light",O12&gt;=7),"Guardian of Faith",IF(AND(P15="life",O12&gt;=7),"Death Ward",IF(AND(P15="knowledge",O12&gt;=7),"Arcane Eye",IF(AND(O11="bard",AL155=4),INDEX('Spell Tables'!BT2:BT29,MATCH(O120,('Spell Tables'!BR2:BR29),0)),IF(AND(P15="arcane trickster",O12&gt;=20),INDEX('Spell Tables'!AV141:AV159,MATCH(O120,('Spell Tables'!AT141:AT159),0)),IF(AND(P15="eldritch knight",O12&gt;=20),INDEX('Spell Tables'!AV70:AV86,MATCH(O120,('Spell Tables'!AT70:AT86),0))," ")))))))))))))))))))))))</f>
        <v xml:space="preserve"> </v>
      </c>
      <c r="AJ120" s="58">
        <f t="shared" ca="1" si="60"/>
        <v>2</v>
      </c>
      <c r="AK120" s="60">
        <f t="shared" ca="1" si="58"/>
        <v>0.8169584916152608</v>
      </c>
      <c r="AL120" s="29" t="str">
        <f t="shared" ca="1" si="59"/>
        <v>Reverse Gravity</v>
      </c>
    </row>
    <row r="121" spans="2:82" x14ac:dyDescent="0.3">
      <c r="B121" s="79" t="str">
        <f ca="1">IF(P15="way of the four elements","Elemental Disciplines - cost Ki",IF(AND(O11="wizard",O12&gt;=20),"Always Prepared",IF(AND($O$11="warlock",$O$12&gt;=2),"* = at will - no slot use",IF($P$15="land",$P$20," "))))</f>
        <v>Always Prepared</v>
      </c>
      <c r="C121" s="33"/>
      <c r="D121" s="33"/>
      <c r="E121" s="33"/>
      <c r="F121" s="33"/>
      <c r="G121" s="33"/>
      <c r="H121" s="33"/>
      <c r="I121" s="33"/>
      <c r="J121" s="33"/>
      <c r="K121" s="33"/>
      <c r="L121" s="33"/>
      <c r="M121" s="33"/>
      <c r="N121" s="33"/>
      <c r="O121" s="34">
        <v>2</v>
      </c>
      <c r="P121" s="33" t="str">
        <f ca="1">IF($O$16="pact of the tome",INDEX('Spell Tables'!$BD$19:$BD$37,MATCH(2,('Spell Tables'!$BB$19:$BB$37),0)),IF(AND($O$11="bard",AL192="c"),INDEX('Spell Tables'!$BD$2:$BD$16,MATCH(11,('Spell Tables'!$BB$2:$BB$16),0))," "))</f>
        <v xml:space="preserve"> </v>
      </c>
      <c r="Q121" s="33" t="str">
        <f ca="1">IF(COUNTIF(P18:P21,"*"&amp;"Sweeping Cinder Strike"&amp;"*"),"Burning Hands (2 ki)",IF(COUNTIF(O18:O25,"*"&amp;"beast speech"&amp;"*"),"Speak with Animals*",IF(P15="Oath of the Ancients","Speak with Animals",IF(P15="Oath of vengeance","Hunter's Mark",IF(P15="Oath of Devotion","Sanctuary",IF(AND(P15="war",O12&gt;=1),"Shield of Faith",IF(AND(P15="trickery",O12&gt;=1),"Disguise Self",IF(AND(P15="tempest",O12&gt;=1),"Thunderwave",IF(AND(P15="Nature",O12&gt;=1),"Speak with Animals",IF(AND(P15="light",O12&gt;=1),"Faerie Fire",IF(P15="life","Cure Wounds",IF(P15="knowledge","Identify",IF(AND($O$11="bard",AL156=1),INDEX('Spell Tables'!$BH$2:$BH$41,MATCH(O121,('Spell Tables'!$BF$2:$BF$41),0))," ")))))))))))))</f>
        <v xml:space="preserve"> </v>
      </c>
      <c r="R121" s="33" t="str">
        <f ca="1">IF(COUNTIF(P18:P21,"*"&amp;"Gong of the Summit"&amp;"*"),"Shatter (3 ki)",IF(COUNTIF(O18:O25,"*"&amp;"master of myriad forms"&amp;"*"),"Alter Self*",IF(AND(P15="oath of vengeance",O12&gt;=5),"Misty Step",IF(AND(P15="Oath of the Ancients",O12&gt;=5),"Misty Step",IF(AND(P15="Oath of Devotion",O12&gt;=5),"Zone of Truth",IF(P15="way of the shadow","Darkvision",IF(AND($P$20="Underdark",$O$12&gt;=3),"Web",IF(AND($P$20="Swamp",$O$12&gt;=3),"Melf's Acid Arrow",IF(AND($P$20="Mountain",$O$12&gt;=3),"Spike Growth",IF(AND($P$20="Grassland",$O$12&gt;=3),"Pass Without Trace",IF(AND($P$20="Forest",$O$12&gt;=3),"Spider Climb",IF(AND($P$20="Desert",$O$12&gt;=3),"Silence",IF(AND($P$20="Coast",$O$12&gt;=3),"Misty Step",IF(AND($P$20="arctic",$O$12&gt;=3),"Spike Growth",IF(AND(P15="war",O12&gt;=3),"Spiritual Weapon",IF(AND(P15="trickery",O12&gt;=3),"Pass Without Trace",IF(AND(P15="tempest",O12&gt;=3),"Shatter",IF(AND(P15="nature",O12&gt;=3),"Spike Growth",IF(AND(P15="light",O12&gt;=3),"Scorching Ray",IF(AND(P15="life",O12&gt;=3),"Spiritual Weapon",IF(AND(P15="knowledge",O12&gt;=3),"Suggestion",IF(AND($O$11="bard",AL156=2),INDEX('Spell Tables'!$BL$2:$BL$37,MATCH(O121,('Spell Tables'!$BJ$2:$BJ$37),0))," "))))))))))))))))))))))</f>
        <v xml:space="preserve"> </v>
      </c>
      <c r="S121" s="33" t="str">
        <f ca="1">IF(COUNTIF(P18:P21,"*"&amp;"Ride the Wind"&amp;"*"),"Fly (4 ki)",IF(AND($O$11="wizard",O12&gt;=20),INDEX('Spell Tables'!$AB$242:$AB$270,MATCH(28,('Spell Tables'!$Z$242:$Z$270),0)),IF(COUNTIF(O18:O25,"*"&amp;"sign of ill omen"&amp;"*"),"Bestow Curse**",IF(AND(P15="oath of vengeance",O12&gt;=9),"Protection from Energy",IF(AND(P15="Oath of the Ancients",O12&gt;=9),"Protection from Energy",IF(AND(P15="Oath of Devotion",O12&gt;=9),"Dispel Magic",IF(AND($P$20="Underdark",$O$12&gt;=5),"Stinking Cloud",IF(AND($P$20="Swamp",$O$12&gt;=5),"Stinking Cloud",IF(AND($P$20="Mountain",$O$12&gt;=5),"Meld Into Stone",IF(AND($P$20="Grassland",$O$12&gt;=5),"Haste",IF(AND($P$20="Forest",$O$12&gt;=5),"Plant Growth",IF(AND($P$20="Desert",$O$12&gt;=5),"Protection from Energy",IF(AND($P$20="Coast",$O$12&gt;=5),"Water Walk",IF(AND($P$20="arctic",$O$12&gt;=5),"Slow",IF(AND(P15="war",O12&gt;=5),"Spirit Guardians",IF(AND(P15="trickery",O12&gt;=5),"Dispel Magic",IF(AND(P15="Tempest",O12&gt;=5),"Sleet Storm",IF(AND(P15="nature",O12&gt;=5),"Wind Wall",IF(AND(P15="light",O12&gt;=5),"Fireball",IF(AND(P15="life",O12&gt;=5),"Revivify",IF(AND(P15="knowledge",O12&gt;=5),"Speak with Dead",IF(AND($O$11="bard",AL156=3),INDEX('Spell Tables'!$BP$2:$BP$35,MATCH(O121,('Spell Tables'!$BN$2:$BN$35),0))," "))))))))))))))))))))))</f>
        <v>Fireball</v>
      </c>
      <c r="T121" s="72" t="str">
        <f ca="1">IF(COUNTIF(P18:P21,"*"&amp;"River of Hungry Flame"&amp;"*"),"Wall of Fire (5 ki)",IF(COUNTIF(O18:O25,"*"&amp;"Dreadful word"&amp;"*"),"Confusion**",IF(AND(P15="oath of vengeance",O12&gt;=13),"Dimension Door",IF(AND(P15="Oath of the Ancients",O12&gt;=13),"Stoneskin",IF(AND(P15="Oath of Devotion",O12&gt;=13),"Guardian of Faith",IF(AND($P$20="Underdark",$O$12&gt;=7),"Stone Shape",IF(AND($P$20="Swamp",$O$12&gt;=7),"Locate Creature",IF(AND($P$20="Mountain",$O$12&gt;=7),"Stonekin",IF(AND($P$20="Grassland",$O$12&gt;=7),"Freedom of Movement",IF(AND($P$20="Forest",$O$12&gt;=7),"Freedom of Movement",IF(AND($P$20="Desert",$O$12&gt;=7),"Hallucinatory Terrain",IF(AND($P$20="Coast",$O$12&gt;=7),"Freedom of Movement",IF(AND($P$20="arctic",$O$12&gt;=7),"Ice Storm",IF(AND(P15="war",O12&gt;=7),"Stoneskin",IF(AND(P15="trickery",O12&gt;=7),"Polymorph",IF(AND(P15="tempest",O12&gt;=7),"Ice Storm",IF(AND(P15="nature",O12&gt;=7),"Grasping Vine",IF(AND(P15="light",O12&gt;=7),"Wall of Fire",IF(AND(P15="life",O12&gt;=7),"Guardian of Faith",IF(AND(P15="knowledge",O12&gt;=7),"Confusion",IF(AND($O$11="bard",AL156=4),INDEX('Spell Tables'!$BT$2:$BT$29,MATCH(O121,('Spell Tables'!$BR$2:$BR$29),0))," ")))))))))))))))))))))</f>
        <v xml:space="preserve"> </v>
      </c>
      <c r="AJ121" s="58" t="str">
        <f t="shared" ca="1" si="60"/>
        <v xml:space="preserve"> </v>
      </c>
      <c r="AK121" s="60">
        <f t="shared" ca="1" si="58"/>
        <v>0</v>
      </c>
      <c r="AL121" s="29" t="str">
        <f t="shared" ca="1" si="59"/>
        <v xml:space="preserve"> </v>
      </c>
    </row>
    <row r="122" spans="2:82" x14ac:dyDescent="0.3">
      <c r="B122" s="79" t="str">
        <f>IF(AND(O11="wizard",O12&gt;=20),"Cast once at 3rd level - no slot use",IF(AND($O$11="warlock",$O$12&gt;=2),"** = once per long rest - uses slot",IF(AND($O$11="paladin",$O$12&gt;=3),"Free Preparation",IF(AND($P$15="moon",$O$12&gt;=14),"At Will",IF($P$15="way of the shadow","Cost 2 Ki Points",IF(OR($P$15="land",$O$11="cleric"),"Free Preparation",IF(AND($O$11="bard",$O$12&gt;=10),"Count Toward Known"," ")))))))</f>
        <v>Cast once at 3rd level - no slot use</v>
      </c>
      <c r="C122" s="33"/>
      <c r="D122" s="33"/>
      <c r="E122" s="33"/>
      <c r="F122" s="33"/>
      <c r="G122" s="33"/>
      <c r="H122" s="33"/>
      <c r="I122" s="33"/>
      <c r="J122" s="33"/>
      <c r="K122" s="33"/>
      <c r="L122" s="33"/>
      <c r="M122" s="33"/>
      <c r="N122" s="33"/>
      <c r="O122" s="34">
        <v>3</v>
      </c>
      <c r="P122" s="33" t="str">
        <f ca="1">IF($O$16="pact of the tome",INDEX('Spell Tables'!$BD$19:$BD$37,MATCH(3,('Spell Tables'!$BB$19:$BB$37),0))," ")</f>
        <v xml:space="preserve"> </v>
      </c>
      <c r="Q122" s="29" t="str">
        <f ca="1">IF(COUNTIF(O18:O25,"*"&amp;"eldritch sight"&amp;"*"),"Detect Magic*",IF(AND($O$11="bard",AL191=1),INDEX('Spell Tables'!$BH$2:$BH$41,MATCH(O122,('Spell Tables'!$BF$2:$BF$41),0))," "))</f>
        <v xml:space="preserve"> </v>
      </c>
      <c r="R122" s="33" t="str">
        <f ca="1">IF(COUNTIF(P18:P21,"*"&amp;"Rush of the Gale Spirits"&amp;"*"),"Gust of Wind (2 ki)",IF(P15="way of the shadow","Pass Without Trace",IF(AND($O$11="bard",AL191=2),INDEX('Spell Tables'!$BL$2:$BL$37,MATCH(O122,('Spell Tables'!$BJ$2:$BJ$37),0))," ")))</f>
        <v xml:space="preserve"> </v>
      </c>
      <c r="S122" s="33" t="str">
        <f ca="1">IF(COUNTIF(O18:O25,"*"&amp;"whispers of the grave"&amp;"*"),"Speak with Dead*",IF(AND($O$11="bard",AL191=3),INDEX('Spell Tables'!$BP$2:$BP$35,MATCH(O122,('Spell Tables'!$BN$2:$BN$35),0))," "))</f>
        <v xml:space="preserve"> </v>
      </c>
      <c r="T122" s="72" t="str">
        <f ca="1">IF(COUNTIF(O18:O25,"*"&amp;"Sculptor of Flesh"&amp;"*"),"Polymorph**"," ")</f>
        <v xml:space="preserve"> </v>
      </c>
      <c r="AJ122" s="58" t="str">
        <f t="shared" ca="1" si="60"/>
        <v xml:space="preserve"> </v>
      </c>
      <c r="AK122" s="60">
        <f t="shared" ca="1" si="58"/>
        <v>0</v>
      </c>
      <c r="AL122" s="29" t="str">
        <f t="shared" ca="1" si="59"/>
        <v xml:space="preserve"> </v>
      </c>
    </row>
    <row r="123" spans="2:82" x14ac:dyDescent="0.3">
      <c r="B123" s="79" t="str">
        <f>IF(AND($O$11="warlock",$O$12&gt;=2),"6th level and up = *"," ")</f>
        <v xml:space="preserve"> </v>
      </c>
      <c r="O123" s="81">
        <v>4</v>
      </c>
      <c r="Q123" s="29" t="str">
        <f ca="1">IF(COUNTIF(O18:O25,"*"&amp;"fiendish vigor"&amp;"*"),"False Life*",IF(AND($O$11="bard",AL192=1),INDEX('Spell Tables'!$BH$2:$BH$41,MATCH(O123,('Spell Tables'!$BF$2:$BF$41),0))," "))</f>
        <v xml:space="preserve"> </v>
      </c>
      <c r="R123" s="29" t="str">
        <f ca="1">IF(P15="way of the shadow","Silence",IF(AND($O$11="bard",AL192=2),INDEX('Spell Tables'!$BL$2:$BL$37,MATCH(O123,('Spell Tables'!$BJ$2:$BJ$37),0))," "))</f>
        <v xml:space="preserve"> </v>
      </c>
      <c r="S123" s="29" t="str">
        <f ca="1">IF(AND($O$11="bard",AL192=3),INDEX('Spell Tables'!$BP$2:$BP$35,MATCH(O123,('Spell Tables'!$BN$2:$BN$35),0))," ")</f>
        <v xml:space="preserve"> </v>
      </c>
      <c r="T123" s="72" t="str">
        <f ca="1">IF(COUNTIF(O18:O25,"*"&amp;"visions of distant realms"&amp;"*"),"Arcane Eye*"," ")</f>
        <v xml:space="preserve"> </v>
      </c>
      <c r="AJ123" s="58" t="str">
        <f t="shared" ca="1" si="60"/>
        <v xml:space="preserve"> </v>
      </c>
      <c r="AK123" s="60">
        <f t="shared" ca="1" si="58"/>
        <v>0</v>
      </c>
      <c r="AL123" s="29" t="str">
        <f t="shared" ca="1" si="59"/>
        <v xml:space="preserve"> </v>
      </c>
    </row>
    <row r="124" spans="2:82" x14ac:dyDescent="0.3">
      <c r="B124" s="79"/>
      <c r="O124" s="81">
        <v>5</v>
      </c>
      <c r="Q124" s="29" t="str">
        <f ca="1">IF(COUNTIF(O18:O25,"*"&amp;"Mask of many faces"&amp;"*"),"Disguise Self*","")</f>
        <v/>
      </c>
      <c r="T124" s="72"/>
      <c r="AJ124" s="58" t="str">
        <f t="shared" ca="1" si="60"/>
        <v xml:space="preserve"> </v>
      </c>
      <c r="AK124" s="60">
        <f t="shared" ca="1" si="58"/>
        <v>0</v>
      </c>
      <c r="AL124" s="29" t="str">
        <f t="shared" ca="1" si="59"/>
        <v xml:space="preserve"> </v>
      </c>
    </row>
    <row r="125" spans="2:82" x14ac:dyDescent="0.3">
      <c r="B125" s="79"/>
      <c r="O125" s="81">
        <v>6</v>
      </c>
      <c r="Q125" s="29" t="str">
        <f ca="1">IF(COUNTIF(O18:O25,"*"&amp;"misty vision"&amp;"*"),"Silent Image*"," " )</f>
        <v xml:space="preserve"> </v>
      </c>
      <c r="T125" s="72"/>
      <c r="AJ125" s="58" t="str">
        <f t="shared" ca="1" si="60"/>
        <v xml:space="preserve"> </v>
      </c>
      <c r="AK125" s="60">
        <f t="shared" ca="1" si="58"/>
        <v>0</v>
      </c>
      <c r="AL125" s="29" t="str">
        <f t="shared" ca="1" si="59"/>
        <v xml:space="preserve"> </v>
      </c>
    </row>
    <row r="126" spans="2:82" x14ac:dyDescent="0.3">
      <c r="B126" s="79"/>
      <c r="O126" s="81">
        <v>7</v>
      </c>
      <c r="Q126" s="29" t="str">
        <f ca="1">IF(COUNTIF(O18:O25,"*"&amp;"otherworldly leap"&amp;"*"),"Jump*"," ")</f>
        <v xml:space="preserve"> </v>
      </c>
      <c r="T126" s="72"/>
    </row>
    <row r="127" spans="2:82" x14ac:dyDescent="0.3">
      <c r="B127" s="79"/>
      <c r="O127" s="81">
        <v>8</v>
      </c>
      <c r="Q127" s="29" t="str">
        <f ca="1">IF(COUNTIF(O18:O25,"*"&amp;"Thief of five fates"&amp;"*"),"Bane**"," ")</f>
        <v xml:space="preserve"> </v>
      </c>
      <c r="T127" s="72"/>
      <c r="AJ127" s="31" t="s">
        <v>677</v>
      </c>
    </row>
    <row r="128" spans="2:82" x14ac:dyDescent="0.3">
      <c r="B128" s="79" t="str">
        <f ca="1">IF(AND($O$16="pact of the tome",COUNTIF($O$13:$O$13,"*"&amp;"book of ancient secrets"&amp;"*")),"Book of Ancient Secrets"," ")</f>
        <v xml:space="preserve"> </v>
      </c>
      <c r="O128" s="81">
        <v>9</v>
      </c>
      <c r="Q128" s="29" t="str">
        <f ca="1">IF(AND(O16="pact of the tome",COUNTIF(O18:O25,"*"&amp;"book of ancient secrets"&amp;"*")),INDEX('Spell Tables'!BD40:BD46,MATCH(1,('Spell Tables'!BB40:BB46),0))," ")</f>
        <v xml:space="preserve"> </v>
      </c>
      <c r="T128" s="72"/>
      <c r="AJ128" s="58">
        <f ca="1">IF(AK128=0," ",_xlfn.RANK.EQ(AK128,$AK$128:$AK$137))</f>
        <v>1</v>
      </c>
      <c r="AK128" s="60">
        <f t="shared" ref="AK128:AK137" ca="1" si="61">IF(AL128=" ", 0,RAND())</f>
        <v>0.93744328568697022</v>
      </c>
      <c r="AL128" s="29" t="str">
        <f t="shared" ref="AL128:AL137" ca="1" si="62">S334</f>
        <v>Trap the Soul</v>
      </c>
    </row>
    <row r="129" spans="1:38" ht="19.5" thickBot="1" x14ac:dyDescent="0.35">
      <c r="B129" s="80" t="str">
        <f ca="1">IF($O$16="pact of the chain",$O$16,IF(OR(P129="minor illusion",S129="animate dead",T129="polymorph"),"School Spells - in Spellbook"," "))</f>
        <v xml:space="preserve"> </v>
      </c>
      <c r="C129" s="38"/>
      <c r="D129" s="38"/>
      <c r="E129" s="38"/>
      <c r="F129" s="38"/>
      <c r="G129" s="38"/>
      <c r="H129" s="38"/>
      <c r="I129" s="38"/>
      <c r="J129" s="38"/>
      <c r="K129" s="38"/>
      <c r="L129" s="38"/>
      <c r="M129" s="38"/>
      <c r="N129" s="38"/>
      <c r="O129" s="82">
        <v>10</v>
      </c>
      <c r="P129" s="38" t="str">
        <f ca="1">IF(AND(P15="school of Illusion",COUNTIF(P315:P324,"*"&amp;"Minor Illusion"&amp;"*"))," ",IF(P15="school of illusion","Minor Illusion"," "))</f>
        <v xml:space="preserve"> </v>
      </c>
      <c r="Q129" s="38" t="str">
        <f ca="1">IF(AND(O16="pact of the tome",COUNTIF(O18:O25,"*"&amp;"book of ancient secrets"&amp;"*")),INDEX('Spell Tables'!BD40:BD46,MATCH(2,('Spell Tables'!BB40:BB46),0)),IF(O16="pact of the chain","Find Familiar (as ritual)"," "))</f>
        <v xml:space="preserve"> </v>
      </c>
      <c r="R129" s="38"/>
      <c r="S129" s="38" t="str">
        <f ca="1">IF(AND(P15="school of necromancy",O12&gt;=6,COUNTIF(S315:S324,"*"&amp;"Animate Dead"&amp;"*"))," ",IF(AND(P15="school of necromancy",O12&gt;=6),"Animate Dead"," "))</f>
        <v xml:space="preserve"> </v>
      </c>
      <c r="T129" s="73" t="str">
        <f ca="1">IF(AND(P15="school of transmutation",O12&gt;=10,COUNTIF(T315:T324,"*"&amp;"Polymorph"&amp;"*"))," ",IF(AND(P15="school of transmutation",O12&gt;=6),"Polymorph"," "))</f>
        <v xml:space="preserve"> </v>
      </c>
      <c r="AJ129" s="58">
        <f t="shared" ref="AJ129:AJ137" ca="1" si="63">IF(AK129=0," ",_xlfn.RANK.EQ(AK129,$AK$128:$AK$137))</f>
        <v>3</v>
      </c>
      <c r="AK129" s="60">
        <f t="shared" ca="1" si="61"/>
        <v>0.59646952148912824</v>
      </c>
      <c r="AL129" s="29" t="str">
        <f t="shared" ca="1" si="62"/>
        <v>Demiplane</v>
      </c>
    </row>
    <row r="130" spans="1:38" x14ac:dyDescent="0.3">
      <c r="A130" s="33"/>
      <c r="B130" s="27"/>
      <c r="AJ130" s="58">
        <f t="shared" ca="1" si="63"/>
        <v>4</v>
      </c>
      <c r="AK130" s="60">
        <f t="shared" ca="1" si="61"/>
        <v>0.32230893263970106</v>
      </c>
      <c r="AL130" s="29" t="str">
        <f t="shared" ca="1" si="62"/>
        <v>Mind Blank</v>
      </c>
    </row>
    <row r="131" spans="1:38" ht="19.5" thickBot="1" x14ac:dyDescent="0.35">
      <c r="A131" s="131"/>
      <c r="B131" s="33"/>
      <c r="O131" s="38"/>
      <c r="AJ131" s="58">
        <f t="shared" ca="1" si="63"/>
        <v>2</v>
      </c>
      <c r="AK131" s="60">
        <f t="shared" ca="1" si="61"/>
        <v>0.77457440415274981</v>
      </c>
      <c r="AL131" s="29" t="str">
        <f t="shared" ca="1" si="62"/>
        <v>Antimagic Field</v>
      </c>
    </row>
    <row r="132" spans="1:38" x14ac:dyDescent="0.3">
      <c r="A132" s="131"/>
      <c r="B132" s="129"/>
      <c r="O132" s="132"/>
      <c r="P132" s="76" t="s">
        <v>1169</v>
      </c>
      <c r="Q132" s="76" t="s">
        <v>1170</v>
      </c>
      <c r="R132" s="76" t="s">
        <v>1171</v>
      </c>
      <c r="S132" s="76" t="s">
        <v>677</v>
      </c>
      <c r="T132" s="77" t="s">
        <v>1172</v>
      </c>
      <c r="AJ132" s="58" t="str">
        <f t="shared" ca="1" si="63"/>
        <v xml:space="preserve"> </v>
      </c>
      <c r="AK132" s="60">
        <f t="shared" ca="1" si="61"/>
        <v>0</v>
      </c>
      <c r="AL132" s="29" t="str">
        <f t="shared" ca="1" si="62"/>
        <v xml:space="preserve"> </v>
      </c>
    </row>
    <row r="133" spans="1:38" x14ac:dyDescent="0.3">
      <c r="A133" s="131"/>
      <c r="B133" s="129"/>
      <c r="O133" s="86">
        <v>1</v>
      </c>
      <c r="P133" s="65" t="str">
        <f ca="1">IF(COUNTIF(P18:P21,"*"&amp;"Breath of Winter"&amp;"*"),"Cone of Cold (6 ki)",IF(COUNTIF(O18:O25,"*"&amp;"chains of carceri"&amp;"*"),"Hold Monster**(c,f,e only)",IF(AND(P15="oath of vengeance",O12&gt;=17),"Hold Monster",IF(AND(P15="Oath of the Ancients",O12&gt;=17),"Commune with Nature",IF(AND(P15="Oath of Devotion",O12&gt;=17),"Commune",IF(AND($P$20="Underdark",$O$12&gt;=9),"Cloudkill",IF(AND($P$20="Swamp",$O$12&gt;=9),"Insect Plague",IF(AND($P$20="Mountain",$O$12&gt;=9),"Passwall",IF(AND($P$20="Grassland",$O$12&gt;=9),"Dream",IF(AND($P$20="Forest",$O$12&gt;=9),"Commune with Nature",IF(AND($P$20="Desert",$O$12&gt;=9),"Insect Plague",IF(AND($P$20="Coast",$O$12&gt;=9),"Conjure Elemental",IF(AND($P$20="arctic",$O$12&gt;=9),"Commune with Nature",IF(AND($P$15="war",$O$12&gt;=9),"Flame Strike",IF(AND($P$15="trickery",$O$12&gt;=9),"Dominate Person",IF(AND($P$15="tempest",$O$12&gt;=9),"Destructive Wave",IF(AND($P$15="nature",$O$12&gt;=9),"Insect Plague",IF(AND(P15="light",O12&gt;=9),"Flame Strike",IF(AND(P15="life",O12&gt;=9),"Mass Cure Wounds",IF(AND(P15="knowledge",O12&gt;=9),"Legend Lore",IF(AND(O11="bard",AL156=5),INDEX('Spell Tables'!BX2:BX24,MATCH(O120,('Spell Tables'!BV2:BV24),0)),IF(AND(P15="path of the totem warrior",O12&gt;=10),"Commune with Nature (as ritual)"," "))))))))))))))))))))))</f>
        <v xml:space="preserve"> </v>
      </c>
      <c r="Q133" s="65" t="str">
        <f ca="1">IF(AND(O11="bard",AL167=6),INDEX('Spell Tables'!CB2:CB27,MATCH(O120,('Spell Tables'!BZ2:BZ27),0)),IF(AND($O$11="warlock",$O$12&gt;=11),INDEX('Spell Tables'!AN194:AN201,MATCH(1,('Spell Tables'!AL194:AL201),0))," "))</f>
        <v xml:space="preserve"> </v>
      </c>
      <c r="R133" s="65" t="str">
        <f ca="1">IF(AND(O11="bard",AL167=7),INDEX('Spell Tables'!CF2:CF11,MATCH(O120,('Spell Tables'!CD2:CD11),0)),IF(AND($O$11="warlock",$O$12&gt;=13),INDEX('Spell Tables'!AR194:AR197,MATCH(1,('Spell Tables'!AP194:AP197),0))," "))</f>
        <v xml:space="preserve"> </v>
      </c>
      <c r="S133" s="65" t="str">
        <f ca="1">IF(AND(O11="bard",AL179=8),INDEX('Spell Tables'!CJ2:CJ14,MATCH(O120,('Spell Tables'!CH2:CH14),0)),IF(AND($O$11="warlock",$O$12&gt;=15),INDEX('Spell Tables'!AV194:AV198,MATCH(1,('Spell Tables'!AT194:AT198),0))," "))</f>
        <v xml:space="preserve"> </v>
      </c>
      <c r="T133" s="66" t="str">
        <f ca="1">IF(AND(O11="bard",AL180=9),INDEX('Spell Tables'!CN2:CN11,MATCH(O120,('Spell Tables'!CL2:CL11),0)),IF(AND($O$11="warlock",$O$12&gt;=17),INDEX('Spell Tables'!AZ194:AZ198,MATCH(1,('Spell Tables'!AX194:AX198),0))," "))</f>
        <v xml:space="preserve"> </v>
      </c>
      <c r="AJ133" s="58" t="str">
        <f t="shared" ca="1" si="63"/>
        <v xml:space="preserve"> </v>
      </c>
      <c r="AK133" s="60">
        <f t="shared" ca="1" si="61"/>
        <v>0</v>
      </c>
      <c r="AL133" s="29" t="str">
        <f t="shared" ca="1" si="62"/>
        <v xml:space="preserve"> </v>
      </c>
    </row>
    <row r="134" spans="1:38" x14ac:dyDescent="0.3">
      <c r="A134" s="131"/>
      <c r="B134" s="129"/>
      <c r="O134" s="133">
        <v>2</v>
      </c>
      <c r="P134" s="60" t="str">
        <f ca="1">IF(COUNTIF(P18:P21,"*"&amp;"Wave of Rolling Earth"&amp;"*"),"Wall of Stone (6 ki)",IF(COUNTIF(O18:O25,"*"&amp;"minions of chaos"&amp;"*"),"Conjure Elemental**",IF(AND(P15="oath of vengeance",O12&gt;=17),"Scrying",IF(AND(P15="Oath of the Ancients",O12&gt;=17),"Tree Stride",IF(AND(P15="Oath of Devotion",O12&gt;=17),"Flame Strike",IF(AND($P$20="Underdark",$O$12&gt;=9),"Insect Plague",IF(AND($P$20="Swamp",$O$12&gt;=9),"Scrying",IF(AND($P$20="Mountain",$O$12&gt;=9),"Wall of Stone",IF(AND($P$20="Grassland",$O$12&gt;=9),"Insect Plague",IF(AND($P$20="Forest",$O$12&gt;=9),"Tree Stride",IF(AND($P$20="Desert",$O$12&gt;=9),"Wall of Stone",IF(AND($P$20="Coast",$O$12&gt;=9),"Scrying",IF(AND($P$20="arctic",$O$12&gt;=9),"Cone of Cold",IF(AND($P$15="war",$O$12&gt;=9),"Hold Monster",IF(AND($P$15="trickery",$O$12&gt;=9),"Modify Memory",IF(AND($P$15="tempest",$O$12&gt;=9),"Insect Plague",IF(AND($P$15="nature",$O$12&gt;=9),"Tree Stride",IF(AND(P15="light",O12&gt;=9),"Scrying",IF(AND(P15="life",O12&gt;=9),"Raise Dead",IF(AND(P15="knowledge",O12&gt;=9),"Scrying",IF(AND($O$11="bard",AL157=5),INDEX('Spell Tables'!$BX$2:$BX$24,MATCH(O121,('Spell Tables'!$BV$2:$BV$24),0))," ")))))))))))))))))))))</f>
        <v xml:space="preserve"> </v>
      </c>
      <c r="Q134" s="60" t="str">
        <f ca="1">IF(AND(O11="bard",AL168=6),INDEX('Spell Tables'!CB2:CB27,MATCH(O121,('Spell Tables'!BZ2:BZ27),0))," ")</f>
        <v xml:space="preserve"> </v>
      </c>
      <c r="R134" s="60" t="str">
        <f ca="1">IF(AND(O11="bard",AL168=7),INDEX('Spell Tables'!CF2:CF11,MATCH(O121,('Spell Tables'!CD2:CD11),0))," ")</f>
        <v xml:space="preserve"> </v>
      </c>
      <c r="S134" s="60" t="str">
        <f ca="1">IF(AND(O11="bard",AL179=8),INDEX('Spell Tables'!CJ2:CJ14,MATCH(O121,('Spell Tables'!CH2:CH14),0))," ")</f>
        <v xml:space="preserve"> </v>
      </c>
      <c r="T134" s="63" t="str">
        <f ca="1">IF(AND(O11="bard",AL180=9),INDEX('Spell Tables'!CN2:CN11,MATCH(O121,('Spell Tables'!CL2:CL11),0))," ")</f>
        <v xml:space="preserve"> </v>
      </c>
      <c r="AJ134" s="58" t="str">
        <f t="shared" ca="1" si="63"/>
        <v xml:space="preserve"> </v>
      </c>
      <c r="AK134" s="60">
        <f t="shared" ca="1" si="61"/>
        <v>0</v>
      </c>
      <c r="AL134" s="29" t="str">
        <f t="shared" ca="1" si="62"/>
        <v xml:space="preserve"> </v>
      </c>
    </row>
    <row r="135" spans="1:38" x14ac:dyDescent="0.3">
      <c r="A135" s="33"/>
      <c r="O135" s="86">
        <v>3</v>
      </c>
      <c r="P135" s="65"/>
      <c r="Q135" s="65"/>
      <c r="R135" s="65"/>
      <c r="S135" s="65"/>
      <c r="T135" s="66"/>
      <c r="AJ135" s="58" t="str">
        <f t="shared" ca="1" si="63"/>
        <v xml:space="preserve"> </v>
      </c>
      <c r="AK135" s="60">
        <f t="shared" ca="1" si="61"/>
        <v>0</v>
      </c>
      <c r="AL135" s="29" t="str">
        <f t="shared" ca="1" si="62"/>
        <v xml:space="preserve"> </v>
      </c>
    </row>
    <row r="136" spans="1:38" x14ac:dyDescent="0.3">
      <c r="A136" s="33"/>
      <c r="O136" s="133">
        <v>4</v>
      </c>
      <c r="P136" s="60"/>
      <c r="Q136" s="60"/>
      <c r="R136" s="60"/>
      <c r="S136" s="60"/>
      <c r="T136" s="63"/>
      <c r="AJ136" s="58" t="str">
        <f t="shared" ca="1" si="63"/>
        <v xml:space="preserve"> </v>
      </c>
      <c r="AK136" s="60">
        <f t="shared" ca="1" si="61"/>
        <v>0</v>
      </c>
      <c r="AL136" s="29" t="str">
        <f t="shared" ca="1" si="62"/>
        <v xml:space="preserve"> </v>
      </c>
    </row>
    <row r="137" spans="1:38" x14ac:dyDescent="0.3">
      <c r="A137" s="33"/>
      <c r="O137" s="86">
        <v>5</v>
      </c>
      <c r="P137" s="65"/>
      <c r="Q137" s="65"/>
      <c r="R137" s="65"/>
      <c r="S137" s="65"/>
      <c r="T137" s="66"/>
      <c r="AJ137" s="58" t="str">
        <f t="shared" ca="1" si="63"/>
        <v xml:space="preserve"> </v>
      </c>
      <c r="AK137" s="60">
        <f t="shared" ca="1" si="61"/>
        <v>0</v>
      </c>
      <c r="AL137" s="29" t="str">
        <f t="shared" ca="1" si="62"/>
        <v xml:space="preserve"> </v>
      </c>
    </row>
    <row r="138" spans="1:38" x14ac:dyDescent="0.3">
      <c r="A138" s="33"/>
      <c r="O138" s="133">
        <v>6</v>
      </c>
      <c r="P138" s="60"/>
      <c r="Q138" s="60"/>
      <c r="R138" s="60"/>
      <c r="S138" s="60"/>
      <c r="T138" s="63"/>
    </row>
    <row r="139" spans="1:38" x14ac:dyDescent="0.3">
      <c r="A139" s="33"/>
      <c r="O139" s="86">
        <v>7</v>
      </c>
      <c r="P139" s="65"/>
      <c r="Q139" s="65"/>
      <c r="R139" s="65"/>
      <c r="S139" s="65"/>
      <c r="T139" s="66"/>
      <c r="AJ139" s="31" t="s">
        <v>1172</v>
      </c>
    </row>
    <row r="140" spans="1:38" x14ac:dyDescent="0.3">
      <c r="A140" s="33"/>
      <c r="O140" s="133">
        <v>8</v>
      </c>
      <c r="P140" s="60"/>
      <c r="Q140" s="60"/>
      <c r="R140" s="60"/>
      <c r="S140" s="60"/>
      <c r="T140" s="63"/>
      <c r="AJ140" s="58">
        <f ca="1">IF(AK140=0," ",_xlfn.RANK.EQ(AK140,$AK$140:$AK$149))</f>
        <v>2</v>
      </c>
      <c r="AK140" s="60">
        <f t="shared" ref="AK140:AK149" ca="1" si="64">IF(AL140=" ", 0,RAND())</f>
        <v>0.41715137173479933</v>
      </c>
      <c r="AL140" s="29" t="str">
        <f t="shared" ref="AL140:AL149" ca="1" si="65">T334</f>
        <v>Power Word Kill</v>
      </c>
    </row>
    <row r="141" spans="1:38" x14ac:dyDescent="0.3">
      <c r="A141" s="33"/>
      <c r="O141" s="86">
        <v>9</v>
      </c>
      <c r="P141" s="65"/>
      <c r="Q141" s="65"/>
      <c r="R141" s="65"/>
      <c r="S141" s="65"/>
      <c r="T141" s="66"/>
      <c r="AJ141" s="58">
        <f t="shared" ref="AJ141:AJ149" ca="1" si="66">IF(AK141=0," ",_xlfn.RANK.EQ(AK141,$AK$140:$AK$149))</f>
        <v>1</v>
      </c>
      <c r="AK141" s="60">
        <f t="shared" ca="1" si="64"/>
        <v>0.4287707963247428</v>
      </c>
      <c r="AL141" s="29" t="str">
        <f t="shared" ca="1" si="65"/>
        <v>Foresight</v>
      </c>
    </row>
    <row r="142" spans="1:38" ht="19.5" thickBot="1" x14ac:dyDescent="0.35">
      <c r="A142" s="33"/>
      <c r="O142" s="134">
        <v>10</v>
      </c>
      <c r="P142" s="67"/>
      <c r="Q142" s="67"/>
      <c r="R142" s="67"/>
      <c r="S142" s="67"/>
      <c r="T142" s="68"/>
      <c r="AJ142" s="58">
        <f t="shared" ca="1" si="66"/>
        <v>3</v>
      </c>
      <c r="AK142" s="60">
        <f t="shared" ca="1" si="64"/>
        <v>0.18743842629618568</v>
      </c>
      <c r="AL142" s="29" t="str">
        <f t="shared" ca="1" si="65"/>
        <v>Imprisonment</v>
      </c>
    </row>
    <row r="143" spans="1:38" ht="19.5" thickBot="1" x14ac:dyDescent="0.35">
      <c r="AJ143" s="58" t="str">
        <f t="shared" ca="1" si="66"/>
        <v xml:space="preserve"> </v>
      </c>
      <c r="AK143" s="60">
        <f t="shared" ca="1" si="64"/>
        <v>0</v>
      </c>
      <c r="AL143" s="29" t="str">
        <f t="shared" ca="1" si="65"/>
        <v xml:space="preserve"> </v>
      </c>
    </row>
    <row r="144" spans="1:38" ht="30.75" thickBot="1" x14ac:dyDescent="0.45">
      <c r="B144" s="105" t="s">
        <v>1335</v>
      </c>
      <c r="AJ144" s="58" t="str">
        <f t="shared" ca="1" si="66"/>
        <v xml:space="preserve"> </v>
      </c>
      <c r="AK144" s="60">
        <f t="shared" ca="1" si="64"/>
        <v>0</v>
      </c>
      <c r="AL144" s="29" t="str">
        <f t="shared" ca="1" si="65"/>
        <v xml:space="preserve"> </v>
      </c>
    </row>
    <row r="145" spans="1:38" x14ac:dyDescent="0.3">
      <c r="B145" s="79"/>
      <c r="C145" s="27"/>
      <c r="D145" s="27"/>
      <c r="E145" s="27"/>
      <c r="F145" s="27"/>
      <c r="G145" s="27"/>
      <c r="H145" s="27"/>
      <c r="I145" s="27"/>
      <c r="J145" s="27"/>
      <c r="K145" s="27"/>
      <c r="L145" s="27"/>
      <c r="M145" s="27"/>
      <c r="N145" s="27"/>
      <c r="O145" s="27"/>
      <c r="P145" s="76" t="s">
        <v>1124</v>
      </c>
      <c r="Q145" s="76" t="s">
        <v>1166</v>
      </c>
      <c r="R145" s="76" t="s">
        <v>1167</v>
      </c>
      <c r="S145" s="76" t="s">
        <v>1168</v>
      </c>
      <c r="T145" s="77" t="s">
        <v>676</v>
      </c>
      <c r="AJ145" s="58" t="str">
        <f t="shared" ca="1" si="66"/>
        <v xml:space="preserve"> </v>
      </c>
      <c r="AK145" s="60">
        <f t="shared" ca="1" si="64"/>
        <v>0</v>
      </c>
      <c r="AL145" s="29" t="str">
        <f t="shared" ca="1" si="65"/>
        <v xml:space="preserve"> </v>
      </c>
    </row>
    <row r="146" spans="1:38" x14ac:dyDescent="0.3">
      <c r="B146" s="86" t="str">
        <f ca="1">IF(R15="way of the four elements","Way of the Four Elements",IF(AND(Q11="paladin",Q12&gt;=3),"Oath Spells",IF(AND(R15="moon",Q12&gt;=14),"Thousand Forms",IF(R15="way of the shadow","Shadow Arts",IF(AND(Q11="druid",R15="land"),"Land Circle Spells",IF(Q11="cleric","Domain Spells",IF(Q11="bard","Magical Secrets",IF(R15="path of the totem warrior","Totem Warrior Spells",IF(AND(Q11="warlock",Q12&gt;=2),"Mystic Arcanum and Invocation",IF(R15="arcane trickster","4th,8th,14th,20th non E&amp;I spells",IF(R15="eldritch knight","4th,8th,14th,20th non A&amp;E spells"," ")))))))))))</f>
        <v xml:space="preserve"> </v>
      </c>
      <c r="C146" s="33"/>
      <c r="D146" s="33"/>
      <c r="E146" s="33"/>
      <c r="F146" s="33"/>
      <c r="G146" s="33"/>
      <c r="H146" s="33"/>
      <c r="I146" s="33"/>
      <c r="J146" s="33"/>
      <c r="K146" s="33"/>
      <c r="L146" s="33"/>
      <c r="M146" s="33"/>
      <c r="N146" s="33"/>
      <c r="O146" s="34">
        <v>1</v>
      </c>
      <c r="P146" s="33" t="str">
        <f ca="1">IF(R15="school of illusion","Minor Illusion",IF(Q16="pact of the tome",INDEX('Spell Tables'!$BD$19:$BD$37,MATCH(1,('Spell Tables'!$BB$19:$BB$37),0)),IF(R15="way of the shadow","Minor Illusion (free)",IF(R15="land",INDEX('Spell Tables'!P48:P55,MATCH(8,('Spell Tables'!N48:N55),0)),IF(R15="nature",INDEX('Spell Tables'!P48:P55,MATCH(6,('Spell Tables'!N48:N55),0)),IF(R15="light","Light",IF(AND(Q11="bard",AL191="c"),INDEX('Spell Tables'!$BD$2:$BD$16,MATCH(10,('Spell Tables'!$BB$2:$BB$16),0))," ")))))))</f>
        <v xml:space="preserve"> </v>
      </c>
      <c r="Q146" s="33" t="str">
        <f ca="1">IF(COUNTIF(R18:R21,"*"&amp;"Fist of Four Thunders"&amp;"*"),"Thunderwave (2 ki)",IF(COUNTIF($Q$18:$Q$22,"*"&amp;"armor of shadows"&amp;"*"),"Mage Armor*",IF(R15="oath of vengeance","Bane",IF(R15="Oath of the Ancients","Ensnaring Strike",IF(R15="Oath of Devotion","Protection from Good and Evil",IF(AND(R15="war",Q12&gt;=1),"Divine Favor",IF(AND(R15="Trickery",Q12&gt;=1),"Charm Person",IF(AND(R15="tempest",Q12&gt;=1),"Fog Cloud",IF(AND(R15="nature",Q12&gt;=1),"Animal Friendship",IF(AND(R15="light",Q12&gt;=1),"Burning Hands",IF(R15="life","Bless",IF(R15="knowledge","Command",IF(AND(Q11="bard",AL155=1),INDEX('Spell Tables'!$BH$2:$BH$41,MATCH($O$120,('Spell Tables'!$BF$2:$BF$41),0)),IF(R15="arcane trickster",INDEX('Spell Tables'!$X$141:$X$163,MATCH(O120,('Spell Tables'!$V$141:$V$163),0)),IF(R15="path of the totem warrior","Speak with Animals (as ritual)",IF(R15="eldritch knight",INDEX('Spell Tables'!$X$70:$X$90,MATCH($O$120,('Spell Tables'!$V$70:W90),0))," "))))))))))))))))</f>
        <v xml:space="preserve"> </v>
      </c>
      <c r="R146" s="33" t="str">
        <f ca="1">IF(COUNTIF(R18:R21,"*"&amp;"Clench of the North Wind"&amp;"*"),"Hold Person (3 ki)",IF(COUNTIF(Q18:Q22,"*"&amp;"ascendant step"&amp;"*"),"Levitate*",IF(AND(R15="oath of vengeance",Q12&gt;=5),"Hold Person",IF(AND(R15="Oath of the Ancients",Q12&gt;=5),"Moonbeam",IF(AND(R15="Oath of Devotion",Q12&gt;=5),"Lesser Restoration",IF(AND(R15="moon",Q12&gt;=14),"Alter Self",IF(R15="Way of the Shadow","Darkness",IF(AND($P$20="Underdark",Q12&gt;=3),"Spider Climb",IF(AND($P$20="Swamp",Q12&gt;=3),"Darkness",IF(AND($P$20="Mountain",Q12&gt;=3),"Spider Climb",IF(AND($P$20="Grassland",Q12&gt;=3),"Invisibility",IF(AND($P$20="Forest",Q12&gt;=3),"Barkskin",IF(AND($P$20="Desert",Q12&gt;=3),"Blur",IF(AND($P$20="Coast",Q12&gt;=3),"Mirror Image",IF(AND($P$20="arctic",Q12&gt;=3),"Hold Person",IF(AND(R15="war",Q12&gt;=3),"Magic Weapon",IF(AND(R15="Trickery",Q12&gt;=3),"Mirror Image",IF(AND(R15="tempest",Q12&gt;=3),"Gust of Wind",IF(AND(R15="nature",Q12&gt;=3),"Barkskin",IF(AND(R15="light",Q12&gt;=3),"Flaming Sphere",IF(AND(R15="Life",Q12&gt;=3),"Lesser Restoration",IF(AND(R15="knowledge",Q12&gt;=3),"Augury",IF(AND(Q11="bard",AL155=2),INDEX('Spell Tables'!BL2:BL37,MATCH(O120,('Spell Tables'!BJ2:BJ37),0)),IF(R15="path of the totem warrior","Beast Sense (as ritual)",IF(AND(R15="eldritch knight",Q12&gt;=8),INDEX('Spell Tables'!AF70:AF94,MATCH('Pick and Choose'!O120,('Spell Tables'!AD70:AD94),0)),IF(AND(R15="arcane trickster",Q12&gt;=8),INDEX('Spell Tables'!AF141:AF165,MATCH('Pick and Choose'!O120,('Spell Tables'!AD141:AD165),0))," "))))))))))))))))))))))))))</f>
        <v xml:space="preserve"> </v>
      </c>
      <c r="S146" s="33" t="str">
        <f ca="1">IF(COUNTIF(Q18:Q22,"*"&amp;"mire the mind"&amp;"*"),"Slow**",IF(AND(R15="oath of vengeance",Q12&gt;=9),"Haste",IF(AND(R15="Oath of the Ancients",Q12&gt;=9),"Plant Growth",IF(AND(R15="Oath of Devotion",Q12&gt;=9),"Beacon of Hope",IF(AND($P$20="Underdark",Q12&gt;=5),"Gaseous Form",IF(AND($P$20="Swamp",Q12&gt;=5),"Water Walk",IF(AND($P$20="Mountain",Q12&gt;=5),"Lightning Bolt",IF(AND($P$20="Grassland",Q12&gt;=5),"Daylight",IF(AND($P$20="Forest",Q12&gt;=5),"Call Lightning",IF(AND($P$20="Desert",Q12&gt;=5),"Create Food and Water",IF(AND($P$20="Coast",Q12&gt;=5),"Water Breathing",IF(AND($P$20="arctic",Q12&gt;=5),"Sleet Storm",IF(AND(R15="war",Q12&gt;=5),"Crusader's Mantle",IF(AND(R15="trickery",Q12&gt;=5),"Blink",IF(AND(R15="tempest",Q12&gt;=5),"Call Lightning",IF(AND(R15="nature",Q12&gt;=5),"Plant Growth",IF(AND(R15="light",Q12&gt;=5),"Daylight",IF(AND(R15="life",Q12&gt;=5),"Beacon of Hope",IF(AND(R15="knowledge",Q12&gt;=5),"Nondetection",IF(AND(Q11="bard",AL155=3),INDEX('Spell Tables'!BP2:BP35,MATCH(O120,('Spell Tables'!BN2:BN35),0)),IF(AND(R15="arcane trickster",Q12&gt;=14),INDEX('Spell Tables'!AN141:AN165,MATCH(O120,('Spell Tables'!AL141:AL165),0)),IF(AND(R15="eldritch knight",Q12&gt;=14),INDEX('Spell Tables'!AN70:AN88,MATCH(O120,('Spell Tables'!AL70:AL88),0))," "))))))))))))))))))))))</f>
        <v xml:space="preserve"> </v>
      </c>
      <c r="T146" s="72" t="str">
        <f ca="1">IF(COUNTIF(Q18:Q22,"*"&amp;"bewitching whispers"&amp;"*"),"Compulsion**",IF(AND(R15="oath of vengeance",Q12&gt;=13),"Banishment",IF(AND(R15="Oath of the Ancients",Q12&gt;=13),"Ice Storm",IF(AND(R15="Oath of Devotion",Q12&gt;=13),"Freedom of Movement",IF(AND($P$20="Underdark",Q12&gt;=7),"Greater Invisibility",IF(AND($P$20="Swamp",Q12&gt;=7),"Freedom of Movement",IF(AND($P$20="Mountain",Q12&gt;=7),"Stone Shape",IF(AND($P$20="Grassland",Q12&gt;=7),"Divination",IF(AND($P$20="Forest",Q12&gt;=7),"Divination",IF(AND($P$20="Desert",Q12&gt;=7),"Blight",IF(AND($P$20="Coast",Q12&gt;=7),"Control Water",IF(AND($P$20="arctic",Q12&gt;=7),"Freedom of Movement",IF(AND(R15="war",Q12&gt;=7),"Freedom of Movement",IF(AND(R15="trickery",Q12&gt;=7),"Dimension Door",IF(AND(R15="tempest",Q12&gt;=7),"Control Water",IF(AND(R15="nature",Q12&gt;=7),"Dominate Beast",IF(AND(R15="light",Q12&gt;=7),"Guardian of Faith",IF(AND(R15="life",Q12&gt;=7),"Death Ward",IF(AND(R15="knowledge",Q12&gt;=7),"Arcane Eye",IF(AND(Q11="bard",AL155=4),INDEX('Spell Tables'!BT2:BT29,MATCH(O120,('Spell Tables'!BR2:BR29),0)),IF(AND(R15="arcane trickster",Q12&gt;=20),INDEX('Spell Tables'!AV141:AV159,MATCH(O120,('Spell Tables'!AT267:AT285),0)),IF(AND(R15="eldritch knight",Q12&gt;=20),INDEX('Spell Tables'!AV70:AV86,MATCH(O120,('Spell Tables'!AT70:AT86),0))," "))))))))))))))))))))))</f>
        <v xml:space="preserve"> </v>
      </c>
      <c r="AJ146" s="58" t="str">
        <f t="shared" ca="1" si="66"/>
        <v xml:space="preserve"> </v>
      </c>
      <c r="AK146" s="60">
        <f t="shared" ca="1" si="64"/>
        <v>0</v>
      </c>
      <c r="AL146" s="29" t="str">
        <f t="shared" ca="1" si="65"/>
        <v xml:space="preserve"> </v>
      </c>
    </row>
    <row r="147" spans="1:38" x14ac:dyDescent="0.3">
      <c r="B147" s="79" t="str">
        <f ca="1">IF(R15="way of the four elements","Elemental Disciplines - cost ki",IF(AND(Q11="warlock",Q12&gt;=2),"* = at will - no slot use",IF(R15="land",$P$20," ")))</f>
        <v xml:space="preserve"> </v>
      </c>
      <c r="C147" s="33"/>
      <c r="D147" s="33"/>
      <c r="E147" s="33"/>
      <c r="F147" s="33"/>
      <c r="G147" s="33"/>
      <c r="H147" s="33"/>
      <c r="I147" s="33"/>
      <c r="J147" s="33"/>
      <c r="K147" s="33"/>
      <c r="L147" s="33"/>
      <c r="M147" s="33"/>
      <c r="N147" s="33"/>
      <c r="O147" s="34">
        <v>2</v>
      </c>
      <c r="P147" s="33" t="str">
        <f ca="1">IF(Q16="pact of the tome",INDEX('Spell Tables'!$BD$19:$BD$37,MATCH(2,('Spell Tables'!$BB$19:$BB$37),0)),IF(AND(Q11="bard",AL192="c"),INDEX('Spell Tables'!$BD$2:$BD$16,MATCH(11,('Spell Tables'!$BB$2:$BB$16),0))," "))</f>
        <v xml:space="preserve"> </v>
      </c>
      <c r="Q147" s="33" t="str">
        <f ca="1">IF(COUNTIF(R18:R21,"*"&amp;"Sweeping Cinder Strike"&amp;"*"),"Burning Hands (2 ki)",IF(COUNTIF(Q18:Q22,"*"&amp;"beast speech"&amp;"*"),"Speak with Animals*",IF(R15="Oath of the Ancients","Speak with Animals",IF(R15="Oath of vengeance","Hunter's Mark",IF(R15="Oath of Devotion","Sanctuary",IF(AND(R15="war",Q12&gt;=1),"Shield of Faith",IF(AND(R15="trickery",Q12&gt;=1),"Disguise Self",IF(AND(R15="tempest",Q12&gt;=1),"Thunderwave",IF(AND(R15="Nature",Q12&gt;=1),"Speak with Animals",IF(AND(R15="light",Q12&gt;=1),"Faerie Fire",IF(R15="life","Cure Wounds",IF(R15="knowledge","Identify",IF(AND(Q11="bard",AL156=1),INDEX('Spell Tables'!$BH$2:$BH$41,MATCH(O121,('Spell Tables'!$BF$2:$BF$41),0))," ")))))))))))))</f>
        <v xml:space="preserve"> </v>
      </c>
      <c r="R147" s="33" t="str">
        <f ca="1">IF(COUNTIF(R18:R21,"*"&amp;"Gong of the Summit"&amp;"*"),"Shatter (3 ki)",IF(COUNTIF(Q18:Q22,"*"&amp;"master of myriad forms"&amp;"*"),"Alter Self*",IF(AND(R15="oath of vengeance",Q12&gt;=5),"Misty Step",IF(AND(R15="Oath of the Ancients",Q12&gt;=5),"Misty Step",IF(AND(R15="Oath of Devotion",Q12&gt;=5),"Zone of Truth",IF(R15="way of the shadow","Darkvision",IF(AND($P$20="Underdark",Q12&gt;=3),"Web",IF(AND($P$20="Swamp",Q12&gt;=3),"Melf's Acid Arrow",IF(AND($P$20="Mountain",Q12&gt;=3),"Spike Growth",IF(AND($P$20="Grassland",Q12&gt;=3),"Pass Without Trace",IF(AND($P$20="Forest",Q12&gt;=3),"Spider Climb",IF(AND($P$20="Desert",Q12&gt;=3),"Silence",IF(AND($P$20="Coast",Q12&gt;=3),"Misty Step",IF(AND($P$20="arctic",Q12&gt;=3),"Spike Growth",IF(AND(R15="war",Q12&gt;=3),"Spiritual Weapon",IF(AND(R15="trickery",Q12&gt;=3),"Pass Without Trace",IF(AND(R15="tempest",Q12&gt;=3),"Shatter",IF(AND(R15="nature",Q12&gt;=3),"Spike Growth",IF(AND(R15="light",Q12&gt;=3),"Scorching Ray",IF(AND(R15="life",Q12&gt;=3),"Spiritual Weapon",IF(AND(R15="knowledge",Q12&gt;=3),"Suggestion",IF(AND(Q11="bard",AL156=2),INDEX('Spell Tables'!$BL$2:$BL$37,MATCH(O121,('Spell Tables'!$BJ$2:$BJ$37),0))," "))))))))))))))))))))))</f>
        <v xml:space="preserve"> </v>
      </c>
      <c r="S147" s="33" t="str">
        <f ca="1">IF(COUNTIF(Q18:Q22,"*"&amp;"sign of ill omen"&amp;"*"),"Bestow Curse**",IF(AND(R15="oath of vengeance",Q12&gt;=9),"Protection from Energy",IF(AND(R15="Oath of the Ancients",Q12&gt;=9),"Protection from Energy",IF(AND(R15="Oath of Devotion",Q12&gt;=9),"Dispel Magic",IF(AND($P$20="Underdark",Q12&gt;=5),"Stinking Cloud",IF(AND($P$20="Swamp",Q12&gt;=5),"Stinking Cloud",IF(AND($P$20="Mountain",Q12&gt;=5),"Meld Into Stone",IF(AND($P$20="Grassland",Q12&gt;=5),"Haste",IF(AND($P$20="Forest",Q12&gt;=5),"Plant Growth",IF(AND($P$20="Desert",Q12&gt;=5),"Protection from Energy",IF(AND($P$20="Coast",Q12&gt;=5),"Water Walk",IF(AND($P$20="arctic",Q12&gt;=5),"Slow",IF(AND(R15="war",Q12&gt;=5),"Spirit Guardians",IF(AND(R15="trickery",Q12&gt;=5),"Dispel Magic",IF(AND(R15="Tempest",Q12&gt;=5),"Sleet Storm",IF(AND(R15="nature",Q12&gt;=5),"Wind Wall",IF(AND(R15="light",Q12&gt;=5),"Fireball",IF(AND(R15="life",Q12&gt;=5),"Revivify",IF(AND(R15="knowledge",Q12&gt;=5),"Speak with Dead",IF(AND(Q11="bard",AL156=3),INDEX('Spell Tables'!$BP$2:$BP$35,MATCH(O121,('Spell Tables'!$BN$2:$BN$35),0))," "))))))))))))))))))))</f>
        <v xml:space="preserve"> </v>
      </c>
      <c r="T147" s="72" t="str">
        <f ca="1">IF(COUNTIF(Q18:Q22,"*"&amp;"dreadful word"&amp;"*"),"Confusion**",IF(AND(R15="oath of vengeance",Q12&gt;=13),"Dimension Door",IF(AND(R15="Oath of the Ancients",Q12&gt;=13),"Stoneskin",IF(AND(R15="Oath of Devotion",Q12&gt;=13),"Guardian of Faith",IF(AND($P$20="Underdark",Q12&gt;=7),"Stone Shape",IF(AND($P$20="Swamp",Q12&gt;=7),"Locate Creature",IF(AND($P$20="Mountain",Q12&gt;=7),"Stonekin",IF(AND($P$20="Grassland",Q12&gt;=7),"Freedom of Movement",IF(AND($P$20="Forest",Q12&gt;=7),"Freedom of Movement",IF(AND($P$20="Desert",Q12&gt;=7),"Hallucinatory Terrain",IF(AND($P$20="Coast",Q12&gt;=7),"Freedom of Movement",IF(AND($P$20="arctic",Q12&gt;=7),"Ice Storm",IF(AND(R15="war",Q12&gt;=7),"Stoneskin",IF(AND(R15="trickery",Q12&gt;=7),"Polymorph",IF(AND(R15="tempest",Q12&gt;=7),"Ice Storm",IF(AND(R15="nature",Q12&gt;=7),"Grasping Vine",IF(AND(R15="light",Q12&gt;=7),"Wall of Fire",IF(AND(R15="life",Q12&gt;=7),"Guardian of Faith",IF(AND(R15="knowledge",Q12&gt;=7),"Confusion",IF(AND(Q11="bard",AL156=4),INDEX('Spell Tables'!$BT$2:$BT$29,MATCH(O121,('Spell Tables'!$BR$2:$BR$29),0))," "))))))))))))))))))))</f>
        <v xml:space="preserve"> </v>
      </c>
      <c r="AJ147" s="58" t="str">
        <f t="shared" ca="1" si="66"/>
        <v xml:space="preserve"> </v>
      </c>
      <c r="AK147" s="60">
        <f t="shared" ca="1" si="64"/>
        <v>0</v>
      </c>
      <c r="AL147" s="29" t="str">
        <f t="shared" ca="1" si="65"/>
        <v xml:space="preserve"> </v>
      </c>
    </row>
    <row r="148" spans="1:38" x14ac:dyDescent="0.3">
      <c r="B148" s="79" t="str">
        <f ca="1">IF(AND(Q11="warlock",Q12&gt;=2),"** = once per long rest - uses slot",IF(AND(Q11="paladin",Q12&gt;=3),"Free Preparation",IF(AND(R15="moon",Q12&gt;=14),"At Will",IF(R15="way of the shadow","Cost 2 Ki Points",IF(OR(R15="land",Q11="cleric"),"Free Preparation",IF(AND(Q11="bard",Q12&gt;=10),"Count Toward Known"," "))))))</f>
        <v xml:space="preserve"> </v>
      </c>
      <c r="C148" s="33"/>
      <c r="D148" s="33"/>
      <c r="E148" s="33"/>
      <c r="F148" s="33"/>
      <c r="G148" s="33"/>
      <c r="H148" s="33"/>
      <c r="I148" s="33"/>
      <c r="J148" s="33"/>
      <c r="K148" s="33"/>
      <c r="L148" s="33"/>
      <c r="M148" s="33"/>
      <c r="N148" s="33"/>
      <c r="O148" s="34">
        <v>3</v>
      </c>
      <c r="P148" s="33" t="str">
        <f ca="1">IF(Q16="pact of the tome",INDEX('Spell Tables'!$BD$19:$BD$37,MATCH(3,('Spell Tables'!$BB$19:$BB$37),0))," ")</f>
        <v xml:space="preserve"> </v>
      </c>
      <c r="Q148" s="33" t="str">
        <f ca="1">IF(COUNTIF(Q18:Q22,"*"&amp;"eldritch sight"&amp;"*"),"Detect Magic*"," ")</f>
        <v xml:space="preserve"> </v>
      </c>
      <c r="R148" s="33" t="str">
        <f ca="1">IF(COUNTIF(R18:R21,"*"&amp;"Rush of the Gale Spirits"&amp;"*"),"Gust of Wind (2 ki)",IF(R15="way of the shadow","Pass Without Trace"," "))</f>
        <v xml:space="preserve"> </v>
      </c>
      <c r="S148" s="33" t="str">
        <f ca="1">IF(COUNTIF(Q18:Q22,"*"&amp;"whispers of the grave"&amp;"*"),"Speak with Dead*"," ")</f>
        <v xml:space="preserve"> </v>
      </c>
      <c r="T148" s="72" t="str">
        <f ca="1">IF(COUNTIF(Q18:Q22,"*"&amp;"Sculptor of Flesh"&amp;"*"),"Polymorph**"," ")</f>
        <v xml:space="preserve"> </v>
      </c>
      <c r="AJ148" s="58" t="str">
        <f t="shared" ca="1" si="66"/>
        <v xml:space="preserve"> </v>
      </c>
      <c r="AK148" s="60">
        <f t="shared" ca="1" si="64"/>
        <v>0</v>
      </c>
      <c r="AL148" s="29" t="str">
        <f t="shared" ca="1" si="65"/>
        <v xml:space="preserve"> </v>
      </c>
    </row>
    <row r="149" spans="1:38" x14ac:dyDescent="0.3">
      <c r="B149" s="79"/>
      <c r="O149" s="81">
        <v>4</v>
      </c>
      <c r="Q149" s="29" t="str">
        <f ca="1">IF(COUNTIF(Q18:Q22,"*"&amp;"fiendish vigor"&amp;"*"),"False Life*"," ")</f>
        <v xml:space="preserve"> </v>
      </c>
      <c r="R149" s="29" t="str">
        <f ca="1">IF(R15="way of the shadow","Silence"," ")</f>
        <v xml:space="preserve"> </v>
      </c>
      <c r="T149" s="72" t="str">
        <f ca="1">IF(COUNTIF(Q18:Q22,"*"&amp;"visions of distant realms"&amp;"*"),"Arcane Eye*"," ")</f>
        <v xml:space="preserve"> </v>
      </c>
      <c r="AJ149" s="58" t="str">
        <f t="shared" ca="1" si="66"/>
        <v xml:space="preserve"> </v>
      </c>
      <c r="AK149" s="60">
        <f t="shared" ca="1" si="64"/>
        <v>0</v>
      </c>
      <c r="AL149" s="29" t="str">
        <f t="shared" ca="1" si="65"/>
        <v xml:space="preserve"> </v>
      </c>
    </row>
    <row r="150" spans="1:38" x14ac:dyDescent="0.3">
      <c r="B150" s="79"/>
      <c r="O150" s="81">
        <v>5</v>
      </c>
      <c r="Q150" s="29" t="str">
        <f ca="1">IF(COUNTIF(Q18:Q22,"*"&amp;"mask of many faces"&amp;"*"),"Disguise Self*","")</f>
        <v/>
      </c>
      <c r="T150" s="72"/>
    </row>
    <row r="151" spans="1:38" x14ac:dyDescent="0.3">
      <c r="B151" s="79"/>
      <c r="O151" s="81">
        <v>6</v>
      </c>
      <c r="Q151" s="29" t="str">
        <f ca="1">IF(COUNTIF(Q18:Q22,"*"&amp;"misty vision"&amp;"*"),"Silent Image*"," " )</f>
        <v xml:space="preserve"> </v>
      </c>
      <c r="T151" s="72"/>
      <c r="AJ151" s="31" t="s">
        <v>1666</v>
      </c>
    </row>
    <row r="152" spans="1:38" x14ac:dyDescent="0.3">
      <c r="B152" s="79"/>
      <c r="O152" s="81">
        <v>7</v>
      </c>
      <c r="Q152" s="29" t="str">
        <f ca="1">IF(COUNTIF(Q18:Q22,"*"&amp;"otherworldly leap"&amp;"*"),"Jump*"," ")</f>
        <v xml:space="preserve"> </v>
      </c>
      <c r="T152" s="72"/>
      <c r="AJ152" s="29">
        <v>1</v>
      </c>
      <c r="AK152" s="29">
        <v>1</v>
      </c>
    </row>
    <row r="153" spans="1:38" x14ac:dyDescent="0.3">
      <c r="B153" s="79"/>
      <c r="O153" s="81">
        <v>8</v>
      </c>
      <c r="Q153" s="29" t="str">
        <f ca="1">IF(COUNTIF(Q18:Q22,"*"&amp;"thief of five fates"&amp;"*"),"Bane**"," ")</f>
        <v xml:space="preserve"> </v>
      </c>
      <c r="T153" s="72"/>
      <c r="AJ153" s="29">
        <v>2</v>
      </c>
      <c r="AK153" s="29">
        <v>2</v>
      </c>
    </row>
    <row r="154" spans="1:38" x14ac:dyDescent="0.3">
      <c r="B154" s="79" t="str">
        <f ca="1">IF(AND(Q16="pact of the tome",COUNTIF($O$13:$O$13,"*"&amp;"book of ancient secrets"&amp;"*")),"Book of Ancient Secrets"," ")</f>
        <v xml:space="preserve"> </v>
      </c>
      <c r="O154" s="81">
        <v>9</v>
      </c>
      <c r="Q154" s="29" t="str">
        <f ca="1">IF(AND(Q16="pact of the tome",COUNTIF(Q18:Q22,"*"&amp;"book of ancient secrets"&amp;"*")),INDEX('Spell Tables'!BD40:BD46,MATCH(1,('Spell Tables'!BB40:BB46),0))," ")</f>
        <v xml:space="preserve"> </v>
      </c>
      <c r="T154" s="72"/>
      <c r="AJ154" s="29">
        <v>3</v>
      </c>
      <c r="AK154" s="29">
        <v>3</v>
      </c>
    </row>
    <row r="155" spans="1:38" ht="19.5" thickBot="1" x14ac:dyDescent="0.35">
      <c r="B155" s="80" t="str">
        <f ca="1">IF(Q16="pact of the chain",Q16,IF(OR(P155="minor illusion",S155="animate dead",T155="polymorph"),"School Spells - in Spellbook"," "))</f>
        <v xml:space="preserve"> </v>
      </c>
      <c r="C155" s="38"/>
      <c r="D155" s="38"/>
      <c r="E155" s="38"/>
      <c r="F155" s="38"/>
      <c r="G155" s="38"/>
      <c r="H155" s="38"/>
      <c r="I155" s="38"/>
      <c r="J155" s="38"/>
      <c r="K155" s="38"/>
      <c r="L155" s="38"/>
      <c r="M155" s="38"/>
      <c r="N155" s="38"/>
      <c r="O155" s="82">
        <v>10</v>
      </c>
      <c r="P155" s="38" t="str">
        <f ca="1">IF(AND(R15="school of Illusion",COUNTIF(P315:P324,"*Minor Illusion*"))," ",IF(R15="school of illusion","Minor Illusion"," "))</f>
        <v xml:space="preserve"> </v>
      </c>
      <c r="Q155" s="38" t="str">
        <f ca="1">IF(AND(Q16="pact of the tome",COUNTIF(Q18:Q22,"*"&amp;"book of ancient secrets"&amp;"*")),INDEX('Spell Tables'!BD40:BD46,MATCH(2,('Spell Tables'!BB40:BB46),0)),IF(Q16="pact of the chain","Find Familiar (as ritual)"," "))</f>
        <v xml:space="preserve"> </v>
      </c>
      <c r="R155" s="38"/>
      <c r="S155" s="38" t="str">
        <f ca="1">IF(AND(R15="school of necromancy",Q12&gt;=6,COUNTIF(S315:S324,"*"&amp;"Animate Dead"&amp;"*"))," ",IF(AND(R15="school of necromancy",Q12&gt;=6),"Animate Dead"," "))</f>
        <v xml:space="preserve"> </v>
      </c>
      <c r="T155" s="73" t="str">
        <f ca="1">IF(AND(R15="school of transmutation",Q12&gt;=10,COUNTIF(T315:T324,"*"&amp;"Polymorph"&amp;"*"))," ",IF(AND(R15="school of transmutation",Q12&gt;=6),"Polymorph"," "))</f>
        <v xml:space="preserve"> </v>
      </c>
      <c r="AJ155" s="29">
        <v>4</v>
      </c>
      <c r="AK155" s="29">
        <v>3</v>
      </c>
      <c r="AL155" s="29" t="str">
        <f ca="1">IF(AND(O11="bard",O12&gt;=10),VLOOKUP(RANDBETWEEN(1,10),Table219344458800857914330[],2),IF(AND(Q11="bard",Q12&gt;=10),VLOOKUP(RANDBETWEEN(1,10),Table219344458800857914330[],2)," "))</f>
        <v xml:space="preserve"> </v>
      </c>
    </row>
    <row r="156" spans="1:38" ht="19.5" thickBot="1" x14ac:dyDescent="0.35">
      <c r="B156" s="27"/>
      <c r="O156" s="99"/>
      <c r="AJ156" s="29">
        <v>5</v>
      </c>
      <c r="AK156" s="29">
        <v>4</v>
      </c>
      <c r="AL156" s="29" t="str">
        <f ca="1">IF(AND(O11="bard",O12&gt;=10),VLOOKUP(RANDBETWEEN(1,10),Table219344458800857914330[],2),IF(AND(Q11="bard",Q12&gt;=10),VLOOKUP(RANDBETWEEN(1,10),Table219344458800857914330[],2)," "))</f>
        <v xml:space="preserve"> </v>
      </c>
    </row>
    <row r="157" spans="1:38" x14ac:dyDescent="0.3">
      <c r="A157" s="33"/>
      <c r="B157" s="72"/>
      <c r="P157" s="76" t="s">
        <v>1169</v>
      </c>
      <c r="Q157" s="76" t="s">
        <v>1170</v>
      </c>
      <c r="R157" s="76" t="s">
        <v>1171</v>
      </c>
      <c r="S157" s="76" t="s">
        <v>677</v>
      </c>
      <c r="T157" s="104" t="s">
        <v>1172</v>
      </c>
      <c r="AJ157" s="29">
        <v>6</v>
      </c>
      <c r="AK157" s="29">
        <v>4</v>
      </c>
    </row>
    <row r="158" spans="1:38" x14ac:dyDescent="0.3">
      <c r="A158" s="33"/>
      <c r="B158" s="72"/>
      <c r="O158" s="83">
        <v>1</v>
      </c>
      <c r="P158" s="65" t="str">
        <f ca="1">IF(COUNTIF(Q18:Q22,"*"&amp;"chains of carceri"&amp;"*"),"Hold Monster**(c,f,e only)",IF(AND(R15="oath of vengeance",Q12&gt;=17),"Hold Monster",IF(AND(R15="Oath of the Ancients",Q12&gt;=17),"Commune with Nature",IF(AND(R15="Oath of Devotion",Q12&gt;=17),"Commune",IF(AND($P$20="Underdark",Q12&gt;=9),"Cloudkill",IF(AND($P$20="Swamp",Q12&gt;=9),"Insect Plague",IF(AND($P$20="Mountain",Q12&gt;=9),"Passwall",IF(AND($P$20="Grassland",Q12&gt;=9),"Dream",IF(AND($P$20="Forest",Q12&gt;=9),"Commune with Nature",IF(AND($P$20="Desert",Q12&gt;=9),"Insect Plague",IF(AND($P$20="Coast",Q12&gt;=9),"Conjure Elemental",IF(AND($P$20="arctic",Q12&gt;=9),"Commune with Nature",IF(AND(R15="war",Q12&gt;=9),"Flame Strike",IF(AND(R15="trickery",Q12&gt;=9),"Dominate Person",IF(AND(R15="tempest",Q12&gt;=9),"Destructive Wave",IF(AND(R15="nature",Q12&gt;=9),"Insect Plague",IF(AND(R15="light",Q12&gt;=9),"Flame Strike",IF(AND(R15="life",Q12&gt;=9),"Mass Cure Wounds",IF(AND(R15="knowledge",Q12&gt;=9),"Legend Lore",IF(AND(Q11="bard",AL155=5),INDEX('Spell Tables'!BX2:BX24,MATCH(O120,('Spell Tables'!BV2:BV24),0)),IF(AND(R15="path of the totem warrior",Q12&gt;=10),"Commune with Nature (as ritual)"," ")))))))))))))))))))))</f>
        <v xml:space="preserve"> </v>
      </c>
      <c r="Q158" s="65" t="str">
        <f ca="1">IF(AND(Q11="bard",AL167=6),INDEX('Spell Tables'!CB2:CB27,MATCH(O120,('Spell Tables'!BZ2:BZ27),0)),IF(AND(Q11="warlock",Q12&gt;=11),INDEX('Spell Tables'!AN194:AN201,MATCH(1,('Spell Tables'!AL194:AL201),0))," "))</f>
        <v xml:space="preserve"> </v>
      </c>
      <c r="R158" s="65" t="str">
        <f ca="1">IF(AND(Q11="bard",AL167=7),INDEX('Spell Tables'!CF2:CF11,MATCH(O120,('Spell Tables'!CD2:CD11),0)),IF(AND(Q11="warlock",Q12&gt;=13),INDEX('Spell Tables'!AR194:AR197,MATCH(1,('Spell Tables'!AP194:AP197),0))," "))</f>
        <v xml:space="preserve"> </v>
      </c>
      <c r="S158" s="65" t="str">
        <f ca="1">IF(AND(Q11="bard",AL179=8),INDEX('Spell Tables'!CJ2:CJ14,MATCH(O120,('Spell Tables'!CH2:CH14),0)),IF(AND(Q11="warlock",Q12&gt;=15),INDEX('Spell Tables'!AV194:AV198,MATCH(1,('Spell Tables'!AT295:AT299),0))," "))</f>
        <v xml:space="preserve"> </v>
      </c>
      <c r="T158" s="66" t="str">
        <f ca="1">IF(AND(Q11="bard",AL179=9),INDEX('Spell Tables'!CN2:CN11,MATCH(O120,('Spell Tables'!CL2:CL11),0)),IF(AND(Q11="warlock",Q12&gt;=17),INDEX('Spell Tables'!AZ194:AZ198,MATCH(1,('Spell Tables'!AX194:AX198),0))," "))</f>
        <v xml:space="preserve"> </v>
      </c>
      <c r="AJ158" s="29">
        <v>7</v>
      </c>
      <c r="AK158" s="29">
        <v>4</v>
      </c>
    </row>
    <row r="159" spans="1:38" x14ac:dyDescent="0.3">
      <c r="A159" s="33"/>
      <c r="B159" s="72"/>
      <c r="O159" s="84">
        <v>2</v>
      </c>
      <c r="P159" s="60" t="str">
        <f ca="1">IF(COUNTIF(Q18:Q22,"*"&amp;"minions of chaos"&amp;"*"),"Conjure Elemental**",IF(AND(R15="oath of vengeance",Q12&gt;=17),"Scrying",IF(AND(R15="Oath of the Ancients",Q12&gt;=17),"Tree Stride",IF(AND(R15="Oath of Devotion",Q12&gt;=17),"Flame Strike",IF(AND($P$20="Underdark",Q12&gt;=9),"Insect Plague",IF(AND($P$20="Swamp",Q12&gt;=9),"Scrying",IF(AND($P$20="Mountain",Q12&gt;=9),"Wall of Stone",IF(AND($P$20="Grassland",Q12&gt;=9),"Insect Plague",IF(AND($P$20="Forest",Q12&gt;=9),"Tree Stride",IF(AND($P$20="Desert",Q12&gt;=9),"Wall of Stone",IF(AND($P$20="Coast",Q12&gt;=9),"Scrying",IF(AND($P$20="arctic",Q12&gt;=9),"Cone of Cold",IF(AND(R15="war",Q12&gt;=9),"Hold Monster",IF(AND(R15="trickery",Q12&gt;=9),"Modify Memory",IF(AND(R15="tempest",Q12&gt;=9),"Insect Plague",IF(AND(R15="nature",Q12&gt;=9),"Tree Stride",IF(AND(R15="light",Q12&gt;=9),"Scrying",IF(AND(R15="life",Q12&gt;=9),"Raise Dead",IF(AND(R15="knowledge",Q12&gt;=9),"Scrying",IF(AND(Q11="bard",AL156=5),INDEX('Spell Tables'!$BX$2:$BX$24,MATCH(O121,('Spell Tables'!$BV$2:$BV$24),0))," "))))))))))))))))))))</f>
        <v xml:space="preserve"> </v>
      </c>
      <c r="Q159" s="60" t="str">
        <f ca="1">IF(AND(Q11="bard",AL168=6),INDEX('Spell Tables'!CB2:CB27,MATCH(O121,('Spell Tables'!BZ2:BZ27),0))," ")</f>
        <v xml:space="preserve"> </v>
      </c>
      <c r="R159" s="60" t="str">
        <f ca="1">IF(AND(Q11="bard",AL168=7),INDEX('Spell Tables'!CF2:CF11,MATCH(O121,('Spell Tables'!CD2:CD11),0))," ")</f>
        <v xml:space="preserve"> </v>
      </c>
      <c r="S159" s="60" t="str">
        <f ca="1">IF(AND(Q11="bard",AL180=8),INDEX('Spell Tables'!CJ2:CJ14,MATCH(O121,('Spell Tables'!CH2:CH14),0))," ")</f>
        <v xml:space="preserve"> </v>
      </c>
      <c r="T159" s="63" t="str">
        <f ca="1">IF(AND(Q11="bard",AL180=9),INDEX('Spell Tables'!CN2:CN11,MATCH(O121,('Spell Tables'!CL2:CL11),0))," ")</f>
        <v xml:space="preserve"> </v>
      </c>
      <c r="AJ159" s="29">
        <v>8</v>
      </c>
      <c r="AK159" s="29">
        <v>5</v>
      </c>
    </row>
    <row r="160" spans="1:38" x14ac:dyDescent="0.3">
      <c r="A160" s="33"/>
      <c r="B160" s="72"/>
      <c r="O160" s="83">
        <v>3</v>
      </c>
      <c r="P160" s="65"/>
      <c r="Q160" s="65"/>
      <c r="R160" s="65"/>
      <c r="S160" s="65"/>
      <c r="T160" s="66"/>
      <c r="AJ160" s="29">
        <v>9</v>
      </c>
      <c r="AK160" s="29">
        <v>5</v>
      </c>
    </row>
    <row r="161" spans="1:38" x14ac:dyDescent="0.3">
      <c r="A161" s="33"/>
      <c r="B161" s="72"/>
      <c r="O161" s="84">
        <v>4</v>
      </c>
      <c r="P161" s="60"/>
      <c r="Q161" s="60"/>
      <c r="R161" s="60"/>
      <c r="S161" s="60"/>
      <c r="T161" s="63"/>
      <c r="AJ161" s="29">
        <v>10</v>
      </c>
      <c r="AK161" s="29">
        <v>5</v>
      </c>
    </row>
    <row r="162" spans="1:38" x14ac:dyDescent="0.3">
      <c r="A162" s="33"/>
      <c r="B162" s="72"/>
      <c r="O162" s="83">
        <v>5</v>
      </c>
      <c r="P162" s="65"/>
      <c r="Q162" s="65"/>
      <c r="R162" s="65"/>
      <c r="S162" s="65"/>
      <c r="T162" s="66"/>
    </row>
    <row r="163" spans="1:38" x14ac:dyDescent="0.3">
      <c r="A163" s="33"/>
      <c r="B163" s="72"/>
      <c r="O163" s="84">
        <v>6</v>
      </c>
      <c r="P163" s="60"/>
      <c r="Q163" s="60"/>
      <c r="R163" s="60"/>
      <c r="S163" s="60"/>
      <c r="T163" s="63"/>
      <c r="AJ163" s="31" t="s">
        <v>1667</v>
      </c>
    </row>
    <row r="164" spans="1:38" x14ac:dyDescent="0.3">
      <c r="A164" s="33"/>
      <c r="B164" s="72"/>
      <c r="O164" s="83">
        <v>7</v>
      </c>
      <c r="P164" s="65"/>
      <c r="Q164" s="65"/>
      <c r="R164" s="65"/>
      <c r="S164" s="65"/>
      <c r="T164" s="66"/>
      <c r="AJ164" s="29">
        <v>1</v>
      </c>
      <c r="AK164" s="29">
        <v>6</v>
      </c>
    </row>
    <row r="165" spans="1:38" x14ac:dyDescent="0.3">
      <c r="A165" s="33"/>
      <c r="B165" s="72"/>
      <c r="O165" s="84">
        <v>8</v>
      </c>
      <c r="P165" s="60"/>
      <c r="Q165" s="60"/>
      <c r="R165" s="60"/>
      <c r="S165" s="60"/>
      <c r="T165" s="63"/>
      <c r="AJ165" s="29">
        <v>2</v>
      </c>
      <c r="AK165" s="29">
        <v>6</v>
      </c>
    </row>
    <row r="166" spans="1:38" x14ac:dyDescent="0.3">
      <c r="A166" s="33"/>
      <c r="B166" s="72"/>
      <c r="O166" s="83">
        <v>9</v>
      </c>
      <c r="P166" s="65"/>
      <c r="Q166" s="65"/>
      <c r="R166" s="65"/>
      <c r="S166" s="65"/>
      <c r="T166" s="66"/>
      <c r="U166" s="57"/>
      <c r="V166" s="57"/>
      <c r="W166" s="57"/>
      <c r="X166" s="57"/>
      <c r="AJ166" s="29">
        <v>3</v>
      </c>
      <c r="AK166" s="29">
        <v>6</v>
      </c>
    </row>
    <row r="167" spans="1:38" ht="19.5" thickBot="1" x14ac:dyDescent="0.35">
      <c r="A167" s="33"/>
      <c r="B167" s="72"/>
      <c r="O167" s="85">
        <v>10</v>
      </c>
      <c r="P167" s="67"/>
      <c r="Q167" s="67"/>
      <c r="R167" s="67"/>
      <c r="S167" s="67"/>
      <c r="T167" s="68"/>
      <c r="AJ167" s="29">
        <v>4</v>
      </c>
      <c r="AK167" s="29">
        <v>6</v>
      </c>
      <c r="AL167" s="29" t="str">
        <f ca="1">IF(AND(O11="bard",O12&gt;=14),VLOOKUP(RANDBETWEEN(1,10),Table220345459801858915331[],2)," ")</f>
        <v xml:space="preserve"> </v>
      </c>
    </row>
    <row r="168" spans="1:38" ht="19.5" thickBot="1" x14ac:dyDescent="0.35">
      <c r="AJ168" s="29">
        <v>5</v>
      </c>
      <c r="AK168" s="29">
        <v>7</v>
      </c>
      <c r="AL168" s="29" t="str">
        <f ca="1">IF(AND(O11="bard",O12&gt;=14),VLOOKUP(RANDBETWEEN(1,10),Table220345459801858915331[],2)," ")</f>
        <v xml:space="preserve"> </v>
      </c>
    </row>
    <row r="169" spans="1:38" ht="30.75" thickBot="1" x14ac:dyDescent="0.45">
      <c r="B169" s="105" t="s">
        <v>1243</v>
      </c>
      <c r="AJ169" s="29">
        <v>6</v>
      </c>
      <c r="AK169" s="29">
        <v>7</v>
      </c>
    </row>
    <row r="170" spans="1:38" ht="19.5" thickBot="1" x14ac:dyDescent="0.35">
      <c r="B170" s="79"/>
      <c r="C170" s="27"/>
      <c r="D170" s="27"/>
      <c r="E170" s="27"/>
      <c r="F170" s="27"/>
      <c r="G170" s="27"/>
      <c r="H170" s="27"/>
      <c r="I170" s="27"/>
      <c r="J170" s="27"/>
      <c r="K170" s="27"/>
      <c r="L170" s="27"/>
      <c r="M170" s="27"/>
      <c r="N170" s="27"/>
      <c r="O170" s="27"/>
      <c r="P170" s="87" t="s">
        <v>1341</v>
      </c>
      <c r="Q170" s="88" t="str">
        <f>IF($O$11="warlock",INDEX('Spell Tables'!$D$194:$D$213,MATCH($O$12,('Spell Tables'!$A$194:$A$213),0))," ")</f>
        <v xml:space="preserve"> </v>
      </c>
      <c r="R170" s="89" t="s">
        <v>1340</v>
      </c>
      <c r="S170" s="90" t="str">
        <f>IF($O$11="warlock",INDEX('Spell Tables'!$E$194:$E$213,MATCH($O$12,('Spell Tables'!$A$194:$A$213),0))," ")</f>
        <v xml:space="preserve"> </v>
      </c>
      <c r="T170" s="91"/>
      <c r="AJ170" s="29">
        <v>7</v>
      </c>
      <c r="AK170" s="29">
        <v>7</v>
      </c>
    </row>
    <row r="171" spans="1:38" x14ac:dyDescent="0.3">
      <c r="B171" s="112"/>
      <c r="C171" s="33"/>
      <c r="D171" s="33"/>
      <c r="E171" s="33"/>
      <c r="F171" s="33"/>
      <c r="G171" s="33"/>
      <c r="H171" s="33"/>
      <c r="I171" s="33"/>
      <c r="J171" s="33"/>
      <c r="K171" s="33"/>
      <c r="L171" s="33"/>
      <c r="M171" s="33"/>
      <c r="N171" s="33"/>
      <c r="O171" s="33"/>
      <c r="P171" s="92" t="s">
        <v>1342</v>
      </c>
      <c r="Q171" s="33">
        <f ca="1">IF(AND(AF14=2,OR(O11="monk",O11="barbarian",O11="warlock"),OR(Q11="fighter",Q11="rogue"),OR(P15&lt;&gt;"arcane trickster",R15&lt;&gt;"arcane trickster",P15&lt;&gt;"eldritch knight",R15&lt;&gt;"eldritch knight")),0,IF(AND(AF14=2,OR(O11="monk",O11="barbarian",O11="warlock"),OR(Q11="monk",Q11="barbarian",Q11="warlock")),0,IF(AND(AF14=2,OR(O11="monk",O11="barbarian",O11="warlock",Q11="monk",Q11="barbarian",Q11="warlock"),OR(P15="arcane trickster",R15="arcane trickster",P15="eldritch knight",R15="eldritch knight")),INDEX('Spell Tables'!D141:D160,MATCH(AF18,('Spell Tables'!A141:A160),0)),IF(AND(AF14=2,OR(O11="monk",O11="barbarian",O11="warlock",Q11="monk",Q11="barbarian",Q11="warlock"),OR(O11="paladin",Q11="paladin",O11="ranger",Q11="ranger")),INDEX('Spell Tables'!D119:D138,MATCH(AF18,('Spell Tables'!B119:B138),0)),IF(AF14=2,INDEX('Spell Tables'!D242:D261,MATCH(AF18,('Spell Tables'!B242:B261),0)),IF(AND(AF14=1,$P$15="arcane trickster"),INDEX('Spell Tables'!$D$141:$D$161,MATCH($O$12,('Spell Tables'!$A$141:$A$160),0)),IF(AND(AF14=1,(OR($O$11="bard",$O$11="cleric",$O$11="druid",$O$11="sorcerer",$O$11="wizard"))),INDEX('Spell Tables'!$D$2:$D$21,MATCH($O$12,('Spell Tables'!$A$2:$A$21),0)),IF(AND(AF14=1,$P$15)="Eldritch Knight",INDEX('Spell Tables'!$D$70:$D$89,MATCH($O$12,('Spell Tables'!$A$70:$A$89),0))," "))))))))</f>
        <v>4</v>
      </c>
      <c r="R171" s="33">
        <f ca="1">IF(AND(AF14=2,OR(O11="monk",O11="barbarian",O11="warlock"),OR(Q11="fighter",Q11="rogue"),OR(P15&lt;&gt;"arcane trickster",R15&lt;&gt;"arcane trickster",P15&lt;&gt;"eldritch knight",R15&lt;&gt;"eldritch knight")),0,IF(AND(AF14=2,OR(O11="monk",O11="barbarian",O11="warlock"),OR(Q11="monk",Q11="barbarian",Q11="warlock")),0,IF(AND(AF14=2,OR(O11="monk",O11="barbarian",O11="warlock",Q11="monk",Q11="barbarian",Q11="warlock"),OR(P15="arcane trickster",R15="arcane trickster",P15="eldritch knight",R15="eldritch knight")),INDEX('Spell Tables'!E141:E160,MATCH(AF18,('Spell Tables'!A141:A160),0)),IF(AND(AF14=2,OR(O11="monk",O11="barbarian",O11="warlock",Q11="monk",Q11="barbarian",Q11="warlock"),OR(O11="paladin",Q11="paladin",O11="ranger",Q11="ranger")),INDEX('Spell Tables'!E119:E138,MATCH(AF18,('Spell Tables'!B119:B138),0)),IF(AF14=2,INDEX('Spell Tables'!E242:E261,MATCH(AF18,('Spell Tables'!B242:B261),0)),IF($P$15="arcane trickster",INDEX('Spell Tables'!$E$141:$E$161,MATCH($O$12,('Spell Tables'!$A$141:$A$160),0)),IF(OR($O$11="bard",$O$11="cleric",$O$11="druid",O11="sorcerer",O11="wizard"),INDEX('Spell Tables'!E$2:E$21,MATCH($O$12,('Spell Tables'!$A$2:$A$21),0)),IF($P$15="Eldritch Knight",INDEX('Spell Tables'!E70:E89,MATCH($O$12,('Spell Tables'!$A$70:$A$89),0))," "))))))))</f>
        <v>3</v>
      </c>
      <c r="S171" s="33">
        <f ca="1">IF(AND(AF14=2,OR(O11="monk",O11="barbarian",O11="warlock"),OR(Q11="fighter",Q11="rogue"),OR(P15&lt;&gt;"arcane trickster",R15&lt;&gt;"arcane trickster",P15&lt;&gt;"eldritch knight",R15&lt;&gt;"eldritch knight")),0,IF(AND(AF14=2,OR(O11="monk",O11="barbarian",O11="warlock"),OR(Q11="monk",Q11="barbarian",Q11="warlock")),0,IF(AND(AF14=2,OR(O11="monk",O11="barbarian",O11="warlock",Q11="monk",Q11="barbarian",Q11="warlock"),OR(P15="arcane trickster",R15="arcane trickster",P15="eldritch knight",R15="eldritch knight")),INDEX('Spell Tables'!F141:F160,MATCH(AF18,('Spell Tables'!A141:A160),0)),IF(AND(AF14=2,OR(O11="monk",O11="barbarian",O11="warlock",Q11="monk",Q11="barbarian",Q11="warlock"),OR(O11="paladin",Q11="paladin",O11="ranger",Q11="ranger")),INDEX('Spell Tables'!F119:F1383,MATCH(AF18,('Spell Tables'!B119:B138),0)),IF(AF14=2,INDEX('Spell Tables'!F242:F261,MATCH(AF18,('Spell Tables'!B242:B261),0)),IF($P$15="arcane trickster",INDEX('Spell Tables'!$F$141:$F$161,MATCH($O$12,('Spell Tables'!$A$141:$A$160),0)),IF(OR($O$11="bard",$O$11="cleric",$O$11="druid",O11="sorcerer",O11="wizard"),INDEX('Spell Tables'!F$2:F$21,MATCH($O$12,('Spell Tables'!$A$2:$A$21),0)),IF($P$15="Eldritch Knight",INDEX('Spell Tables'!F70:F89,MATCH($O$12,('Spell Tables'!$A$70:$A$89),0))," "))))))))</f>
        <v>3</v>
      </c>
      <c r="T171" s="72">
        <f ca="1">IF(AND(AF14=2,OR(O11="monk",O11="barbarian",O11="warlock"),OR(Q11="fighter",Q11="rogue"),OR(P15&lt;&gt;"arcane trickster",R15&lt;&gt;"arcane trickster",P15&lt;&gt;"eldritch knight",R15&lt;&gt;"eldritch knight")),0,IF(AND(AF14=2,OR(O11="monk",O11="barbarian",O11="warlock"),OR(Q11="monk",Q11="barbarian",Q11="warlock")),0,IF(AND(AF14=2,OR(O11="monk",O11="barbarian",O11="warlock",Q11="monk",Q11="barbarian",Q11="warlock"),OR(P15="arcane trickster",R15="arcane trickster",P15="eldritch knight",R15="eldritch knight")),INDEX('Spell Tables'!G141:G160,MATCH(AF18,('Spell Tables'!A141:A160),0)),IF(AND(AF14=2,OR(O11="monk",O11="barbarian",O11="warlock",Q11="monk",Q11="barbarian",Q11="warlock"),OR(O11="paladin",Q11="paladin",O11="ranger",Q11="ranger")),INDEX('Spell Tables'!G119:G138,MATCH(AF18,('Spell Tables'!B119:B138),0)),IF(AF14=2,INDEX('Spell Tables'!G242:G261,MATCH(AF18,('Spell Tables'!B242:B261),0)),IF($P$15="arcane trickster",INDEX('Spell Tables'!$G$141:$G$161,MATCH($O$12,('Spell Tables'!$A$141:$A$160),0)),IF(OR($O$11="bard",$O$11="cleric",$O$11="druid",O11="sorcerer",O11="wizard"),INDEX('Spell Tables'!G$2:G$21,MATCH($O$12,('Spell Tables'!$A$2:$A$21),0)),IF($P$15="Eldritch Knight",INDEX('Spell Tables'!G70:G89,MATCH($O$12,('Spell Tables'!$A$70:$A$89),0))," "))))))))</f>
        <v>3</v>
      </c>
      <c r="AJ171" s="29">
        <v>8</v>
      </c>
      <c r="AK171" s="29">
        <v>7</v>
      </c>
    </row>
    <row r="172" spans="1:38" hidden="1" x14ac:dyDescent="0.3">
      <c r="B172" s="112" t="s">
        <v>1270</v>
      </c>
      <c r="C172" s="33"/>
      <c r="D172" s="33"/>
      <c r="E172" s="33"/>
      <c r="F172" s="33"/>
      <c r="G172" s="33"/>
      <c r="H172" s="33"/>
      <c r="I172" s="33"/>
      <c r="J172" s="33"/>
      <c r="K172" s="33"/>
      <c r="L172" s="33"/>
      <c r="M172" s="33"/>
      <c r="N172" s="33"/>
      <c r="O172" s="33" t="s">
        <v>530</v>
      </c>
      <c r="P172" s="92" t="s">
        <v>530</v>
      </c>
      <c r="Q172" s="33" t="str">
        <f>IF(AND(O11="wizard",O12&gt;=3),"x",IF(O11="wizard","xx"," "))</f>
        <v>x</v>
      </c>
      <c r="R172" s="33" t="str">
        <f>IF(AND(O11="wizard",O12&gt;=5),"x",IF(AND($O$11="wizard",$O$12&gt;3),"xx",IF(AND(O11="wizard",O12=3),"xxx"," ")))</f>
        <v>x</v>
      </c>
      <c r="S172" s="33" t="str">
        <f>IF(AND(O11="Wizard",O12&gt;=7),"x",IF(AND($O$11="wizard",$O$12&gt;5),"xx",IF(AND(O11="wizard",O12=5),"xxx"," ")))</f>
        <v>x</v>
      </c>
      <c r="T172" s="33" t="str">
        <f>IF(AND(O11="wizard",O12&gt;=9),"x",IF(AND($O$11="wizard",$O$12&gt;7),"xx",IF(AND(O11="wizard",O12=7),"xxx"," ")))</f>
        <v>x</v>
      </c>
      <c r="AJ172" s="29">
        <v>9</v>
      </c>
      <c r="AK172" s="29">
        <v>7</v>
      </c>
    </row>
    <row r="173" spans="1:38" hidden="1" x14ac:dyDescent="0.3">
      <c r="B173" s="112" t="s">
        <v>1272</v>
      </c>
      <c r="C173" s="33"/>
      <c r="D173" s="33"/>
      <c r="E173" s="33"/>
      <c r="F173" s="33"/>
      <c r="G173" s="33"/>
      <c r="H173" s="33"/>
      <c r="I173" s="33"/>
      <c r="J173" s="33"/>
      <c r="K173" s="33"/>
      <c r="L173" s="33"/>
      <c r="M173" s="33"/>
      <c r="N173" s="33"/>
      <c r="O173" s="33">
        <f ca="1">IF(O11="wizard",P41+O12," ")</f>
        <v>24</v>
      </c>
      <c r="P173" s="92">
        <f>IF(O11="wizard",INDEX('Spell Tables'!C242:C261,MATCH(O12,('Spell Tables'!B242:B261),0)),0)</f>
        <v>5</v>
      </c>
      <c r="Q173" s="33">
        <f ca="1">IF($Q172="x",RANDBETWEEN(1,2),IF($Q172="xx",$O$173,0))</f>
        <v>2</v>
      </c>
      <c r="R173" s="33">
        <f ca="1">IF(R172="x",RANDBETWEEN(1,2),IF(R172="xx",$O$173-Q173,0))</f>
        <v>1</v>
      </c>
      <c r="S173" s="33">
        <f ca="1">IF(S172="x",O173-SUM(Q173:R173,U122:X122),IF(S172="xx",$O$173-SUM(Q173:R173),0))</f>
        <v>21</v>
      </c>
      <c r="T173" s="33">
        <f ca="1">IF(T172="x",RANDBETWEEN(1,2),IF(T172="xx",RANDBETWEEN(2,3),IF(T172="xxx",RANDBETWEEN(1,2),0)))</f>
        <v>1</v>
      </c>
      <c r="AJ173" s="29">
        <v>10</v>
      </c>
      <c r="AK173" s="29">
        <v>7</v>
      </c>
    </row>
    <row r="174" spans="1:38" hidden="1" x14ac:dyDescent="0.3">
      <c r="B174" s="112" t="s">
        <v>1269</v>
      </c>
      <c r="C174" s="33"/>
      <c r="D174" s="33"/>
      <c r="E174" s="33"/>
      <c r="F174" s="33"/>
      <c r="G174" s="33"/>
      <c r="H174" s="33"/>
      <c r="I174" s="33"/>
      <c r="J174" s="33"/>
      <c r="K174" s="33"/>
      <c r="L174" s="33"/>
      <c r="M174" s="33"/>
      <c r="N174" s="33"/>
      <c r="O174" s="33" t="s">
        <v>530</v>
      </c>
      <c r="P174" s="92" t="s">
        <v>530</v>
      </c>
      <c r="Q174" s="33" t="str">
        <f>IF(AND($O$11="warlock",$O$12&gt;=3),"x",IF(O11="warlock","xx"," "))</f>
        <v xml:space="preserve"> </v>
      </c>
      <c r="R174" s="33" t="str">
        <f>IF(AND($O$11="warlock",$O$12&gt;=5),"x",IF(AND($O$11="warlock",$O$12&gt;=3),"xx"," "))</f>
        <v xml:space="preserve"> </v>
      </c>
      <c r="S174" s="33" t="str">
        <f>IF(AND($O$11="warlock",$O$12&gt;=7),"x",IF(AND($O$11="warlock",$O$12&gt;=5),"xx"," "))</f>
        <v xml:space="preserve"> </v>
      </c>
      <c r="T174" s="33" t="str">
        <f>IF(AND($O$11="warlock",$O$12&gt;=9),"x",IF(AND($O$11="warlock",$O$12&gt;=7),"xx"," "))</f>
        <v xml:space="preserve"> </v>
      </c>
    </row>
    <row r="175" spans="1:38" hidden="1" x14ac:dyDescent="0.3">
      <c r="B175" s="112" t="s">
        <v>1268</v>
      </c>
      <c r="C175" s="33"/>
      <c r="D175" s="33"/>
      <c r="E175" s="33"/>
      <c r="F175" s="33"/>
      <c r="G175" s="33"/>
      <c r="H175" s="33"/>
      <c r="I175" s="33"/>
      <c r="J175" s="33"/>
      <c r="K175" s="33"/>
      <c r="L175" s="33"/>
      <c r="M175" s="33"/>
      <c r="N175" s="33"/>
      <c r="O175" s="33" t="str">
        <f>IF(O11="warlock",INDEX('Spell Tables'!C194:C213,MATCH($O$12,('Spell Tables'!A194:A213),0))," ")</f>
        <v xml:space="preserve"> </v>
      </c>
      <c r="P175" s="92">
        <f>IF($O$11="warlock",INDEX('Spell Tables'!B194:B213,MATCH($O$12,('Spell Tables'!A194:A213),0)),0)</f>
        <v>0</v>
      </c>
      <c r="Q175" s="33">
        <f ca="1">IF($Q174="x",RANDBETWEEN(1,2),IF($Q174="xx",$O$175,0))</f>
        <v>0</v>
      </c>
      <c r="R175" s="33">
        <f ca="1">IF(R174="x",RANDBETWEEN(1,2),IF(R174="xx",$O$175-Q175,0))</f>
        <v>0</v>
      </c>
      <c r="S175" s="33">
        <f>IF(S174="x",O175-SUM(Q175:R175,U124:X124),IF(S174="xx",$O$175-SUM(Q175:R175),0))</f>
        <v>0</v>
      </c>
      <c r="T175" s="33">
        <f ca="1">IF(T174="x",RANDBETWEEN(1,2),IF(T174="xx",RANDBETWEEN(2,3),0))</f>
        <v>0</v>
      </c>
      <c r="AJ175" s="31" t="s">
        <v>1668</v>
      </c>
    </row>
    <row r="176" spans="1:38" hidden="1" x14ac:dyDescent="0.3">
      <c r="B176" s="112" t="s">
        <v>1267</v>
      </c>
      <c r="C176" s="33"/>
      <c r="D176" s="33"/>
      <c r="E176" s="33"/>
      <c r="F176" s="33"/>
      <c r="G176" s="33"/>
      <c r="H176" s="33"/>
      <c r="I176" s="33"/>
      <c r="J176" s="33"/>
      <c r="K176" s="33"/>
      <c r="L176" s="33"/>
      <c r="M176" s="33"/>
      <c r="N176" s="33"/>
      <c r="O176" s="33" t="s">
        <v>530</v>
      </c>
      <c r="P176" s="92" t="s">
        <v>530</v>
      </c>
      <c r="Q176" s="33" t="str">
        <f>IF(AND($O$11="sorcerer",$O$12&gt;=3),"x",IF($O$11="sorcerer","xx"," "))</f>
        <v xml:space="preserve"> </v>
      </c>
      <c r="R176" s="33" t="str">
        <f>IF(AND($O$11="sorcerer",$O$12&gt;=5),"x",IF(AND($O$11="sorcerer",$O$12&gt;=3),"xx"," "))</f>
        <v xml:space="preserve"> </v>
      </c>
      <c r="S176" s="33" t="str">
        <f>IF(AND($O$11="sorcerer",$O$12&gt;=7),"x",IF(AND($O$11="sorcerer",$O$12&gt;=5),"xx"," "))</f>
        <v xml:space="preserve"> </v>
      </c>
      <c r="T176" s="33" t="str">
        <f>IF(AND($O$11="sorcerer",$O$12&gt;=9),"x",IF(AND($O$11="sorcerer",$O$12&gt;=7),"xx"," "))</f>
        <v xml:space="preserve"> </v>
      </c>
      <c r="AJ176" s="29">
        <v>1</v>
      </c>
      <c r="AK176" s="29">
        <v>8</v>
      </c>
    </row>
    <row r="177" spans="2:38" hidden="1" x14ac:dyDescent="0.3">
      <c r="B177" s="112" t="s">
        <v>1266</v>
      </c>
      <c r="C177" s="33"/>
      <c r="D177" s="33"/>
      <c r="E177" s="33"/>
      <c r="F177" s="33"/>
      <c r="G177" s="33"/>
      <c r="H177" s="33"/>
      <c r="I177" s="33"/>
      <c r="J177" s="33"/>
      <c r="K177" s="33"/>
      <c r="L177" s="33"/>
      <c r="M177" s="33"/>
      <c r="N177" s="33"/>
      <c r="O177" s="33" t="str">
        <f>IF(O11="sorcerer",INDEX('Spell Tables'!C168:C187,MATCH($O$12,('Spell Tables'!A168:A187),0))," ")</f>
        <v xml:space="preserve"> </v>
      </c>
      <c r="P177" s="92">
        <f>IF($O$11="sorcerer",INDEX('Spell Tables'!B168:B187,MATCH($O$12,('Spell Tables'!A168:A187),0)),0)</f>
        <v>0</v>
      </c>
      <c r="Q177" s="33">
        <f ca="1">IF($Q176="x",RANDBETWEEN(1,2),IF($Q176="xx",$O$177,0))</f>
        <v>0</v>
      </c>
      <c r="R177" s="33">
        <f ca="1">IF(R176="x",RANDBETWEEN(1,2),IF(R176="xx",$O$177-Q177,0))</f>
        <v>0</v>
      </c>
      <c r="S177" s="33">
        <f>IF(S176="x",O177-SUM(Q177:R177,U126:X126),IF(S176="xx",$O$177-SUM(Q177:R177),0))</f>
        <v>0</v>
      </c>
      <c r="T177" s="33">
        <f ca="1">IF(T176="x",RANDBETWEEN(1,2),IF(T176="xx",RANDBETWEEN(2,3),0))</f>
        <v>0</v>
      </c>
      <c r="AJ177" s="29">
        <v>2</v>
      </c>
      <c r="AK177" s="29">
        <v>8</v>
      </c>
    </row>
    <row r="178" spans="2:38" hidden="1" x14ac:dyDescent="0.3">
      <c r="B178" s="112" t="s">
        <v>1254</v>
      </c>
      <c r="C178" s="33"/>
      <c r="D178" s="33"/>
      <c r="E178" s="33"/>
      <c r="F178" s="33"/>
      <c r="G178" s="33"/>
      <c r="H178" s="33"/>
      <c r="I178" s="33"/>
      <c r="J178" s="33"/>
      <c r="K178" s="33"/>
      <c r="L178" s="33"/>
      <c r="M178" s="33"/>
      <c r="N178" s="33"/>
      <c r="O178" s="33" t="s">
        <v>530</v>
      </c>
      <c r="P178" s="92" t="s">
        <v>530</v>
      </c>
      <c r="Q178" s="33" t="str">
        <f ca="1">IF(AND(P15="arcane trickster",O12&gt;=7),"x",IF(P15="arcane trickster","xx"," "))</f>
        <v xml:space="preserve"> </v>
      </c>
      <c r="R178" s="33" t="str">
        <f ca="1">IF(AND(P15="arcane trickster",O12=13),"x",IF(AND(P15="arcane trickster",$O$12&gt;=7),"xx"," "))</f>
        <v xml:space="preserve"> </v>
      </c>
      <c r="S178" s="33" t="str">
        <f ca="1">IF(AND(P15="arcane trickster",O12&gt;=19),"x",IF(AND(P15="arcane trickster",$O$12&gt;=13),"xx"," "))</f>
        <v xml:space="preserve"> </v>
      </c>
      <c r="T178" s="33" t="str">
        <f ca="1">IF(AND(P15="arcane trickster",$O$12&gt;=19),"xx"," ")</f>
        <v xml:space="preserve"> </v>
      </c>
      <c r="AJ178" s="29">
        <v>3</v>
      </c>
      <c r="AK178" s="29">
        <v>8</v>
      </c>
    </row>
    <row r="179" spans="2:38" hidden="1" x14ac:dyDescent="0.3">
      <c r="B179" s="112" t="s">
        <v>1253</v>
      </c>
      <c r="C179" s="33"/>
      <c r="D179" s="33"/>
      <c r="E179" s="33"/>
      <c r="F179" s="33"/>
      <c r="G179" s="33"/>
      <c r="H179" s="33"/>
      <c r="I179" s="33"/>
      <c r="J179" s="33"/>
      <c r="K179" s="33"/>
      <c r="L179" s="33"/>
      <c r="M179" s="33"/>
      <c r="N179" s="33"/>
      <c r="O179" s="33" t="str">
        <f ca="1">IF(P15="arcane trickster",INDEX('Spell Tables'!C141:C160,MATCH($O$12,('Spell Tables'!A141:A160),0))," ")</f>
        <v xml:space="preserve"> </v>
      </c>
      <c r="P179" s="92">
        <f ca="1">IF($P$15="arcane trickster",INDEX('Spell Tables'!B141:B160,MATCH($O$12,('Spell Tables'!A141:A160),0)),0)</f>
        <v>0</v>
      </c>
      <c r="Q179" s="33">
        <f ca="1">IF($Q178="x",RANDBETWEEN(2,3),IF($Q178="xx",$O$179,0))</f>
        <v>0</v>
      </c>
      <c r="R179" s="33">
        <f ca="1">IF(R178="x",RANDBETWEEN(2,3),IF(R178="xx",$O$179-Q179,0))</f>
        <v>0</v>
      </c>
      <c r="S179" s="33">
        <f ca="1">IF(S178="x",O179-SUM(Q179:R179,U128:X128),IF(S178="xx",$O$179-SUM(Q179:R179),0))</f>
        <v>0</v>
      </c>
      <c r="T179" s="33">
        <f ca="1">IF(T178="x",RANDBETWEEN(1,2),IF(T178="xx",RANDBETWEEN(2,3),0))</f>
        <v>0</v>
      </c>
      <c r="AJ179" s="29">
        <v>4</v>
      </c>
      <c r="AK179" s="29">
        <v>8</v>
      </c>
      <c r="AL179" s="29" t="str">
        <f ca="1">IF(AND(O11="bard",O12&gt;=18),VLOOKUP(RANDBETWEEN(1,10),Table222346460802859916332[],2)," ")</f>
        <v xml:space="preserve"> </v>
      </c>
    </row>
    <row r="180" spans="2:38" hidden="1" x14ac:dyDescent="0.3">
      <c r="B180" s="112" t="s">
        <v>1247</v>
      </c>
      <c r="C180" s="33"/>
      <c r="D180" s="33"/>
      <c r="E180" s="33"/>
      <c r="F180" s="33"/>
      <c r="G180" s="33"/>
      <c r="H180" s="33"/>
      <c r="I180" s="33"/>
      <c r="J180" s="33"/>
      <c r="K180" s="33"/>
      <c r="L180" s="33"/>
      <c r="M180" s="33"/>
      <c r="N180" s="33"/>
      <c r="O180" s="33" t="s">
        <v>530</v>
      </c>
      <c r="P180" s="92" t="s">
        <v>1324</v>
      </c>
      <c r="Q180" s="33" t="str">
        <f>IF(AND($O$11="ranger",$O$12&gt;=5),"x",IF(AND(O11="ranger",O12&gt;=2),"xx"," "))</f>
        <v xml:space="preserve"> </v>
      </c>
      <c r="R180" s="33" t="str">
        <f>IF(AND($O$11="ranger",$O$12&gt;=9),"x",IF(AND($O$11="ranger",$O$12&gt;=5),"xx"," "))</f>
        <v xml:space="preserve"> </v>
      </c>
      <c r="S180" s="33" t="str">
        <f>IF(AND($O$11="ranger",$O$12&gt;=13),"x",IF(AND($O$11="ranger",$O$12&gt;=9),"xx"," "))</f>
        <v xml:space="preserve"> </v>
      </c>
      <c r="T180" s="33" t="str">
        <f>IF(AND($O$11="ranger",$O$12&gt;=17),"x",IF(AND($O$11="ranger",$O$12&gt;=13),"xx"," "))</f>
        <v xml:space="preserve"> </v>
      </c>
      <c r="AJ180" s="29">
        <v>5</v>
      </c>
      <c r="AK180" s="29">
        <v>9</v>
      </c>
      <c r="AL180" s="29" t="str">
        <f ca="1">IF(AND(O11="bard",O12&gt;=18),VLOOKUP(RANDBETWEEN(1,10),Table222346460802859916332[],2)," ")</f>
        <v xml:space="preserve"> </v>
      </c>
    </row>
    <row r="181" spans="2:38" hidden="1" x14ac:dyDescent="0.3">
      <c r="B181" s="112" t="s">
        <v>1246</v>
      </c>
      <c r="C181" s="33"/>
      <c r="D181" s="33"/>
      <c r="E181" s="33"/>
      <c r="F181" s="33"/>
      <c r="G181" s="33"/>
      <c r="H181" s="33"/>
      <c r="I181" s="33"/>
      <c r="J181" s="33"/>
      <c r="K181" s="33"/>
      <c r="L181" s="33"/>
      <c r="M181" s="33"/>
      <c r="N181" s="33"/>
      <c r="O181" s="33" t="str">
        <f>IF($O$11="ranger",INDEX('Spell Tables'!C119:C138,MATCH($O$12,('Spell Tables'!B119:B138),0))," ")</f>
        <v xml:space="preserve"> </v>
      </c>
      <c r="P181" s="92" t="s">
        <v>1324</v>
      </c>
      <c r="Q181" s="33">
        <f ca="1">IF($Q180="x",RANDBETWEEN(1,2),IF($Q180="xx",$O$181,0))</f>
        <v>0</v>
      </c>
      <c r="R181" s="33">
        <f ca="1">IF(R180="x",RANDBETWEEN(1,2),IF(R180="xx",$O$181-Q181,0))</f>
        <v>0</v>
      </c>
      <c r="S181" s="33">
        <f>IF(S180="x",O181-SUM(Q181:R181,T130:X130),IF(S180="xx",$O$181-SUM(Q181:R181),0))</f>
        <v>0</v>
      </c>
      <c r="T181" s="33">
        <f ca="1">IF(T180="x",RANDBETWEEN(1,2),IF(T180="xx",RANDBETWEEN(2,3),0))</f>
        <v>0</v>
      </c>
      <c r="AJ181" s="29">
        <v>6</v>
      </c>
      <c r="AK181" s="29">
        <v>9</v>
      </c>
    </row>
    <row r="182" spans="2:38" hidden="1" x14ac:dyDescent="0.3">
      <c r="B182" s="112" t="s">
        <v>1245</v>
      </c>
      <c r="C182" s="33"/>
      <c r="D182" s="33"/>
      <c r="E182" s="33"/>
      <c r="F182" s="33"/>
      <c r="G182" s="33"/>
      <c r="H182" s="33"/>
      <c r="I182" s="33"/>
      <c r="J182" s="33"/>
      <c r="K182" s="33"/>
      <c r="L182" s="33"/>
      <c r="M182" s="33"/>
      <c r="N182" s="33"/>
      <c r="O182" s="33" t="s">
        <v>530</v>
      </c>
      <c r="P182" s="92" t="s">
        <v>1324</v>
      </c>
      <c r="Q182" s="33" t="str">
        <f>IF(AND($O$11="paladin",$O$12&gt;=5),"x",IF($O$11="paladin","xx"," "))</f>
        <v xml:space="preserve"> </v>
      </c>
      <c r="R182" s="33" t="str">
        <f>IF(AND(O11="paladin",O12&gt;=9),"x",IF(AND($O$11="paladin",$O$12&gt;=5),"xx"," "))</f>
        <v xml:space="preserve"> </v>
      </c>
      <c r="S182" s="33" t="str">
        <f>IF(AND(O11="paladin",O12&gt;=13),"x",IF(AND($O$11="paladin",$O$12&gt;=9),"xx"," "))</f>
        <v xml:space="preserve"> </v>
      </c>
      <c r="T182" s="33" t="str">
        <f>IF(AND(O11="paladin",O12&gt;=17),"x",IF(AND($O$11="paladin",$O$12&gt;=13),"xx"," "))</f>
        <v xml:space="preserve"> </v>
      </c>
      <c r="AJ182" s="29">
        <v>7</v>
      </c>
      <c r="AK182" s="29">
        <v>9</v>
      </c>
    </row>
    <row r="183" spans="2:38" hidden="1" x14ac:dyDescent="0.3">
      <c r="B183" s="112" t="s">
        <v>1244</v>
      </c>
      <c r="C183" s="33"/>
      <c r="D183" s="33"/>
      <c r="E183" s="33"/>
      <c r="F183" s="33"/>
      <c r="G183" s="33"/>
      <c r="H183" s="33"/>
      <c r="I183" s="33"/>
      <c r="J183" s="33"/>
      <c r="K183" s="33"/>
      <c r="L183" s="33"/>
      <c r="M183" s="33"/>
      <c r="N183" s="33"/>
      <c r="O183" s="33" t="str">
        <f>IF(O11="paladin",ROUNDDOWN(P43+(O12*0.5),0)," ")</f>
        <v xml:space="preserve"> </v>
      </c>
      <c r="P183" s="92" t="s">
        <v>1324</v>
      </c>
      <c r="Q183" s="33">
        <f ca="1">IF($Q182="x",RANDBETWEEN(1,2),IF($Q182="xx",$O$183,0))</f>
        <v>0</v>
      </c>
      <c r="R183" s="33">
        <f ca="1">IF(R182="x",RANDBETWEEN(1,2),IF(R182="xx",$O$183-Q183,0))</f>
        <v>0</v>
      </c>
      <c r="S183" s="33">
        <f>IF(S182="x",O183-SUM(Q183:R183,U132:X132),IF(S182="xx",$O$183-SUM(Q183:R183),0))</f>
        <v>0</v>
      </c>
      <c r="T183" s="33">
        <f ca="1">IF(T182="x",RANDBETWEEN(1,2),IF(T182="xx",RANDBETWEEN(2,3),0))</f>
        <v>0</v>
      </c>
      <c r="AJ183" s="29">
        <v>8</v>
      </c>
      <c r="AK183" s="29">
        <v>9</v>
      </c>
    </row>
    <row r="184" spans="2:38" hidden="1" x14ac:dyDescent="0.3">
      <c r="B184" s="112" t="s">
        <v>1226</v>
      </c>
      <c r="C184" s="33"/>
      <c r="D184" s="33"/>
      <c r="E184" s="33"/>
      <c r="F184" s="33"/>
      <c r="G184" s="33"/>
      <c r="H184" s="33"/>
      <c r="I184" s="33"/>
      <c r="J184" s="33"/>
      <c r="K184" s="33"/>
      <c r="L184" s="33"/>
      <c r="M184" s="33"/>
      <c r="N184" s="33"/>
      <c r="O184" s="33" t="s">
        <v>530</v>
      </c>
      <c r="P184" s="92" t="s">
        <v>530</v>
      </c>
      <c r="Q184" s="33" t="str">
        <f ca="1">IF(AND(P15="eldritch knight",O12&gt;=7),"x",IF(P15="eldritch knight","xx"," "))</f>
        <v xml:space="preserve"> </v>
      </c>
      <c r="R184" s="33" t="str">
        <f ca="1">IF(AND(P15="eldritch knight",O12&gt;=13),"x",IF(AND(P15="eldritch knight",$O$12&gt;=7),"xx"," "))</f>
        <v xml:space="preserve"> </v>
      </c>
      <c r="S184" s="33" t="str">
        <f ca="1">IF(AND(P15="eldritch knight",O12&gt;=19),"x",IF(AND(P15="eldritch knight",$O$12&gt;=13),"xx"," "))</f>
        <v xml:space="preserve"> </v>
      </c>
      <c r="T184" s="33" t="str">
        <f ca="1">IF(AND(P15="eldritch knight",$O$12&gt;=19),"xx"," ")</f>
        <v xml:space="preserve"> </v>
      </c>
      <c r="AJ184" s="29">
        <v>9</v>
      </c>
      <c r="AK184" s="29">
        <v>9</v>
      </c>
    </row>
    <row r="185" spans="2:38" hidden="1" x14ac:dyDescent="0.3">
      <c r="B185" s="112" t="s">
        <v>1222</v>
      </c>
      <c r="C185" s="33"/>
      <c r="D185" s="33"/>
      <c r="E185" s="33"/>
      <c r="F185" s="33"/>
      <c r="G185" s="33"/>
      <c r="H185" s="33"/>
      <c r="I185" s="33"/>
      <c r="J185" s="33"/>
      <c r="K185" s="33"/>
      <c r="L185" s="33"/>
      <c r="M185" s="33"/>
      <c r="N185" s="33"/>
      <c r="O185" s="33" t="str">
        <f ca="1">IF($P$15="eldritch knight",INDEX('Spell Tables'!C70:C89,MATCH($O$12,('Spell Tables'!$A$70:$A$89),0))," ")</f>
        <v xml:space="preserve"> </v>
      </c>
      <c r="P185" s="92">
        <f ca="1">IF($P$15="eldritch knight",INDEX('Spell Tables'!B70:B89,MATCH($O$12,('Spell Tables'!A70:A89),0)),0)</f>
        <v>0</v>
      </c>
      <c r="Q185" s="33">
        <f ca="1">IF($Q184="x",RANDBETWEEN(2,3),IF($Q184="xx",$O$185,0))</f>
        <v>0</v>
      </c>
      <c r="R185" s="33">
        <f ca="1">IF(R184="x",RANDBETWEEN(2,3),IF(R184="xx",$O$185-Q185,0))</f>
        <v>0</v>
      </c>
      <c r="S185" s="33">
        <f ca="1">IF(S184="x",O185-SUM(Q185:R185,U134:X134),IF(S184="xx",$O$185-SUM(Q185:R185),0))</f>
        <v>0</v>
      </c>
      <c r="T185" s="33">
        <f ca="1">IF(T184="x",RANDBETWEEN(1,2),IF(T184="xx",RANDBETWEEN(2,3),0))</f>
        <v>0</v>
      </c>
      <c r="AJ185" s="29">
        <v>10</v>
      </c>
      <c r="AK185" s="29">
        <v>9</v>
      </c>
    </row>
    <row r="186" spans="2:38" hidden="1" x14ac:dyDescent="0.3">
      <c r="B186" s="112" t="s">
        <v>1219</v>
      </c>
      <c r="C186" s="33"/>
      <c r="D186" s="33"/>
      <c r="E186" s="33"/>
      <c r="F186" s="33"/>
      <c r="G186" s="33"/>
      <c r="H186" s="33"/>
      <c r="I186" s="33"/>
      <c r="J186" s="33"/>
      <c r="K186" s="33"/>
      <c r="L186" s="33"/>
      <c r="M186" s="33"/>
      <c r="N186" s="33"/>
      <c r="O186" s="33" t="s">
        <v>530</v>
      </c>
      <c r="P186" s="92" t="s">
        <v>530</v>
      </c>
      <c r="Q186" s="33" t="str">
        <f>IF(AND($O$11="druid",$O$12&gt;=3),"x",IF($O$11="druid","xx"," "))</f>
        <v xml:space="preserve"> </v>
      </c>
      <c r="R186" s="33" t="str">
        <f>IF(AND($O$11="druid",$O$12&gt;=5),"x",IF(AND($O$11="druid",$O$12&gt;=3),"xx"," "))</f>
        <v xml:space="preserve"> </v>
      </c>
      <c r="S186" s="33" t="str">
        <f>IF(AND($O$11="druid",$O$12&gt;=7),"x",IF(AND($O$11="druid",$O$12&gt;=5),"xx"," "))</f>
        <v xml:space="preserve"> </v>
      </c>
      <c r="T186" s="33" t="str">
        <f>IF(AND($O$11="druid",$O$12&gt;=9),"x",IF(AND($O$11="druid",$O$12&gt;=7),"xx"," "))</f>
        <v xml:space="preserve"> </v>
      </c>
    </row>
    <row r="187" spans="2:38" hidden="1" x14ac:dyDescent="0.3">
      <c r="B187" s="112" t="s">
        <v>1220</v>
      </c>
      <c r="C187" s="33"/>
      <c r="D187" s="33"/>
      <c r="E187" s="33"/>
      <c r="F187" s="33"/>
      <c r="G187" s="33"/>
      <c r="H187" s="33"/>
      <c r="I187" s="33"/>
      <c r="J187" s="33"/>
      <c r="K187" s="33"/>
      <c r="L187" s="33"/>
      <c r="M187" s="33"/>
      <c r="N187" s="33"/>
      <c r="O187" s="33" t="str">
        <f>IF(O11="druid",O12+P42," ")</f>
        <v xml:space="preserve"> </v>
      </c>
      <c r="P187" s="92">
        <f>IF($O$11="druid",INDEX('Spell Tables'!C48:C67,MATCH($O$12,('Spell Tables'!B48:B67),0)),0)</f>
        <v>0</v>
      </c>
      <c r="Q187" s="33">
        <f ca="1">IF($Q186="x",RANDBETWEEN(1,2),IF($Q186="xx",$O$187,0))</f>
        <v>0</v>
      </c>
      <c r="R187" s="33">
        <f ca="1">IF(R186="x",RANDBETWEEN(1,2),IF(R186="xx",$O$187-Q187,0))</f>
        <v>0</v>
      </c>
      <c r="S187" s="33">
        <f>IF(S186="x",O187-SUM(Q187:R187,U136:X136),IF(S186="xx",$O$187-SUM(Q187:R187),0))</f>
        <v>0</v>
      </c>
      <c r="T187" s="33">
        <f ca="1">IF(T186="x",RANDBETWEEN(1,2),IF(T186="xx",RANDBETWEEN(2,3),0))</f>
        <v>0</v>
      </c>
      <c r="AJ187" s="31" t="s">
        <v>1670</v>
      </c>
    </row>
    <row r="188" spans="2:38" hidden="1" x14ac:dyDescent="0.3">
      <c r="B188" s="112" t="s">
        <v>1143</v>
      </c>
      <c r="C188" s="33"/>
      <c r="D188" s="33"/>
      <c r="E188" s="33"/>
      <c r="F188" s="33"/>
      <c r="G188" s="33"/>
      <c r="H188" s="33"/>
      <c r="I188" s="33"/>
      <c r="J188" s="33"/>
      <c r="K188" s="33"/>
      <c r="L188" s="33"/>
      <c r="M188" s="33"/>
      <c r="N188" s="33"/>
      <c r="O188" s="33" t="s">
        <v>530</v>
      </c>
      <c r="P188" s="92" t="s">
        <v>530</v>
      </c>
      <c r="Q188" s="33" t="str">
        <f>IF(AND(O11="cleric",O12&gt;=3),"x",IF(O11="cleric","xx"," "))</f>
        <v xml:space="preserve"> </v>
      </c>
      <c r="R188" s="33" t="str">
        <f>IF(AND(O11="cleric",O12&gt;=5),"x",IF(AND($O$11="cleric",$O$12&gt;=3),"xx"," "))</f>
        <v xml:space="preserve"> </v>
      </c>
      <c r="S188" s="33" t="str">
        <f>IF(AND(O11="cleric",O12&gt;=7),"x",IF(AND($O$11="cleric",$O$12&gt;=5),"xx"," "))</f>
        <v xml:space="preserve"> </v>
      </c>
      <c r="T188" s="33" t="str">
        <f>IF(AND(O11="cleric",O12&gt;=9),"x",IF(AND($O$11="cleric",$O$12&gt;=7),"xx"," "))</f>
        <v xml:space="preserve"> </v>
      </c>
      <c r="AJ188" s="29">
        <v>1</v>
      </c>
      <c r="AK188" s="29" t="s">
        <v>1671</v>
      </c>
    </row>
    <row r="189" spans="2:38" hidden="1" x14ac:dyDescent="0.3">
      <c r="B189" s="112" t="s">
        <v>1142</v>
      </c>
      <c r="C189" s="33"/>
      <c r="D189" s="33"/>
      <c r="E189" s="33"/>
      <c r="F189" s="33"/>
      <c r="G189" s="33"/>
      <c r="H189" s="33"/>
      <c r="I189" s="33"/>
      <c r="J189" s="33"/>
      <c r="K189" s="33"/>
      <c r="L189" s="33"/>
      <c r="M189" s="33"/>
      <c r="N189" s="33"/>
      <c r="O189" s="33" t="str">
        <f>IF(O11="cleric",O12+P42," ")</f>
        <v xml:space="preserve"> </v>
      </c>
      <c r="P189" s="92">
        <f>IF($O$11="cleric",INDEX('Spell Tables'!C26:C45,MATCH($O$12,('Spell Tables'!B26:B45),0)),0)</f>
        <v>0</v>
      </c>
      <c r="Q189" s="33">
        <f ca="1">IF($Q188="x",RANDBETWEEN(1,2),IF($Q188="xx",$O$189,0))</f>
        <v>0</v>
      </c>
      <c r="R189" s="33">
        <f ca="1">IF(R188="x",RANDBETWEEN(1,2),IF(R188="xx",$O$189-Q189,0))</f>
        <v>0</v>
      </c>
      <c r="S189" s="33">
        <f>IF(S188="x",O189-SUM(Q189:R189,U138:X138),IF(S188="xx",$O$189-SUM(Q189:R189),0))</f>
        <v>0</v>
      </c>
      <c r="T189" s="33">
        <f ca="1">IF(T188="x",RANDBETWEEN(1,2),IF(T188="xx",RANDBETWEEN(2,3),0))</f>
        <v>0</v>
      </c>
      <c r="AJ189" s="29">
        <v>2</v>
      </c>
      <c r="AK189" s="29">
        <v>1</v>
      </c>
    </row>
    <row r="190" spans="2:38" hidden="1" x14ac:dyDescent="0.3">
      <c r="B190" s="112" t="s">
        <v>1248</v>
      </c>
      <c r="C190" s="33"/>
      <c r="D190" s="33"/>
      <c r="E190" s="33"/>
      <c r="F190" s="33"/>
      <c r="G190" s="33"/>
      <c r="H190" s="33"/>
      <c r="I190" s="33"/>
      <c r="J190" s="33"/>
      <c r="K190" s="33"/>
      <c r="L190" s="33"/>
      <c r="M190" s="33"/>
      <c r="N190" s="33"/>
      <c r="O190" s="33" t="s">
        <v>530</v>
      </c>
      <c r="P190" s="92" t="s">
        <v>530</v>
      </c>
      <c r="Q190" s="33" t="str">
        <f>IF(AND($O$11="bard",$O$12&gt;=3),"x",IF($O$11="bard","xx"," "))</f>
        <v xml:space="preserve"> </v>
      </c>
      <c r="R190" s="33" t="str">
        <f>IF(AND($O$11="bard",$O$12&gt;=5),"x",IF(AND($O$11="bard",$O$12&gt;=3),"xx"," "))</f>
        <v xml:space="preserve"> </v>
      </c>
      <c r="S190" s="33" t="str">
        <f>IF(AND($O$11="bard",$O$12&gt;=7),"x",IF(AND($O$11="bard",$O$12&gt;=5),"xx"," "))</f>
        <v xml:space="preserve"> </v>
      </c>
      <c r="T190" s="33" t="str">
        <f>IF(AND($O$11="bard",$O$12&gt;=9),"x",IF(AND($O$11="bard",$O$12&gt;=7),"xx"," "))</f>
        <v xml:space="preserve"> </v>
      </c>
      <c r="AJ190" s="29">
        <v>3</v>
      </c>
      <c r="AK190" s="29">
        <v>1</v>
      </c>
    </row>
    <row r="191" spans="2:38" hidden="1" x14ac:dyDescent="0.3">
      <c r="B191" s="112" t="s">
        <v>1141</v>
      </c>
      <c r="C191" s="33"/>
      <c r="D191" s="33"/>
      <c r="E191" s="33"/>
      <c r="F191" s="33"/>
      <c r="G191" s="33"/>
      <c r="H191" s="33"/>
      <c r="I191" s="33"/>
      <c r="J191" s="33"/>
      <c r="K191" s="33"/>
      <c r="L191" s="33"/>
      <c r="M191" s="33"/>
      <c r="N191" s="33"/>
      <c r="O191" s="33" t="str">
        <f>IF($O$11="bard",INDEX('Spell Tables'!C$2:C$21,MATCH($O$12,('Spell Tables'!$A$2:$A$21),0))," ")</f>
        <v xml:space="preserve"> </v>
      </c>
      <c r="P191" s="92">
        <f>IF($O$11="bard",INDEX('Spell Tables'!B2:B21,MATCH($O$12,('Spell Tables'!A2:A21),0)),0)</f>
        <v>0</v>
      </c>
      <c r="Q191" s="33">
        <f ca="1">IF($Q190="x",RANDBETWEEN(1,2),IF($Q190="xx",$O$191,0))</f>
        <v>0</v>
      </c>
      <c r="R191" s="33">
        <f ca="1">IF(R190="x",RANDBETWEEN(1,2),IF(R190="xx",$O$191-Q191,0))</f>
        <v>0</v>
      </c>
      <c r="S191" s="33">
        <f>IF(S190="x",O191-SUM(Q191:R191,U140:X140),IF(S190="xx",$O$191-SUM(Q191:R191),0))</f>
        <v>0</v>
      </c>
      <c r="T191" s="33">
        <f ca="1">IF(T190="x",RANDBETWEEN(1,2),IF(T190="xx",RANDBETWEEN(2,3),0))</f>
        <v>0</v>
      </c>
      <c r="AJ191" s="29">
        <v>4</v>
      </c>
      <c r="AK191" s="29">
        <v>2</v>
      </c>
      <c r="AL191" s="29" t="str">
        <f ca="1">IF(AND(P15="college of lore",O12&gt;=6),VLOOKUP(RANDBETWEEN(1,10),Table250347461803860917333[],2),IF(AND(R15="college of lore",Q12&gt;=6),VLOOKUP(RANDBETWEEN(1,10),Table250347461803860917333[],2)," "))</f>
        <v xml:space="preserve"> </v>
      </c>
    </row>
    <row r="192" spans="2:38" x14ac:dyDescent="0.3">
      <c r="B192" s="112" t="s">
        <v>1122</v>
      </c>
      <c r="C192" s="33"/>
      <c r="D192" s="33"/>
      <c r="E192" s="33"/>
      <c r="F192" s="33"/>
      <c r="G192" s="33"/>
      <c r="H192" s="33"/>
      <c r="I192" s="33"/>
      <c r="J192" s="33"/>
      <c r="K192" s="33"/>
      <c r="L192" s="33"/>
      <c r="M192" s="33"/>
      <c r="N192" s="33"/>
      <c r="O192" s="33"/>
      <c r="P192" s="92" t="s">
        <v>1124</v>
      </c>
      <c r="Q192" s="92" t="s">
        <v>1326</v>
      </c>
      <c r="R192" s="92" t="s">
        <v>1167</v>
      </c>
      <c r="S192" s="92" t="s">
        <v>1168</v>
      </c>
      <c r="T192" s="92" t="s">
        <v>676</v>
      </c>
      <c r="AJ192" s="29">
        <v>5</v>
      </c>
      <c r="AK192" s="29">
        <v>2</v>
      </c>
      <c r="AL192" s="29" t="str">
        <f ca="1">IF(AND(P15="college of lore",O12&gt;=6),VLOOKUP(RANDBETWEEN(1,10),Table250347461803860917333[],2),IF(AND(R15="college of lore",Q12&gt;=6),VLOOKUP(RANDBETWEEN(1,10),Table250347461803860917333[],2)," "))</f>
        <v xml:space="preserve"> </v>
      </c>
    </row>
    <row r="193" spans="2:37" x14ac:dyDescent="0.3">
      <c r="B193" s="79">
        <f ca="1">IF(OR(O11="bard",O11="paladin",O11="sorcerer",O11="warlock"),8+$P$8+$P$43,IF(OR(O11="druid",O11="cleric",O11="ranger"),8+P8+P42,IF(OR(P15="eldritch knight",P15="arcane trickster",O11="wizard"),8+P8+P41," ")))</f>
        <v>18</v>
      </c>
      <c r="C193" s="33"/>
      <c r="D193" s="33"/>
      <c r="E193" s="33"/>
      <c r="F193" s="33"/>
      <c r="G193" s="33"/>
      <c r="H193" s="33"/>
      <c r="I193" s="33"/>
      <c r="J193" s="33"/>
      <c r="K193" s="33"/>
      <c r="L193" s="33"/>
      <c r="M193" s="33"/>
      <c r="N193" s="33"/>
      <c r="O193" s="34">
        <v>1</v>
      </c>
      <c r="P193" s="33" t="str">
        <f ca="1">IF(P$173&gt;=O193,INDEX('Spell Tables'!$P$242:$P$257,MATCH(O193,('Spell Tables'!$N$242:$N$257),0)),IF(P$175&gt;=O193,INDEX('Spell Tables'!$P$194:$P$201,MATCH(O193,('Spell Tables'!$N$194:$N$201),0)),IF(P$177&gt;=O193,INDEX('Spell Tables'!$P$168:$P$183,MATCH(O193,('Spell Tables'!$N$168:$N$183),0)),IF(P$179&gt;=O193,INDEX('Spell Tables'!$P$141:$P$156,MATCH(O193,('Spell Tables'!$N$141:$N$157),0)),IF(P$185&gt;=O193,INDEX('Spell Tables'!$P$70:$P$83,MATCH(O193,('Spell Tables'!$N$70:$N$83),0)),IF(P$187&gt;=O193,INDEX('Spell Tables'!$P$48:$P$55,MATCH(O193,('Spell Tables'!$N$48:$N$55),0)),IF(P$189&gt;=O193,INDEX('Spell Tables'!$P$26:$P$32,MATCH(O193,('Spell Tables'!$N$26:$N$32),0)),IF(P$191&gt;=O193,INDEX('Spell Tables'!$P$2:$P$12,MATCH(O193,('Spell Tables'!$N$2:$N$12),0))," "))))))))</f>
        <v>Minor Illusion</v>
      </c>
      <c r="Q193" s="33" t="str">
        <f ca="1">IF(AND($O$15="Otherworldly patron - great old one",Q$175&gt;=O193),INDEX('Spell Tables'!$T$226:$T$238,MATCH(O193,('Spell Tables'!$R$226:$R$238),0)),IF(AND($O$15="Otherworldly patron - fiend",Q$175&gt;=O193),INDEX('Spell Tables'!$T$210:$T$222,MATCH(O193,('Spell Tables'!$R$210:$R$222),0)),IF(Q$173&gt;=O193,INDEX($AL$44:$AL$53,MATCH(O193,($AJ$44:$AJ$53),0)),IF(AND($O$15="Otherworldly patron - archfey",Q$175&gt;=O193),INDEX('Spell Tables'!$T$194:$T$206,MATCH(O193,('Spell Tables'!$R$194:$R$206),0)),IF(Q$177&gt;=O193,INDEX('Spell Tables'!$T$168:$T$187,MATCH(O193,('Spell Tables'!$R$168:$R$187),0)),IF(Q$179&gt;=O193,INDEX('Spell Tables'!$T$141:$T$147,MATCH(O193,('Spell Tables'!$R$141:$R$147),0)),IF(Q$181&gt;=O193,INDEX('Spell Tables'!$P$119:$P$131,MATCH(O193,('Spell Tables'!$N$119:$N$131),0)),IF(Q$183&gt;=O193,INDEX('Spell Tables'!$P$97:$P$111,MATCH(O193,('Spell Tables'!$N$97:$N$111),0)),IF(Q$185&gt;=O193,INDEX('Spell Tables'!$T$70:$T$78,MATCH(O193,('Spell Tables'!$R$70:$R$78),0)),IF(Q$187&gt;=O193,INDEX('Spell Tables'!$T$48:$T$63,MATCH(O193,('Spell Tables'!$R$48:$R$63),0)),IF(Q$189&gt;=O193,INDEX('Spell Tables'!$T$26:$T$40,MATCH(O193,('Spell Tables'!$R$26:$R$40),0)),IF(Q$191&gt;=O193,INDEX('Spell Tables'!$T$2:$T$22,MATCH(O193,('Spell Tables'!$R$2:$R$22),0))," "))))))))))))</f>
        <v>Disguise Self</v>
      </c>
      <c r="R193" s="33" t="str">
        <f ca="1">IF(AND($O$15="Otherworldly patron - great old one",R$175&gt;=O193),INDEX('Spell Tables'!$X$226:$X$239,MATCH(O193,('Spell Tables'!$V$226:$V$239),0)),IF(AND($O$15="Otherworldly patron - fiend",R$175&gt;=O193),INDEX('Spell Tables'!$X$210:$X$223,MATCH(O193,('Spell Tables'!$V$210:$V$223),0)),IF(AND($O$15="Otherworldly patron - archfey",R$175&gt;=O193),INDEX('Spell Tables'!$X$194:$X$207,MATCH(O193,('Spell Tables'!$V$194:$V$207),0)),IF($R$173&gt;=O193,INDEX($AL$56:$AL$65,MATCH(O193,($AJ$56:$AJ$65),0)),IF($R$177&gt;=O193,INDEX('Spell Tables'!$X$168:$X$191,MATCH(O193,('Spell Tables'!$V$168:$V$191),0)),IF($R$179&gt;=O193,INDEX('Spell Tables'!$AB$141:$AB$149,MATCH(O193,('Spell Tables'!$Z$141:$Z$149),0)),IF($R$181&gt;=O193,INDEX('Spell Tables'!$T$119:$T$131,MATCH(O193,('Spell Tables'!$R$119:$R$131),0)),IF($R$183&gt;=O193,INDEX('Spell Tables'!$T$97:$T$104,MATCH(O193,('Spell Tables'!$R$97:$R$104),0)),IF($R$185&gt;=O193,INDEX('Spell Tables'!$AB$70:$AB$75,MATCH(O193,('Spell Tables'!$Z$70:$Z$75),0)),IF($R$187&gt;=O193,INDEX('Spell Tables'!$X$48:$X$65,MATCH(O193,('Spell Tables'!$V$48:$V$65),0)),IF($R$189&gt;=O193,INDEX('Spell Tables'!$X$26:$X$42,MATCH(O193,('Spell Tables'!$V$26:$V$42),0)),IF($R$191&gt;=O193,INDEX('Spell Tables'!$X$2:$X$23,MATCH(O193,('Spell Tables'!$V$2:$V$23),0))," "))))))))))))</f>
        <v>Magic Mouth</v>
      </c>
      <c r="S193" s="33" t="str">
        <f ca="1">IF(AND($O$15="Otherworldly patron - great old one",S$175&gt;=O193),INDEX('Spell Tables'!$AB$226:$AB$238,MATCH(O193,('Spell Tables'!$Z$226:$Z$238),0)),IF(AND($O$15="Otherworldly patron - fiend",S$175&gt;=O193),INDEX('Spell Tables'!$AB$210:$AB$222,MATCH(O193,('Spell Tables'!$Z$210:$Z$222),0)),IF(AND($O$15="Otherworldly patron - archfey",S$175&gt;=O193),INDEX('Spell Tables'!$AB$194:$AB$206,MATCH(O193,('Spell Tables'!$Z$194:$Z$206),0)),IF($S$173&gt;=O193,INDEX($AL$68:$AL$77,MATCH(O193,($AJ$68:$AJ$77),0)),IF($S$177&gt;=O193,INDEX('Spell Tables'!$AB$168:$AB$187,MATCH(O193,('Spell Tables'!$Z$168:$Z$187),0)),IF($S$179&gt;=O193,INDEX('Spell Tables'!$AJ$141:$AJ$144,MATCH(O193,('Spell Tables'!$AH$141:$AH$144),0)),IF($S$181&gt;=O193,INDEX('Spell Tables'!$X$119:$X$129,MATCH(O193,('Spell Tables'!$V$119:$V$129),0)),IF($S$183&gt;=O193,INDEX('Spell Tables'!$X$97:$X$106,MATCH(O193,('Spell Tables'!$V$97:$V$106),0)),IF($S$185&gt;=O193,INDEX('Spell Tables'!$AJ$70:$AJ$79,MATCH(O193,('Spell Tables'!$AH$70:$AH$79),0)),IF($S$187&gt;=O193,INDEX('Spell Tables'!$AB$48:$AB$60,MATCH(O193,('Spell Tables'!$Z$48:$Z$60),0)),IF($S$189&gt;=O193,INDEX('Spell Tables'!$AB$26:$AB$45,MATCH(O193,('Spell Tables'!$Z$26:$Z$45),0)),IF($S$191&gt;=O193,INDEX('Spell Tables'!$AB$2:$AB$17,MATCH(O193,('Spell Tables'!$Z$2:$Z$17),0))," "))))))))))))</f>
        <v>Clairvoyance</v>
      </c>
      <c r="T193" s="33" t="str">
        <f ca="1">IF(AND($O$15="Otherworldly patron - great old one",T$175&gt;=O193),INDEX('Spell Tables'!$AF$226:$AF$231,MATCH(O193,('Spell Tables'!$AD$226:$AD$231),0)),IF(AND($O$15="Otherworldly patron - fiend",T$175&gt;=O193),INDEX('Spell Tables'!$AF$210:$AF$215,MATCH(O193,('Spell Tables'!$AD$210:$AD$215),0)),IF(AND($O$15="Otherworldly patron - archfey",T$175&gt;=O193),INDEX('Spell Tables'!$AF$194:$AF$199,MATCH(O193,('Spell Tables'!$AD$194:$AD$199),0)),IF($T$173&gt;=O193,INDEX($AL$80:$AL$89,MATCH(O193,($AJ$80:$AJ$89),0)),IF($T$177&gt;=O193,INDEX('Spell Tables'!$AF$168:$AF$177,MATCH(O193,('Spell Tables'!$AD$168:$AD$177),0)),IF($T$179&gt;=O193,INDEX('Spell Tables'!$AR$141:$AR$144,MATCH(O193,('Spell Tables'!$AP$141:$AP$144),0)),IF($T$181&gt;=O193,INDEX('Spell Tables'!$AB$119:$AB$123,MATCH(O193,('Spell Tables'!$Z$119:$Z$123),0)),IF($T$183&gt;=O193,INDEX('Spell Tables'!$AB$97:$AB$102,MATCH(O193,('Spell Tables'!$Z$97:$Z$102),0)),IF($T$185&gt;=O193,INDEX('Spell Tables'!$AR$70:$AR$75,MATCH(O193,('Spell Tables'!$AP$70:$AP$75),0)),IF($T$187&gt;=O193,INDEX('Spell Tables'!$AF$48:$AF$63,MATCH(O193,('Spell Tables'!$AD$48:$AD$63),0)),IF($T$189&gt;=O193,INDEX('Spell Tables'!$AF$26:$AF$33,MATCH(O193,('Spell Tables'!$AD$26:$AD$33),0)),IF($T$191&gt;=O193,INDEX('Spell Tables'!$AF$2:$AF$9,MATCH(O193,('Spell Tables'!$AD$2:$AD$9),0))," "))))))))))))</f>
        <v>Arcane Eye</v>
      </c>
      <c r="AJ193" s="29">
        <v>6</v>
      </c>
      <c r="AK193" s="29">
        <v>2</v>
      </c>
    </row>
    <row r="194" spans="2:37" x14ac:dyDescent="0.3">
      <c r="B194" s="112" t="s">
        <v>1123</v>
      </c>
      <c r="C194" s="33"/>
      <c r="D194" s="33"/>
      <c r="E194" s="33"/>
      <c r="F194" s="33"/>
      <c r="G194" s="33"/>
      <c r="H194" s="33"/>
      <c r="I194" s="33"/>
      <c r="J194" s="33"/>
      <c r="K194" s="33"/>
      <c r="L194" s="33"/>
      <c r="M194" s="33"/>
      <c r="N194" s="33"/>
      <c r="O194" s="34">
        <v>2</v>
      </c>
      <c r="P194" s="33" t="str">
        <f ca="1">IF(P$173&gt;=O194,INDEX('Spell Tables'!$P$242:$P$257,MATCH(O194,('Spell Tables'!$N$242:$N$257),0)),IF(P$175&gt;=O194,INDEX('Spell Tables'!$P$194:$P$201,MATCH(O194,('Spell Tables'!$N$194:$N$201),0)),IF(P$177&gt;=O194,INDEX('Spell Tables'!$P$168:$P$183,MATCH(O194,('Spell Tables'!$N$168:$N$183),0)),IF(P$179&gt;=O194,INDEX('Spell Tables'!$P$141:$P$156,MATCH(O194,('Spell Tables'!$N$141:$N$157),0)),IF(P$185&gt;=O194,INDEX('Spell Tables'!$P$70:$P$83,MATCH(O194,('Spell Tables'!$N$70:$N$83),0)),IF(P$187&gt;=O194,INDEX('Spell Tables'!$P$48:$P$55,MATCH(O194,('Spell Tables'!$N$48:$N$55),0)),IF(P$189&gt;=O194,INDEX('Spell Tables'!$P$26:$P$32,MATCH(O194,('Spell Tables'!$N$26:$N$32),0)),IF(P$191&gt;=O194,INDEX('Spell Tables'!$P$2:$P$12,MATCH(O194,('Spell Tables'!$N$2:$N$12),0))," "))))))))</f>
        <v>Ray of Frost</v>
      </c>
      <c r="Q194" s="33" t="str">
        <f ca="1">IF(AND($O$15="Otherworldly patron - great old one",Q$175&gt;=O194),INDEX('Spell Tables'!$T$226:$T$238,MATCH(O194,('Spell Tables'!$R$226:$R$238),0)),IF(AND($O$15="Otherworldly patron - fiend",Q$175&gt;=O194),INDEX('Spell Tables'!$T$210:$T$222,MATCH(O194,('Spell Tables'!$R$210:$R$222),0)),IF(Q$173&gt;=O194,INDEX($AL$44:$AL$53,MATCH(O194,($AJ$44:$AJ$53),0)),IF(AND($O$15="Otherworldly patron - archfey",Q$175&gt;=O194),INDEX('Spell Tables'!$T$194:$T$206,MATCH(O194,('Spell Tables'!$R$194:$R$206),0)),IF(Q$177&gt;=O194,INDEX('Spell Tables'!$T$168:$T$187,MATCH(O194,('Spell Tables'!$R$168:$R$187),0)),IF(Q$179&gt;=O194,INDEX('Spell Tables'!$T$141:$T$147,MATCH(O194,('Spell Tables'!$R$141:$R$147),0)),IF(Q$181&gt;=O194,INDEX('Spell Tables'!$P$119:$P$131,MATCH(O194,('Spell Tables'!$N$119:$N$131),0)),IF(Q$183&gt;=O194,INDEX('Spell Tables'!$P$97:$P$111,MATCH(O194,('Spell Tables'!$N$97:$N$111),0)),IF(Q$185&gt;=O194,INDEX('Spell Tables'!$T$70:$T$78,MATCH(O194,('Spell Tables'!$R$70:$R$78),0)),IF(Q$187&gt;=O194,INDEX('Spell Tables'!$T$48:$T$63,MATCH(O194,('Spell Tables'!$R$48:$R$63),0)),IF(Q$189&gt;=O194,INDEX('Spell Tables'!$T$26:$T$40,MATCH(O194,('Spell Tables'!$R$26:$R$40),0)),IF(Q$191&gt;=O194,INDEX('Spell Tables'!$T$2:$T$22,MATCH(O194,('Spell Tables'!$R$2:$R$22),0))," "))))))))))))</f>
        <v>Feather Fall</v>
      </c>
      <c r="R194" s="33" t="str">
        <f ca="1">IF(AND($O$15="Otherworldly patron - great old one",R$175&gt;=O194),INDEX('Spell Tables'!$X$226:$X$239,MATCH(O194,('Spell Tables'!$V$226:$V$239),0)),IF(AND($O$15="Otherworldly patron - fiend",R$175&gt;=O194),INDEX('Spell Tables'!$X$210:$X$223,MATCH(O194,('Spell Tables'!$V$210:$V$223),0)),IF(AND($O$15="Otherworldly patron - archfey",R$175&gt;=O194),INDEX('Spell Tables'!$X$194:$X$207,MATCH(O194,('Spell Tables'!$V$194:$V$207),0)),IF($R$173&gt;=O194,INDEX($AL$56:$AL$65,MATCH(O194,($AJ$56:$AJ$65),0)),IF($R$177&gt;=O194,INDEX('Spell Tables'!$X$168:$X$191,MATCH(O194,('Spell Tables'!$V$168:$V$191),0)),IF($R$179&gt;=O194,INDEX('Spell Tables'!$AB$141:$AB$149,MATCH(O194,('Spell Tables'!$Z$141:$Z$149),0)),IF($R$181&gt;=O194,INDEX('Spell Tables'!$T$119:$T$131,MATCH(O194,('Spell Tables'!$R$119:$R$131),0)),IF($R$183&gt;=O194,INDEX('Spell Tables'!$T$97:$T$104,MATCH(O194,('Spell Tables'!$R$97:$R$104),0)),IF($R$185&gt;=O194,INDEX('Spell Tables'!$AB$70:$AB$75,MATCH(O194,('Spell Tables'!$Z$70:$Z$75),0)),IF($R$187&gt;=O194,INDEX('Spell Tables'!$X$48:$X$65,MATCH(O194,('Spell Tables'!$V$48:$V$65),0)),IF($R$189&gt;=O194,INDEX('Spell Tables'!$X$26:$X$42,MATCH(O194,('Spell Tables'!$V$26:$V$42),0)),IF($R$191&gt;=O194,INDEX('Spell Tables'!$X$2:$X$23,MATCH(O194,('Spell Tables'!$V$2:$V$23),0))," "))))))))))))</f>
        <v xml:space="preserve"> </v>
      </c>
      <c r="S194" s="33" t="str">
        <f ca="1">IF(AND($O$15="Otherworldly patron - great old one",S$175&gt;=O194),INDEX('Spell Tables'!$AB$226:$AB$238,MATCH(O194,('Spell Tables'!$Z$226:$Z$238),0)),IF(AND($O$15="Otherworldly patron - fiend",S$175&gt;=O194),INDEX('Spell Tables'!$AB$210:$AB$222,MATCH(O194,('Spell Tables'!$Z$210:$Z$222),0)),IF(AND($O$15="Otherworldly patron - archfey",S$175&gt;=O194),INDEX('Spell Tables'!$AB$194:$AB$206,MATCH(O194,('Spell Tables'!$Z$194:$Z$206),0)),IF($S$173&gt;=O194,INDEX($AL$68:$AL$77,MATCH(O194,($AJ$68:$AJ$77),0)),IF($S$177&gt;=O194,INDEX('Spell Tables'!$AB$168:$AB$187,MATCH(O194,('Spell Tables'!$Z$168:$Z$187),0)),IF($S$179&gt;=O194,INDEX('Spell Tables'!$AJ$141:$AJ$144,MATCH(O194,('Spell Tables'!$AH$141:$AH$144),0)),IF($S$181&gt;=O194,INDEX('Spell Tables'!$X$119:$X$129,MATCH(O194,('Spell Tables'!$V$119:$V$129),0)),IF($S$183&gt;=O194,INDEX('Spell Tables'!$X$97:$X$106,MATCH(O194,('Spell Tables'!$V$97:$V$106),0)),IF($S$185&gt;=O194,INDEX('Spell Tables'!$AJ$70:$AJ$79,MATCH(O194,('Spell Tables'!$AH$70:$AH$79),0)),IF($S$187&gt;=O194,INDEX('Spell Tables'!$AB$48:$AB$60,MATCH(O194,('Spell Tables'!$Z$48:$Z$60),0)),IF($S$189&gt;=O194,INDEX('Spell Tables'!$AB$26:$AB$45,MATCH(O194,('Spell Tables'!$Z$26:$Z$45),0)),IF($S$191&gt;=O194,INDEX('Spell Tables'!$AB$2:$AB$17,MATCH(O194,('Spell Tables'!$Z$2:$Z$17),0))," "))))))))))))</f>
        <v>Vampiric Touch</v>
      </c>
      <c r="T194" s="33" t="str">
        <f ca="1">IF(AND($O$15="Otherworldly patron - great old one",T$175&gt;=O194),INDEX('Spell Tables'!$AF$226:$AF$231,MATCH(O194,('Spell Tables'!$AD$226:$AD$231),0)),IF(AND($O$15="Otherworldly patron - fiend",T$175&gt;=O194),INDEX('Spell Tables'!$AF$210:$AF$215,MATCH(O194,('Spell Tables'!$AD$210:$AD$215),0)),IF(AND($O$15="Otherworldly patron - archfey",T$175&gt;=O194),INDEX('Spell Tables'!$AF$194:$AF$199,MATCH(O194,('Spell Tables'!$AD$194:$AD$199),0)),IF($T$173&gt;=O194,INDEX($AL$80:$AL$89,MATCH(O194,($AJ$80:$AJ$89),0)),IF($T$177&gt;=O194,INDEX('Spell Tables'!$AF$168:$AF$177,MATCH(O194,('Spell Tables'!$AD$168:$AD$177),0)),IF($T$179&gt;=O194,INDEX('Spell Tables'!$AR$141:$AR$144,MATCH(O194,('Spell Tables'!$AP$141:$AP$144),0)),IF($T$181&gt;=O194,INDEX('Spell Tables'!$AB$119:$AB$123,MATCH(O194,('Spell Tables'!$Z$119:$Z$123),0)),IF($T$183&gt;=O194,INDEX('Spell Tables'!$AB$97:$AB$102,MATCH(O194,('Spell Tables'!$Z$97:$Z$102),0)),IF($T$185&gt;=O194,INDEX('Spell Tables'!$AR$70:$AR$75,MATCH(O194,('Spell Tables'!$AP$70:$AP$75),0)),IF($T$187&gt;=O194,INDEX('Spell Tables'!$AF$48:$AF$63,MATCH(O194,('Spell Tables'!$AD$48:$AD$63),0)),IF($T$189&gt;=O194,INDEX('Spell Tables'!$AF$26:$AF$33,MATCH(O194,('Spell Tables'!$AD$26:$AD$33),0)),IF($T$191&gt;=O194,INDEX('Spell Tables'!$AF$2:$AF$9,MATCH(O194,('Spell Tables'!$AD$2:$AD$9),0))," "))))))))))))</f>
        <v xml:space="preserve"> </v>
      </c>
      <c r="AJ194" s="29">
        <v>7</v>
      </c>
      <c r="AK194" s="29">
        <v>3</v>
      </c>
    </row>
    <row r="195" spans="2:37" x14ac:dyDescent="0.3">
      <c r="B195" s="79">
        <f ca="1">IF(OR(O11="bard",O11="paladin",O11="sorcerer",O11="warlock"),P8+$P$43,IF(OR(O11="druid",O11="cleric",O11="ranger"),P8+P42,IF(OR(P15="eldritch knight",P15="arcane trickster",O11="wizard"),P8+P41," ")))</f>
        <v>10</v>
      </c>
      <c r="C195" s="33"/>
      <c r="D195" s="33"/>
      <c r="E195" s="33"/>
      <c r="F195" s="33"/>
      <c r="G195" s="33"/>
      <c r="H195" s="33"/>
      <c r="I195" s="33"/>
      <c r="J195" s="33"/>
      <c r="K195" s="33"/>
      <c r="L195" s="33"/>
      <c r="M195" s="33"/>
      <c r="N195" s="33"/>
      <c r="O195" s="34">
        <v>3</v>
      </c>
      <c r="P195" s="33" t="str">
        <f ca="1">IF(P$173&gt;=O195,INDEX('Spell Tables'!$P$242:$P$257,MATCH(O195,('Spell Tables'!$N$242:$N$257),0)),IF(P$175&gt;=O195,INDEX('Spell Tables'!$P$194:$P$201,MATCH(O195,('Spell Tables'!$N$194:$N$201),0)),IF(P$177&gt;=O195,INDEX('Spell Tables'!$P$168:$P$183,MATCH(O195,('Spell Tables'!$N$168:$N$183),0)),IF(P$179&gt;=O195,INDEX('Spell Tables'!$P$141:$P$156,MATCH(O195,('Spell Tables'!$N$141:$N$157),0)),IF(P$185&gt;=O195,INDEX('Spell Tables'!$P$70:$P$83,MATCH(O195,('Spell Tables'!$N$70:$N$83),0)),IF(P$187&gt;=O195,INDEX('Spell Tables'!$P$48:$P$55,MATCH(O195,('Spell Tables'!$N$48:$N$55),0)),IF(P$189&gt;=O195,INDEX('Spell Tables'!$P$26:$P$32,MATCH(O195,('Spell Tables'!$N$26:$N$32),0)),IF(P$191&gt;=O195,INDEX('Spell Tables'!$P$2:$P$12,MATCH(O195,('Spell Tables'!$N$2:$N$12),0))," "))))))))</f>
        <v>Light</v>
      </c>
      <c r="Q195" s="33" t="str">
        <f ca="1">IF(AND($O$15="Otherworldly patron - great old one",Q$175&gt;=O195),INDEX('Spell Tables'!$T$226:$T$238,MATCH(O195,('Spell Tables'!$R$226:$R$238),0)),IF(AND($O$15="Otherworldly patron - fiend",Q$175&gt;=O195),INDEX('Spell Tables'!$T$210:$T$222,MATCH(O195,('Spell Tables'!$R$210:$R$222),0)),IF(Q$173&gt;=O195,INDEX($AL$44:$AL$53,MATCH(O195,($AJ$44:$AJ$53),0)),IF(AND($O$15="Otherworldly patron - archfey",Q$175&gt;=O195),INDEX('Spell Tables'!$T$194:$T$206,MATCH(O195,('Spell Tables'!$R$194:$R$206),0)),IF(Q$177&gt;=O195,INDEX('Spell Tables'!$T$168:$T$187,MATCH(O195,('Spell Tables'!$R$168:$R$187),0)),IF(Q$179&gt;=O195,INDEX('Spell Tables'!$T$141:$T$147,MATCH(O195,('Spell Tables'!$R$141:$R$147),0)),IF(Q$181&gt;=O195,INDEX('Spell Tables'!$P$119:$P$131,MATCH(O195,('Spell Tables'!$N$119:$N$131),0)),IF(Q$183&gt;=O195,INDEX('Spell Tables'!$P$97:$P$111,MATCH(O195,('Spell Tables'!$N$97:$N$111),0)),IF(Q$185&gt;=O195,INDEX('Spell Tables'!$T$70:$T$78,MATCH(O195,('Spell Tables'!$R$70:$R$78),0)),IF(Q$187&gt;=O195,INDEX('Spell Tables'!$T$48:$T$63,MATCH(O195,('Spell Tables'!$R$48:$R$63),0)),IF(Q$189&gt;=O195,INDEX('Spell Tables'!$T$26:$T$40,MATCH(O195,('Spell Tables'!$R$26:$R$40),0)),IF(Q$191&gt;=O195,INDEX('Spell Tables'!$T$2:$T$22,MATCH(O195,('Spell Tables'!$R$2:$R$22),0))," "))))))))))))</f>
        <v xml:space="preserve"> </v>
      </c>
      <c r="R195" s="33" t="str">
        <f ca="1">IF(AND($O$15="Otherworldly patron - great old one",R$175&gt;=O195),INDEX('Spell Tables'!$X$226:$X$239,MATCH(O195,('Spell Tables'!$V$226:$V$239),0)),IF(AND($O$15="Otherworldly patron - fiend",R$175&gt;=O195),INDEX('Spell Tables'!$X$210:$X$223,MATCH(O195,('Spell Tables'!$V$210:$V$223),0)),IF(AND($O$15="Otherworldly patron - archfey",R$175&gt;=O195),INDEX('Spell Tables'!$X$194:$X$207,MATCH(O195,('Spell Tables'!$V$194:$V$207),0)),IF($R$173&gt;=O195,INDEX($AL$56:$AL$65,MATCH(O195,($AJ$56:$AJ$65),0)),IF($R$177&gt;=O195,INDEX('Spell Tables'!$X$168:$X$191,MATCH(O195,('Spell Tables'!$V$168:$V$191),0)),IF($R$179&gt;=O195,INDEX('Spell Tables'!$AB$141:$AB$149,MATCH(O195,('Spell Tables'!$Z$141:$Z$149),0)),IF($R$181&gt;=O195,INDEX('Spell Tables'!$T$119:$T$131,MATCH(O195,('Spell Tables'!$R$119:$R$131),0)),IF($R$183&gt;=O195,INDEX('Spell Tables'!$T$97:$T$104,MATCH(O195,('Spell Tables'!$R$97:$R$104),0)),IF($R$185&gt;=O195,INDEX('Spell Tables'!$AB$70:$AB$75,MATCH(O195,('Spell Tables'!$Z$70:$Z$75),0)),IF($R$187&gt;=O195,INDEX('Spell Tables'!$X$48:$X$65,MATCH(O195,('Spell Tables'!$V$48:$V$65),0)),IF($R$189&gt;=O195,INDEX('Spell Tables'!$X$26:$X$42,MATCH(O195,('Spell Tables'!$V$26:$V$42),0)),IF($R$191&gt;=O195,INDEX('Spell Tables'!$X$2:$X$23,MATCH(O195,('Spell Tables'!$V$2:$V$23),0))," "))))))))))))</f>
        <v xml:space="preserve"> </v>
      </c>
      <c r="S195" s="33" t="str">
        <f ca="1">IF(AND($O$15="Otherworldly patron - great old one",S$175&gt;=O195),INDEX('Spell Tables'!$AB$226:$AB$238,MATCH(O195,('Spell Tables'!$Z$226:$Z$238),0)),IF(AND($O$15="Otherworldly patron - fiend",S$175&gt;=O195),INDEX('Spell Tables'!$AB$210:$AB$222,MATCH(O195,('Spell Tables'!$Z$210:$Z$222),0)),IF(AND($O$15="Otherworldly patron - archfey",S$175&gt;=O195),INDEX('Spell Tables'!$AB$194:$AB$206,MATCH(O195,('Spell Tables'!$Z$194:$Z$206),0)),IF($S$173&gt;=O197,INDEX($AL$68:$AL$77,MATCH(O195,($AJ$68:$AJ$77),0)),IF($S$177&gt;=O195,INDEX('Spell Tables'!$AB$168:$AB$187,MATCH(O195,('Spell Tables'!$Z$168:$Z$187),0)),IF($S$179&gt;=O195,INDEX('Spell Tables'!$AJ$141:$AJ$144,MATCH(O195,('Spell Tables'!$AH$141:$AH$144),0)),IF($S$181&gt;=O195,INDEX('Spell Tables'!$X$119:$X$129,MATCH(O195,('Spell Tables'!$V$119:$V$129),0)),IF($S$183&gt;=O195,INDEX('Spell Tables'!$X$97:$X$106,MATCH(O195,('Spell Tables'!$V$97:$V$106),0)),IF($S$185&gt;=O195,INDEX('Spell Tables'!$AJ$70:$AJ$79,MATCH(O195,('Spell Tables'!$AH$70:$AH$79),0)),IF($S$187&gt;=O195,INDEX('Spell Tables'!$AB$48:$AB$60,MATCH(O195,('Spell Tables'!$Z$48:$Z$60),0)),IF($S$189&gt;=O195,INDEX('Spell Tables'!$AB$26:$AB$45,MATCH(O195,('Spell Tables'!$Z$26:$Z$45),0)),IF($S$191&gt;=O195,INDEX('Spell Tables'!$AB$2:$AB$17,MATCH(O195,('Spell Tables'!$Z$2:$Z$17),0))," "))))))))))))</f>
        <v>Lightning Bolt</v>
      </c>
      <c r="T195" s="33" t="str">
        <f ca="1">IF(AND($O$15="Otherworldly patron - great old one",T$175&gt;=O195),INDEX('Spell Tables'!$AF$226:$AF$231,MATCH(O195,('Spell Tables'!$AD$226:$AD$231),0)),IF(AND($O$15="Otherworldly patron - fiend",T$175&gt;=O195),INDEX('Spell Tables'!$AF$210:$AF$215,MATCH(O195,('Spell Tables'!$AD$210:$AD$215),0)),IF(AND($O$15="Otherworldly patron - archfey",T$175&gt;=O195),INDEX('Spell Tables'!$AF$194:$AF$199,MATCH(O195,('Spell Tables'!$AD$194:$AD$199),0)),IF($T$173&gt;=O195,INDEX($AL$80:$AL$89,MATCH(O195,($AJ$80:$AJ$89),0)),IF($T$177&gt;=O195,INDEX('Spell Tables'!$AF$168:$AF$177,MATCH(O195,('Spell Tables'!$AD$168:$AD$177),0)),IF($T$179&gt;=O195,INDEX('Spell Tables'!$AR$141:$AR$144,MATCH(O195,('Spell Tables'!$AP$141:$AP$144),0)),IF($T$181&gt;=O195,INDEX('Spell Tables'!$AB$119:$AB$123,MATCH(O195,('Spell Tables'!$Z$119:$Z$123),0)),IF($T$183&gt;=O195,INDEX('Spell Tables'!$AB$97:$AB$102,MATCH(O195,('Spell Tables'!$Z$97:$Z$102),0)),IF($T$185&gt;=O195,INDEX('Spell Tables'!$AR$70:$AR$75,MATCH(O195,('Spell Tables'!$AP$70:$AP$75),0)),IF($T$187&gt;=O195,INDEX('Spell Tables'!$AF$48:$AF$63,MATCH(O195,('Spell Tables'!$AD$48:$AD$63),0)),IF($T$189&gt;=O195,INDEX('Spell Tables'!$AF$26:$AF$33,MATCH(O195,('Spell Tables'!$AD$26:$AD$33),0)),IF($T$191&gt;=O195,INDEX('Spell Tables'!$AF$2:$AF$9,MATCH(O195,('Spell Tables'!$AD$2:$AD$9),0))," "))))))))))))</f>
        <v xml:space="preserve"> </v>
      </c>
      <c r="AJ195" s="29">
        <v>8</v>
      </c>
      <c r="AK195" s="29">
        <v>3</v>
      </c>
    </row>
    <row r="196" spans="2:37" x14ac:dyDescent="0.3">
      <c r="B196" s="79"/>
      <c r="C196" s="33"/>
      <c r="D196" s="33"/>
      <c r="E196" s="33"/>
      <c r="F196" s="33"/>
      <c r="G196" s="33"/>
      <c r="H196" s="33"/>
      <c r="I196" s="33"/>
      <c r="J196" s="33"/>
      <c r="K196" s="33"/>
      <c r="L196" s="33"/>
      <c r="M196" s="33"/>
      <c r="N196" s="33"/>
      <c r="O196" s="34">
        <v>4</v>
      </c>
      <c r="P196" s="33" t="str">
        <f ca="1">IF(P$173&gt;=O196,INDEX('Spell Tables'!$P$242:$P$257,MATCH(O196,('Spell Tables'!$N$242:$N$257),0)),IF(P$175&gt;=O196,INDEX('Spell Tables'!$P$194:$P$201,MATCH(O196,('Spell Tables'!$N$194:$N$201),0)),IF(P$177&gt;=O196,INDEX('Spell Tables'!$P$168:$P$183,MATCH(O196,('Spell Tables'!$N$168:$N$183),0)),IF(P$179&gt;=O196,INDEX('Spell Tables'!$P$141:$P$156,MATCH(O196,('Spell Tables'!$N$141:$N$157),0)),IF(P$185&gt;=O196,INDEX('Spell Tables'!$P$70:$P$83,MATCH(O196,('Spell Tables'!$N$70:$N$83),0)),IF(P$187&gt;=O196,INDEX('Spell Tables'!$P$48:$P$55,MATCH(O196,('Spell Tables'!$N$48:$N$55),0)),IF(P$189&gt;=O196,INDEX('Spell Tables'!$P$26:$P$32,MATCH(O196,('Spell Tables'!$N$26:$N$32),0)),IF(P$191&gt;=O196,INDEX('Spell Tables'!$P$2:$P$12,MATCH(O196,('Spell Tables'!$N$2:$N$12),0))," "))))))))</f>
        <v>Poison Spray</v>
      </c>
      <c r="Q196" s="33" t="str">
        <f ca="1">IF(AND($O$15="Otherworldly patron - great old one",Q$175&gt;=O196),INDEX('Spell Tables'!$T$226:$T$238,MATCH(O196,('Spell Tables'!$R$226:$R$238),0)),IF(AND($O$15="Otherworldly patron - fiend",Q$175&gt;=O196),INDEX('Spell Tables'!$T$210:$T$222,MATCH(O196,('Spell Tables'!$R$210:$R$222),0)),IF(Q$173&gt;=O196,INDEX($AL$44:$AL$53,MATCH(O196,($AJ$44:$AJ$53),0)),IF(AND($O$15="Otherworldly patron - archfey",Q$175&gt;=O196),INDEX('Spell Tables'!$T$194:$T$206,MATCH(O196,('Spell Tables'!$R$194:$R$206),0)),IF(Q$177&gt;=O196,INDEX('Spell Tables'!$T$168:$T$187,MATCH(O196,('Spell Tables'!$R$168:$R$187),0)),IF(Q$179&gt;=O196,INDEX('Spell Tables'!$T$141:$T$147,MATCH(O196,('Spell Tables'!$R$141:$R$147),0)),IF(Q$181&gt;=O196,INDEX('Spell Tables'!$P$119:$P$131,MATCH(O196,('Spell Tables'!$N$119:$N$131),0)),IF(Q$183&gt;=O196,INDEX('Spell Tables'!$P$97:$P$111,MATCH(O196,('Spell Tables'!$N$97:$N$111),0)),IF(Q$185&gt;=O196,INDEX('Spell Tables'!$T$70:$T$78,MATCH(O196,('Spell Tables'!$R$70:$R$78),0)),IF(Q$187&gt;=O196,INDEX('Spell Tables'!$T$48:$T$63,MATCH(O196,('Spell Tables'!$R$48:$R$63),0)),IF(Q$189&gt;=O196,INDEX('Spell Tables'!$T$26:$T$40,MATCH(O196,('Spell Tables'!$R$26:$R$40),0)),IF(Q$191&gt;=O196,INDEX('Spell Tables'!$T$2:$T$22,MATCH(O196,('Spell Tables'!$R$2:$R$22),0))," "))))))))))))</f>
        <v xml:space="preserve"> </v>
      </c>
      <c r="R196" s="33" t="str">
        <f ca="1">IF(AND($O$15="Otherworldly patron - great old one",R$175&gt;=O196),INDEX('Spell Tables'!$X$226:$X$239,MATCH(O196,('Spell Tables'!$V$226:$V$239),0)),IF(AND($O$15="Otherworldly patron - fiend",R$175&gt;=O196),INDEX('Spell Tables'!$X$210:$X$223,MATCH(O196,('Spell Tables'!$V$210:$V$223),0)),IF(AND($O$15="Otherworldly patron - archfey",R$175&gt;=O196),INDEX('Spell Tables'!$X$194:$X$207,MATCH(O196,('Spell Tables'!$V$194:$V$207),0)),IF($R$173&gt;=O196,INDEX($AL$56:$AL$65,MATCH(O196,($AJ$56:$AJ$65),0)),IF($R$177&gt;=O196,INDEX('Spell Tables'!$X$168:$X$191,MATCH(O196,('Spell Tables'!$V$168:$V$191),0)),IF($R$179&gt;=O196,INDEX('Spell Tables'!$AB$141:$AB$149,MATCH(O196,('Spell Tables'!$Z$141:$Z$149),0)),IF($R$181&gt;=O196,INDEX('Spell Tables'!$T$119:$T$131,MATCH(O196,('Spell Tables'!$R$119:$R$131),0)),IF($R$183&gt;=O196,INDEX('Spell Tables'!$T$97:$T$104,MATCH(O196,('Spell Tables'!$R$97:$R$104),0)),IF($R$185&gt;=O196,INDEX('Spell Tables'!$AB$70:$AB$75,MATCH(O196,('Spell Tables'!$Z$70:$Z$75),0)),IF($R$187&gt;=O196,INDEX('Spell Tables'!$X$48:$X$65,MATCH(O196,('Spell Tables'!$V$48:$V$65),0)),IF($R$189&gt;=O196,INDEX('Spell Tables'!$X$26:$X$42,MATCH(O196,('Spell Tables'!$V$26:$V$42),0)),IF($R$191&gt;=O196,INDEX('Spell Tables'!$X$2:$X$23,MATCH(O196,('Spell Tables'!$V$2:$V$23),0))," "))))))))))))</f>
        <v xml:space="preserve"> </v>
      </c>
      <c r="S196" s="33" t="str">
        <f ca="1">IF(AND($O$15="Otherworldly patron - great old one",S$175&gt;=O196),INDEX('Spell Tables'!$AB$226:$AB$238,MATCH(O196,('Spell Tables'!$Z$226:$Z$238),0)),IF(AND($O$15="Otherworldly patron - fiend",S$175&gt;=O196),INDEX('Spell Tables'!$AB$210:$AB$222,MATCH(O196,('Spell Tables'!$Z$210:$Z$222),0)),IF(AND($O$15="Otherworldly patron - archfey",S$175&gt;=O196),INDEX('Spell Tables'!$AB$194:$AB$206,MATCH(O196,('Spell Tables'!$Z$194:$Z$206),0)),IF($S$173&gt;=O196,INDEX($AL$68:$AL$77,MATCH(O196,($AJ$68:$AJ$77),0)),IF($S$177&gt;=O196,INDEX('Spell Tables'!$AB$168:$AB$187,MATCH(O196,('Spell Tables'!$Z$168:$Z$187),0)),IF($S$179&gt;=O196,INDEX('Spell Tables'!$AJ$141:$AJ$144,MATCH(O196,('Spell Tables'!$AH$141:$AH$144),0)),IF($S$181&gt;=O196,INDEX('Spell Tables'!$X$119:$X$129,MATCH(O196,('Spell Tables'!$V$119:$V$129),0)),IF($S$183&gt;=O196,INDEX('Spell Tables'!$X$97:$X$106,MATCH(O196,('Spell Tables'!$V$97:$V$106),0)),IF($S$185&gt;=O196,INDEX('Spell Tables'!$AJ$70:$AJ$79,MATCH(O196,('Spell Tables'!$AH$70:$AH$79),0)),IF($S$187&gt;=O196,INDEX('Spell Tables'!$AB$48:$AB$60,MATCH(O196,('Spell Tables'!$Z$48:$Z$60),0)),IF($S$189&gt;=O196,INDEX('Spell Tables'!$AB$26:$AB$45,MATCH(O196,('Spell Tables'!$Z$26:$Z$45),0)),IF($S$191&gt;=O196,INDEX('Spell Tables'!$AB$2:$AB$17,MATCH(O196,('Spell Tables'!$Z$2:$Z$17),0))," "))))))))))))</f>
        <v>Gaseous Form</v>
      </c>
      <c r="T196" s="33" t="str">
        <f ca="1">IF(AND($O$15="Otherworldly patron - great old one",T$175&gt;=O196),INDEX('Spell Tables'!$AF$226:$AF$231,MATCH(O196,('Spell Tables'!$AD$226:$AD$231),0)),IF(AND($O$15="Otherworldly patron - fiend",T$175&gt;=O196),INDEX('Spell Tables'!$AF$210:$AF$215,MATCH(O196,('Spell Tables'!$AD$210:$AD$215),0)),IF(AND($O$15="Otherworldly patron - archfey",T$175&gt;=O196),INDEX('Spell Tables'!$AF$194:$AF$199,MATCH(O196,('Spell Tables'!$AD$194:$AD$199),0)),IF($T$173&gt;=O196,INDEX($AL$80:$AL$89,MATCH(O196,($AJ$80:$AJ$89),0)),IF($T$177&gt;=O196,INDEX('Spell Tables'!$AF$168:$AF$177,MATCH(O196,('Spell Tables'!$AD$168:$AD$177),0)),IF($T$179&gt;=O196,INDEX('Spell Tables'!$AR$141:$AR$144,MATCH(O196,('Spell Tables'!$AP$141:$AP$144),0)),IF($T$181&gt;=O196,INDEX('Spell Tables'!$AB$119:$AB$123,MATCH(O196,('Spell Tables'!$Z$119:$Z$123),0)),IF($T$183&gt;=O196,INDEX('Spell Tables'!$AB$97:$AB$102,MATCH(O196,('Spell Tables'!$Z$97:$Z$102),0)),IF($T$185&gt;=O196,INDEX('Spell Tables'!$AR$70:$AR$75,MATCH(O196,('Spell Tables'!$AP$70:$AP$75),0)),IF($T$187&gt;=O196,INDEX('Spell Tables'!$AF$48:$AF$63,MATCH(O196,('Spell Tables'!$AD$48:$AD$63),0)),IF($T$189&gt;=O196,INDEX('Spell Tables'!$AF$26:$AF$33,MATCH(O196,('Spell Tables'!$AD$26:$AD$33),0)),IF($T$191&gt;=O196,INDEX('Spell Tables'!$AF$2:$AF$9,MATCH(O196,('Spell Tables'!$AD$2:$AD$9),0))," "))))))))))))</f>
        <v xml:space="preserve"> </v>
      </c>
      <c r="AJ196" s="29">
        <v>9</v>
      </c>
      <c r="AK196" s="29">
        <v>3</v>
      </c>
    </row>
    <row r="197" spans="2:37" x14ac:dyDescent="0.3">
      <c r="B197" s="79"/>
      <c r="C197" s="33"/>
      <c r="D197" s="33"/>
      <c r="E197" s="33"/>
      <c r="F197" s="33"/>
      <c r="G197" s="33"/>
      <c r="H197" s="33"/>
      <c r="I197" s="33"/>
      <c r="J197" s="33"/>
      <c r="K197" s="33"/>
      <c r="L197" s="33"/>
      <c r="M197" s="33"/>
      <c r="N197" s="33"/>
      <c r="O197" s="34">
        <v>5</v>
      </c>
      <c r="P197" s="33" t="str">
        <f ca="1">IF(P$173&gt;=O197,INDEX('Spell Tables'!$P$242:$P$257,MATCH(O197,('Spell Tables'!$N$242:$N$257),0)),IF(P$175&gt;=O197,INDEX('Spell Tables'!$P$194:$P$201,MATCH(O197,('Spell Tables'!$N$194:$N$201),0)),IF(P$177&gt;=O197,INDEX('Spell Tables'!$P$168:$P$183,MATCH(O197,('Spell Tables'!$N$168:$N$183),0)),IF(P$179&gt;=O197,INDEX('Spell Tables'!$P$141:$P$156,MATCH(O197,('Spell Tables'!$N$141:$N$157),0)),IF(P$185&gt;=O197,INDEX('Spell Tables'!$P$70:$P$83,MATCH(O197,('Spell Tables'!$N$70:$N$83),0)),IF(P$187&gt;=O197,INDEX('Spell Tables'!$P$48:$P$55,MATCH(O197,('Spell Tables'!$N$48:$N$55),0)),IF(P$189&gt;=O197,INDEX('Spell Tables'!$P$26:$P$32,MATCH(O197,('Spell Tables'!$N$26:$N$32),0)),IF(P$191&gt;=O197,INDEX('Spell Tables'!$P$2:$P$12,MATCH(O197,('Spell Tables'!$N$2:$N$12),0))," "))))))))</f>
        <v>Mending</v>
      </c>
      <c r="Q197" s="33" t="str">
        <f ca="1">IF(AND($O$15="Otherworldly patron - great old one",Q$175&gt;=O197),INDEX('Spell Tables'!$T$226:$T$238,MATCH(O197,('Spell Tables'!$R$226:$R$238),0)),IF(AND($O$15="Otherworldly patron - fiend",Q$175&gt;=O197),INDEX('Spell Tables'!$T$210:$T$222,MATCH(O197,('Spell Tables'!$R$210:$R$222),0)),IF(Q$173&gt;=O197,INDEX($AL$44:$AL$53,MATCH(O197,($AJ$44:$AJ$53),0)),IF(AND($O$15="Otherworldly patron - archfey",Q$175&gt;=O197),INDEX('Spell Tables'!$T$194:$T$206,MATCH(O197,('Spell Tables'!$R$194:$R$206),0)),IF(Q$177&gt;=O197,INDEX('Spell Tables'!$T$168:$T$187,MATCH(O197,('Spell Tables'!$R$168:$R$187),0)),IF(Q$179&gt;=O197,INDEX('Spell Tables'!$T$141:$T$147,MATCH(O197,('Spell Tables'!$R$141:$R$147),0)),IF(Q$181&gt;=O197,INDEX('Spell Tables'!$P$119:$P$131,MATCH(O197,('Spell Tables'!$N$119:$N$131),0)),IF(Q$183&gt;=O197,INDEX('Spell Tables'!$P$97:$P$111,MATCH(O197,('Spell Tables'!$N$97:$N$111),0)),IF(Q$185&gt;=O197,INDEX('Spell Tables'!$T$70:$T$78,MATCH(O197,('Spell Tables'!$R$70:$R$78),0)),IF(Q$187&gt;=O197,INDEX('Spell Tables'!$T$48:$T$63,MATCH(O197,('Spell Tables'!$R$48:$R$63),0)),IF(Q$189&gt;=O197,INDEX('Spell Tables'!$T$26:$T$40,MATCH(O197,('Spell Tables'!$R$26:$R$40),0)),IF(Q$191&gt;=O197,INDEX('Spell Tables'!$T$2:$T$22,MATCH(O197,('Spell Tables'!$R$2:$R$22),0))," "))))))))))))</f>
        <v xml:space="preserve"> </v>
      </c>
      <c r="R197" s="33" t="str">
        <f ca="1">IF(AND($O$15="Otherworldly patron - great old one",R$175&gt;=O197),INDEX('Spell Tables'!$X$226:$X$239,MATCH(O197,('Spell Tables'!$V$226:$V$239),0)),IF(AND($O$15="Otherworldly patron - fiend",R$175&gt;=O197),INDEX('Spell Tables'!$X$210:$X$223,MATCH(O197,('Spell Tables'!$V$210:$V$223),0)),IF(AND($O$15="Otherworldly patron - archfey",R$175&gt;=O197),INDEX('Spell Tables'!$X$194:$X$207,MATCH(O197,('Spell Tables'!$V$194:$V$207),0)),IF($R$173&gt;=O197,INDEX($AL$56:$AL$65,MATCH(O197,($AJ$56:$AJ$65),0)),IF($R$177&gt;=O197,INDEX('Spell Tables'!$X$168:$X$191,MATCH(O197,('Spell Tables'!$V$168:$V$191),0)),IF($R$179&gt;=O197,INDEX('Spell Tables'!$AB$141:$AB$149,MATCH(O197,('Spell Tables'!$Z$141:$Z$149),0)),IF($R$181&gt;=O197,INDEX('Spell Tables'!$T$119:$T$131,MATCH(O197,('Spell Tables'!$R$119:$R$131),0)),IF($R$183&gt;=O197,INDEX('Spell Tables'!$T$97:$T$104,MATCH(O197,('Spell Tables'!$R$97:$R$104),0)),IF($R$185&gt;=O197,INDEX('Spell Tables'!$AB$70:$AB$75,MATCH(O197,('Spell Tables'!$Z$70:$Z$75),0)),IF($R$187&gt;=O197,INDEX('Spell Tables'!$X$48:$X$65,MATCH(O197,('Spell Tables'!$V$48:$V$65),0)),IF($R$189&gt;=O197,INDEX('Spell Tables'!$X$26:$X$42,MATCH(O197,('Spell Tables'!$V$26:$V$42),0)),IF($R$191&gt;=O197,INDEX('Spell Tables'!$X$2:$X$23,MATCH(O197,('Spell Tables'!$V$2:$V$23),0))," "))))))))))))</f>
        <v xml:space="preserve"> </v>
      </c>
      <c r="S197" s="33" t="str">
        <f ca="1">IF(AND($O$15="Otherworldly patron - great old one",S$175&gt;=O197),INDEX('Spell Tables'!$AB$226:$AB$238,MATCH(O197,('Spell Tables'!$Z$226:$Z$238),0)),IF(AND($O$15="Otherworldly patron - fiend",S$175&gt;=O197),INDEX('Spell Tables'!$AB$210:$AB$222,MATCH(O197,('Spell Tables'!$Z$210:$Z$222),0)),IF(AND($O$15="Otherworldly patron - archfey",S$175&gt;=O197),INDEX('Spell Tables'!$AB$194:$AB$206,MATCH(O197,('Spell Tables'!$Z$194:$Z$206),0)),IF($S$173&gt;=O197,INDEX($AL$68:$AL$77,MATCH(O197,($AJ$68:$AJ$77),0)),IF($S$177&gt;=O197,INDEX('Spell Tables'!$AB$168:$AB$187,MATCH(O197,('Spell Tables'!$Z$168:$Z$187),0)),IF($S$179&gt;=O197,INDEX('Spell Tables'!$AJ$141:$AJ$144,MATCH(O197,('Spell Tables'!$AH$141:$AH$144),0)),IF($S$181&gt;=O197,INDEX('Spell Tables'!$X$119:$X$129,MATCH(O197,('Spell Tables'!$V$119:$V$129),0)),IF($S$183&gt;=O197,INDEX('Spell Tables'!$X$97:$X$106,MATCH(O197,('Spell Tables'!$V$97:$V$106),0)),IF($S$185&gt;=O197,INDEX('Spell Tables'!$AJ$70:$AJ$79,MATCH(O197,('Spell Tables'!$AH$70:$AH$79),0)),IF($S$187&gt;=O197,INDEX('Spell Tables'!$AB$48:$AB$60,MATCH(O197,('Spell Tables'!$Z$48:$Z$60),0)),IF($S$189&gt;=O197,INDEX('Spell Tables'!$AB$26:$AB$45,MATCH(O197,('Spell Tables'!$Z$26:$Z$45),0)),IF($S$191&gt;=O197,INDEX('Spell Tables'!$AB$2:$AB$17,MATCH(O197,('Spell Tables'!$Z$2:$Z$17),0))," "))))))))))))</f>
        <v>Tongues</v>
      </c>
      <c r="T197" s="33" t="str">
        <f ca="1">IF(AND($O$15="Otherworldly patron - great old one",T$175&gt;=O197),INDEX('Spell Tables'!$AF$226:$AF$231,MATCH(O197,('Spell Tables'!$AD$226:$AD$231),0)),IF(AND($O$15="Otherworldly patron - fiend",T$175&gt;=O197),INDEX('Spell Tables'!$AF$210:$AF$215,MATCH(O197,('Spell Tables'!$AD$210:$AD$215),0)),IF(AND($O$15="Otherworldly patron - archfey",T$175&gt;=O197),INDEX('Spell Tables'!$AF$194:$AF$199,MATCH(O197,('Spell Tables'!$AD$194:$AD$199),0)),IF($T$173&gt;=O197,INDEX($AL$80:$AL$89,MATCH(O197,($AJ$80:$AJ$89),0)),IF($T$177&gt;=O197,INDEX('Spell Tables'!$AF$168:$AF$177,MATCH(O197,('Spell Tables'!$AD$168:$AD$177),0)),IF($T$179&gt;=O197,INDEX('Spell Tables'!$AR$141:$AR$144,MATCH(O197,('Spell Tables'!$AP$141:$AP$144),0)),IF($T$181&gt;=O197,INDEX('Spell Tables'!$AB$119:$AB$123,MATCH(O197,('Spell Tables'!$Z$119:$Z$123),0)),IF($T$183&gt;=O197,INDEX('Spell Tables'!$AB$97:$AB$102,MATCH(O197,('Spell Tables'!$Z$97:$Z$102),0)),IF($T$185&gt;=O197,INDEX('Spell Tables'!$AR$70:$AR$75,MATCH(O197,('Spell Tables'!$AP$70:$AP$75),0)),IF($T$187&gt;=O197,INDEX('Spell Tables'!$AF$48:$AF$63,MATCH(O197,('Spell Tables'!$AD$48:$AD$63),0)),IF($T$189&gt;=O197,INDEX('Spell Tables'!$AF$26:$AF$33,MATCH(O197,('Spell Tables'!$AD$26:$AD$33),0)),IF($T$191&gt;=O197,INDEX('Spell Tables'!$AF$2:$AF$9,MATCH(O197,('Spell Tables'!$AD$2:$AD$9),0))," "))))))))))))</f>
        <v xml:space="preserve"> </v>
      </c>
      <c r="AJ197" s="29">
        <v>10</v>
      </c>
      <c r="AK197" s="29">
        <v>3</v>
      </c>
    </row>
    <row r="198" spans="2:37" x14ac:dyDescent="0.3">
      <c r="B198" s="33"/>
      <c r="C198" s="33"/>
      <c r="D198" s="33"/>
      <c r="E198" s="33"/>
      <c r="F198" s="33"/>
      <c r="G198" s="33"/>
      <c r="H198" s="33"/>
      <c r="I198" s="33"/>
      <c r="J198" s="33"/>
      <c r="K198" s="33"/>
      <c r="L198" s="33"/>
      <c r="M198" s="33"/>
      <c r="N198" s="33"/>
      <c r="O198" s="34">
        <v>6</v>
      </c>
      <c r="P198" s="33" t="str">
        <f ca="1">IF(P$173&gt;=O198,INDEX('Spell Tables'!$P$242:$P$257,MATCH(O198,('Spell Tables'!$N$242:$N$257),0)),IF(P$175&gt;=O198,INDEX('Spell Tables'!$P$194:$P$201,MATCH(O198,('Spell Tables'!$N$194:$N$201),0)),IF(P$177&gt;=O198,INDEX('Spell Tables'!$P$168:$P$183,MATCH(O198,('Spell Tables'!$N$168:$N$183),0)),IF(P$179&gt;=O198,INDEX('Spell Tables'!$P$141:$P$156,MATCH(O198,('Spell Tables'!$N$141:$N$157),0)),IF(P$185&gt;=O198,INDEX('Spell Tables'!$P$70:$P$83,MATCH(O198,('Spell Tables'!$N$70:$N$83),0)),IF(P$187&gt;=O198,INDEX('Spell Tables'!$P$48:$P$55,MATCH(O198,('Spell Tables'!$N$48:$N$55),0)),IF(P$189&gt;=O198,INDEX('Spell Tables'!$P$26:$P$32,MATCH(O198,('Spell Tables'!$N$26:$N$32),0)),IF(P$191&gt;=O198,INDEX('Spell Tables'!$P$2:$P$12,MATCH(O198,('Spell Tables'!$N$2:$N$12),0))," "))))))))</f>
        <v xml:space="preserve"> </v>
      </c>
      <c r="Q198" s="33" t="str">
        <f ca="1">IF(AND($O$15="Otherworldly patron - great old one",Q$175&gt;=O198),INDEX('Spell Tables'!$T$226:$T$238,MATCH(O198,('Spell Tables'!$R$226:$R$238),0)),IF(AND($O$15="Otherworldly patron - fiend",Q$175&gt;=O198),INDEX('Spell Tables'!$T$210:$T$222,MATCH(O198,('Spell Tables'!$R$210:$R$222),0)),IF(Q$173&gt;=O198,INDEX($AL$44:$AL$53,MATCH(O198,($AJ$44:$AJ$53),0)),IF(AND($O$15="Otherworldly patron - archfey",Q$175&gt;=O198),INDEX('Spell Tables'!$T$194:$T$206,MATCH(O198,('Spell Tables'!$R$194:$R$206),0)),IF(Q$177&gt;=O198,INDEX('Spell Tables'!$T$168:$T$187,MATCH(O198,('Spell Tables'!$R$168:$R$187),0)),IF(Q$179&gt;=O198,INDEX('Spell Tables'!$T$141:$T$147,MATCH(O198,('Spell Tables'!$R$141:$R$147),0)),IF(Q$181&gt;=O198,INDEX('Spell Tables'!$P$119:$P$131,MATCH(O198,('Spell Tables'!$N$119:$N$131),0)),IF(Q$183&gt;=O198,INDEX('Spell Tables'!$P$97:$P$111,MATCH(O198,('Spell Tables'!$N$97:$N$111),0)),IF(Q$185&gt;=O198,INDEX('Spell Tables'!$T$70:$T$78,MATCH(O198,('Spell Tables'!$R$70:$R$78),0)),IF(Q$187&gt;=O198,INDEX('Spell Tables'!$T$48:$T$63,MATCH(O198,('Spell Tables'!$R$48:$R$63),0)),IF(Q$189&gt;=O198,INDEX('Spell Tables'!$T$26:$T$40,MATCH(O198,('Spell Tables'!$R$26:$R$40),0)),IF(Q$191&gt;=O198,INDEX('Spell Tables'!$T$2:$T$22,MATCH(O198,('Spell Tables'!$R$2:$R$22),0))," "))))))))))))</f>
        <v xml:space="preserve"> </v>
      </c>
      <c r="R198" s="33" t="str">
        <f ca="1">IF(AND($O$15="Otherworldly patron - great old one",R$175&gt;=O198),INDEX('Spell Tables'!$X$226:$X$239,MATCH(O198,('Spell Tables'!$V$226:$V$239),0)),IF(AND($O$15="Otherworldly patron - fiend",R$175&gt;=O198),INDEX('Spell Tables'!$X$210:$X$223,MATCH(O198,('Spell Tables'!$V$210:$V$223),0)),IF(AND($O$15="Otherworldly patron - archfey",R$175&gt;=O198),INDEX('Spell Tables'!$X$194:$X$207,MATCH(O198,('Spell Tables'!$V$194:$V$207),0)),IF($R$173&gt;=O198,INDEX($AL$56:$AL$65,MATCH(O198,($AJ$56:$AJ$65),0)),IF($R$177&gt;=O198,INDEX('Spell Tables'!$X$168:$X$191,MATCH(O198,('Spell Tables'!$V$168:$V$191),0)),IF($R$179&gt;=O198,INDEX('Spell Tables'!$AB$141:$AB$149,MATCH(O198,('Spell Tables'!$Z$141:$Z$149),0)),IF($R$181&gt;=O198,INDEX('Spell Tables'!$T$119:$T$131,MATCH(O198,('Spell Tables'!$R$119:$R$131),0)),IF($R$183&gt;=O198,INDEX('Spell Tables'!$T$97:$T$104,MATCH(O198,('Spell Tables'!$R$97:$R$104),0)),IF($R$185&gt;=O198,INDEX('Spell Tables'!$AB$70:$AB$75,MATCH(O198,('Spell Tables'!$Z$70:$Z$75),0)),IF($R$187&gt;=O198,INDEX('Spell Tables'!$X$48:$X$65,MATCH(O198,('Spell Tables'!$V$48:$V$65),0)),IF($R$189&gt;=O198,INDEX('Spell Tables'!$X$26:$X$42,MATCH(O198,('Spell Tables'!$V$26:$V$42),0)),IF($R$191&gt;=O198,INDEX('Spell Tables'!$X$2:$X$23,MATCH(O198,('Spell Tables'!$V$2:$V$23),0))," "))))))))))))</f>
        <v xml:space="preserve"> </v>
      </c>
      <c r="S198" s="33" t="str">
        <f ca="1">IF(AND($O$15="Otherworldly patron - great old one",S$175&gt;=O198),INDEX('Spell Tables'!$AB$226:$AB$238,MATCH(O198,('Spell Tables'!$Z$226:$Z$238),0)),IF(AND($O$15="Otherworldly patron - fiend",S$175&gt;=O198),INDEX('Spell Tables'!$AB$210:$AB$222,MATCH(O198,('Spell Tables'!$Z$210:$Z$222),0)),IF(AND($O$15="Otherworldly patron - archfey",S$175&gt;=O198),INDEX('Spell Tables'!$AB$194:$AB$206,MATCH(O198,('Spell Tables'!$Z$194:$Z$206),0)),IF($S$173&gt;=O198,INDEX($AL$68:$AL$77,MATCH(O198,($AJ$68:$AJ$77),0)),IF($S$177&gt;=O198,INDEX('Spell Tables'!$AB$168:$AB$187,MATCH(O198,('Spell Tables'!$Z$168:$Z$187),0)),IF($S$179&gt;=O198,INDEX('Spell Tables'!$AJ$141:$AJ$144,MATCH(O198,('Spell Tables'!$AH$141:$AH$144),0)),IF($S$181&gt;=O198,INDEX('Spell Tables'!$X$119:$X$129,MATCH(O198,('Spell Tables'!$V$119:$V$129),0)),IF($S$183&gt;=O198,INDEX('Spell Tables'!$X$97:$X$106,MATCH(O198,('Spell Tables'!$V$97:$V$106),0)),IF($S$185&gt;=O198,INDEX('Spell Tables'!$AJ$70:$AJ$79,MATCH(O198,('Spell Tables'!$AH$70:$AH$79),0)),IF($S$187&gt;=O198,INDEX('Spell Tables'!$AB$48:$AB$60,MATCH(O198,('Spell Tables'!$Z$48:$Z$60),0)),IF($S$189&gt;=O198,INDEX('Spell Tables'!$AB$26:$AB$45,MATCH(O198,('Spell Tables'!$Z$26:$Z$45),0)),IF($S$191&gt;=O198,INDEX('Spell Tables'!$AB$2:$AB$17,MATCH(O198,('Spell Tables'!$Z$2:$Z$17),0))," "))))))))))))</f>
        <v>Stinking Cloud</v>
      </c>
      <c r="T198" s="33" t="str">
        <f ca="1">IF(AND($O$15="Otherworldly patron - great old one",T$175&gt;=O198),INDEX('Spell Tables'!$AF$226:$AF$231,MATCH(O198,('Spell Tables'!$AD$226:$AD$231),0)),IF(AND($O$15="Otherworldly patron - fiend",T$175&gt;=O198),INDEX('Spell Tables'!$AF$210:$AF$215,MATCH(O198,('Spell Tables'!$AD$210:$AD$215),0)),IF(AND($O$15="Otherworldly patron - archfey",T$175&gt;=O198),INDEX('Spell Tables'!$AF$194:$AF$199,MATCH(O198,('Spell Tables'!$AD$194:$AD$199),0)),IF($T$173&gt;=O198,INDEX($AL$80:$AL$89,MATCH(O198,($AJ$80:$AJ$89),0)),IF($T$177&gt;=O198,INDEX('Spell Tables'!$AF$168:$AF$177,MATCH(O198,('Spell Tables'!$AD$168:$AD$177),0)),IF($T$179&gt;=O198,INDEX('Spell Tables'!$AR$141:$AR$144,MATCH(O198,('Spell Tables'!$AP$141:$AP$144),0)),IF($T$181&gt;=O198,INDEX('Spell Tables'!$AB$119:$AB$123,MATCH(O198,('Spell Tables'!$Z$119:$Z$123),0)),IF($T$183&gt;=O198,INDEX('Spell Tables'!$AB$97:$AB$102,MATCH(O198,('Spell Tables'!$Z$97:$Z$102),0)),IF($T$185&gt;=O198,INDEX('Spell Tables'!$AR$70:$AR$75,MATCH(O198,('Spell Tables'!$AP$70:$AP$75),0)),IF($T$187&gt;=O198,INDEX('Spell Tables'!$AF$48:$AF$63,MATCH(O198,('Spell Tables'!$AD$48:$AD$63),0)),IF($T$189&gt;=O198,INDEX('Spell Tables'!$AF$26:$AF$33,MATCH(O198,('Spell Tables'!$AD$26:$AD$33),0)),IF($T$191&gt;=O198,INDEX('Spell Tables'!$AF$2:$AF$9,MATCH(O198,('Spell Tables'!$AD$2:$AD$9),0))," "))))))))))))</f>
        <v xml:space="preserve"> </v>
      </c>
    </row>
    <row r="199" spans="2:37" x14ac:dyDescent="0.3">
      <c r="B199" s="33"/>
      <c r="C199" s="33"/>
      <c r="D199" s="33"/>
      <c r="E199" s="33"/>
      <c r="F199" s="33"/>
      <c r="G199" s="33"/>
      <c r="H199" s="33"/>
      <c r="I199" s="33"/>
      <c r="J199" s="33"/>
      <c r="K199" s="33"/>
      <c r="L199" s="33"/>
      <c r="M199" s="33"/>
      <c r="N199" s="33"/>
      <c r="O199" s="34">
        <v>7</v>
      </c>
      <c r="P199" s="33" t="str">
        <f ca="1">IF(P$173&gt;=O199,INDEX('Spell Tables'!$P$242:$P$257,MATCH(O199,('Spell Tables'!$N$242:$N$257),0)),IF(P$175&gt;=O199,INDEX('Spell Tables'!$P$194:$P$201,MATCH(O199,('Spell Tables'!$N$194:$N$201),0)),IF(P$177&gt;=O199,INDEX('Spell Tables'!$P$168:$P$183,MATCH(O199,('Spell Tables'!$N$168:$N$183),0)),IF(P$179&gt;=O199,INDEX('Spell Tables'!$P$141:$P$156,MATCH(O199,('Spell Tables'!$N$141:$N$157),0)),IF(P$185&gt;=O199,INDEX('Spell Tables'!$P$70:$P$83,MATCH(O199,('Spell Tables'!$N$70:$N$83),0)),IF(P$187&gt;=O199,INDEX('Spell Tables'!$P$48:$P$55,MATCH(O199,('Spell Tables'!$N$48:$N$55),0)),IF(P$189&gt;=O199,INDEX('Spell Tables'!$P$26:$P$32,MATCH(O199,('Spell Tables'!$N$26:$N$32),0)),IF(P$191&gt;=O199,INDEX('Spell Tables'!$P$2:$P$12,MATCH(O199,('Spell Tables'!$N$2:$N$12),0))," "))))))))</f>
        <v xml:space="preserve"> </v>
      </c>
      <c r="Q199" s="33" t="str">
        <f ca="1">IF(AND($O$15="Otherworldly patron - great old one",Q$175&gt;=O199),INDEX('Spell Tables'!$T$226:$T$238,MATCH(O199,('Spell Tables'!$R$226:$R$238),0)),IF(AND($O$15="Otherworldly patron - fiend",Q$175&gt;=O199),INDEX('Spell Tables'!$T$210:$T$222,MATCH(O199,('Spell Tables'!$R$210:$R$222),0)),IF(Q$173&gt;=O199,INDEX($AL$44:$AL$53,MATCH(O199,($AJ$44:$AJ$53),0)),IF(AND($O$15="Otherworldly patron - archfey",Q$175&gt;=O199),INDEX('Spell Tables'!$T$194:$T$206,MATCH(O199,('Spell Tables'!$R$194:$R$206),0)),IF(Q$177&gt;=O199,INDEX('Spell Tables'!$T$168:$T$187,MATCH(O199,('Spell Tables'!$R$168:$R$187),0)),IF(Q$179&gt;=O199,INDEX('Spell Tables'!$T$141:$T$147,MATCH(O199,('Spell Tables'!$R$141:$R$147),0)),IF(Q$181&gt;=O199,INDEX('Spell Tables'!$P$119:$P$131,MATCH(O199,('Spell Tables'!$N$119:$N$131),0)),IF(Q$183&gt;=O199,INDEX('Spell Tables'!$P$97:$P$111,MATCH(O199,('Spell Tables'!$N$97:$N$111),0)),IF(Q$185&gt;=O199,INDEX('Spell Tables'!$T$70:$T$78,MATCH(O199,('Spell Tables'!$R$70:$R$78),0)),IF(Q$187&gt;=O199,INDEX('Spell Tables'!$T$48:$T$63,MATCH(O199,('Spell Tables'!$R$48:$R$63),0)),IF(Q$189&gt;=O199,INDEX('Spell Tables'!$T$26:$T$40,MATCH(O199,('Spell Tables'!$R$26:$R$40),0)),IF(Q$191&gt;=O199,INDEX('Spell Tables'!$T$2:$T$22,MATCH(O199,('Spell Tables'!$R$2:$R$22),0))," "))))))))))))</f>
        <v xml:space="preserve"> </v>
      </c>
      <c r="R199" s="33" t="str">
        <f ca="1">IF(AND($O$15="Otherworldly patron - great old one",R$175&gt;=O199),INDEX('Spell Tables'!$X$226:$X$239,MATCH(O199,('Spell Tables'!$V$226:$V$239),0)),IF(AND($O$15="Otherworldly patron - fiend",R$175&gt;=O199),INDEX('Spell Tables'!$X$210:$X$223,MATCH(O199,('Spell Tables'!$V$210:$V$223),0)),IF(AND($O$15="Otherworldly patron - archfey",R$175&gt;=O199),INDEX('Spell Tables'!$X$194:$X$207,MATCH(O199,('Spell Tables'!$V$194:$V$207),0)),IF($R$173&gt;=O199,INDEX($AL$56:$AL$65,MATCH(O199,($AJ$56:$AJ$65),0)),IF($R$177&gt;=O199,INDEX('Spell Tables'!$X$168:$X$191,MATCH(O199,('Spell Tables'!$V$168:$V$191),0)),IF($R$179&gt;=O199,INDEX('Spell Tables'!$AB$141:$AB$149,MATCH(O199,('Spell Tables'!$Z$141:$Z$149),0)),IF($R$181&gt;=O199,INDEX('Spell Tables'!$T$119:$T$131,MATCH(O199,('Spell Tables'!$R$119:$R$131),0)),IF($R$183&gt;=O199,INDEX('Spell Tables'!$T$97:$T$104,MATCH(O199,('Spell Tables'!$R$97:$R$104),0)),IF($R$185&gt;=O199,INDEX('Spell Tables'!$AB$70:$AB$75,MATCH(O199,('Spell Tables'!$Z$70:$Z$75),0)),IF($R$187&gt;=O199,INDEX('Spell Tables'!$X$48:$X$65,MATCH(O199,('Spell Tables'!$V$48:$V$65),0)),IF($R$189&gt;=O199,INDEX('Spell Tables'!$X$26:$X$42,MATCH(O199,('Spell Tables'!$V$26:$V$42),0)),IF($R$191&gt;=O199,INDEX('Spell Tables'!$X$2:$X$23,MATCH(O199,('Spell Tables'!$V$2:$V$23),0))," "))))))))))))</f>
        <v xml:space="preserve"> </v>
      </c>
      <c r="S199" s="33" t="str">
        <f ca="1">IF(AND($O$15="Otherworldly patron - great old one",S$175&gt;=O199),INDEX('Spell Tables'!$AB$226:$AB$238,MATCH(O199,('Spell Tables'!$Z$226:$Z$238),0)),IF(AND($O$15="Otherworldly patron - fiend",S$175&gt;=O199),INDEX('Spell Tables'!$AB$210:$AB$222,MATCH(O199,('Spell Tables'!$Z$210:$Z$222),0)),IF(AND($O$15="Otherworldly patron - archfey",S$175&gt;=O199),INDEX('Spell Tables'!$AB$194:$AB$206,MATCH(O199,('Spell Tables'!$Z$194:$Z$206),0)),IF($S$173&gt;=O199,INDEX($AL$68:$AL$77,MATCH(O199,($AJ$68:$AJ$77),0)),IF($S$177&gt;=O199,INDEX('Spell Tables'!$AB$168:$AB$187,MATCH(O199,('Spell Tables'!$Z$168:$Z$187),0)),IF($S$179&gt;=O199,INDEX('Spell Tables'!$AJ$141:$AJ$144,MATCH(O199,('Spell Tables'!$AH$141:$AH$144),0)),IF($S$181&gt;=O199,INDEX('Spell Tables'!$X$119:$X$129,MATCH(O199,('Spell Tables'!$V$119:$V$129),0)),IF($S$183&gt;=O199,INDEX('Spell Tables'!$X$97:$X$106,MATCH(O199,('Spell Tables'!$V$97:$V$106),0)),IF($S$185&gt;=O199,INDEX('Spell Tables'!$AJ$70:$AJ$79,MATCH(O199,('Spell Tables'!$AH$70:$AH$79),0)),IF($S$187&gt;=O199,INDEX('Spell Tables'!$AB$48:$AB$60,MATCH(O199,('Spell Tables'!$Z$48:$Z$60),0)),IF($S$189&gt;=O199,INDEX('Spell Tables'!$AB$26:$AB$45,MATCH(O199,('Spell Tables'!$Z$26:$Z$45),0)),IF($S$191&gt;=O199,INDEX('Spell Tables'!$AB$2:$AB$17,MATCH(O199,('Spell Tables'!$Z$2:$Z$17),0))," "))))))))))))</f>
        <v>Protection from Energy</v>
      </c>
      <c r="T199" s="33" t="str">
        <f ca="1">IF(AND($O$15="Otherworldly patron - great old one",T$175&gt;=O199),INDEX('Spell Tables'!$AF$226:$AF$231,MATCH(O199,('Spell Tables'!$AD$226:$AD$231),0)),IF(AND($O$15="Otherworldly patron - fiend",T$175&gt;=O199),INDEX('Spell Tables'!$AF$210:$AF$215,MATCH(O199,('Spell Tables'!$AD$210:$AD$215),0)),IF(AND($O$15="Otherworldly patron - archfey",T$175&gt;=O199),INDEX('Spell Tables'!$AF$194:$AF$199,MATCH(O199,('Spell Tables'!$AD$194:$AD$199),0)),IF($T$173&gt;=O199,INDEX($AL$80:$AL$89,MATCH(O199,($AJ$80:$AJ$89),0)),IF($T$177&gt;=O199,INDEX('Spell Tables'!$AF$168:$AF$177,MATCH(O199,('Spell Tables'!$AD$168:$AD$177),0)),IF($T$179&gt;=O199,INDEX('Spell Tables'!$AR$141:$AR$144,MATCH(O199,('Spell Tables'!$AP$141:$AP$144),0)),IF($T$181&gt;=O199,INDEX('Spell Tables'!$AB$119:$AB$123,MATCH(O199,('Spell Tables'!$Z$119:$Z$123),0)),IF($T$183&gt;=O199,INDEX('Spell Tables'!$AB$97:$AB$102,MATCH(O199,('Spell Tables'!$Z$97:$Z$102),0)),IF($T$185&gt;=O199,INDEX('Spell Tables'!$AR$70:$AR$75,MATCH(O199,('Spell Tables'!$AP$70:$AP$75),0)),IF($T$187&gt;=O199,INDEX('Spell Tables'!$AF$48:$AF$63,MATCH(O199,('Spell Tables'!$AD$48:$AD$63),0)),IF($T$189&gt;=O199,INDEX('Spell Tables'!$AF$26:$AF$33,MATCH(O199,('Spell Tables'!$AD$26:$AD$33),0)),IF($T$191&gt;=O199,INDEX('Spell Tables'!$AF$2:$AF$9,MATCH(O199,('Spell Tables'!$AD$2:$AD$9),0))," "))))))))))))</f>
        <v xml:space="preserve"> </v>
      </c>
    </row>
    <row r="200" spans="2:37" x14ac:dyDescent="0.3">
      <c r="B200" s="33"/>
      <c r="C200" s="33"/>
      <c r="D200" s="33"/>
      <c r="E200" s="33"/>
      <c r="F200" s="33"/>
      <c r="G200" s="33"/>
      <c r="H200" s="33"/>
      <c r="I200" s="33"/>
      <c r="J200" s="33"/>
      <c r="K200" s="33"/>
      <c r="L200" s="33"/>
      <c r="M200" s="33"/>
      <c r="N200" s="33"/>
      <c r="O200" s="34">
        <v>8</v>
      </c>
      <c r="P200" s="33" t="str">
        <f ca="1">IF(P$173&gt;=O200,INDEX('Spell Tables'!$P$242:$P$257,MATCH(O200,('Spell Tables'!$N$242:$N$257),0)),IF(P$175&gt;=O200,INDEX('Spell Tables'!$P$194:$P$201,MATCH(O200,('Spell Tables'!$N$194:$N$201),0)),IF(P$177&gt;=O200,INDEX('Spell Tables'!$P$168:$P$183,MATCH(O200,('Spell Tables'!$N$168:$N$183),0)),IF(P$179&gt;=O200,INDEX('Spell Tables'!$P$141:$P$156,MATCH(O200,('Spell Tables'!$N$141:$N$157),0)),IF(P$185&gt;=O200,INDEX('Spell Tables'!$P$70:$P$83,MATCH(O200,('Spell Tables'!$N$70:$N$83),0)),IF(P$187&gt;=O200,INDEX('Spell Tables'!$P$48:$P$55,MATCH(O200,('Spell Tables'!$N$48:$N$55),0)),IF(P$189&gt;=O200,INDEX('Spell Tables'!$P$26:$P$32,MATCH(O200,('Spell Tables'!$N$26:$N$32),0)),IF(P$191&gt;=O200,INDEX('Spell Tables'!$P$2:$P$12,MATCH(O200,('Spell Tables'!$N$2:$N$12),0))," "))))))))</f>
        <v xml:space="preserve"> </v>
      </c>
      <c r="Q200" s="33" t="str">
        <f ca="1">IF(AND($O$15="Otherworldly patron - great old one",Q$175&gt;=O200),INDEX('Spell Tables'!$T$226:$T$238,MATCH(O200,('Spell Tables'!$R$226:$R$238),0)),IF(AND($O$15="Otherworldly patron - fiend",Q$175&gt;=O200),INDEX('Spell Tables'!$T$210:$T$222,MATCH(O200,('Spell Tables'!$R$210:$R$222),0)),IF(Q$173&gt;=O200,INDEX($AL$44:$AL$53,MATCH(O200,($AJ$44:$AJ$53),0)),IF(AND($O$15="Otherworldly patron - archfey",Q$175&gt;=O200),INDEX('Spell Tables'!$T$194:$T$206,MATCH(O200,('Spell Tables'!$R$194:$R$206),0)),IF(Q$177&gt;=O200,INDEX('Spell Tables'!$T$168:$T$187,MATCH(O200,('Spell Tables'!$R$168:$R$187),0)),IF(Q$179&gt;=O200,INDEX('Spell Tables'!$T$141:$T$147,MATCH(O200,('Spell Tables'!$R$141:$R$147),0)),IF(Q$181&gt;=O200,INDEX('Spell Tables'!$P$119:$P$131,MATCH(O200,('Spell Tables'!$N$119:$N$131),0)),IF(Q$183&gt;=O200,INDEX('Spell Tables'!$P$97:$P$111,MATCH(O200,('Spell Tables'!$N$97:$N$111),0)),IF(Q$185&gt;=O200,INDEX('Spell Tables'!$T$70:$T$78,MATCH(O200,('Spell Tables'!$R$70:$R$78),0)),IF(Q$187&gt;=O200,INDEX('Spell Tables'!$T$48:$T$63,MATCH(O200,('Spell Tables'!$R$48:$R$63),0)),IF(Q$189&gt;=O200,INDEX('Spell Tables'!$T$26:$T$40,MATCH(O200,('Spell Tables'!$R$26:$R$40),0)),IF(Q$191&gt;=O200,INDEX('Spell Tables'!$T$2:$T$22,MATCH(O200,('Spell Tables'!$R$2:$R$22),0))," "))))))))))))</f>
        <v xml:space="preserve"> </v>
      </c>
      <c r="R200" s="33" t="str">
        <f ca="1">IF(AND($O$15="Otherworldly patron - great old one",R$175&gt;=O200),INDEX('Spell Tables'!$X$226:$X$239,MATCH(O200,('Spell Tables'!$V$226:$V$239),0)),IF(AND($O$15="Otherworldly patron - fiend",R$175&gt;=O200),INDEX('Spell Tables'!$X$210:$X$223,MATCH(O200,('Spell Tables'!$V$210:$V$223),0)),IF(AND($O$15="Otherworldly patron - archfey",R$175&gt;=O200),INDEX('Spell Tables'!$X$194:$X$207,MATCH(O200,('Spell Tables'!$V$194:$V$207),0)),IF($R$173&gt;=O200,INDEX($AL$56:$AL$65,MATCH(O200,($AJ$56:$AJ$65),0)),IF($R$177&gt;=O200,INDEX('Spell Tables'!$X$168:$X$191,MATCH(O200,('Spell Tables'!$V$168:$V$191),0)),IF($R$179&gt;=O200,INDEX('Spell Tables'!$AB$141:$AB$149,MATCH(O200,('Spell Tables'!$Z$141:$Z$149),0)),IF($R$181&gt;=O200,INDEX('Spell Tables'!$T$119:$T$131,MATCH(O200,('Spell Tables'!$R$119:$R$131),0)),IF($R$183&gt;=O200,INDEX('Spell Tables'!$T$97:$T$104,MATCH(O200,('Spell Tables'!$R$97:$R$104),0)),IF($R$185&gt;=O200,INDEX('Spell Tables'!$AB$70:$AB$75,MATCH(O200,('Spell Tables'!$Z$70:$Z$75),0)),IF($R$187&gt;=O200,INDEX('Spell Tables'!$X$48:$X$65,MATCH(O200,('Spell Tables'!$V$48:$V$65),0)),IF($R$189&gt;=O200,INDEX('Spell Tables'!$X$26:$X$42,MATCH(O200,('Spell Tables'!$V$26:$V$42),0)),IF($R$191&gt;=O200,INDEX('Spell Tables'!$X$2:$X$23,MATCH(O200,('Spell Tables'!$V$2:$V$23),0))," "))))))))))))</f>
        <v xml:space="preserve"> </v>
      </c>
      <c r="S200" s="33" t="str">
        <f ca="1">IF(AND($O$15="Otherworldly patron - great old one",S$175&gt;=O200),INDEX('Spell Tables'!$AB$226:$AB$238,MATCH(O200,('Spell Tables'!$Z$226:$Z$238),0)),IF(AND($O$15="Otherworldly patron - fiend",S$175&gt;=O200),INDEX('Spell Tables'!$AB$210:$AB$222,MATCH(O200,('Spell Tables'!$Z$210:$Z$222),0)),IF(AND($O$15="Otherworldly patron - archfey",S$175&gt;=O200),INDEX('Spell Tables'!$AB$194:$AB$206,MATCH(O200,('Spell Tables'!$Z$194:$Z$206),0)),IF($S$173&gt;=O200,INDEX($AL$68:$AL$77,MATCH(O200,($AJ$68:$AJ$77),0)),IF($S$177&gt;=O200,INDEX('Spell Tables'!$AB$168:$AB$187,MATCH(O200,('Spell Tables'!$Z$168:$Z$187),0)),IF($S$179&gt;=O200,INDEX('Spell Tables'!$AJ$141:$AJ$144,MATCH(O200,('Spell Tables'!$AH$141:$AH$144),0)),IF($S$181&gt;=O200,INDEX('Spell Tables'!$X$119:$X$129,MATCH(O200,('Spell Tables'!$V$119:$V$129),0)),IF($S$183&gt;=O200,INDEX('Spell Tables'!$X$97:$X$106,MATCH(O200,('Spell Tables'!$V$97:$V$106),0)),IF($S$185&gt;=O200,INDEX('Spell Tables'!$AJ$70:$AJ$79,MATCH(O200,('Spell Tables'!$AH$70:$AH$79),0)),IF($S$187&gt;=O200,INDEX('Spell Tables'!$AB$48:$AB$60,MATCH(O200,('Spell Tables'!$Z$48:$Z$60),0)),IF($S$189&gt;=O200,INDEX('Spell Tables'!$AB$26:$AB$45,MATCH(O200,('Spell Tables'!$Z$26:$Z$45),0)),IF($S$191&gt;=O200,INDEX('Spell Tables'!$AB$2:$AB$17,MATCH(O200,('Spell Tables'!$Z$2:$Z$17),0))," "))))))))))))</f>
        <v>Water Breathing</v>
      </c>
      <c r="T200" s="33" t="str">
        <f ca="1">IF(AND($O$15="Otherworldly patron - great old one",T$175&gt;=O200),INDEX('Spell Tables'!$AF$226:$AF$231,MATCH(O200,('Spell Tables'!$AD$226:$AD$231),0)),IF(AND($O$15="Otherworldly patron - fiend",T$175&gt;=O200),INDEX('Spell Tables'!$AF$210:$AF$215,MATCH(O200,('Spell Tables'!$AD$210:$AD$215),0)),IF(AND($O$15="Otherworldly patron - archfey",T$175&gt;=O200),INDEX('Spell Tables'!$AF$194:$AF$199,MATCH(O200,('Spell Tables'!$AD$194:$AD$199),0)),IF($T$173&gt;=O200,INDEX($AL$80:$AL$89,MATCH(O200,($AJ$80:$AJ$89),0)),IF($T$177&gt;=O200,INDEX('Spell Tables'!$AF$168:$AF$177,MATCH(O200,('Spell Tables'!$AD$168:$AD$177),0)),IF($T$179&gt;=O200,INDEX('Spell Tables'!$AR$141:$AR$144,MATCH(O200,('Spell Tables'!$AP$141:$AP$144),0)),IF($T$181&gt;=O200,INDEX('Spell Tables'!$AB$119:$AB$123,MATCH(O200,('Spell Tables'!$Z$119:$Z$123),0)),IF($T$183&gt;=O200,INDEX('Spell Tables'!$AB$97:$AB$102,MATCH(O200,('Spell Tables'!$Z$97:$Z$102),0)),IF($T$185&gt;=O200,INDEX('Spell Tables'!$AR$70:$AR$75,MATCH(O200,('Spell Tables'!$AP$70:$AP$75),0)),IF($T$187&gt;=O200,INDEX('Spell Tables'!$AF$48:$AF$63,MATCH(O200,('Spell Tables'!$AD$48:$AD$63),0)),IF($T$189&gt;=O200,INDEX('Spell Tables'!$AF$26:$AF$33,MATCH(O200,('Spell Tables'!$AD$26:$AD$33),0)),IF($T$191&gt;=O200,INDEX('Spell Tables'!$AF$2:$AF$9,MATCH(O200,('Spell Tables'!$AD$2:$AD$9),0))," "))))))))))))</f>
        <v xml:space="preserve"> </v>
      </c>
    </row>
    <row r="201" spans="2:37" x14ac:dyDescent="0.3">
      <c r="B201" s="33"/>
      <c r="C201" s="33"/>
      <c r="D201" s="33"/>
      <c r="E201" s="33"/>
      <c r="F201" s="33"/>
      <c r="G201" s="33"/>
      <c r="H201" s="33"/>
      <c r="I201" s="33"/>
      <c r="J201" s="33"/>
      <c r="K201" s="33"/>
      <c r="L201" s="33"/>
      <c r="M201" s="33"/>
      <c r="N201" s="33"/>
      <c r="O201" s="34">
        <v>9</v>
      </c>
      <c r="P201" s="33" t="str">
        <f ca="1">IF(P$173&gt;=O201,INDEX('Spell Tables'!$P$242:$P$257,MATCH(O201,('Spell Tables'!$N$242:$N$257),0)),IF(P$175&gt;=O201,INDEX('Spell Tables'!$P$194:$P$201,MATCH(O201,('Spell Tables'!$N$194:$N$201),0)),IF(P$177&gt;=O201,INDEX('Spell Tables'!$P$168:$P$183,MATCH(O201,('Spell Tables'!$N$168:$N$183),0)),IF(P$179&gt;=O201,INDEX('Spell Tables'!$P$141:$P$156,MATCH(O201,('Spell Tables'!$N$141:$N$157),0)),IF(P$185&gt;=O201,INDEX('Spell Tables'!$P$70:$P$83,MATCH(O201,('Spell Tables'!$N$70:$N$83),0)),IF(P$187&gt;=O201,INDEX('Spell Tables'!$P$48:$P$55,MATCH(O201,('Spell Tables'!$N$48:$N$55),0)),IF(P$189&gt;=O201,INDEX('Spell Tables'!$P$26:$P$32,MATCH(O201,('Spell Tables'!$N$26:$N$32),0)),IF(P$191&gt;=O201,INDEX('Spell Tables'!$P$2:$P$12,MATCH(O201,('Spell Tables'!$N$2:$N$12),0))," "))))))))</f>
        <v xml:space="preserve"> </v>
      </c>
      <c r="Q201" s="33" t="str">
        <f ca="1">IF(AND($O$15="Otherworldly patron - great old one",Q$175&gt;=O201),INDEX('Spell Tables'!$T$226:$T$238,MATCH(O201,('Spell Tables'!$R$226:$R$238),0)),IF(AND($O$15="Otherworldly patron - fiend",Q$175&gt;=O201),INDEX('Spell Tables'!$T$210:$T$222,MATCH(O201,('Spell Tables'!$R$210:$R$222),0)),IF(Q$173&gt;=O201,INDEX($AL$44:$AL$53,MATCH(O201,($AJ$44:$AJ$53),0)),IF(AND($O$15="Otherworldly patron - archfey",Q$175&gt;=O201),INDEX('Spell Tables'!$T$194:$T$206,MATCH(O201,('Spell Tables'!$R$194:$R$206),0)),IF(Q$177&gt;=O201,INDEX('Spell Tables'!$T$168:$T$187,MATCH(O201,('Spell Tables'!$R$168:$R$187),0)),IF(Q$179&gt;=O201,INDEX('Spell Tables'!$T$141:$T$147,MATCH(O201,('Spell Tables'!$R$141:$R$147),0)),IF(Q$181&gt;=O201,INDEX('Spell Tables'!$P$119:$P$131,MATCH(O201,('Spell Tables'!$N$119:$N$131),0)),IF(Q$183&gt;=O201,INDEX('Spell Tables'!$P$97:$P$111,MATCH(O201,('Spell Tables'!$N$97:$N$111),0)),IF(Q$185&gt;=O201,INDEX('Spell Tables'!$T$70:$T$78,MATCH(O201,('Spell Tables'!$R$70:$R$78),0)),IF(Q$187&gt;=O201,INDEX('Spell Tables'!$T$48:$T$63,MATCH(O201,('Spell Tables'!$R$48:$R$63),0)),IF(Q$189&gt;=O201,INDEX('Spell Tables'!$T$26:$T$40,MATCH(O201,('Spell Tables'!$R$26:$R$40),0)),IF(Q$191&gt;=O201,INDEX('Spell Tables'!$T$2:$T$22,MATCH(O201,('Spell Tables'!$R$2:$R$22),0))," "))))))))))))</f>
        <v xml:space="preserve"> </v>
      </c>
      <c r="R201" s="33" t="str">
        <f ca="1">IF(AND($O$15="Otherworldly patron - great old one",R$175&gt;=O201),INDEX('Spell Tables'!$X$226:$X$239,MATCH(O201,('Spell Tables'!$V$226:$V$239),0)),IF(AND($O$15="Otherworldly patron - fiend",R$175&gt;=O201),INDEX('Spell Tables'!$X$210:$X$223,MATCH(O201,('Spell Tables'!$V$210:$V$223),0)),IF(AND($O$15="Otherworldly patron - archfey",R$175&gt;=O201),INDEX('Spell Tables'!$X$194:$X$207,MATCH(O201,('Spell Tables'!$V$194:$V$207),0)),IF($R$173&gt;=O201,INDEX($AL$56:$AL$65,MATCH(O201,($AJ$56:$AJ$65),0)),IF($R$177&gt;=O201,INDEX('Spell Tables'!$X$168:$X$191,MATCH(O201,('Spell Tables'!$V$168:$V$191),0)),IF($R$179&gt;=O201,INDEX('Spell Tables'!$AB$141:$AB$149,MATCH(O201,('Spell Tables'!$Z$141:$Z$149),0)),IF($R$181&gt;=O201,INDEX('Spell Tables'!$T$119:$T$131,MATCH(O201,('Spell Tables'!$R$119:$R$131),0)),IF($R$183&gt;=O201,INDEX('Spell Tables'!$T$97:$T$104,MATCH(O201,('Spell Tables'!$R$97:$R$104),0)),IF($R$185&gt;=O201,INDEX('Spell Tables'!$AB$70:$AB$75,MATCH(O201,('Spell Tables'!$Z$70:$Z$75),0)),IF($R$187&gt;=O201,INDEX('Spell Tables'!$X$48:$X$65,MATCH(O201,('Spell Tables'!$V$48:$V$65),0)),IF($R$189&gt;=O201,INDEX('Spell Tables'!$X$26:$X$42,MATCH(O201,('Spell Tables'!$V$26:$V$42),0)),IF($R$191&gt;=O201,INDEX('Spell Tables'!$X$2:$X$23,MATCH(O201,('Spell Tables'!$V$2:$V$23),0))," "))))))))))))</f>
        <v xml:space="preserve"> </v>
      </c>
      <c r="S201" s="33" t="str">
        <f ca="1">IF(AND($O$15="Otherworldly patron - great old one",S$175&gt;=O201),INDEX('Spell Tables'!$AB$226:$AB$238,MATCH(O201,('Spell Tables'!$Z$226:$Z$238),0)),IF(AND($O$15="Otherworldly patron - fiend",S$175&gt;=O201),INDEX('Spell Tables'!$AB$210:$AB$222,MATCH(O201,('Spell Tables'!$Z$210:$Z$222),0)),IF(AND($O$15="Otherworldly patron - archfey",S$175&gt;=O201),INDEX('Spell Tables'!$AB$194:$AB$206,MATCH(O201,('Spell Tables'!$Z$194:$Z$206),0)),IF($S$173&gt;=O201,INDEX($AL$68:$AL$77,MATCH(O201,($AJ$68:$AJ$77),0)),IF($S$177&gt;=O201,INDEX('Spell Tables'!$AB$168:$AB$187,MATCH(O201,('Spell Tables'!$Z$168:$Z$187),0)),IF($S$179&gt;=O201,INDEX('Spell Tables'!$AJ$141:$AJ$144,MATCH(O201,('Spell Tables'!$AH$141:$AH$144),0)),IF($S$181&gt;=O201,INDEX('Spell Tables'!$X$119:$X$129,MATCH(O201,('Spell Tables'!$V$119:$V$129),0)),IF($S$183&gt;=O201,INDEX('Spell Tables'!$X$97:$X$106,MATCH(O201,('Spell Tables'!$V$97:$V$106),0)),IF($S$185&gt;=O201,INDEX('Spell Tables'!$AJ$70:$AJ$79,MATCH(O201,('Spell Tables'!$AH$70:$AH$79),0)),IF($S$187&gt;=O201,INDEX('Spell Tables'!$AB$48:$AB$60,MATCH(O201,('Spell Tables'!$Z$48:$Z$60),0)),IF($S$189&gt;=O201,INDEX('Spell Tables'!$AB$26:$AB$45,MATCH(O201,('Spell Tables'!$Z$26:$Z$45),0)),IF($S$191&gt;=O201,INDEX('Spell Tables'!$AB$2:$AB$17,MATCH(O201,('Spell Tables'!$Z$2:$Z$17),0))," "))))))))))))</f>
        <v>Sending</v>
      </c>
      <c r="T201" s="33" t="str">
        <f ca="1">IF(AND($O$15="Otherworldly patron - great old one",T$175&gt;=O201),INDEX('Spell Tables'!$AF$226:$AF$231,MATCH(O201,('Spell Tables'!$AD$226:$AD$231),0)),IF(AND($O$15="Otherworldly patron - fiend",T$175&gt;=O201),INDEX('Spell Tables'!$AF$210:$AF$215,MATCH(O201,('Spell Tables'!$AD$210:$AD$215),0)),IF(AND($O$15="Otherworldly patron - archfey",T$175&gt;=O201),INDEX('Spell Tables'!$AF$194:$AF$199,MATCH(O201,('Spell Tables'!$AD$194:$AD$199),0)),IF($T$173&gt;=O201,INDEX($AL$80:$AL$89,MATCH(O201,($AJ$80:$AJ$89),0)),IF($T$177&gt;=O201,INDEX('Spell Tables'!$AF$168:$AF$177,MATCH(O201,('Spell Tables'!$AD$168:$AD$177),0)),IF($T$179&gt;=O201,INDEX('Spell Tables'!$AR$141:$AR$144,MATCH(O201,('Spell Tables'!$AP$141:$AP$144),0)),IF($T$181&gt;=O201,INDEX('Spell Tables'!$AB$119:$AB$123,MATCH(O201,('Spell Tables'!$Z$119:$Z$123),0)),IF($T$183&gt;=O201,INDEX('Spell Tables'!$AB$97:$AB$102,MATCH(O201,('Spell Tables'!$Z$97:$Z$102),0)),IF($T$185&gt;=O201,INDEX('Spell Tables'!$AR$70:$AR$75,MATCH(O201,('Spell Tables'!$AP$70:$AP$75),0)),IF($T$187&gt;=O201,INDEX('Spell Tables'!$AF$48:$AF$63,MATCH(O201,('Spell Tables'!$AD$48:$AD$63),0)),IF($T$189&gt;=O201,INDEX('Spell Tables'!$AF$26:$AF$33,MATCH(O201,('Spell Tables'!$AD$26:$AD$33),0)),IF($T$191&gt;=O201,INDEX('Spell Tables'!$AF$2:$AF$9,MATCH(O201,('Spell Tables'!$AD$2:$AD$9),0))," "))))))))))))</f>
        <v xml:space="preserve"> </v>
      </c>
    </row>
    <row r="202" spans="2:37" x14ac:dyDescent="0.3">
      <c r="B202" s="33"/>
      <c r="C202" s="33"/>
      <c r="D202" s="33"/>
      <c r="E202" s="33"/>
      <c r="F202" s="33"/>
      <c r="G202" s="33"/>
      <c r="H202" s="33"/>
      <c r="I202" s="33"/>
      <c r="J202" s="33"/>
      <c r="K202" s="33"/>
      <c r="L202" s="33"/>
      <c r="M202" s="33"/>
      <c r="N202" s="33"/>
      <c r="O202" s="34">
        <v>10</v>
      </c>
      <c r="P202" s="33" t="str">
        <f ca="1">IF(P$173&gt;=O202,INDEX('Spell Tables'!$P$242:$P$257,MATCH(O202,('Spell Tables'!$N$242:$N$257),0)),IF(P$175&gt;=O202,INDEX('Spell Tables'!$P$194:$P$201,MATCH(O202,('Spell Tables'!$N$194:$N$201),0)),IF(P$177&gt;=O202,INDEX('Spell Tables'!$P$168:$P$183,MATCH(O202,('Spell Tables'!$N$168:$N$183),0)),IF(P$179&gt;=O202,INDEX('Spell Tables'!$P$141:$P$156,MATCH(O202,('Spell Tables'!$N$141:$N$157),0)),IF(P$185&gt;=O202,INDEX('Spell Tables'!$P$70:$P$83,MATCH(O202,('Spell Tables'!$N$70:$N$83),0)),IF(P$187&gt;=O202,INDEX('Spell Tables'!$P$48:$P$55,MATCH(O202,('Spell Tables'!$N$48:$N$55),0)),IF(P$189&gt;=O202,INDEX('Spell Tables'!$P$26:$P$32,MATCH(O202,('Spell Tables'!$N$26:$N$32),0)),IF(P$191&gt;=O202,INDEX('Spell Tables'!$P$2:$P$12,MATCH(O202,('Spell Tables'!$N$2:$N$12),0))," "))))))))</f>
        <v xml:space="preserve"> </v>
      </c>
      <c r="Q202" s="33" t="str">
        <f ca="1">IF(AND($O$15="Otherworldly patron - great old one",Q$175&gt;=O202),INDEX('Spell Tables'!$T$226:$T$238,MATCH(O202,('Spell Tables'!$R$226:$R$238),0)),IF(AND($O$15="Otherworldly patron - fiend",Q$175&gt;=O202),INDEX('Spell Tables'!$T$210:$T$222,MATCH(O202,('Spell Tables'!$R$210:$R$222),0)),IF(Q$173&gt;=O202,INDEX($AL$44:$AL$53,MATCH(O202,($AJ$44:$AJ$53),0)),IF(AND($O$15="Otherworldly patron - archfey",Q$175&gt;=O202),INDEX('Spell Tables'!$T$194:$T$206,MATCH(O202,('Spell Tables'!$R$194:$R$206),0)),IF(Q$177&gt;=O202,INDEX('Spell Tables'!$T$168:$T$187,MATCH(O202,('Spell Tables'!$R$168:$R$187),0)),IF(Q$179&gt;=O202,INDEX('Spell Tables'!$T$141:$T$147,MATCH(O202,('Spell Tables'!$R$141:$R$147),0)),IF(Q$181&gt;=O202,INDEX('Spell Tables'!$P$119:$P$131,MATCH(O202,('Spell Tables'!$N$119:$N$131),0)),IF(Q$183&gt;=O202,INDEX('Spell Tables'!$P$97:$P$111,MATCH(O202,('Spell Tables'!$N$97:$N$111),0)),IF(Q$185&gt;=O202,INDEX('Spell Tables'!$T$70:$T$78,MATCH(O202,('Spell Tables'!$R$70:$R$78),0)),IF(Q$187&gt;=O202,INDEX('Spell Tables'!$T$48:$T$63,MATCH(O202,('Spell Tables'!$R$48:$R$63),0)),IF(Q$189&gt;=O202,INDEX('Spell Tables'!$T$26:$T$40,MATCH(O202,('Spell Tables'!$R$26:$R$40),0)),IF(Q$191&gt;=O202,INDEX('Spell Tables'!$T$2:$T$22,MATCH(O202,('Spell Tables'!$R$2:$R$22),0))," "))))))))))))</f>
        <v xml:space="preserve"> </v>
      </c>
      <c r="R202" s="33" t="str">
        <f ca="1">IF(AND($O$15="Otherworldly patron - great old one",R$175&gt;=O202),INDEX('Spell Tables'!$X$226:$X$239,MATCH(O202,('Spell Tables'!$V$226:$V$239),0)),IF(AND($O$15="Otherworldly patron - fiend",R$175&gt;=O202),INDEX('Spell Tables'!$X$210:$X$223,MATCH(O202,('Spell Tables'!$V$210:$V$223),0)),IF(AND($O$15="Otherworldly patron - archfey",R$175&gt;=O202),INDEX('Spell Tables'!$X$194:$X$207,MATCH(O202,('Spell Tables'!$V$194:$V$207),0)),IF($R$173&gt;=O202,INDEX($AL$56:$AL$65,MATCH(O202,($AJ$56:$AJ$65),0)),IF($R$177&gt;=O202,INDEX('Spell Tables'!$X$168:$X$191,MATCH(O202,('Spell Tables'!$V$168:$V$191),0)),IF($R$179&gt;=O202,INDEX('Spell Tables'!$AB$141:$AB$149,MATCH(O202,('Spell Tables'!$Z$141:$Z$149),0)),IF($R$181&gt;=O202,INDEX('Spell Tables'!$T$119:$T$131,MATCH(O202,('Spell Tables'!$R$119:$R$131),0)),IF($R$183&gt;=O202,INDEX('Spell Tables'!$T$97:$T$104,MATCH(O202,('Spell Tables'!$R$97:$R$104),0)),IF($R$185&gt;=O202,INDEX('Spell Tables'!$AB$70:$AB$75,MATCH(O202,('Spell Tables'!$Z$70:$Z$75),0)),IF($R$187&gt;=O202,INDEX('Spell Tables'!$X$48:$X$65,MATCH(O202,('Spell Tables'!$V$48:$V$65),0)),IF($R$189&gt;=O202,INDEX('Spell Tables'!$X$26:$X$42,MATCH(O202,('Spell Tables'!$V$26:$V$42),0)),IF($R$191&gt;=O202,INDEX('Spell Tables'!$X$2:$X$23,MATCH(O202,('Spell Tables'!$V$2:$V$23),0))," "))))))))))))</f>
        <v xml:space="preserve"> </v>
      </c>
      <c r="S202" s="33" t="str">
        <f ca="1">IF(AND($O$15="Otherworldly patron - great old one",S$175&gt;=O202),INDEX('Spell Tables'!$AB$226:$AB$238,MATCH(O202,('Spell Tables'!$Z$226:$Z$238),0)),IF(AND($O$15="Otherworldly patron - fiend",S$175&gt;=O202),INDEX('Spell Tables'!$AB$210:$AB$222,MATCH(O202,('Spell Tables'!$Z$210:$Z$222),0)),IF(AND($O$15="Otherworldly patron - archfey",S$175&gt;=O202),INDEX('Spell Tables'!$AB$194:$AB$206,MATCH(O202,('Spell Tables'!$Z$194:$Z$206),0)),IF($S$173&gt;=O202,INDEX($AL$68:$AL$77,MATCH(O202,($AJ$68:$AJ$77),0)),IF($S$177&gt;=O202,INDEX('Spell Tables'!$AB$168:$AB$187,MATCH(O202,('Spell Tables'!$Z$168:$Z$187),0)),IF($S$179&gt;=O202,INDEX('Spell Tables'!$AJ$141:$AJ$144,MATCH(O202,('Spell Tables'!$AH$141:$AH$144),0)),IF($S$181&gt;=O202,INDEX('Spell Tables'!$X$119:$X$129,MATCH(O202,('Spell Tables'!$V$119:$V$129),0)),IF($S$183&gt;=O202,INDEX('Spell Tables'!$X$97:$X$106,MATCH(O202,('Spell Tables'!$V$97:$V$106),0)),IF($S$185&gt;=O202,INDEX('Spell Tables'!$AJ$70:$AJ$79,MATCH(O202,('Spell Tables'!$AH$70:$AH$79),0)),IF($S$187&gt;=O202,INDEX('Spell Tables'!$AB$48:$AB$60,MATCH(O202,('Spell Tables'!$Z$48:$Z$60),0)),IF($S$189&gt;=O202,INDEX('Spell Tables'!$AB$26:$AB$45,MATCH(O202,('Spell Tables'!$Z$26:$Z$45),0)),IF($S$191&gt;=O202,INDEX('Spell Tables'!$AB$2:$AB$17,MATCH(O202,('Spell Tables'!$Z$2:$Z$17),0))," "))))))))))))</f>
        <v>Magic Circle</v>
      </c>
      <c r="T202" s="33" t="str">
        <f ca="1">IF(AND($O$15="Otherworldly patron - great old one",T$175&gt;=O202),INDEX('Spell Tables'!$AF$226:$AF$231,MATCH(O202,('Spell Tables'!$AD$226:$AD$231),0)),IF(AND($O$15="Otherworldly patron - fiend",T$175&gt;=O202),INDEX('Spell Tables'!$AF$210:$AF$215,MATCH(O202,('Spell Tables'!$AD$210:$AD$215),0)),IF(AND($O$15="Otherworldly patron - archfey",T$175&gt;=O202),INDEX('Spell Tables'!$AF$194:$AF$199,MATCH(O202,('Spell Tables'!$AD$194:$AD$199),0)),IF($T$173&gt;=O202,INDEX('Spell Tables'!$AF$242:$AF$264,MATCH(O202,('Spell Tables'!$AD$242:$AD$264),0)),IF($T$177&gt;=O202,INDEX('Spell Tables'!$AF$168:$AF$177,MATCH(O202,('Spell Tables'!$AD$168:$AD$177),0)),IF($T$179&gt;=O202,INDEX('Spell Tables'!$AR$141:$AR$144,MATCH(O202,('Spell Tables'!$AP$141:$AP$144),0)),IF($T$181&gt;=O202,INDEX('Spell Tables'!$AB$119:$AB$123,MATCH(O202,('Spell Tables'!$Z$119:$Z$123),0)),IF($T$183&gt;=O202,INDEX('Spell Tables'!$AB$97:$AB$102,MATCH(O202,('Spell Tables'!$Z$97:$Z$102),0)),IF($T$185&gt;=O202,INDEX('Spell Tables'!$AR$70:$AR$75,MATCH(O202,('Spell Tables'!$AP$70:$AP$75),0)),IF($T$187&gt;=O202,INDEX('Spell Tables'!$AF$48:$AF$63,MATCH(O202,('Spell Tables'!$AD$48:$AD$63),0)),IF($T$189&gt;=O202,INDEX('Spell Tables'!$AF$26:$AF$33,MATCH(O202,('Spell Tables'!$AD$26:$AD$33),0)),IF($T$191&gt;=O202,INDEX('Spell Tables'!$AF$2:$AF$9,MATCH(O202,('Spell Tables'!$AD$2:$AD$9),0))," "))))))))))))</f>
        <v xml:space="preserve"> </v>
      </c>
    </row>
    <row r="204" spans="2:37" ht="19.5" thickBot="1" x14ac:dyDescent="0.35">
      <c r="C204" s="38"/>
      <c r="D204" s="38"/>
      <c r="E204" s="38"/>
      <c r="F204" s="38"/>
      <c r="G204" s="38"/>
      <c r="H204" s="38"/>
      <c r="I204" s="38"/>
      <c r="J204" s="38"/>
      <c r="K204" s="38"/>
      <c r="L204" s="38"/>
      <c r="M204" s="38"/>
      <c r="O204" s="38"/>
      <c r="P204" s="38"/>
      <c r="Q204" s="38"/>
      <c r="R204" s="38"/>
      <c r="S204" s="38"/>
      <c r="T204" s="38"/>
    </row>
    <row r="205" spans="2:37" hidden="1" x14ac:dyDescent="0.3">
      <c r="N205" s="72"/>
      <c r="P205" s="27"/>
      <c r="Q205" s="27"/>
      <c r="R205" s="27"/>
      <c r="S205" s="91"/>
    </row>
    <row r="206" spans="2:37" x14ac:dyDescent="0.3">
      <c r="N206" s="72"/>
      <c r="O206" s="135" t="s">
        <v>1342</v>
      </c>
      <c r="P206" s="65">
        <f ca="1">IF(AND(AF14=2,OR(O11="monk",O11="barbarian",O11="warlock"),OR(Q11="fighter",Q11="rogue"),OR(P15&lt;&gt;"arcane trickster",R15&lt;&gt;"arcane trickster",P15&lt;&gt;"eldritch knight",R15&lt;&gt;"eldritch knight")),0,IF(AND(AF14=2,OR(O11="monk",O11="barbarian",O11="warlock"),OR(Q11="monk",Q11="barbarian",Q11="warlock")),0,IF(AND(AF14=2,OR(O11="monk",O11="barbarian",O11="warlock",Q11="monk",Q11="barbarian",Q11="warlock"),OR(O11="paladin",Q11="paladin",O11="ranger",Q11="ranger")),INDEX('Spell Tables'!H119:H138,MATCH(AF18,('Spell Tables'!B119:B138),0)),IF(AF14=2,INDEX('Spell Tables'!H242:H261,MATCH(AF18,('Spell Tables'!B242:B261),0)),IF(OR($O$11="bard",$O$11="cleric",$O$11="druid",O11="sorcerer",O11="wizard"),INDEX('Spell Tables'!H$2:H$21,MATCH($O$12,('Spell Tables'!$A$2:$A$21),0))," ")))))</f>
        <v>3</v>
      </c>
      <c r="Q206" s="65">
        <f ca="1">IF(AND(AF14=2,OR(O11="monk",O11="barbarian",O11="warlock"),OR(Q11="fighter",Q11="rogue"),OR(P15&lt;&gt;"arcane trickster",R15&lt;&gt;"arcane trickster",P15&lt;&gt;"eldritch knight",R15&lt;&gt;"eldritch knight")),0,IF(AND(AF14=2,OR(O11="monk",O11="barbarian",O11="warlock"),OR(Q11="monk",Q11="barbarian",Q11="warlock")),0,IF(AF14=2,INDEX('Spell Tables'!I242:I261,MATCH(AF18,('Spell Tables'!B242:B261),0)),IF(OR($O$11="bard",$O$11="cleric",$O$11="druid",O11="sorcerer",O11="wizard"),INDEX('Spell Tables'!I$2:I$21,MATCH($O$12,('Spell Tables'!$A$2:$A$21),0))," "))))</f>
        <v>2</v>
      </c>
      <c r="R206" s="65">
        <f ca="1">IF(AND(AF14=2,OR(O11="monk",O11="barbarian",O11="warlock"),OR(Q11="fighter",Q11="rogue"),OR(P15&lt;&gt;"arcane trickster",R15&lt;&gt;"arcane trickster",P15&lt;&gt;"eldritch knight",R15&lt;&gt;"eldritch knight")),0,IF(AND(AF14=2,OR(O11="monk",O11="barbarian",O11="warlock"),OR(Q11="monk",Q11="barbarian",Q11="warlock")),0,IF(AF14=2,INDEX('Spell Tables'!J242:J261,MATCH(AF18,('Spell Tables'!B242:B261),0)),IF(OR($O$11="bard",$O$11="cleric",$O$11="druid",O11="sorcerer",O11="wizard"),INDEX('Spell Tables'!J$2:J$21,MATCH($O$12,('Spell Tables'!$A$2:$A$21),0))," "))))</f>
        <v>2</v>
      </c>
      <c r="S206" s="65">
        <f ca="1">IF(AND(AF14=2,OR(O11="monk",O11="barbarian",O11="warlock"),OR(Q11="fighter",Q11="rogue"),OR(P15&lt;&gt;"arcane trickster",R15&lt;&gt;"arcane trickster",P15&lt;&gt;"eldritch knight",R15&lt;&gt;"eldritch knight")),0,IF(AND(AF14=2,OR(O11="monk",O11="barbarian",O11="warlock"),OR(Q11="monk",Q11="barbarian",Q11="warlock")),0,IF(AF14=2,INDEX('Spell Tables'!K242:K261,MATCH(AF18,('Spell Tables'!B242:B261),0)),IF(OR($O$11="bard",$O$11="cleric",$O$11="druid",O11="sorcerer",O11="wizard"),INDEX('Spell Tables'!K$2:K$21,MATCH($O$12,('Spell Tables'!$A$2:$A$21),0))," "))))</f>
        <v>1</v>
      </c>
      <c r="T206" s="66">
        <f ca="1">IF(AND(AF14=2,OR(O11="monk",O11="barbarian",O11="warlock"),OR(Q11="fighter",Q11="rogue"),OR(P15&lt;&gt;"arcane trickster",R15&lt;&gt;"arcane trickster",P15&lt;&gt;"eldritch knight",R15&lt;&gt;"eldritch knight")),0,IF(AND(AF14=2,OR(O11="monk",O11="barbarian",O11="warlock"),OR(Q11="monk",Q11="barbarian",Q11="warlock")),0,IF(AF14=2,INDEX('Spell Tables'!L242:L261,MATCH(AF18,('Spell Tables'!B242:B261),0)),IF(OR($O$11="bard",$O$11="cleric",$O$11="druid",O11="sorcerer",O11="wizard"),INDEX('Spell Tables'!L$2:L$21,MATCH($O$12,('Spell Tables'!$A$2:$A$21),0))," "))))</f>
        <v>1</v>
      </c>
    </row>
    <row r="207" spans="2:37" hidden="1" x14ac:dyDescent="0.3">
      <c r="N207" s="72"/>
      <c r="O207" s="79"/>
      <c r="P207" s="29" t="str">
        <f>IF(AND(O11="wizard",O12&gt;=11),"x",IF(AND($O$11="wizard",$O$12&gt;9),"xx",IF(AND(O11="wizard",O12=9),"xxx"," ")))</f>
        <v>x</v>
      </c>
      <c r="Q207" s="29" t="str">
        <f>IF(AND(O11="wizard",O12&gt;=13),"x",IF(AND($O$11="wizard",$O$12&gt;11),"xx",IF(AND(O11="wizard",O12=11),"xxx"," ")))</f>
        <v>x</v>
      </c>
      <c r="R207" s="29" t="str">
        <f>IF(AND(O11="wizard",O12&gt;=15),"x",IF(AND($O$11="wizard",$O$12&gt;13),"xx",IF(AND(O11="wizard",O12=13),"xxx"," ")))</f>
        <v>x</v>
      </c>
      <c r="S207" s="29" t="str">
        <f>IF(AND(O11="wizard",O12&gt;=17),"x",IF(AND($O$11="wizard",$O$12&gt;15),"xx",IF(AND(O11="wizard",O12=15),"xxx"," ")))</f>
        <v>x</v>
      </c>
      <c r="T207" s="72" t="str">
        <f>IF(AND($O$11="wizard",$O$12&gt;17),"xx",IF(AND(O11="wizard",O12=17),"xxx"," "))</f>
        <v>xx</v>
      </c>
    </row>
    <row r="208" spans="2:37" hidden="1" x14ac:dyDescent="0.3">
      <c r="N208" s="72"/>
      <c r="O208" s="79"/>
      <c r="P208" s="29">
        <f ca="1">IF(P207="x",RANDBETWEEN(2,3),IF(P207="xx",RANDBETWEEN(2,3),IF(P207="xxx",RANDBETWEEN(1,2),0)))</f>
        <v>3</v>
      </c>
      <c r="Q208" s="29">
        <f ca="1">IF(Q207="x",RANDBETWEEN(2,3),IF(Q207="xx",RANDBETWEEN(2,3),IF(Q207="xxx",RANDBETWEEN(1,2),0)))</f>
        <v>3</v>
      </c>
      <c r="R208" s="29">
        <f ca="1">IF(R207="x",RANDBETWEEN(1,2),IF(R207="xx",RANDBETWEEN(1,2),IF(R207="xxx",RANDBETWEEN(1,2),0)))</f>
        <v>2</v>
      </c>
      <c r="S208" s="29">
        <f ca="1">IF(OR(S207="x",S207="xx"),RANDBETWEEN(1,2),IF(S207="xxx",RANDBETWEEN(1,2),0))</f>
        <v>1</v>
      </c>
      <c r="T208" s="72">
        <f ca="1">IF(T207="xx",RANDBETWEEN(1,2),IF(T207="xxx",RANDBETWEEN(1,2),0))</f>
        <v>1</v>
      </c>
    </row>
    <row r="209" spans="14:20" hidden="1" x14ac:dyDescent="0.3">
      <c r="N209" s="72"/>
      <c r="O209" s="79"/>
      <c r="P209" s="29" t="str">
        <f>IF(AND($O$11="warlock",$O$12&gt;=9),"xx"," ")</f>
        <v xml:space="preserve"> </v>
      </c>
      <c r="T209" s="72"/>
    </row>
    <row r="210" spans="14:20" hidden="1" x14ac:dyDescent="0.3">
      <c r="N210" s="72"/>
      <c r="O210" s="79"/>
      <c r="P210" s="29">
        <f ca="1">IF(P209="x",RANDBETWEEN(2,3),IF(P209="xx",RANDBETWEEN(2,3),0))</f>
        <v>0</v>
      </c>
      <c r="T210" s="72"/>
    </row>
    <row r="211" spans="14:20" hidden="1" x14ac:dyDescent="0.3">
      <c r="N211" s="72"/>
      <c r="O211" s="79"/>
      <c r="P211" s="29" t="str">
        <f>IF(AND($O$11="sorcerer",$O$12&gt;=11),"x",IF(AND($O$11="sorcerer",$O$12&gt;=9),"xx"," "))</f>
        <v xml:space="preserve"> </v>
      </c>
      <c r="Q211" s="29" t="str">
        <f>IF(AND($O$11="sorcerer",$O$12&gt;=13),"x",IF(AND($O$11="sorcerer",$O$12&gt;=11),"xx"," "))</f>
        <v xml:space="preserve"> </v>
      </c>
      <c r="R211" s="29" t="str">
        <f>IF(AND($O$11="sorcerer",$O$12&gt;=15),"x",IF(AND($O$11="sorcerer",$O$12&gt;=13),"xx"," "))</f>
        <v xml:space="preserve"> </v>
      </c>
      <c r="S211" s="29" t="str">
        <f>IF(AND($O$11="sorcerer",$O$12&gt;=17),"x",IF(AND($O$11="sorcerer",$O$12&gt;15),"xx"," "))</f>
        <v xml:space="preserve"> </v>
      </c>
      <c r="T211" s="72" t="str">
        <f>IF(AND($O$11="sorcerer",$O$12&gt;=17),"xx"," ")</f>
        <v xml:space="preserve"> </v>
      </c>
    </row>
    <row r="212" spans="14:20" hidden="1" x14ac:dyDescent="0.3">
      <c r="N212" s="72"/>
      <c r="O212" s="79"/>
      <c r="P212" s="29">
        <f ca="1">IF(P211="x",RANDBETWEEN(2,3),IF(P211="xx",RANDBETWEEN(2,3),0))</f>
        <v>0</v>
      </c>
      <c r="Q212" s="29">
        <f ca="1">IF(Q211="x",RANDBETWEEN(2,3),IF(Q211="xx",RANDBETWEEN(2,3),0))</f>
        <v>0</v>
      </c>
      <c r="R212" s="29">
        <f ca="1">IF(R211="x",RANDBETWEEN(1,2),IF(R211="xx",RANDBETWEEN(1,2),0))</f>
        <v>0</v>
      </c>
      <c r="S212" s="29">
        <f ca="1">IF(OR(S211="x",S211="xx"),RANDBETWEEN(1,2),0)</f>
        <v>0</v>
      </c>
      <c r="T212" s="72">
        <f ca="1">IF(T211="xx",RANDBETWEEN(1,2),0)</f>
        <v>0</v>
      </c>
    </row>
    <row r="213" spans="14:20" hidden="1" x14ac:dyDescent="0.3">
      <c r="N213" s="72"/>
      <c r="O213" s="79"/>
      <c r="T213" s="72"/>
    </row>
    <row r="214" spans="14:20" hidden="1" x14ac:dyDescent="0.3">
      <c r="N214" s="72"/>
      <c r="O214" s="79"/>
      <c r="T214" s="72"/>
    </row>
    <row r="215" spans="14:20" hidden="1" x14ac:dyDescent="0.3">
      <c r="N215" s="72"/>
      <c r="O215" s="79"/>
      <c r="P215" s="29" t="str">
        <f>IF(AND($O$11="ranger",$O$12&gt;=17),"xx"," ")</f>
        <v xml:space="preserve"> </v>
      </c>
      <c r="T215" s="72"/>
    </row>
    <row r="216" spans="14:20" hidden="1" x14ac:dyDescent="0.3">
      <c r="N216" s="72"/>
      <c r="O216" s="79"/>
      <c r="P216" s="29">
        <f ca="1">IF(P215="x",RANDBETWEEN(2,3),IF(P215="xx",RANDBETWEEN(2,3),0))</f>
        <v>0</v>
      </c>
      <c r="T216" s="72"/>
    </row>
    <row r="217" spans="14:20" hidden="1" x14ac:dyDescent="0.3">
      <c r="N217" s="72"/>
      <c r="O217" s="79"/>
      <c r="P217" s="29" t="str">
        <f>IF(AND(O11="paladin",O12&gt;=17),"xx"," ")</f>
        <v xml:space="preserve"> </v>
      </c>
      <c r="T217" s="72"/>
    </row>
    <row r="218" spans="14:20" hidden="1" x14ac:dyDescent="0.3">
      <c r="N218" s="72"/>
      <c r="O218" s="79"/>
      <c r="P218" s="29">
        <f ca="1">IF(P217="x",RANDBETWEEN(2,3),IF(P217="xx",RANDBETWEEN(2,3),0))</f>
        <v>0</v>
      </c>
      <c r="T218" s="72"/>
    </row>
    <row r="219" spans="14:20" hidden="1" x14ac:dyDescent="0.3">
      <c r="N219" s="72"/>
      <c r="O219" s="79"/>
      <c r="T219" s="72"/>
    </row>
    <row r="220" spans="14:20" hidden="1" x14ac:dyDescent="0.3">
      <c r="N220" s="72"/>
      <c r="O220" s="79"/>
      <c r="T220" s="72"/>
    </row>
    <row r="221" spans="14:20" hidden="1" x14ac:dyDescent="0.3">
      <c r="N221" s="72"/>
      <c r="O221" s="79"/>
      <c r="P221" s="29" t="str">
        <f>IF(AND($O$11="druid",$O$12&gt;=11),"x",IF(AND($O$11="druid",$O$12&gt;=9),"xx"," "))</f>
        <v xml:space="preserve"> </v>
      </c>
      <c r="Q221" s="29" t="str">
        <f>IF(AND($O$11="druid",$O$12&gt;=13),"x",IF(AND($O$11="druid",$O$12&gt;=11),"xx"," "))</f>
        <v xml:space="preserve"> </v>
      </c>
      <c r="R221" s="29" t="str">
        <f>IF(AND($O$11="druid",$O$12&gt;=15),"x",IF(AND($O$11="druid",$O$12&gt;=13),"xx"," "))</f>
        <v xml:space="preserve"> </v>
      </c>
      <c r="S221" s="29" t="str">
        <f>IF(AND($O$11="druid",$O$12&gt;=17),"x",IF(AND($O$11="druid",$O$12&gt;15),"xx"," "))</f>
        <v xml:space="preserve"> </v>
      </c>
      <c r="T221" s="72" t="str">
        <f>IF(AND($O$11="druid",$O$12&gt;=17),"xx"," ")</f>
        <v xml:space="preserve"> </v>
      </c>
    </row>
    <row r="222" spans="14:20" hidden="1" x14ac:dyDescent="0.3">
      <c r="N222" s="72"/>
      <c r="O222" s="79"/>
      <c r="P222" s="29">
        <f ca="1">IF(P221="x",RANDBETWEEN(2,3),IF(P221="xx",RANDBETWEEN(2,3),0))</f>
        <v>0</v>
      </c>
      <c r="Q222" s="29">
        <f ca="1">IF(Q221="x",RANDBETWEEN(2,3),IF(Q221="xx",RANDBETWEEN(2,3),0))</f>
        <v>0</v>
      </c>
      <c r="R222" s="29">
        <f ca="1">IF(R221="x",RANDBETWEEN(1,2),IF(R221="xx",RANDBETWEEN(1,2),0))</f>
        <v>0</v>
      </c>
      <c r="S222" s="29">
        <f ca="1">IF(OR(S221="x",S221="xx"),RANDBETWEEN(1,2),0)</f>
        <v>0</v>
      </c>
      <c r="T222" s="72">
        <f ca="1">IF(T221="xx",RANDBETWEEN(1,2),0)</f>
        <v>0</v>
      </c>
    </row>
    <row r="223" spans="14:20" hidden="1" x14ac:dyDescent="0.3">
      <c r="N223" s="72"/>
      <c r="O223" s="79"/>
      <c r="P223" s="29" t="str">
        <f>IF(AND(O11="cleric",O12&gt;=11),"x",IF(AND($O$11="cleric",$O$12&gt;=9),"xx"," "))</f>
        <v xml:space="preserve"> </v>
      </c>
      <c r="Q223" s="29" t="str">
        <f>IF(AND(O11="cleric",O12&gt;=13),"x",IF(AND($O$11="cleric",$O$12&gt;=11),"xx"," "))</f>
        <v xml:space="preserve"> </v>
      </c>
      <c r="R223" s="29" t="str">
        <f>IF(AND(O11="cleric",O12&gt;=15),"x",IF(AND($O$11="cleric",$O$12&gt;=13),"xx"," "))</f>
        <v xml:space="preserve"> </v>
      </c>
      <c r="S223" s="29" t="str">
        <f>IF(AND(O11="cleric",O12&gt;=17),"x",IF(AND($O$11="cleric",$O$12&gt;15),"xx"," "))</f>
        <v xml:space="preserve"> </v>
      </c>
      <c r="T223" s="72" t="str">
        <f>IF(AND($O$11="cleric",$O$12&gt;=17),"xx"," ")</f>
        <v xml:space="preserve"> </v>
      </c>
    </row>
    <row r="224" spans="14:20" hidden="1" x14ac:dyDescent="0.3">
      <c r="N224" s="72"/>
      <c r="O224" s="79"/>
      <c r="P224" s="29">
        <f ca="1">IF(P223="x",RANDBETWEEN(2,3),IF(P223="xx",RANDBETWEEN(2,3),0))</f>
        <v>0</v>
      </c>
      <c r="Q224" s="29">
        <f ca="1">IF(Q223="x",RANDBETWEEN(2,3),IF(Q223="xx",RANDBETWEEN(2,3),0))</f>
        <v>0</v>
      </c>
      <c r="R224" s="29">
        <f ca="1">IF(R223="x",RANDBETWEEN(1,2),IF(R223="xx",RANDBETWEEN(1,2),0))</f>
        <v>0</v>
      </c>
      <c r="S224" s="29">
        <f ca="1">IF(OR(S223="x",S223="xx"),RANDBETWEEN(1,2),0)</f>
        <v>0</v>
      </c>
      <c r="T224" s="72">
        <f ca="1">IF(T223="xx",RANDBETWEEN(1,2),0)</f>
        <v>0</v>
      </c>
    </row>
    <row r="225" spans="2:20" hidden="1" x14ac:dyDescent="0.3">
      <c r="N225" s="72"/>
      <c r="O225" s="79"/>
      <c r="P225" s="29" t="str">
        <f>IF(AND($O$11="bard",$O$12&gt;=11),"x",IF(AND($O$11="bard",$O$12&gt;=9),"xx"," "))</f>
        <v xml:space="preserve"> </v>
      </c>
      <c r="Q225" s="29" t="str">
        <f>IF(AND($O$11="bard",$O$12&gt;=13),"x",IF(AND($O$11="bard",$O$12&gt;=11),"xx"," "))</f>
        <v xml:space="preserve"> </v>
      </c>
      <c r="R225" s="29" t="str">
        <f>IF(AND($O$11="bard",$O$12&gt;=15),"x",IF(AND($O$11="bard",$O$12&gt;=13),"xx"," "))</f>
        <v xml:space="preserve"> </v>
      </c>
      <c r="S225" s="29" t="str">
        <f>IF(AND($O$11="bard",$O$12&gt;=17),"x",IF(AND($O$11="bard",$O$12&gt;15),"xx"," "))</f>
        <v xml:space="preserve"> </v>
      </c>
      <c r="T225" s="72" t="str">
        <f>IF(AND($O$11="bard",$O$12&gt;=17),"xx"," ")</f>
        <v xml:space="preserve"> </v>
      </c>
    </row>
    <row r="226" spans="2:20" hidden="1" x14ac:dyDescent="0.3">
      <c r="N226" s="72"/>
      <c r="O226" s="79"/>
      <c r="P226" s="29">
        <f ca="1">IF(P225="x",RANDBETWEEN(2,3),IF(P225="xx",RANDBETWEEN(2,3),0))</f>
        <v>0</v>
      </c>
      <c r="Q226" s="29">
        <f ca="1">IF(Q225="x",RANDBETWEEN(2,3),IF(Q225="xx",RANDBETWEEN(2,3),0))</f>
        <v>0</v>
      </c>
      <c r="R226" s="29">
        <f ca="1">IF(R225="x",RANDBETWEEN(1,2),IF(R225="xx",RANDBETWEEN(1,2),0))</f>
        <v>0</v>
      </c>
      <c r="S226" s="29">
        <f ca="1">IF(OR(S225="x",S225="xx"),RANDBETWEEN(1,2),0)</f>
        <v>0</v>
      </c>
      <c r="T226" s="72">
        <f ca="1">IF(T225="xx",RANDBETWEEN(1,2),0)</f>
        <v>0</v>
      </c>
    </row>
    <row r="227" spans="2:20" x14ac:dyDescent="0.3">
      <c r="N227" s="72"/>
      <c r="O227" s="79"/>
      <c r="P227" s="107" t="s">
        <v>1169</v>
      </c>
      <c r="Q227" s="107" t="s">
        <v>1170</v>
      </c>
      <c r="R227" s="107" t="s">
        <v>1171</v>
      </c>
      <c r="S227" s="107" t="s">
        <v>677</v>
      </c>
      <c r="T227" s="93" t="s">
        <v>1172</v>
      </c>
    </row>
    <row r="228" spans="2:20" x14ac:dyDescent="0.3">
      <c r="N228" s="72"/>
      <c r="O228" s="86">
        <v>1</v>
      </c>
      <c r="P228" s="65" t="str">
        <f ca="1">IF(AND($O$15="Otherworldly patron - great old one",P$210&gt;=O193),INDEX('Spell Tables'!$AJ$226:$AJ$231,MATCH(O193,('Spell Tables'!$AH$226:$AH$231),0)),IF(AND($O$15="Otherworldly patron - fiend",P$210&gt;=O193),INDEX('Spell Tables'!$AJ$210:$AJ$215,MATCH(O193,('Spell Tables'!$AH$210:$AH$215),0)),IF(AND($O$15="Otherworldly patron - archfey",P$210&gt;=O193),INDEX('Spell Tables'!$AJ$194:$AJ$199,MATCH(O193,('Spell Tables'!$AH$194:$AH$199),0)),IF($P$208&gt;=O193,INDEX($AL$92:$AL$101,MATCH(O193,($AJ$92:$AJ$101),0)),IF($P$212&gt;=O193,INDEX('Spell Tables'!$AJ$168:$AJ$178,MATCH(O193,('Spell Tables'!$AH$168:$AH$178),0)),IF($P$216&gt;=O193,INDEX('Spell Tables'!$AF$119:$AF$122,MATCH(O193,('Spell Tables'!$AD$119:$AD$122),0)),IF($P$218&gt;=O193,INDEX('Spell Tables'!$AF$97:$AF$102,MATCH(O193,('Spell Tables'!$AD$97:$AD$102),0)),IF($P$222&gt;=O193,INDEX('Spell Tables'!$AJ$48:$AJ$61,MATCH(O193,('Spell Tables'!$AH$48:$AH$61),0)),IF($P$224&gt;=O193,INDEX('Spell Tables'!$AJ$26:$AJ$38,MATCH(O193,('Spell Tables'!$AH$26:$AH$38),0)),IF($P$226&gt;=O193,INDEX('Spell Tables'!$AJ$2:$AJ$17,MATCH(O193,('Spell Tables'!$AH$2:$AH$17),0))," "))))))))))</f>
        <v>Conjure Elemental</v>
      </c>
      <c r="Q228" s="65" t="str">
        <f ca="1">IF($Q$208&gt;=O193,INDEX($AL$104:$AL$113,MATCH(O193,($AJ$104:$AJ$113),0)),IF($Q$212&gt;=O193,INDEX('Spell Tables'!$AN$168:$AN$177,MATCH(O193,('Spell Tables'!$AL$168:$AL$177),0)),IF($Q$222&gt;=O193,INDEX('Spell Tables'!$AN$48:$AN$56,MATCH(O193,('Spell Tables'!$AL$48:$AL$56),0)),IF($Q$224&gt;=O193,INDEX('Spell Tables'!$AN$26:$AN$35,MATCH(O193,('Spell Tables'!$AL$26:$AL$35),0)),IF($Q$226&gt;=O193,INDEX('Spell Tables'!$AN$2:$AN$8,MATCH(O193,('Spell Tables'!$AL$2:$AL$8),0))," ")))))</f>
        <v>Flesh to Stone</v>
      </c>
      <c r="R228" s="65" t="str">
        <f ca="1">IF($R$208&gt;=O193,INDEX($AL$116:$AL$125,MATCH(O193,($AJ$116:$AJ$125),0)),IF($R$212&gt;=O193,INDEX('Spell Tables'!$AR$168:$AR$175,MATCH(O193,('Spell Tables'!$AP$168:$AP$175),0)),IF($R$222&gt;=O193,INDEX('Spell Tables'!$AR$48:$AR$52,MATCH(O193,('Spell Tables'!$AP$48:$AP$52),0)),IF($R$224&gt;=O193,INDEX('Spell Tables'!$AR$26:$AR$33,MATCH(O193,('Spell Tables'!$AP$26:$AP$33),0)),IF($R$226&gt;=O193,INDEX('Spell Tables'!$AR$2:$AR$11,MATCH(O193,('Spell Tables'!$AL$2:$AL$11),0))," ")))))</f>
        <v>Mordenkainen's Sword</v>
      </c>
      <c r="S228" s="65" t="str">
        <f ca="1">IF($S$208&gt;=O193,INDEX($AL$128:$AL$137,MATCH(O193,($AJ$128:$AJ$137),0)),IF($S$212&gt;=O193,INDEX('Spell Tables'!$AV$168:$AV$172,MATCH(O193,('Spell Tables'!$AT$168:$AT$172),0)),IF($S$222&gt;=O193,INDEX('Spell Tables'!$AV$48:$AV$54,MATCH(O193,('Spell Tables'!$AT$48:$AT$54),0)),IF($S$224&gt;=O193,INDEX('Spell Tables'!$AV$26:$AV$29,MATCH(O193,('Spell Tables'!$AT$26:$AT$29),0)),IF($S$226&gt;=O193,INDEX('Spell Tables'!$AV$2:$AV$6,MATCH(O193,('Spell Tables'!$AT$2:$AT$6),0))," ")))))</f>
        <v>Trap the Soul</v>
      </c>
      <c r="T228" s="66" t="str">
        <f ca="1">IF($T$222&gt;=O193,INDEX('Spell Tables'!$AZ$48:$AZ$51,MATCH(O193,('Spell Tables'!$AX$48:$AX$51),0)),IF($T$208&gt;=O193,INDEX($AL$140:$AL$149,MATCH(O193,($AJ$140:$AJ$149),0)),IF($T$212&gt;=O193,INDEX('Spell Tables'!$AZ$168:$AZ$172,MATCH(O193,('Spell Tables'!$AX$168:$AX$172),0)),IF($T$224&gt;=O193,INDEX('Spell Tables'!$AZ$26:$AZ$29,MATCH(O193,('Spell Tables'!$AX$26:$AX$29),0)),IF($T$226&gt;=O193,INDEX('Spell Tables'!$AZ$2:$AZ$5,MATCH(O193,('Spell Tables'!$AX$2:$AX$5),0))," ")))))</f>
        <v>Foresight</v>
      </c>
    </row>
    <row r="229" spans="2:20" x14ac:dyDescent="0.3">
      <c r="N229" s="72"/>
      <c r="O229" s="133">
        <v>2</v>
      </c>
      <c r="P229" s="60" t="str">
        <f ca="1">IF(AND($O$15="Otherworldly patron - great old one",P$210&gt;=O194),INDEX('Spell Tables'!$AJ$226:$AJ$231,MATCH(O194,('Spell Tables'!$AH$226:$AH$231),0)),IF(AND($O$15="Otherworldly patron - fiend",P$210&gt;=O194),INDEX('Spell Tables'!$AJ$210:$AJ$215,MATCH(O194,('Spell Tables'!$AH$210:$AH$215),0)),IF(AND($O$15="Otherworldly patron - archfey",P$210&gt;=O194),INDEX('Spell Tables'!$AJ$194:$AJ$199,MATCH(O194,('Spell Tables'!$AH$194:$AH$199),0)),IF($P$208&gt;=O194,INDEX($AL$92:$AL$101,MATCH(O194,($AJ$92:$AJ$101),0)),IF($P$212&gt;=O194,INDEX('Spell Tables'!$AJ$168:$AJ$178,MATCH(O194,('Spell Tables'!$AH$168:$AH$178),0)),IF($P$216&gt;=O194,INDEX('Spell Tables'!$AF$119:$AF$122,MATCH(O194,('Spell Tables'!$AD$119:$AD$122),0)),IF($P$218&gt;=O194,INDEX('Spell Tables'!$AF$97:$AF$102,MATCH(O194,('Spell Tables'!$AD$97:$AD$102),0)),IF($P$222&gt;=O194,INDEX('Spell Tables'!$AJ$48:$AJ$61,MATCH(O194,('Spell Tables'!$AH$48:$AH$61),0)),IF($P$224&gt;=O194,INDEX('Spell Tables'!$AJ$26:$AJ$38,MATCH(O194,('Spell Tables'!$AH$26:$AH$38),0)),IF($P$226&gt;=O194,INDEX('Spell Tables'!$AJ$2:$AJ$17,MATCH(O194,('Spell Tables'!$AH$2:$AH$17),0))," "))))))))))</f>
        <v>Rary's Telepathic Bond</v>
      </c>
      <c r="Q229" s="60" t="str">
        <f ca="1">IF($Q$208&gt;=O194,INDEX($AL$104:$AL$113,MATCH(O194,($AJ$104:$AJ$113),0)),IF($Q$212&gt;=O194,INDEX('Spell Tables'!$AN$168:$AN$177,MATCH(O194,('Spell Tables'!$AL$168:$AL$177),0)),IF($Q$222&gt;=O194,INDEX('Spell Tables'!$AN$48:$AN$56,MATCH(O194,('Spell Tables'!$AL$48:$AL$56),0)),IF($Q$224&gt;=O194,INDEX('Spell Tables'!$AN$26:$AN$35,MATCH(O194,('Spell Tables'!$AL$26:$AL$35),0)),IF($Q$226&gt;=O194,INDEX('Spell Tables'!$AN$2:$AN$8,MATCH(O194,('Spell Tables'!$AL$2:$AL$8),0))," ")))))</f>
        <v>Eyebite</v>
      </c>
      <c r="R229" s="60" t="str">
        <f ca="1">IF($R$208&gt;=O194,INDEX($AL$116:$AL$125,MATCH(O194,($AJ$116:$AJ$125),0)),IF($R$212&gt;=O194,INDEX('Spell Tables'!$AR$168:$AR$175,MATCH(O194,('Spell Tables'!$AP$168:$AP$175),0)),IF($R$222&gt;=O194,INDEX('Spell Tables'!$AR$48:$AR$52,MATCH(O194,('Spell Tables'!$AP$48:$AP$52),0)),IF($R$224&gt;=O194,INDEX('Spell Tables'!$AR$26:$AR$33,MATCH(O194,('Spell Tables'!$AP$26:$AP$33),0)),IF($R$226&gt;=O194,INDEX('Spell Tables'!$AR$2:$AR$11,MATCH(O194,('Spell Tables'!$AL$2:$AL$11),0))," ")))))</f>
        <v>Reverse Gravity</v>
      </c>
      <c r="S229" s="60" t="str">
        <f ca="1">IF($S$208&gt;=O194,INDEX($AL$128:$AL$137,MATCH(O194,($AJ$128:$AJ$137),0)),IF($S$212&gt;=O194,INDEX('Spell Tables'!$AV$168:$AV$172,MATCH(O194,('Spell Tables'!$AT$168:$AT$172),0)),IF($S$222&gt;=O194,INDEX('Spell Tables'!$AV$48:$AV$54,MATCH(O194,('Spell Tables'!$AT$48:$AT$54),0)),IF($S$224&gt;=O194,INDEX('Spell Tables'!$AV$26:$AV$29,MATCH(O194,('Spell Tables'!$AT$26:$AT$29),0)),IF($S$226&gt;=O194,INDEX('Spell Tables'!$AV$2:$AV$6,MATCH(O194,('Spell Tables'!$AT$2:$AT$6),0))," ")))))</f>
        <v xml:space="preserve"> </v>
      </c>
      <c r="T229" s="63" t="str">
        <f ca="1">IF($T$222&gt;=O194,INDEX('Spell Tables'!$AZ$48:$AZ$51,MATCH(O194,('Spell Tables'!$AX$48:$AX$51),0)),IF($T$208&gt;=O194,INDEX($AL$140:$AL$149,MATCH(O194,($AJ$140:$AJ$149),0)),IF($T$212&gt;=O194,INDEX('Spell Tables'!$AZ$168:$AZ$172,MATCH(O194,('Spell Tables'!$AX$168:$AX$172),0)),IF($T$224&gt;=O194,INDEX('Spell Tables'!$AZ$26:$AZ$29,MATCH(O194,('Spell Tables'!$AX$26:$AX$29),0)),IF($T$226&gt;=O194,INDEX('Spell Tables'!$AZ$2:$AZ$5,MATCH(O194,('Spell Tables'!$AX$2:$AX$5),0))," ")))))</f>
        <v xml:space="preserve"> </v>
      </c>
    </row>
    <row r="230" spans="2:20" x14ac:dyDescent="0.3">
      <c r="N230" s="72"/>
      <c r="O230" s="86">
        <v>3</v>
      </c>
      <c r="P230" s="65" t="str">
        <f ca="1">IF(AND($O$15="Otherworldly patron - great old one",P$210&gt;=O195),INDEX('Spell Tables'!$AJ$226:$AJ$231,MATCH(O195,('Spell Tables'!$AH$226:$AH$231),0)),IF(AND($O$15="Otherworldly patron - fiend",P$210&gt;=O195),INDEX('Spell Tables'!$AJ$210:$AJ$215,MATCH(O195,('Spell Tables'!$AH$210:$AH$215),0)),IF(AND($O$15="Otherworldly patron - archfey",P$210&gt;=O195),INDEX('Spell Tables'!$AJ$194:$AJ$199,MATCH(O195,('Spell Tables'!$AH$194:$AH$199),0)),IF($P$208&gt;=O195,INDEX($AL$92:$AL$101,MATCH(O195,($AJ$92:$AJ$101),0)),IF($P$212&gt;=O195,INDEX('Spell Tables'!$AJ$168:$AJ$178,MATCH(O195,('Spell Tables'!$AH$168:$AH$178),0)),IF($P$216&gt;=O195,INDEX('Spell Tables'!$AF$119:$AF$122,MATCH(O195,('Spell Tables'!$AD$119:$AD$122),0)),IF($P$218&gt;=O195,INDEX('Spell Tables'!$AF$97:$AF$102,MATCH(O195,('Spell Tables'!$AD$97:$AD$102),0)),IF($P$222&gt;=O195,INDEX('Spell Tables'!$AJ$48:$AJ$61,MATCH(O195,('Spell Tables'!$AH$48:$AH$61),0)),IF($P$224&gt;=O195,INDEX('Spell Tables'!$AJ$26:$AJ$38,MATCH(O195,('Spell Tables'!$AH$26:$AH$38),0)),IF($P$226&gt;=O195,INDEX('Spell Tables'!$AJ$2:$AJ$17,MATCH(O195,('Spell Tables'!$AH$2:$AH$17),0))," "))))))))))</f>
        <v>Dream</v>
      </c>
      <c r="Q230" s="65" t="str">
        <f ca="1">IF($Q$208&gt;=O195,INDEX($AL$104:$AL$113,MATCH(O195,($AJ$104:$AJ$113),0)),IF($Q$212&gt;=O195,INDEX('Spell Tables'!$AN$168:$AN$177,MATCH(O195,('Spell Tables'!$AL$168:$AL$177),0)),IF($Q$222&gt;=O195,INDEX('Spell Tables'!$AN$48:$AN$56,MATCH(O195,('Spell Tables'!$AL$48:$AL$56),0)),IF($Q$224&gt;=O195,INDEX('Spell Tables'!$AN$26:$AN$35,MATCH(O195,('Spell Tables'!$AL$26:$AL$35),0)),IF($Q$226&gt;=O195,INDEX('Spell Tables'!$AN$2:$AN$8,MATCH(O195,('Spell Tables'!$AL$2:$AL$8),0))," ")))))</f>
        <v>Guards and Wards</v>
      </c>
      <c r="R230" s="65" t="str">
        <f ca="1">IF($R$208&gt;=O195,INDEX($AL$116:$AL$125,MATCH(O195,($AJ$116:$AJ$125),0)),IF($R$212&gt;=O195,INDEX('Spell Tables'!$AR$168:$AR$175,MATCH(O195,('Spell Tables'!$AP$168:$AP$175),0)),IF($R$222&gt;=O195,INDEX('Spell Tables'!$AR$48:$AR$52,MATCH(O195,('Spell Tables'!$AP$48:$AP$52),0)),IF($R$224&gt;=O195,INDEX('Spell Tables'!$AR$26:$AR$33,MATCH(O195,('Spell Tables'!$AP$26:$AP$33),0)),IF($R$226&gt;=O195,INDEX('Spell Tables'!$AR$2:$AR$11,MATCH(O195,('Spell Tables'!$AL$2:$AL$11),0))," ")))))</f>
        <v xml:space="preserve"> </v>
      </c>
      <c r="S230" s="65" t="str">
        <f ca="1">IF($S$208&gt;=O195,INDEX($AL$128:$AL$137,MATCH(O195,($AJ$128:$AJ$137),0)),IF($S$212&gt;=O195,INDEX('Spell Tables'!$AV$168:$AV$172,MATCH(O195,('Spell Tables'!$AT$168:$AT$172),0)),IF($S$222&gt;=O195,INDEX('Spell Tables'!$AV$48:$AV$54,MATCH(O195,('Spell Tables'!$AT$48:$AT$54),0)),IF($S$224&gt;=O195,INDEX('Spell Tables'!$AV$26:$AV$29,MATCH(O195,('Spell Tables'!$AT$26:$AT$29),0)),IF($S$226&gt;=O195,INDEX('Spell Tables'!$AV$2:$AV$6,MATCH(O195,('Spell Tables'!$AT$2:$AT$6),0))," ")))))</f>
        <v xml:space="preserve"> </v>
      </c>
      <c r="T230" s="66" t="str">
        <f ca="1">IF($T$222&gt;=O195,INDEX('Spell Tables'!$AZ$48:$AZ$51,MATCH(O195,('Spell Tables'!$AX$48:$AX$51),0)),IF($T$208&gt;=O195,INDEX($AL$140:$AL$149,MATCH(O195,($AJ$140:$AJ$149),0)),IF($T$212&gt;=O195,INDEX('Spell Tables'!$AZ$168:$AZ$172,MATCH(O195,('Spell Tables'!$AX$168:$AX$172),0)),IF($T$224&gt;=O195,INDEX('Spell Tables'!$AZ$26:$AZ$29,MATCH(O195,('Spell Tables'!$AX$26:$AX$29),0)),IF($T$226&gt;=O195,INDEX('Spell Tables'!$AZ$2:$AZ$5,MATCH(O195,('Spell Tables'!$AX$2:$AX$5),0))," ")))))</f>
        <v xml:space="preserve"> </v>
      </c>
    </row>
    <row r="231" spans="2:20" x14ac:dyDescent="0.3">
      <c r="N231" s="72"/>
      <c r="O231" s="133">
        <v>4</v>
      </c>
      <c r="P231" s="60" t="str">
        <f ca="1">IF(AND($O$15="Otherworldly patron - great old one",P$210&gt;=O196),INDEX('Spell Tables'!$AJ$226:$AJ$231,MATCH(O196,('Spell Tables'!$AH$226:$AH$231),0)),IF(AND($O$15="Otherworldly patron - fiend",P$210&gt;=O196),INDEX('Spell Tables'!$AJ$210:$AJ$215,MATCH(O196,('Spell Tables'!$AH$210:$AH$215),0)),IF(AND($O$15="Otherworldly patron - archfey",P$210&gt;=O196),INDEX('Spell Tables'!$AJ$194:$AJ$199,MATCH(O196,('Spell Tables'!$AH$194:$AH$199),0)),IF($P$208&gt;=O196,INDEX($AL$92:$AL$101,MATCH(O196,($AJ$92:$AJ$101),0)),IF($P$212&gt;=O196,INDEX('Spell Tables'!$AJ$168:$AJ$178,MATCH(O196,('Spell Tables'!$AH$168:$AH$178),0)),IF($P$216&gt;=O196,INDEX('Spell Tables'!$AF$119:$AF$122,MATCH(O196,('Spell Tables'!$AD$119:$AD$122),0)),IF($P$218&gt;=O196,INDEX('Spell Tables'!$AF$97:$AF$102,MATCH(O196,('Spell Tables'!$AD$97:$AD$102),0)),IF($P$222&gt;=O196,INDEX('Spell Tables'!$AJ$48:$AJ$61,MATCH(O196,('Spell Tables'!$AH$48:$AH$61),0)),IF($P$224&gt;=O196,INDEX('Spell Tables'!$AJ$26:$AJ$38,MATCH(O196,('Spell Tables'!$AH$26:$AH$38),0)),IF($P$226&gt;=O196,INDEX('Spell Tables'!$AJ$2:$AJ$17,MATCH(O196,('Spell Tables'!$AH$2:$AH$17),0))," "))))))))))</f>
        <v xml:space="preserve"> </v>
      </c>
      <c r="Q231" s="60" t="str">
        <f ca="1">IF($Q$208&gt;=O196,INDEX($AL$104:$AL$113,MATCH(O196,($AJ$104:$AJ$113),0)),IF($Q$212&gt;=O196,INDEX('Spell Tables'!$AN$168:$AN$177,MATCH(O196,('Spell Tables'!$AL$168:$AL$177),0)),IF($Q$222&gt;=O196,INDEX('Spell Tables'!$AN$48:$AN$56,MATCH(O196,('Spell Tables'!$AL$48:$AL$56),0)),IF($Q$224&gt;=O196,INDEX('Spell Tables'!$AN$26:$AN$35,MATCH(O196,('Spell Tables'!$AL$26:$AL$35),0)),IF($Q$226&gt;=O196,INDEX('Spell Tables'!$AN$2:$AN$8,MATCH(O196,('Spell Tables'!$AL$2:$AL$8),0))," ")))))</f>
        <v xml:space="preserve"> </v>
      </c>
      <c r="R231" s="60" t="str">
        <f ca="1">IF($R$208&gt;=O196,INDEX($AL$116:$AL$125,MATCH(O196,($AJ$116:$AJ$125),0)),IF($R$212&gt;=O196,INDEX('Spell Tables'!$AR$168:$AR$175,MATCH(O196,('Spell Tables'!$AP$168:$AP$175),0)),IF($R$222&gt;=O196,INDEX('Spell Tables'!$AR$48:$AR$52,MATCH(O196,('Spell Tables'!$AP$48:$AP$52),0)),IF($R$224&gt;=O196,INDEX('Spell Tables'!$AR$26:$AR$33,MATCH(O196,('Spell Tables'!$AP$26:$AP$33),0)),IF($R$226&gt;=O196,INDEX('Spell Tables'!$AR$2:$AR$11,MATCH(O196,('Spell Tables'!$AL$2:$AL$11),0))," ")))))</f>
        <v xml:space="preserve"> </v>
      </c>
      <c r="S231" s="60" t="str">
        <f ca="1">IF($S$208&gt;=O196,INDEX($AL$128:$AL$137,MATCH(O196,($AJ$128:$AJ$137),0)),IF($S$212&gt;=O196,INDEX('Spell Tables'!$AV$168:$AV$172,MATCH(O196,('Spell Tables'!$AT$168:$AT$172),0)),IF($S$222&gt;=O196,INDEX('Spell Tables'!$AV$48:$AV$54,MATCH(O196,('Spell Tables'!$AT$48:$AT$54),0)),IF($S$224&gt;=O196,INDEX('Spell Tables'!$AV$26:$AV$29,MATCH(O196,('Spell Tables'!$AT$26:$AT$29),0)),IF($S$226&gt;=O196,INDEX('Spell Tables'!$AV$2:$AV$6,MATCH(O196,('Spell Tables'!$AT$2:$AT$6),0))," ")))))</f>
        <v xml:space="preserve"> </v>
      </c>
      <c r="T231" s="63" t="str">
        <f ca="1">IF($T$222&gt;=O196,INDEX('Spell Tables'!$AZ$48:$AZ$51,MATCH(O196,('Spell Tables'!$AX$48:$AX$51),0)),IF($T$208&gt;=O196,INDEX($AL$140:$AL$149,MATCH(O196,($AJ$140:$AJ$149),0)),IF($T$212&gt;=O196,INDEX('Spell Tables'!$AZ$168:$AZ$172,MATCH(O196,('Spell Tables'!$AX$168:$AX$172),0)),IF($T$224&gt;=O196,INDEX('Spell Tables'!$AZ$26:$AZ$29,MATCH(O196,('Spell Tables'!$AX$26:$AX$29),0)),IF($T$226&gt;=O196,INDEX('Spell Tables'!$AZ$2:$AZ$5,MATCH(O196,('Spell Tables'!$AX$2:$AX$5),0))," ")))))</f>
        <v xml:space="preserve"> </v>
      </c>
    </row>
    <row r="232" spans="2:20" x14ac:dyDescent="0.3">
      <c r="N232" s="72"/>
      <c r="O232" s="86">
        <v>5</v>
      </c>
      <c r="P232" s="65" t="str">
        <f ca="1">IF(AND($O$15="Otherworldly patron - great old one",P$210&gt;=O197),INDEX('Spell Tables'!$AJ$226:$AJ$231,MATCH(O197,('Spell Tables'!$AH$226:$AH$231),0)),IF(AND($O$15="Otherworldly patron - fiend",P$210&gt;=O197),INDEX('Spell Tables'!$AJ$210:$AJ$215,MATCH(O197,('Spell Tables'!$AH$210:$AH$215),0)),IF(AND($O$15="Otherworldly patron - archfey",P$210&gt;=O197),INDEX('Spell Tables'!$AJ$194:$AJ$199,MATCH(O197,('Spell Tables'!$AH$194:$AH$199),0)),IF($P$208&gt;=O197,INDEX($AL$92:$AL$101,MATCH(O197,($AJ$92:$AJ$101),0)),IF($P$212&gt;=O197,INDEX('Spell Tables'!$AJ$168:$AJ$178,MATCH(O197,('Spell Tables'!$AH$168:$AH$178),0)),IF($P$216&gt;=O197,INDEX('Spell Tables'!$AF$119:$AF$122,MATCH(O197,('Spell Tables'!$AD$119:$AD$122),0)),IF($P$218&gt;=O197,INDEX('Spell Tables'!$AF$97:$AF$102,MATCH(O197,('Spell Tables'!$AD$97:$AD$102),0)),IF($P$222&gt;=O197,INDEX('Spell Tables'!$AJ$48:$AJ$61,MATCH(O197,('Spell Tables'!$AH$48:$AH$61),0)),IF($P$224&gt;=O197,INDEX('Spell Tables'!$AJ$26:$AJ$38,MATCH(O197,('Spell Tables'!$AH$26:$AH$38),0)),IF($P$226&gt;=O197,INDEX('Spell Tables'!$AJ$2:$AJ$17,MATCH(O197,('Spell Tables'!$AH$2:$AH$17),0))," "))))))))))</f>
        <v xml:space="preserve"> </v>
      </c>
      <c r="Q232" s="65" t="str">
        <f ca="1">IF($Q$208&gt;=O197,INDEX($AL$104:$AL$113,MATCH(O197,($AJ$104:$AJ$113),0)),IF($Q$212&gt;=O197,INDEX('Spell Tables'!$AN$168:$AN$177,MATCH(O197,('Spell Tables'!$AL$168:$AL$177),0)),IF($Q$222&gt;=O197,INDEX('Spell Tables'!$AN$48:$AN$56,MATCH(O197,('Spell Tables'!$AL$48:$AL$56),0)),IF($Q$224&gt;=O197,INDEX('Spell Tables'!$AN$26:$AN$35,MATCH(O197,('Spell Tables'!$AL$26:$AL$35),0)),IF($Q$226&gt;=O197,INDEX('Spell Tables'!$AN$2:$AN$8,MATCH(O197,('Spell Tables'!$AL$2:$AL$8),0))," ")))))</f>
        <v xml:space="preserve"> </v>
      </c>
      <c r="R232" s="65" t="str">
        <f ca="1">IF($R$208&gt;=O197,INDEX($AL$116:$AL$125,MATCH(O197,($AJ$116:$AJ$125),0)),IF($R$212&gt;=O197,INDEX('Spell Tables'!$AR$168:$AR$175,MATCH(O197,('Spell Tables'!$AP$168:$AP$175),0)),IF($R$222&gt;=O197,INDEX('Spell Tables'!$AR$48:$AR$52,MATCH(O197,('Spell Tables'!$AP$48:$AP$52),0)),IF($R$224&gt;=O197,INDEX('Spell Tables'!$AR$26:$AR$33,MATCH(O197,('Spell Tables'!$AP$26:$AP$33),0)),IF($R$226&gt;=O197,INDEX('Spell Tables'!$AR$2:$AR$11,MATCH(O197,('Spell Tables'!$AL$2:$AL$11),0))," ")))))</f>
        <v xml:space="preserve"> </v>
      </c>
      <c r="S232" s="65" t="str">
        <f ca="1">IF($S$208&gt;=O197,INDEX($AL$128:$AL$137,MATCH(O197,($AJ$128:$AJ$137),0)),IF($S$212&gt;=O197,INDEX('Spell Tables'!$AV$168:$AV$172,MATCH(O197,('Spell Tables'!$AT$168:$AT$172),0)),IF($S$222&gt;=O197,INDEX('Spell Tables'!$AV$48:$AV$54,MATCH(O197,('Spell Tables'!$AT$48:$AT$54),0)),IF($S$224&gt;=O197,INDEX('Spell Tables'!$AV$26:$AV$29,MATCH(O197,('Spell Tables'!$AT$26:$AT$29),0)),IF($S$226&gt;=O197,INDEX('Spell Tables'!$AV$2:$AV$6,MATCH(O197,('Spell Tables'!$AT$2:$AT$6),0))," ")))))</f>
        <v xml:space="preserve"> </v>
      </c>
      <c r="T232" s="66" t="str">
        <f ca="1">IF($T$222&gt;=O197,INDEX('Spell Tables'!$AZ$48:$AZ$51,MATCH(O197,('Spell Tables'!$AX$48:$AX$51),0)),IF($T$208&gt;=O197,INDEX($AL$140:$AL$149,MATCH(O197,($AJ$140:$AJ$149),0)),IF($T$212&gt;=O197,INDEX('Spell Tables'!$AZ$168:$AZ$172,MATCH(O197,('Spell Tables'!$AX$168:$AX$172),0)),IF($T$224&gt;=O197,INDEX('Spell Tables'!$AZ$26:$AZ$29,MATCH(O197,('Spell Tables'!$AX$26:$AX$29),0)),IF($T$226&gt;=O197,INDEX('Spell Tables'!$AZ$2:$AZ$5,MATCH(O197,('Spell Tables'!$AX$2:$AX$5),0))," ")))))</f>
        <v xml:space="preserve"> </v>
      </c>
    </row>
    <row r="233" spans="2:20" x14ac:dyDescent="0.3">
      <c r="N233" s="72"/>
      <c r="O233" s="133">
        <v>6</v>
      </c>
      <c r="P233" s="60" t="str">
        <f ca="1">IF(AND($O$15="Otherworldly patron - great old one",P$210&gt;=O198),INDEX('Spell Tables'!$AJ$226:$AJ$231,MATCH(O198,('Spell Tables'!$AH$226:$AH$231),0)),IF(AND($O$15="Otherworldly patron - fiend",P$210&gt;=O198),INDEX('Spell Tables'!$AJ$210:$AJ$215,MATCH(O198,('Spell Tables'!$AH$210:$AH$215),0)),IF(AND($O$15="Otherworldly patron - archfey",P$210&gt;=O198),INDEX('Spell Tables'!$AJ$194:$AJ$199,MATCH(O198,('Spell Tables'!$AH$194:$AH$199),0)),IF($P$208&gt;=O198,INDEX($AL$92:$AL$101,MATCH(O198,($AJ$92:$AJ$101),0)),IF($P$212&gt;=O198,INDEX('Spell Tables'!$AJ$168:$AJ$178,MATCH(O198,('Spell Tables'!$AH$168:$AH$178),0)),IF($P$216&gt;=O198,INDEX('Spell Tables'!$AF$119:$AF$122,MATCH(O198,('Spell Tables'!$AD$119:$AD$122),0)),IF($P$218&gt;=O198,INDEX('Spell Tables'!$AF$97:$AF$102,MATCH(O198,('Spell Tables'!$AD$97:$AD$102),0)),IF($P$222&gt;=O198,INDEX('Spell Tables'!$AJ$48:$AJ$61,MATCH(O198,('Spell Tables'!$AH$48:$AH$61),0)),IF($P$224&gt;=O198,INDEX('Spell Tables'!$AJ$26:$AJ$38,MATCH(O198,('Spell Tables'!$AH$26:$AH$38),0)),IF($P$226&gt;=O198,INDEX('Spell Tables'!$AJ$2:$AJ$17,MATCH(O198,('Spell Tables'!$AH$2:$AH$17),0))," "))))))))))</f>
        <v xml:space="preserve"> </v>
      </c>
      <c r="Q233" s="60" t="str">
        <f ca="1">IF($Q$208&gt;=O198,INDEX($AL$104:$AL$113,MATCH(O198,($AJ$104:$AJ$113),0)),IF($Q$212&gt;=O198,INDEX('Spell Tables'!$AN$168:$AN$177,MATCH(O198,('Spell Tables'!$AL$168:$AL$177),0)),IF($Q$222&gt;=O198,INDEX('Spell Tables'!$AN$48:$AN$56,MATCH(O198,('Spell Tables'!$AL$48:$AL$56),0)),IF($Q$224&gt;=O198,INDEX('Spell Tables'!$AN$26:$AN$35,MATCH(O198,('Spell Tables'!$AL$26:$AL$35),0)),IF($Q$226&gt;=O198,INDEX('Spell Tables'!$AN$2:$AN$8,MATCH(O198,('Spell Tables'!$AL$2:$AL$8),0))," ")))))</f>
        <v xml:space="preserve"> </v>
      </c>
      <c r="R233" s="60" t="str">
        <f ca="1">IF($R$208&gt;=O198,INDEX($AL$116:$AL$125,MATCH(O198,($AJ$116:$AJ$125),0)),IF($R$212&gt;=O198,INDEX('Spell Tables'!$AR$168:$AR$175,MATCH(O198,('Spell Tables'!$AP$168:$AP$175),0)),IF($R$222&gt;=O198,INDEX('Spell Tables'!$AR$48:$AR$52,MATCH(O198,('Spell Tables'!$AP$48:$AP$52),0)),IF($R$224&gt;=O198,INDEX('Spell Tables'!$AR$26:$AR$33,MATCH(O198,('Spell Tables'!$AP$26:$AP$33),0)),IF($R$226&gt;=O198,INDEX('Spell Tables'!$AR$2:$AR$11,MATCH(O198,('Spell Tables'!$AL$2:$AL$11),0))," ")))))</f>
        <v xml:space="preserve"> </v>
      </c>
      <c r="S233" s="60" t="str">
        <f ca="1">IF($S$208&gt;=O198,INDEX($AL$128:$AL$137,MATCH(O198,($AJ$128:$AJ$137),0)),IF($S$212&gt;=O198,INDEX('Spell Tables'!$AV$168:$AV$172,MATCH(O198,('Spell Tables'!$AT$168:$AT$172),0)),IF($S$222&gt;=O198,INDEX('Spell Tables'!$AV$48:$AV$54,MATCH(O198,('Spell Tables'!$AT$48:$AT$54),0)),IF($S$224&gt;=O198,INDEX('Spell Tables'!$AV$26:$AV$29,MATCH(O198,('Spell Tables'!$AT$26:$AT$29),0)),IF($S$226&gt;=O198,INDEX('Spell Tables'!$AV$2:$AV$6,MATCH(O198,('Spell Tables'!$AT$2:$AT$6),0))," ")))))</f>
        <v xml:space="preserve"> </v>
      </c>
      <c r="T233" s="63" t="str">
        <f ca="1">IF($T$222&gt;=O198,INDEX('Spell Tables'!$AZ$48:$AZ$51,MATCH(O198,('Spell Tables'!$AX$48:$AX$51),0)),IF($T$208&gt;=O198,INDEX($AL$140:$AL$149,MATCH(O198,($AJ$140:$AJ$149),0)),IF($T$212&gt;=O198,INDEX('Spell Tables'!$AZ$168:$AZ$172,MATCH(O198,('Spell Tables'!$AX$168:$AX$172),0)),IF($T$224&gt;=O198,INDEX('Spell Tables'!$AZ$26:$AZ$29,MATCH(O198,('Spell Tables'!$AX$26:$AX$29),0)),IF($T$226&gt;=O198,INDEX('Spell Tables'!$AZ$2:$AZ$5,MATCH(O198,('Spell Tables'!$AX$2:$AX$5),0))," ")))))</f>
        <v xml:space="preserve"> </v>
      </c>
    </row>
    <row r="234" spans="2:20" x14ac:dyDescent="0.3">
      <c r="N234" s="72"/>
      <c r="O234" s="86">
        <v>7</v>
      </c>
      <c r="P234" s="65" t="str">
        <f ca="1">IF(AND($O$15="Otherworldly patron - great old one",P$210&gt;=O199),INDEX('Spell Tables'!$AJ$226:$AJ$231,MATCH(O199,('Spell Tables'!$AH$226:$AH$231),0)),IF(AND($O$15="Otherworldly patron - fiend",P$210&gt;=O199),INDEX('Spell Tables'!$AJ$210:$AJ$215,MATCH(O199,('Spell Tables'!$AH$210:$AH$215),0)),IF(AND($O$15="Otherworldly patron - archfey",P$210&gt;=O199),INDEX('Spell Tables'!$AJ$194:$AJ$199,MATCH(O199,('Spell Tables'!$AH$194:$AH$199),0)),IF($P$208&gt;=O199,INDEX($AL$92:$AL$101,MATCH(O199,($AJ$92:$AJ$101),0)),IF($P$212&gt;=O199,INDEX('Spell Tables'!$AJ$168:$AJ$178,MATCH(O199,('Spell Tables'!$AH$168:$AH$178),0)),IF($P$216&gt;=O199,INDEX('Spell Tables'!$AF$119:$AF$122,MATCH(O199,('Spell Tables'!$AD$119:$AD$122),0)),IF($P$218&gt;=O199,INDEX('Spell Tables'!$AF$97:$AF$102,MATCH(O199,('Spell Tables'!$AD$97:$AD$102),0)),IF($P$222&gt;=O199,INDEX('Spell Tables'!$AJ$48:$AJ$61,MATCH(O199,('Spell Tables'!$AH$48:$AH$61),0)),IF($P$224&gt;=O199,INDEX('Spell Tables'!$AJ$26:$AJ$38,MATCH(O199,('Spell Tables'!$AH$26:$AH$38),0)),IF($P$226&gt;=O199,INDEX('Spell Tables'!$AJ$2:$AJ$17,MATCH(O199,('Spell Tables'!$AH$2:$AH$17),0))," "))))))))))</f>
        <v xml:space="preserve"> </v>
      </c>
      <c r="Q234" s="65" t="str">
        <f ca="1">IF($Q$208&gt;=O199,INDEX($AL$104:$AL$113,MATCH(O199,($AJ$104:$AJ$113),0)),IF($Q$212&gt;=O199,INDEX('Spell Tables'!$AN$168:$AN$177,MATCH(O199,('Spell Tables'!$AL$168:$AL$177),0)),IF($Q$222&gt;=O199,INDEX('Spell Tables'!$AN$48:$AN$56,MATCH(O199,('Spell Tables'!$AL$48:$AL$56),0)),IF($Q$224&gt;=O199,INDEX('Spell Tables'!$AN$26:$AN$35,MATCH(O199,('Spell Tables'!$AL$26:$AL$35),0)),IF($Q$226&gt;=O199,INDEX('Spell Tables'!$AN$2:$AN$8,MATCH(O199,('Spell Tables'!$AL$2:$AL$8),0))," ")))))</f>
        <v xml:space="preserve"> </v>
      </c>
      <c r="R234" s="65" t="str">
        <f ca="1">IF($R$208&gt;=O199,INDEX($AL$116:$AL$125,MATCH(O199,($AJ$116:$AJ$125),0)),IF($R$212&gt;=O199,INDEX('Spell Tables'!$AR$168:$AR$175,MATCH(O199,('Spell Tables'!$AP$168:$AP$175),0)),IF($R$222&gt;=O199,INDEX('Spell Tables'!$AR$48:$AR$52,MATCH(O199,('Spell Tables'!$AP$48:$AP$52),0)),IF($R$224&gt;=O199,INDEX('Spell Tables'!$AR$26:$AR$33,MATCH(O199,('Spell Tables'!$AP$26:$AP$33),0)),IF($R$226&gt;=O199,INDEX('Spell Tables'!$AR$2:$AR$11,MATCH(O199,('Spell Tables'!$AL$2:$AL$11),0))," ")))))</f>
        <v xml:space="preserve"> </v>
      </c>
      <c r="S234" s="65" t="str">
        <f ca="1">IF($S$208&gt;=O199,INDEX($AL$128:$AL$137,MATCH(O199,($AJ$128:$AJ$137),0)),IF($S$212&gt;=O199,INDEX('Spell Tables'!$AV$168:$AV$172,MATCH(O199,('Spell Tables'!$AT$168:$AT$172),0)),IF($S$222&gt;=O199,INDEX('Spell Tables'!$AV$48:$AV$54,MATCH(O199,('Spell Tables'!$AT$48:$AT$54),0)),IF($S$224&gt;=O199,INDEX('Spell Tables'!$AV$26:$AV$29,MATCH(O199,('Spell Tables'!$AT$26:$AT$29),0)),IF($S$226&gt;=O199,INDEX('Spell Tables'!$AV$2:$AV$6,MATCH(O199,('Spell Tables'!$AT$2:$AT$6),0))," ")))))</f>
        <v xml:space="preserve"> </v>
      </c>
      <c r="T234" s="66" t="str">
        <f ca="1">IF($T$222&gt;=O199,INDEX('Spell Tables'!$AZ$48:$AZ$51,MATCH(O199,('Spell Tables'!$AX$48:$AX$51),0)),IF($T$208&gt;=O199,INDEX($AL$140:$AL$149,MATCH(O199,($AJ$140:$AJ$149),0)),IF($T$212&gt;=O199,INDEX('Spell Tables'!$AZ$168:$AZ$172,MATCH(O199,('Spell Tables'!$AX$168:$AX$172),0)),IF($T$224&gt;=O199,INDEX('Spell Tables'!$AZ$26:$AZ$29,MATCH(O199,('Spell Tables'!$AX$26:$AX$29),0)),IF($T$226&gt;=O199,INDEX('Spell Tables'!$AZ$2:$AZ$5,MATCH(O199,('Spell Tables'!$AX$2:$AX$5),0))," ")))))</f>
        <v xml:space="preserve"> </v>
      </c>
    </row>
    <row r="235" spans="2:20" x14ac:dyDescent="0.3">
      <c r="N235" s="72"/>
      <c r="O235" s="133">
        <v>8</v>
      </c>
      <c r="P235" s="60" t="str">
        <f ca="1">IF(AND($O$15="Otherworldly patron - great old one",P$210&gt;=O200),INDEX('Spell Tables'!$AJ$226:$AJ$231,MATCH(O200,('Spell Tables'!$AH$226:$AH$231),0)),IF(AND($O$15="Otherworldly patron - fiend",P$210&gt;=O200),INDEX('Spell Tables'!$AJ$210:$AJ$215,MATCH(O200,('Spell Tables'!$AH$210:$AH$215),0)),IF(AND($O$15="Otherworldly patron - archfey",P$210&gt;=O200),INDEX('Spell Tables'!$AJ$194:$AJ$199,MATCH(O200,('Spell Tables'!$AH$194:$AH$199),0)),IF($P$208&gt;=O200,INDEX($AL$92:$AL$101,MATCH(O200,($AJ$92:$AJ$101),0)),IF($P$212&gt;=O200,INDEX('Spell Tables'!$AJ$168:$AJ$178,MATCH(O200,('Spell Tables'!$AH$168:$AH$178),0)),IF($P$216&gt;=O200,INDEX('Spell Tables'!$AF$119:$AF$122,MATCH(O200,('Spell Tables'!$AD$119:$AD$122),0)),IF($P$218&gt;=O200,INDEX('Spell Tables'!$AF$97:$AF$102,MATCH(O200,('Spell Tables'!$AD$97:$AD$102),0)),IF($P$222&gt;=O200,INDEX('Spell Tables'!$AJ$48:$AJ$61,MATCH(O200,('Spell Tables'!$AH$48:$AH$61),0)),IF($P$224&gt;=O200,INDEX('Spell Tables'!$AJ$26:$AJ$38,MATCH(O200,('Spell Tables'!$AH$26:$AH$38),0)),IF($P$226&gt;=O200,INDEX('Spell Tables'!$AJ$2:$AJ$17,MATCH(O200,('Spell Tables'!$AH$2:$AH$17),0))," "))))))))))</f>
        <v xml:space="preserve"> </v>
      </c>
      <c r="Q235" s="60" t="str">
        <f ca="1">IF($Q$208&gt;=O200,INDEX($AL$104:$AL$113,MATCH(O200,($AJ$104:$AJ$113),0)),IF($Q$212&gt;=O200,INDEX('Spell Tables'!$AN$168:$AN$177,MATCH(O200,('Spell Tables'!$AL$168:$AL$177),0)),IF($Q$222&gt;=O200,INDEX('Spell Tables'!$AN$48:$AN$56,MATCH(O200,('Spell Tables'!$AL$48:$AL$56),0)),IF($Q$224&gt;=O200,INDEX('Spell Tables'!$AN$26:$AN$35,MATCH(O200,('Spell Tables'!$AL$26:$AL$35),0)),IF($Q$226&gt;=O200,INDEX('Spell Tables'!$AN$2:$AN$8,MATCH(O200,('Spell Tables'!$AL$2:$AL$8),0))," ")))))</f>
        <v xml:space="preserve"> </v>
      </c>
      <c r="R235" s="60" t="str">
        <f ca="1">IF($R$208&gt;=O200,INDEX($AL$116:$AL$125,MATCH(O200,($AJ$116:$AJ$125),0)),IF($R$212&gt;=O200,INDEX('Spell Tables'!$AR$168:$AR$175,MATCH(O200,('Spell Tables'!$AP$168:$AP$175),0)),IF($R$222&gt;=O200,INDEX('Spell Tables'!$AR$48:$AR$52,MATCH(O200,('Spell Tables'!$AP$48:$AP$52),0)),IF($R$224&gt;=O200,INDEX('Spell Tables'!$AR$26:$AR$33,MATCH(O200,('Spell Tables'!$AP$26:$AP$33),0)),IF($R$226&gt;=O200,INDEX('Spell Tables'!$AR$2:$AR$11,MATCH(O200,('Spell Tables'!$AL$2:$AL$11),0))," ")))))</f>
        <v xml:space="preserve"> </v>
      </c>
      <c r="S235" s="60" t="str">
        <f ca="1">IF($S$208&gt;=O200,INDEX($AL$128:$AL$137,MATCH(O200,($AJ$128:$AJ$137),0)),IF($S$212&gt;=O200,INDEX('Spell Tables'!$AV$168:$AV$172,MATCH(O200,('Spell Tables'!$AT$168:$AT$172),0)),IF($S$222&gt;=O200,INDEX('Spell Tables'!$AV$48:$AV$54,MATCH(O200,('Spell Tables'!$AT$48:$AT$54),0)),IF($S$224&gt;=O200,INDEX('Spell Tables'!$AV$26:$AV$29,MATCH(O200,('Spell Tables'!$AT$26:$AT$29),0)),IF($S$226&gt;=O200,INDEX('Spell Tables'!$AV$2:$AV$6,MATCH(O200,('Spell Tables'!$AT$2:$AT$6),0))," ")))))</f>
        <v xml:space="preserve"> </v>
      </c>
      <c r="T235" s="63" t="str">
        <f ca="1">IF($T$222&gt;=O200,INDEX('Spell Tables'!$AZ$48:$AZ$51,MATCH(O200,('Spell Tables'!$AX$48:$AX$51),0)),IF($T$208&gt;=O200,INDEX($AL$140:$AL$149,MATCH(O200,($AJ$140:$AJ$149),0)),IF($T$212&gt;=O200,INDEX('Spell Tables'!$AZ$168:$AZ$172,MATCH(O200,('Spell Tables'!$AX$168:$AX$172),0)),IF($T$224&gt;=O200,INDEX('Spell Tables'!$AZ$26:$AZ$29,MATCH(O200,('Spell Tables'!$AX$26:$AX$29),0)),IF($T$226&gt;=O200,INDEX('Spell Tables'!$AZ$2:$AZ$5,MATCH(O200,('Spell Tables'!$AX$2:$AX$5),0))," ")))))</f>
        <v xml:space="preserve"> </v>
      </c>
    </row>
    <row r="236" spans="2:20" x14ac:dyDescent="0.3">
      <c r="N236" s="72"/>
      <c r="O236" s="86">
        <v>9</v>
      </c>
      <c r="P236" s="65" t="str">
        <f ca="1">IF(AND($O$15="Otherworldly patron - great old one",P$210&gt;=O201),INDEX('Spell Tables'!$AJ$226:$AJ$231,MATCH(O201,('Spell Tables'!$AH$226:$AH$231),0)),IF(AND($O$15="Otherworldly patron - fiend",P$210&gt;=O201),INDEX('Spell Tables'!$AJ$210:$AJ$215,MATCH(O201,('Spell Tables'!$AH$210:$AH$215),0)),IF(AND($O$15="Otherworldly patron - archfey",P$210&gt;=O201),INDEX('Spell Tables'!$AJ$194:$AJ$199,MATCH(O201,('Spell Tables'!$AH$194:$AH$199),0)),IF($P$208&gt;=O201,INDEX($AL$92:$AL$101,MATCH(O201,($AJ$92:$AJ$101),0)),IF($P$212&gt;=O201,INDEX('Spell Tables'!$AJ$168:$AJ$178,MATCH(O201,('Spell Tables'!$AH$168:$AH$178),0)),IF($P$216&gt;=O201,INDEX('Spell Tables'!$AF$119:$AF$122,MATCH(O201,('Spell Tables'!$AD$119:$AD$122),0)),IF($P$218&gt;=O201,INDEX('Spell Tables'!$AF$97:$AF$102,MATCH(O201,('Spell Tables'!$AD$97:$AD$102),0)),IF($P$222&gt;=O201,INDEX('Spell Tables'!$AJ$48:$AJ$61,MATCH(O201,('Spell Tables'!$AH$48:$AH$61),0)),IF($P$224&gt;=O201,INDEX('Spell Tables'!$AJ$26:$AJ$38,MATCH(O201,('Spell Tables'!$AH$26:$AH$38),0)),IF($P$226&gt;=O201,INDEX('Spell Tables'!$AJ$2:$AJ$17,MATCH(O201,('Spell Tables'!$AH$2:$AH$17),0))," "))))))))))</f>
        <v xml:space="preserve"> </v>
      </c>
      <c r="Q236" s="65" t="str">
        <f ca="1">IF($Q$208&gt;=O201,INDEX($AL$104:$AL$113,MATCH(O201,($AJ$104:$AJ$113),0)),IF($Q$212&gt;=O201,INDEX('Spell Tables'!$AN$168:$AN$177,MATCH(O201,('Spell Tables'!$AL$168:$AL$177),0)),IF($Q$222&gt;=O201,INDEX('Spell Tables'!$AN$48:$AN$56,MATCH(O201,('Spell Tables'!$AL$48:$AL$56),0)),IF($Q$224&gt;=O201,INDEX('Spell Tables'!$AN$26:$AN$35,MATCH(O201,('Spell Tables'!$AL$26:$AL$35),0)),IF($Q$226&gt;=O201,INDEX('Spell Tables'!$AN$2:$AN$8,MATCH(O201,('Spell Tables'!$AL$2:$AL$8),0))," ")))))</f>
        <v xml:space="preserve"> </v>
      </c>
      <c r="R236" s="65" t="str">
        <f ca="1">IF($R$208&gt;=O201,INDEX($AL$116:$AL$125,MATCH(O201,($AJ$116:$AJ$125),0)),IF($R$212&gt;=O201,INDEX('Spell Tables'!$AR$168:$AR$175,MATCH(O201,('Spell Tables'!$AP$168:$AP$175),0)),IF($R$222&gt;=O201,INDEX('Spell Tables'!$AR$48:$AR$52,MATCH(O201,('Spell Tables'!$AP$48:$AP$52),0)),IF($R$224&gt;=O201,INDEX('Spell Tables'!$AR$26:$AR$33,MATCH(O201,('Spell Tables'!$AP$26:$AP$33),0)),IF($R$226&gt;=O201,INDEX('Spell Tables'!$AR$2:$AR$11,MATCH(O201,('Spell Tables'!$AL$2:$AL$11),0))," ")))))</f>
        <v xml:space="preserve"> </v>
      </c>
      <c r="S236" s="65" t="str">
        <f ca="1">IF($S$208&gt;=O201,INDEX($AL$128:$AL$137,MATCH(O201,($AJ$128:$AJ$137),0)),IF($S$212&gt;=O201,INDEX('Spell Tables'!$AV$168:$AV$172,MATCH(O201,('Spell Tables'!$AT$168:$AT$172),0)),IF($S$222&gt;=O201,INDEX('Spell Tables'!$AV$48:$AV$54,MATCH(O201,('Spell Tables'!$AT$48:$AT$54),0)),IF($S$224&gt;=O201,INDEX('Spell Tables'!$AV$26:$AV$29,MATCH(O201,('Spell Tables'!$AT$26:$AT$29),0)),IF($S$226&gt;=O201,INDEX('Spell Tables'!$AV$2:$AV$6,MATCH(O201,('Spell Tables'!$AT$2:$AT$6),0))," ")))))</f>
        <v xml:space="preserve"> </v>
      </c>
      <c r="T236" s="66" t="str">
        <f ca="1">IF($T$222&gt;=O201,INDEX('Spell Tables'!$AZ$48:$AZ$51,MATCH(O201,('Spell Tables'!$AX$48:$AX$51),0)),IF($T$208&gt;=O201,INDEX($AL$140:$AL$149,MATCH(O201,($AJ$140:$AJ$149),0)),IF($T$212&gt;=O201,INDEX('Spell Tables'!$AZ$168:$AZ$172,MATCH(O201,('Spell Tables'!$AX$168:$AX$172),0)),IF($T$224&gt;=O201,INDEX('Spell Tables'!$AZ$26:$AZ$29,MATCH(O201,('Spell Tables'!$AX$26:$AX$29),0)),IF($T$226&gt;=O201,INDEX('Spell Tables'!$AZ$2:$AZ$5,MATCH(O201,('Spell Tables'!$AX$2:$AX$5),0))," ")))))</f>
        <v xml:space="preserve"> </v>
      </c>
    </row>
    <row r="237" spans="2:20" ht="19.5" thickBot="1" x14ac:dyDescent="0.35">
      <c r="N237" s="72"/>
      <c r="O237" s="134">
        <v>10</v>
      </c>
      <c r="P237" s="67" t="str">
        <f ca="1">IF(AND($O$15="Otherworldly patron - great old one",P$210&gt;=O202),INDEX('Spell Tables'!$AJ$226:$AJ$231,MATCH(O202,('Spell Tables'!$AH$226:$AH$231),0)),IF(AND($O$15="Otherworldly patron - fiend",P$210&gt;=O202),INDEX('Spell Tables'!$AJ$210:$AJ$215,MATCH(O202,('Spell Tables'!$AH$210:$AH$215),0)),IF(AND($O$15="Otherworldly patron - archfey",P$210&gt;=O202),INDEX('Spell Tables'!$AJ$194:$AJ$199,MATCH(O202,('Spell Tables'!$AH$194:$AH$199),0)),IF($P$208&gt;=O202,INDEX($AL$92:$AL$101,MATCH(O202,($AJ$92:$AJ$101),0)),IF($P$212&gt;=O202,INDEX('Spell Tables'!$AJ$168:$AJ$178,MATCH(O202,('Spell Tables'!$AH$168:$AH$178),0)),IF($P$216&gt;=O202,INDEX('Spell Tables'!$AF$119:$AF$122,MATCH(O202,('Spell Tables'!$AD$119:$AD$122),0)),IF($P$218&gt;=O202,INDEX('Spell Tables'!$AF$97:$AF$102,MATCH(O202,('Spell Tables'!$AD$97:$AD$102),0)),IF($P$222&gt;=O202,INDEX('Spell Tables'!$AJ$48:$AJ$61,MATCH(O202,('Spell Tables'!$AH$48:$AH$61),0)),IF($P$224&gt;=O202,INDEX('Spell Tables'!$AJ$26:$AJ$38,MATCH(O202,('Spell Tables'!$AH$26:$AH$38),0)),IF($P$226&gt;=O202,INDEX('Spell Tables'!$AJ$2:$AJ$17,MATCH(O202,('Spell Tables'!$AH$2:$AH$17),0))," "))))))))))</f>
        <v xml:space="preserve"> </v>
      </c>
      <c r="Q237" s="67" t="str">
        <f ca="1">IF($Q$208&gt;=O202,INDEX($AL$104:$AL$113,MATCH(O202,($AJ$104:$AJ$113),0)),IF($Q$212&gt;=O202,INDEX('Spell Tables'!$AN$168:$AN$177,MATCH(O202,('Spell Tables'!$AL$168:$AL$177),0)),IF($Q$222&gt;=O202,INDEX('Spell Tables'!$AN$48:$AN$56,MATCH(O202,('Spell Tables'!$AL$48:$AL$56),0)),IF($Q$224&gt;=O202,INDEX('Spell Tables'!$AN$26:$AN$35,MATCH(O202,('Spell Tables'!$AL$26:$AL$35),0)),IF($Q$226&gt;=O202,INDEX('Spell Tables'!$AN$2:$AN$8,MATCH(O202,('Spell Tables'!$AL$2:$AL$8),0))," ")))))</f>
        <v xml:space="preserve"> </v>
      </c>
      <c r="R237" s="67" t="str">
        <f ca="1">IF($R$208&gt;=O202,INDEX($AL$116:$AL$125,MATCH(O202,($AJ$116:$AJ$125),0)),IF($R$212&gt;=O202,INDEX('Spell Tables'!$AR$168:$AR$175,MATCH(O202,('Spell Tables'!$AP$168:$AP$175),0)),IF($R$222&gt;=O202,INDEX('Spell Tables'!$AR$48:$AR$52,MATCH(O202,('Spell Tables'!$AP$48:$AP$52),0)),IF($R$224&gt;=O202,INDEX('Spell Tables'!$AR$26:$AR$33,MATCH(O202,('Spell Tables'!$AP$26:$AP$33),0)),IF($R$226&gt;=O202,INDEX('Spell Tables'!$AR$2:$AR$11,MATCH(O202,('Spell Tables'!$AL$2:$AL$11),0))," ")))))</f>
        <v xml:space="preserve"> </v>
      </c>
      <c r="S237" s="67" t="str">
        <f ca="1">IF($S$208&gt;=O202,INDEX($AL$128:$AL$137,MATCH(O202,($AJ$128:$AJ$137),0)),IF($S$212&gt;=O202,INDEX('Spell Tables'!$AV$168:$AV$172,MATCH(O202,('Spell Tables'!$AT$168:$AT$172),0)),IF($S$222&gt;=O202,INDEX('Spell Tables'!$AV$48:$AV$54,MATCH(O202,('Spell Tables'!$AT$48:$AT$54),0)),IF($S$224&gt;=O202,INDEX('Spell Tables'!$AV$26:$AV$29,MATCH(O202,('Spell Tables'!$AT$26:$AT$29),0)),IF($S$226&gt;=O202,INDEX('Spell Tables'!$AV$2:$AV$6,MATCH(O202,('Spell Tables'!$AT$2:$AT$6),0))," ")))))</f>
        <v xml:space="preserve"> </v>
      </c>
      <c r="T237" s="68" t="str">
        <f ca="1">IF($T$222&gt;=O202,INDEX('Spell Tables'!$AZ$48:$AZ$51,MATCH(O202,('Spell Tables'!$AX$48:$AX$51),0)),IF($T$208&gt;=O202,INDEX($AL$140:$AL$149,MATCH(O202,($AJ$140:$AJ$149),0)),IF($T$212&gt;=O202,INDEX('Spell Tables'!$AZ$168:$AZ$172,MATCH(O202,('Spell Tables'!$AX$168:$AX$172),0)),IF($T$224&gt;=O202,INDEX('Spell Tables'!$AZ$26:$AZ$29,MATCH(O202,('Spell Tables'!$AX$26:$AX$29),0)),IF($T$226&gt;=O202,INDEX('Spell Tables'!$AZ$2:$AZ$5,MATCH(O202,('Spell Tables'!$AX$2:$AX$5),0))," ")))))</f>
        <v xml:space="preserve"> </v>
      </c>
    </row>
    <row r="238" spans="2:20" ht="19.5" thickBot="1" x14ac:dyDescent="0.35"/>
    <row r="239" spans="2:20" ht="30.75" thickBot="1" x14ac:dyDescent="0.45">
      <c r="B239" s="105" t="s">
        <v>1323</v>
      </c>
      <c r="C239" s="57"/>
      <c r="D239" s="57"/>
      <c r="E239" s="57"/>
      <c r="F239" s="57"/>
      <c r="G239" s="57"/>
      <c r="H239" s="57"/>
      <c r="I239" s="57"/>
      <c r="J239" s="57"/>
      <c r="K239" s="57"/>
      <c r="L239" s="57"/>
      <c r="M239" s="57"/>
      <c r="N239" s="57"/>
      <c r="O239" s="57"/>
      <c r="P239" s="57"/>
      <c r="Q239" s="57"/>
      <c r="R239" s="57"/>
      <c r="S239" s="57"/>
    </row>
    <row r="240" spans="2:20" ht="19.5" thickBot="1" x14ac:dyDescent="0.35">
      <c r="B240" s="33"/>
      <c r="C240" s="27"/>
      <c r="D240" s="27"/>
      <c r="E240" s="27"/>
      <c r="F240" s="27"/>
      <c r="G240" s="27"/>
      <c r="H240" s="27"/>
      <c r="I240" s="27"/>
      <c r="J240" s="27"/>
      <c r="K240" s="27"/>
      <c r="L240" s="27"/>
      <c r="M240" s="27"/>
      <c r="O240" s="27"/>
      <c r="P240" s="87" t="s">
        <v>1341</v>
      </c>
      <c r="Q240" s="94" t="str">
        <f>IF($Q$11="warlock",INDEX('Spell Tables'!$D$194:$D$213,MATCH($Q$12,('Spell Tables'!$A$194:$A$213),0))," ")</f>
        <v xml:space="preserve"> </v>
      </c>
      <c r="R240" s="89" t="s">
        <v>1340</v>
      </c>
      <c r="S240" s="90" t="str">
        <f>IF($Q$11="warlock",INDEX('Spell Tables'!$E$194:$E$213,MATCH($Q$12,('Spell Tables'!$A$194:$A$213),0))," ")</f>
        <v xml:space="preserve"> </v>
      </c>
      <c r="T240" s="27"/>
    </row>
    <row r="241" spans="2:20" hidden="1" x14ac:dyDescent="0.3">
      <c r="B241" s="92" t="s">
        <v>1270</v>
      </c>
      <c r="C241" s="33"/>
      <c r="D241" s="33"/>
      <c r="E241" s="33"/>
      <c r="F241" s="33"/>
      <c r="G241" s="33"/>
      <c r="H241" s="33"/>
      <c r="I241" s="33"/>
      <c r="J241" s="33"/>
      <c r="K241" s="33"/>
      <c r="L241" s="33"/>
      <c r="M241" s="33"/>
      <c r="O241" s="33" t="s">
        <v>530</v>
      </c>
      <c r="P241" s="33" t="s">
        <v>530</v>
      </c>
      <c r="Q241" s="114" t="str">
        <f>IF(AND(Q11="wizard",Q12&gt;=3),"x",IF(Q11="wizard","xx"," "))</f>
        <v xml:space="preserve"> </v>
      </c>
      <c r="R241" s="114" t="str">
        <f>IF(AND(Q11="wizard",Q12&gt;=5),"x",IF(AND($Q$11="wizard",$Q$12&gt;=3),"xx"," "))</f>
        <v xml:space="preserve"> </v>
      </c>
      <c r="S241" s="114" t="str">
        <f>IF(AND(Q11="Wizard",Q12&gt;=7),"x",IF(AND($Q$11="wizard",$Q$12&gt;5),"xx",IF(AND(Q11="wizard",Q12=5),"xxx"," ")))</f>
        <v xml:space="preserve"> </v>
      </c>
      <c r="T241" s="114" t="str">
        <f>IF(AND(Q11="wizard",Q12&gt;=9),"x",IF(AND($Q$11="wizard",$Q$12&gt;7),"xx",IF(AND(Q11="wizard",Q12=7),"xxx"," ")))</f>
        <v xml:space="preserve"> </v>
      </c>
    </row>
    <row r="242" spans="2:20" hidden="1" x14ac:dyDescent="0.3">
      <c r="B242" s="92" t="s">
        <v>1272</v>
      </c>
      <c r="C242" s="33"/>
      <c r="D242" s="33"/>
      <c r="E242" s="33"/>
      <c r="F242" s="33"/>
      <c r="G242" s="33"/>
      <c r="H242" s="33"/>
      <c r="I242" s="33"/>
      <c r="J242" s="33"/>
      <c r="K242" s="33"/>
      <c r="L242" s="33"/>
      <c r="M242" s="33"/>
      <c r="O242" s="33" t="str">
        <f>IF(Q11="wizard",N41+Q12," ")</f>
        <v xml:space="preserve"> </v>
      </c>
      <c r="P242" s="33">
        <f>IF(Q11="wizard",INDEX('Spell Tables'!C242:C261,MATCH(Q12,('Spell Tables'!B242:B261),0)),0)</f>
        <v>0</v>
      </c>
      <c r="Q242" s="114">
        <f ca="1">IF($Q241="x",RANDBETWEEN(1,2),IF($Q241="xx",$O$242,0))</f>
        <v>0</v>
      </c>
      <c r="R242" s="114">
        <f ca="1">IF(R241="x",RANDBETWEEN(1,2),IF(R241="xx",$O$242-Q242,0))</f>
        <v>0</v>
      </c>
      <c r="S242" s="114">
        <f>IF(S241="x",O242-SUM(Q242:R242,U169:X169),IF(S241="xx",$O$242-SUM(Q242:R242),0))</f>
        <v>0</v>
      </c>
      <c r="T242" s="114">
        <f ca="1">IF(T241="x",RANDBETWEEN(1,2),IF(T241="xx",RANDBETWEEN(2,3),IF(T241="xxx",RANDBETWEEN(1,2),0)))</f>
        <v>0</v>
      </c>
    </row>
    <row r="243" spans="2:20" hidden="1" x14ac:dyDescent="0.3">
      <c r="B243" s="92" t="s">
        <v>1269</v>
      </c>
      <c r="C243" s="33"/>
      <c r="D243" s="33"/>
      <c r="E243" s="33"/>
      <c r="F243" s="33"/>
      <c r="G243" s="33"/>
      <c r="H243" s="33"/>
      <c r="I243" s="33"/>
      <c r="J243" s="33"/>
      <c r="K243" s="33"/>
      <c r="L243" s="33"/>
      <c r="M243" s="33"/>
      <c r="O243" s="33" t="s">
        <v>530</v>
      </c>
      <c r="P243" s="33" t="s">
        <v>530</v>
      </c>
      <c r="Q243" s="114" t="str">
        <f>IF(AND($Q$11="warlock",$Q$12&gt;=3),"x",IF(Q11="warlock","xx"," "))</f>
        <v xml:space="preserve"> </v>
      </c>
      <c r="R243" s="114" t="str">
        <f>IF(AND($Q$11="warlock",$Q$12&gt;=5),"x",IF(AND($Q$11="warlock",$Q$12&gt;=3),"xx"," "))</f>
        <v xml:space="preserve"> </v>
      </c>
      <c r="S243" s="114" t="str">
        <f>IF(AND($Q$11="warlock",$Q$12&gt;=7),"x",IF(AND($Q$11="warlock",$Q$12&gt;=5),"xx"," "))</f>
        <v xml:space="preserve"> </v>
      </c>
      <c r="T243" s="114" t="str">
        <f>IF(AND($Q$11="warlock",$Q$12&gt;=9),"x",IF(AND($Q$11="warlock",$Q$12&gt;=7),"xx"," "))</f>
        <v xml:space="preserve"> </v>
      </c>
    </row>
    <row r="244" spans="2:20" hidden="1" x14ac:dyDescent="0.3">
      <c r="B244" s="92" t="s">
        <v>1268</v>
      </c>
      <c r="C244" s="33"/>
      <c r="D244" s="33"/>
      <c r="E244" s="33"/>
      <c r="F244" s="33"/>
      <c r="G244" s="33"/>
      <c r="H244" s="33"/>
      <c r="I244" s="33"/>
      <c r="J244" s="33"/>
      <c r="K244" s="33"/>
      <c r="L244" s="33"/>
      <c r="M244" s="33"/>
      <c r="O244" s="33" t="str">
        <f>IF(Q11="warlock",INDEX('Spell Tables'!C194:C213,MATCH($Q$12,('Spell Tables'!A194:A213),0))," ")</f>
        <v xml:space="preserve"> </v>
      </c>
      <c r="P244" s="33">
        <f>IF($Q$11="warlock",INDEX('Spell Tables'!B194:B213,MATCH($Q$12,('Spell Tables'!A194:A213),0)),0)</f>
        <v>0</v>
      </c>
      <c r="Q244" s="114">
        <f ca="1">IF($Q243="x",RANDBETWEEN(1,2),IF($Q243="xx",$O$244,0))</f>
        <v>0</v>
      </c>
      <c r="R244" s="114">
        <f ca="1">IF(R243="x",RANDBETWEEN(1,2),IF(R243="xx",$O$244-Q244,0))</f>
        <v>0</v>
      </c>
      <c r="S244" s="114">
        <f>IF(S243="x",O244-SUM(Q244:R244,U171:X171),IF(S243="xx",$O$244-SUM(Q244:R244),0))</f>
        <v>0</v>
      </c>
      <c r="T244" s="114">
        <f ca="1">IF(T243="x",RANDBETWEEN(1,2),IF(T243="xx",RANDBETWEEN(2,3),0))</f>
        <v>0</v>
      </c>
    </row>
    <row r="245" spans="2:20" hidden="1" x14ac:dyDescent="0.3">
      <c r="B245" s="92" t="s">
        <v>1267</v>
      </c>
      <c r="C245" s="33"/>
      <c r="D245" s="33"/>
      <c r="E245" s="33"/>
      <c r="F245" s="33"/>
      <c r="G245" s="33"/>
      <c r="H245" s="33"/>
      <c r="I245" s="33"/>
      <c r="J245" s="33"/>
      <c r="K245" s="33"/>
      <c r="L245" s="33"/>
      <c r="M245" s="33"/>
      <c r="O245" s="33" t="s">
        <v>530</v>
      </c>
      <c r="P245" s="33" t="s">
        <v>530</v>
      </c>
      <c r="Q245" s="114" t="str">
        <f>IF(AND($Q$11="sorcerer",$Q$12&gt;=3),"x",IF($Q$11="sorcerer","xx"," "))</f>
        <v xml:space="preserve"> </v>
      </c>
      <c r="R245" s="114" t="str">
        <f>IF(AND($Q$11="sorcerer",$Q$12&gt;=5),"x",IF(AND($Q$11="sorcerer",$Q$12&gt;=3),"xx"," "))</f>
        <v xml:space="preserve"> </v>
      </c>
      <c r="S245" s="114" t="str">
        <f>IF(AND($Q$11="sorcerer",$Q$12&gt;=7),"x",IF(AND($Q$11="sorcerer",$Q$12&gt;=5),"xx"," "))</f>
        <v xml:space="preserve"> </v>
      </c>
      <c r="T245" s="114" t="str">
        <f>IF(AND($Q$11="sorcerer",$Q$12&gt;=9),"x",IF(AND($Q$11="sorcerer",$Q$12&gt;=7),"xx"," "))</f>
        <v xml:space="preserve"> </v>
      </c>
    </row>
    <row r="246" spans="2:20" hidden="1" x14ac:dyDescent="0.3">
      <c r="B246" s="92" t="s">
        <v>1266</v>
      </c>
      <c r="C246" s="33"/>
      <c r="D246" s="33"/>
      <c r="E246" s="33"/>
      <c r="F246" s="33"/>
      <c r="G246" s="33"/>
      <c r="H246" s="33"/>
      <c r="I246" s="33"/>
      <c r="J246" s="33"/>
      <c r="K246" s="33"/>
      <c r="L246" s="33"/>
      <c r="M246" s="33"/>
      <c r="O246" s="33" t="str">
        <f>IF(Q11="sorcerer",INDEX('Spell Tables'!C168:C187,MATCH($Q$12,('Spell Tables'!A168:A187),0))," ")</f>
        <v xml:space="preserve"> </v>
      </c>
      <c r="P246" s="33">
        <f>IF($Q$11="sorcerer",INDEX('Spell Tables'!B168:B187,MATCH($Q$12,('Spell Tables'!A168:A187),0)),0)</f>
        <v>0</v>
      </c>
      <c r="Q246" s="114">
        <f ca="1">IF($Q245="x",RANDBETWEEN(1,2),IF($Q245="xx",$O$246,0))</f>
        <v>0</v>
      </c>
      <c r="R246" s="114">
        <f ca="1">IF(R245="x",RANDBETWEEN(1,2),IF(R245="xx",$O$246-Q246,0))</f>
        <v>0</v>
      </c>
      <c r="S246" s="114">
        <f>IF(S245="x",O246-SUM(Q246:R246,U173:X173),IF(S245="xx",$O$246-SUM(Q246:R246),0))</f>
        <v>0</v>
      </c>
      <c r="T246" s="114">
        <f ca="1">IF(T245="x",RANDBETWEEN(1,2),IF(T245="xx",RANDBETWEEN(2,3),0))</f>
        <v>0</v>
      </c>
    </row>
    <row r="247" spans="2:20" hidden="1" x14ac:dyDescent="0.3">
      <c r="B247" s="92" t="s">
        <v>1254</v>
      </c>
      <c r="C247" s="33"/>
      <c r="D247" s="33"/>
      <c r="E247" s="33"/>
      <c r="F247" s="33"/>
      <c r="G247" s="33"/>
      <c r="H247" s="33"/>
      <c r="I247" s="33"/>
      <c r="J247" s="33"/>
      <c r="K247" s="33"/>
      <c r="L247" s="33"/>
      <c r="M247" s="33"/>
      <c r="O247" s="33" t="s">
        <v>530</v>
      </c>
      <c r="P247" s="33" t="s">
        <v>530</v>
      </c>
      <c r="Q247" s="114" t="str">
        <f ca="1">IF(AND(R15="arcane trickster",Q12&gt;=7),"x",IF(R15="arcane trickster","xx"," "))</f>
        <v xml:space="preserve"> </v>
      </c>
      <c r="R247" s="114" t="str">
        <f ca="1">IF(AND(R15="arcane trickster",Q12=13),"x",IF(AND(R15="arcane trickster",$Q$12&gt;=7),"xx"," "))</f>
        <v xml:space="preserve"> </v>
      </c>
      <c r="S247" s="114" t="str">
        <f ca="1">IF(AND(R15="arcane trickster",Q12&gt;=19),"x",IF(AND(R15="arcane trickster",$Q$12&gt;=13),"xx"," "))</f>
        <v xml:space="preserve"> </v>
      </c>
      <c r="T247" s="114" t="str">
        <f ca="1">IF(AND(R15="arcane trickster",$Q$12&gt;=19),"xx"," ")</f>
        <v xml:space="preserve"> </v>
      </c>
    </row>
    <row r="248" spans="2:20" hidden="1" x14ac:dyDescent="0.3">
      <c r="B248" s="92" t="s">
        <v>1253</v>
      </c>
      <c r="C248" s="33"/>
      <c r="D248" s="33"/>
      <c r="E248" s="33"/>
      <c r="F248" s="33"/>
      <c r="G248" s="33"/>
      <c r="H248" s="33"/>
      <c r="I248" s="33"/>
      <c r="J248" s="33"/>
      <c r="K248" s="33"/>
      <c r="L248" s="33"/>
      <c r="M248" s="33"/>
      <c r="O248" s="33" t="str">
        <f ca="1">IF(R15="arcane trickster",INDEX('Spell Tables'!C141:C160,MATCH($Q$12,('Spell Tables'!A141:A160),0))," ")</f>
        <v xml:space="preserve"> </v>
      </c>
      <c r="P248" s="33">
        <f ca="1">IF($R$15="arcane trickster",INDEX('Spell Tables'!B141:B160,MATCH($Q$12,('Spell Tables'!A141:A160),0)),0)</f>
        <v>0</v>
      </c>
      <c r="Q248" s="114">
        <f ca="1">IF($Q247="x",RANDBETWEEN(2,3),IF($Q247="xx",$O$248,0))</f>
        <v>0</v>
      </c>
      <c r="R248" s="114">
        <f ca="1">IF(R247="x",RANDBETWEEN(2,3),IF(R247="xx",$O$248-Q248,0))</f>
        <v>0</v>
      </c>
      <c r="S248" s="114">
        <f ca="1">IF(S247="x",O248-SUM(Q248:R248,U175:X175),IF(S247="xx",$O$248-SUM(Q248:R248),0))</f>
        <v>0</v>
      </c>
      <c r="T248" s="114">
        <f ca="1">IF(T247="x",RANDBETWEEN(1,2),IF(T247="xx",RANDBETWEEN(2,3),0))</f>
        <v>0</v>
      </c>
    </row>
    <row r="249" spans="2:20" hidden="1" x14ac:dyDescent="0.3">
      <c r="B249" s="92" t="s">
        <v>1247</v>
      </c>
      <c r="C249" s="33"/>
      <c r="D249" s="33"/>
      <c r="E249" s="33"/>
      <c r="F249" s="33"/>
      <c r="G249" s="33"/>
      <c r="H249" s="33"/>
      <c r="I249" s="33"/>
      <c r="J249" s="33"/>
      <c r="K249" s="33"/>
      <c r="L249" s="33"/>
      <c r="M249" s="33"/>
      <c r="O249" s="33" t="s">
        <v>530</v>
      </c>
      <c r="P249" s="33" t="s">
        <v>1324</v>
      </c>
      <c r="Q249" s="114" t="str">
        <f>IF(AND($Q$11="ranger",$Q$12&gt;=5),"x",IF(AND(Q11="ranger",Q12&gt;=2),"xx"," "))</f>
        <v xml:space="preserve"> </v>
      </c>
      <c r="R249" s="114" t="str">
        <f>IF(AND($Q$11="ranger",$Q$12&gt;=9),"x",IF(AND($Q$11="ranger",$Q$12&gt;=5),"xx"," "))</f>
        <v xml:space="preserve"> </v>
      </c>
      <c r="S249" s="114" t="str">
        <f>IF(AND($Q$11="ranger",$Q$12&gt;=13),"x",IF(AND($Q$11="ranger",$Q$12&gt;=9),"xx"," "))</f>
        <v xml:space="preserve"> </v>
      </c>
      <c r="T249" s="114" t="str">
        <f>IF(AND($Q$11="ranger",$Q$12&gt;=17),"x",IF(AND($Q$11="ranger",$Q$12&gt;=13),"xx"," "))</f>
        <v xml:space="preserve"> </v>
      </c>
    </row>
    <row r="250" spans="2:20" hidden="1" x14ac:dyDescent="0.3">
      <c r="B250" s="92" t="s">
        <v>1246</v>
      </c>
      <c r="C250" s="33"/>
      <c r="D250" s="33"/>
      <c r="E250" s="33"/>
      <c r="F250" s="33"/>
      <c r="G250" s="33"/>
      <c r="H250" s="33"/>
      <c r="I250" s="33"/>
      <c r="J250" s="33"/>
      <c r="K250" s="33"/>
      <c r="L250" s="33"/>
      <c r="M250" s="33"/>
      <c r="O250" s="33" t="str">
        <f>IF($Q$11="ranger",INDEX('Spell Tables'!C119:C138,MATCH($Q$12,('Spell Tables'!B119:B138),0))," ")</f>
        <v xml:space="preserve"> </v>
      </c>
      <c r="P250" s="33" t="s">
        <v>1324</v>
      </c>
      <c r="Q250" s="114">
        <f ca="1">IF($Q249="x",RANDBETWEEN(1,2),IF($Q249="xx",$O$250,0))</f>
        <v>0</v>
      </c>
      <c r="R250" s="114">
        <f ca="1">IF(R249="x",RANDBETWEEN(1,2),IF(R249="xx",$O$250-Q250,0))</f>
        <v>0</v>
      </c>
      <c r="S250" s="114">
        <f>IF(S249="x",O250-SUM(Q250:R250,U177:X177),IF(S249="xx",$O$250-SUM(Q250:R250),0))</f>
        <v>0</v>
      </c>
      <c r="T250" s="114">
        <f ca="1">IF(T249="x",RANDBETWEEN(1,2),IF(T249="xx",RANDBETWEEN(2,3),0))</f>
        <v>0</v>
      </c>
    </row>
    <row r="251" spans="2:20" hidden="1" x14ac:dyDescent="0.3">
      <c r="B251" s="92" t="s">
        <v>1245</v>
      </c>
      <c r="C251" s="33"/>
      <c r="D251" s="33"/>
      <c r="E251" s="33"/>
      <c r="F251" s="33"/>
      <c r="G251" s="33"/>
      <c r="H251" s="33"/>
      <c r="I251" s="33"/>
      <c r="J251" s="33"/>
      <c r="K251" s="33"/>
      <c r="L251" s="33"/>
      <c r="M251" s="33"/>
      <c r="O251" s="33" t="s">
        <v>530</v>
      </c>
      <c r="P251" s="33" t="s">
        <v>1324</v>
      </c>
      <c r="Q251" s="114" t="str">
        <f>IF(AND($Q$11="paladin",$Q$12&gt;=5),"x",IF($Q$11="paladin","xx"," "))</f>
        <v xml:space="preserve"> </v>
      </c>
      <c r="R251" s="114" t="str">
        <f>IF(AND(Q11="paladin",Q12&gt;=9),"x",IF(AND($Q$11="paladin",$Q$12&gt;=5),"xx"," "))</f>
        <v xml:space="preserve"> </v>
      </c>
      <c r="S251" s="114" t="str">
        <f>IF(AND(Q11="paladin",Q12&gt;=13),"x",IF(AND($Q$11="paladin",$Q$12&gt;=9),"xx"," "))</f>
        <v xml:space="preserve"> </v>
      </c>
      <c r="T251" s="114" t="str">
        <f>IF(AND(Q11="paladin",Q12&gt;=17),"x",IF(AND($Q$11="paladin",$Q$12&gt;=13),"xx"," "))</f>
        <v xml:space="preserve"> </v>
      </c>
    </row>
    <row r="252" spans="2:20" hidden="1" x14ac:dyDescent="0.3">
      <c r="B252" s="92" t="s">
        <v>1244</v>
      </c>
      <c r="C252" s="33"/>
      <c r="D252" s="33"/>
      <c r="E252" s="33"/>
      <c r="F252" s="33"/>
      <c r="G252" s="33"/>
      <c r="H252" s="33"/>
      <c r="I252" s="33"/>
      <c r="J252" s="33"/>
      <c r="K252" s="33"/>
      <c r="L252" s="33"/>
      <c r="M252" s="33"/>
      <c r="O252" s="33" t="str">
        <f>IF(Q11="paladin",ROUNDDOWN(N43+(Q12*0.5),0)," ")</f>
        <v xml:space="preserve"> </v>
      </c>
      <c r="P252" s="33" t="s">
        <v>1324</v>
      </c>
      <c r="Q252" s="114">
        <f ca="1">IF($Q251="x",RANDBETWEEN(1,2),IF($Q251="xx",$O$252,0))</f>
        <v>0</v>
      </c>
      <c r="R252" s="114">
        <f ca="1">IF(R251="x",RANDBETWEEN(1,2),IF(R251="xx",$O$252-Q252,0))</f>
        <v>0</v>
      </c>
      <c r="S252" s="114">
        <f>IF(S251="x",O252-SUM(Q252:R252,U179:X179),IF(S251="xx",$O$252-SUM(Q252:R252),0))</f>
        <v>0</v>
      </c>
      <c r="T252" s="114">
        <f ca="1">IF(T251="x",RANDBETWEEN(1,2),IF(T251="xx",RANDBETWEEN(2,3),0))</f>
        <v>0</v>
      </c>
    </row>
    <row r="253" spans="2:20" hidden="1" x14ac:dyDescent="0.3">
      <c r="B253" s="92" t="s">
        <v>1226</v>
      </c>
      <c r="C253" s="33"/>
      <c r="D253" s="33"/>
      <c r="E253" s="33"/>
      <c r="F253" s="33"/>
      <c r="G253" s="33"/>
      <c r="H253" s="33"/>
      <c r="I253" s="33"/>
      <c r="J253" s="33"/>
      <c r="K253" s="33"/>
      <c r="L253" s="33"/>
      <c r="M253" s="33"/>
      <c r="O253" s="33" t="s">
        <v>530</v>
      </c>
      <c r="P253" s="33" t="s">
        <v>530</v>
      </c>
      <c r="Q253" s="114" t="str">
        <f ca="1">IF(AND(R15="eldritch knight",Q12&gt;=7),"x",IF(R15="eldritch knight","xx"," "))</f>
        <v xml:space="preserve"> </v>
      </c>
      <c r="R253" s="114" t="str">
        <f ca="1">IF(AND(R15="eldritch knight",Q12&gt;=13),"x",IF(AND(R15="eldritch knight",$Q$12&gt;=7),"xx"," "))</f>
        <v xml:space="preserve"> </v>
      </c>
      <c r="S253" s="114" t="str">
        <f ca="1">IF(AND(R15="eldritch knight",Q12&gt;=19),"x",IF(AND(R15="eldritch knight",$Q$12&gt;=13),"xx"," "))</f>
        <v xml:space="preserve"> </v>
      </c>
      <c r="T253" s="114" t="str">
        <f ca="1">IF(AND(R15="eldritch knight",$Q$12&gt;=19),"xx"," ")</f>
        <v xml:space="preserve"> </v>
      </c>
    </row>
    <row r="254" spans="2:20" hidden="1" x14ac:dyDescent="0.3">
      <c r="B254" s="92" t="s">
        <v>1222</v>
      </c>
      <c r="C254" s="33"/>
      <c r="D254" s="33"/>
      <c r="E254" s="33"/>
      <c r="F254" s="33"/>
      <c r="G254" s="33"/>
      <c r="H254" s="33"/>
      <c r="I254" s="33"/>
      <c r="J254" s="33"/>
      <c r="K254" s="33"/>
      <c r="L254" s="33"/>
      <c r="M254" s="33"/>
      <c r="O254" s="33" t="str">
        <f ca="1">IF($R$15="eldritch knight",INDEX('Spell Tables'!C70:C89,MATCH($Q$12,('Spell Tables'!A70:A89),0))," ")</f>
        <v xml:space="preserve"> </v>
      </c>
      <c r="P254" s="33">
        <f ca="1">IF($R$15="eldritch knight",INDEX('Spell Tables'!B70:B89,MATCH($Q$12,('Spell Tables'!A70:A89),0)),0)</f>
        <v>0</v>
      </c>
      <c r="Q254" s="114">
        <f ca="1">IF($Q253="x",RANDBETWEEN(2,3),IF($Q253="xx",$O$254,0))</f>
        <v>0</v>
      </c>
      <c r="R254" s="114">
        <f ca="1">IF(R253="x",RANDBETWEEN(2,3),IF(R253="xx",$O$254-Q254,0))</f>
        <v>0</v>
      </c>
      <c r="S254" s="114">
        <f ca="1">IF(S253="x",O254-SUM(Q254:R254,U181:X181),IF(S253="xx",$O$254-SUM(Q254:R254),0))</f>
        <v>0</v>
      </c>
      <c r="T254" s="114">
        <f ca="1">IF(T253="x",RANDBETWEEN(1,2),IF(T253="xx",RANDBETWEEN(2,3),0))</f>
        <v>0</v>
      </c>
    </row>
    <row r="255" spans="2:20" hidden="1" x14ac:dyDescent="0.3">
      <c r="B255" s="92" t="s">
        <v>1219</v>
      </c>
      <c r="C255" s="33"/>
      <c r="D255" s="33"/>
      <c r="E255" s="33"/>
      <c r="F255" s="33"/>
      <c r="G255" s="33"/>
      <c r="H255" s="33"/>
      <c r="I255" s="33"/>
      <c r="J255" s="33"/>
      <c r="K255" s="33"/>
      <c r="L255" s="33"/>
      <c r="M255" s="33"/>
      <c r="O255" s="33" t="s">
        <v>530</v>
      </c>
      <c r="P255" s="33" t="s">
        <v>530</v>
      </c>
      <c r="Q255" s="114" t="str">
        <f>IF(AND($Q$11="druid",$Q$12&gt;=3),"x",IF($Q$11="druid","xx"," "))</f>
        <v xml:space="preserve"> </v>
      </c>
      <c r="R255" s="114" t="str">
        <f>IF(AND($Q$11="druid",$Q$12&gt;=5),"x",IF(AND($Q$11="druid",$Q$12&gt;=3),"xx"," "))</f>
        <v xml:space="preserve"> </v>
      </c>
      <c r="S255" s="114" t="str">
        <f>IF(AND($Q$11="druid",$Q$12&gt;=7),"x",IF(AND($Q$11="druid",$Q$12&gt;=5),"xx"," "))</f>
        <v xml:space="preserve"> </v>
      </c>
      <c r="T255" s="114" t="str">
        <f>IF(AND($Q$11="druid",$Q$12&gt;=9),"x",IF(AND($Q$11="druid",$Q$12&gt;=7),"xx"," "))</f>
        <v xml:space="preserve"> </v>
      </c>
    </row>
    <row r="256" spans="2:20" hidden="1" x14ac:dyDescent="0.3">
      <c r="B256" s="92" t="s">
        <v>1220</v>
      </c>
      <c r="C256" s="33"/>
      <c r="D256" s="33"/>
      <c r="E256" s="33"/>
      <c r="F256" s="33"/>
      <c r="G256" s="33"/>
      <c r="H256" s="33"/>
      <c r="I256" s="33"/>
      <c r="J256" s="95"/>
      <c r="K256" s="95"/>
      <c r="L256" s="95"/>
      <c r="M256" s="95"/>
      <c r="O256" s="33" t="str">
        <f>IF(Q11="druid",Q12+N42," ")</f>
        <v xml:space="preserve"> </v>
      </c>
      <c r="P256" s="33">
        <f>IF($Q$11="druid",INDEX('Spell Tables'!C48:C67,MATCH($Q$12,('Spell Tables'!B48:B67),0)),0)</f>
        <v>0</v>
      </c>
      <c r="Q256" s="114">
        <f ca="1">IF($Q255="x",RANDBETWEEN(1,2),IF($Q255="xx",$O$256,0))</f>
        <v>0</v>
      </c>
      <c r="R256" s="114">
        <f ca="1">IF(R255="x",RANDBETWEEN(1,2),IF(R255="xx",$O$256-Q256,0))</f>
        <v>0</v>
      </c>
      <c r="S256" s="114">
        <f>IF(S255="x",O256-SUM(Q256:R256,U183:X183),IF(S255="xx",$O$256-SUM(Q256:R256),0))</f>
        <v>0</v>
      </c>
      <c r="T256" s="114">
        <f ca="1">IF(T255="x",RANDBETWEEN(1,2),IF(T255="xx",RANDBETWEEN(2,3),0))</f>
        <v>0</v>
      </c>
    </row>
    <row r="257" spans="2:20" hidden="1" x14ac:dyDescent="0.3">
      <c r="B257" s="92" t="s">
        <v>1143</v>
      </c>
      <c r="C257" s="33"/>
      <c r="D257" s="33"/>
      <c r="E257" s="33"/>
      <c r="F257" s="33"/>
      <c r="G257" s="33"/>
      <c r="H257" s="33"/>
      <c r="I257" s="33"/>
      <c r="J257" s="33"/>
      <c r="K257" s="33"/>
      <c r="L257" s="33"/>
      <c r="M257" s="33"/>
      <c r="O257" s="33" t="s">
        <v>530</v>
      </c>
      <c r="P257" s="33" t="s">
        <v>530</v>
      </c>
      <c r="Q257" s="114" t="str">
        <f>IF(AND(Q11="cleric",Q12&gt;=3),"x",IF(Q11="cleric","xx"," "))</f>
        <v xml:space="preserve"> </v>
      </c>
      <c r="R257" s="114" t="str">
        <f>IF(AND(Q11="cleric",Q12&gt;=5),"x",IF(AND($Q$11="cleric",$Q$12&gt;=3),"xx"," "))</f>
        <v xml:space="preserve"> </v>
      </c>
      <c r="S257" s="114" t="str">
        <f>IF(AND(Q11="cleric",Q12&gt;=7),"x",IF(AND($Q$11="cleric",$Q$12&gt;=5),"xx"," "))</f>
        <v xml:space="preserve"> </v>
      </c>
      <c r="T257" s="114" t="str">
        <f>IF(AND(Q11="cleric",Q12&gt;=9),"x",IF(AND($Q$11="cleric",$Q$12&gt;=7),"xx"," "))</f>
        <v xml:space="preserve"> </v>
      </c>
    </row>
    <row r="258" spans="2:20" hidden="1" x14ac:dyDescent="0.3">
      <c r="B258" s="92" t="s">
        <v>1142</v>
      </c>
      <c r="C258" s="33"/>
      <c r="D258" s="33"/>
      <c r="E258" s="33"/>
      <c r="F258" s="33"/>
      <c r="G258" s="33"/>
      <c r="H258" s="33"/>
      <c r="I258" s="33"/>
      <c r="J258" s="33"/>
      <c r="K258" s="33"/>
      <c r="L258" s="33"/>
      <c r="M258" s="33"/>
      <c r="O258" s="33" t="str">
        <f>IF(Q11="cleric",Q12+N42," ")</f>
        <v xml:space="preserve"> </v>
      </c>
      <c r="P258" s="33">
        <f>IF($Q$11="cleric",INDEX('Spell Tables'!C26:C45,MATCH($Q$12,('Spell Tables'!B26:B45),0)),0)</f>
        <v>0</v>
      </c>
      <c r="Q258" s="114">
        <f ca="1">IF($Q257="x",RANDBETWEEN(1,2),IF($Q257="xx",$O$258,0))</f>
        <v>0</v>
      </c>
      <c r="R258" s="114">
        <f ca="1">IF(R257="x",RANDBETWEEN(1,2),IF(R257="xx",$O$258-Q258,0))</f>
        <v>0</v>
      </c>
      <c r="S258" s="114">
        <f>IF(S257="x",O258-SUM(Q258:R258,U185:X185),IF(S257="xx",$O$258-SUM(Q258:R258),0))</f>
        <v>0</v>
      </c>
      <c r="T258" s="114">
        <f ca="1">IF(T257="x",RANDBETWEEN(1,2),IF(T257="xx",RANDBETWEEN(2,3),0))</f>
        <v>0</v>
      </c>
    </row>
    <row r="259" spans="2:20" hidden="1" x14ac:dyDescent="0.3">
      <c r="B259" s="92" t="s">
        <v>1248</v>
      </c>
      <c r="C259" s="33"/>
      <c r="D259" s="33"/>
      <c r="E259" s="33"/>
      <c r="F259" s="33"/>
      <c r="G259" s="33"/>
      <c r="H259" s="33"/>
      <c r="I259" s="33"/>
      <c r="J259" s="33"/>
      <c r="K259" s="33"/>
      <c r="L259" s="33"/>
      <c r="M259" s="33"/>
      <c r="O259" s="33" t="s">
        <v>530</v>
      </c>
      <c r="P259" s="33" t="s">
        <v>530</v>
      </c>
      <c r="Q259" s="114" t="str">
        <f>IF(AND($Q$11="bard",$Q$12&gt;=3),"x",IF($Q$11="bard","xx"," "))</f>
        <v xml:space="preserve"> </v>
      </c>
      <c r="R259" s="114" t="str">
        <f>IF(AND($Q$11="bard",$Q$12&gt;=5),"x",IF(AND($Q$11="bard",$Q$12&gt;=3),"xx"," "))</f>
        <v xml:space="preserve"> </v>
      </c>
      <c r="S259" s="114" t="str">
        <f>IF(AND($Q$11="bard",$Q$12&gt;=7),"x",IF(AND($Q$11="bard",$Q$12&gt;=5),"xx"," "))</f>
        <v xml:space="preserve"> </v>
      </c>
      <c r="T259" s="114" t="str">
        <f>IF(AND($Q$11="bard",$Q$12&gt;=9),"x",IF(AND($Q$11="bard",$Q$12&gt;=7),"xx"," "))</f>
        <v xml:space="preserve"> </v>
      </c>
    </row>
    <row r="260" spans="2:20" hidden="1" x14ac:dyDescent="0.3">
      <c r="B260" s="92" t="s">
        <v>1141</v>
      </c>
      <c r="C260" s="33"/>
      <c r="D260" s="33"/>
      <c r="E260" s="33"/>
      <c r="F260" s="33"/>
      <c r="G260" s="33"/>
      <c r="H260" s="33"/>
      <c r="I260" s="33"/>
      <c r="J260" s="33"/>
      <c r="K260" s="33"/>
      <c r="L260" s="33"/>
      <c r="M260" s="33"/>
      <c r="O260" s="33" t="str">
        <f>IF($Q$11="bard",INDEX('Spell Tables'!C$2:C$21,MATCH($Q$12,('Spell Tables'!$A$2:$A$21),0))," ")</f>
        <v xml:space="preserve"> </v>
      </c>
      <c r="P260" s="33">
        <f>IF($Q$11="bard",INDEX('Spell Tables'!B2:B21,MATCH($Q$12,('Spell Tables'!A2:A21),0)),0)</f>
        <v>0</v>
      </c>
      <c r="Q260" s="114">
        <f ca="1">IF($Q259="x",RANDBETWEEN(1,2),IF($Q259="xx",$O$260,0))</f>
        <v>0</v>
      </c>
      <c r="R260" s="114">
        <f ca="1">IF(R259="x",RANDBETWEEN(1,2),IF(R259="xx",$O$260-Q260,0))</f>
        <v>0</v>
      </c>
      <c r="S260" s="114">
        <f>IF(S259="x",O260-SUM(Q260:R260,U187:X187),IF(S259="xx",$O$260-SUM(Q260:R260),0))</f>
        <v>0</v>
      </c>
      <c r="T260" s="114">
        <f ca="1">IF(T259="x",RANDBETWEEN(1,2),IF(T259="xx",RANDBETWEEN(2,3),0))</f>
        <v>0</v>
      </c>
    </row>
    <row r="261" spans="2:20" x14ac:dyDescent="0.3">
      <c r="B261" s="92" t="s">
        <v>1122</v>
      </c>
      <c r="C261" s="33"/>
      <c r="D261" s="33"/>
      <c r="E261" s="33"/>
      <c r="F261" s="33"/>
      <c r="G261" s="33"/>
      <c r="H261" s="33"/>
      <c r="I261" s="33"/>
      <c r="J261" s="33"/>
      <c r="K261" s="33"/>
      <c r="L261" s="33"/>
      <c r="M261" s="33"/>
      <c r="O261" s="33"/>
      <c r="P261" s="92" t="s">
        <v>1124</v>
      </c>
      <c r="Q261" s="92" t="s">
        <v>746</v>
      </c>
      <c r="R261" s="92" t="s">
        <v>747</v>
      </c>
      <c r="S261" s="92" t="s">
        <v>748</v>
      </c>
      <c r="T261" s="92" t="s">
        <v>749</v>
      </c>
    </row>
    <row r="262" spans="2:20" x14ac:dyDescent="0.3">
      <c r="B262" s="33" t="str">
        <f ca="1">IF(OR(Q11="bard",Q11="paladin",Q11="sorcerer",Q11="warlock"),8+$P$8+$N$43,IF(OR(Q11="druid",Q11="cleric",Q11="ranger"),8+P8+N42,IF(OR(R15="eldritch knight",R15="arcane trickster",Q11="wizard"),8+P8+N41," ")))</f>
        <v xml:space="preserve"> </v>
      </c>
      <c r="C262" s="33"/>
      <c r="D262" s="33"/>
      <c r="E262" s="33"/>
      <c r="F262" s="33"/>
      <c r="G262" s="33"/>
      <c r="H262" s="33"/>
      <c r="I262" s="33"/>
      <c r="J262" s="33"/>
      <c r="K262" s="33"/>
      <c r="L262" s="33"/>
      <c r="M262" s="33"/>
      <c r="O262" s="34">
        <v>1</v>
      </c>
      <c r="P262" s="33" t="str">
        <f ca="1">IF(P$242&gt;=O193,INDEX('Spell Tables'!$P$242:$P$257,MATCH(O193,('Spell Tables'!$N$242:$N$257),0)),IF(P$244&gt;=O193,INDEX('Spell Tables'!$P$194:$P$201,MATCH(O193,('Spell Tables'!$N$194:$N$201),0)),IF(P$246&gt;=O193,INDEX('Spell Tables'!$P$168:$P$183,MATCH(O193,('Spell Tables'!$N$168:$N$183),0)),IF(P$248&gt;=O193,INDEX('Spell Tables'!$P$141:$P$156,MATCH(O193,('Spell Tables'!$N$141:$N$157),0)),IF(P$254&gt;=O193,INDEX('Spell Tables'!$P$70:$P$83,MATCH(O193,('Spell Tables'!$N$70:$N$83),0)),IF(P$256&gt;=O193,INDEX('Spell Tables'!$P$48:$P$55,MATCH(O193,('Spell Tables'!$N$48:$N$55),0)),IF(P$258&gt;=O193,INDEX('Spell Tables'!$P$26:$P$32,MATCH(O193,('Spell Tables'!$N$26:$N$32),0)),IF(P$260&gt;=O193,INDEX('Spell Tables'!$P$2:$P$12,MATCH(O193,('Spell Tables'!$N$2:$N$12),0))," "))))))))</f>
        <v xml:space="preserve"> </v>
      </c>
      <c r="Q262" s="33" t="str">
        <f ca="1">IF(AND($Q$15="Otherworldly patron - great old one",Q$244&gt;=O193),INDEX('Spell Tables'!$T$226:$T$238,MATCH(O193,('Spell Tables'!$R$226:$R$238),0)),IF(AND($Q$15="Otherworldly patron - fiend",Q$244&gt;=O193),INDEX('Spell Tables'!$T$210:$T$222,MATCH(O193,('Spell Tables'!$R$210:$R$222),0)),IF(Q$242&gt;=O193,INDEX($AL$44:$AL$53,MATCH(O193,($AJ$44:$AJ$53),0)),IF(AND($Q$15="Otherworldly patron - archfey",Q$244&gt;=O193),INDEX('Spell Tables'!T$206:$T294,MATCH(O193,('Spell Tables'!$R$194:$R$206),0)),IF(Q$246&gt;=O193,INDEX('Spell Tables'!T268:T287,MATCH(O193,('Spell Tables'!$R$168:$R$187),0)),IF(Q$248&gt;=O193,INDEX('Spell Tables'!T241:T247,MATCH(O193,('Spell Tables'!$R$141:$R$147),0)),IF(Q$250&gt;=O193,INDEX('Spell Tables'!$P$119:$P$131,MATCH(O193,('Spell Tables'!$N$119:$N$131),0)),IF(Q$252&gt;=O193,INDEX('Spell Tables'!$P$97:$P$111,MATCH(O193,('Spell Tables'!$N$97:$N$111),0)),IF(Q$254&gt;=O193,INDEX('Spell Tables'!$T$70:$T$78,MATCH(O193,('Spell Tables'!$R$70:$R$78),0)),IF(Q$256&gt;=O193,INDEX('Spell Tables'!$T$48:$T$63,MATCH(O193,('Spell Tables'!$R$48:$R$63),0)),IF(Q$258&gt;=O193,INDEX('Spell Tables'!$T$26:$T$40,MATCH(O193,('Spell Tables'!$R$26:$R$40),0)),IF(Q$260&gt;=O193,INDEX('Spell Tables'!$T$2:$T$22,MATCH(O193,('Spell Tables'!$R$2:$R$22),0))," "))))))))))))</f>
        <v xml:space="preserve"> </v>
      </c>
      <c r="R262" s="33" t="str">
        <f ca="1">IF(AND($Q$15="Otherworldly patron - great old one",R$244&gt;=O193),INDEX('Spell Tables'!$X$226:$X$239,MATCH(O193,('Spell Tables'!$V$226:$V$239),0)),IF(AND($Q$15="Otherworldly patron - fiend",R$244&gt;=O193),INDEX('Spell Tables'!$X$210:$X$223,MATCH(O193,('Spell Tables'!$V$210:$V$223),0)),IF(AND($Q$15="Otherworldly patron - archfey",R$244&gt;=O193),INDEX('Spell Tables'!$X$194:$X$207,MATCH(O193,('Spell Tables'!$V$194:$V$207),0)),IF($R$242&gt;=O193,INDEX($AL$56:$AL$65,MATCH(O193,($AJ$56:$AJ$65),0)),IF($R$246&gt;=O193,INDEX('Spell Tables'!$X$168:$X$191,MATCH(O193,('Spell Tables'!$V$168:$V$191),0)),IF($R$248&gt;=O193,INDEX('Spell Tables'!$AB$141:$AB$149,MATCH(O193,('Spell Tables'!$Z$141:$Z$149),0)),IF($R$250&gt;=O193,INDEX('Spell Tables'!T219:T231,MATCH(O193,('Spell Tables'!$R$119:$R$131),0)),IF($R$252&gt;=O193,INDEX('Spell Tables'!$T$97:T204,MATCH(O193,('Spell Tables'!$R$97:$R$104),0)),IF($R$254&gt;=O193,INDEX('Spell Tables'!$AB$70:$AB$75,MATCH(O193,('Spell Tables'!$Z$70:$Z$75),0)),IF($R$256&gt;=O193,INDEX('Spell Tables'!$X$48:$X$65,MATCH(O193,('Spell Tables'!$V$48:$V$65),0)),IF($R$258&gt;=O193,INDEX('Spell Tables'!$X$26:$X$42,MATCH(O193,('Spell Tables'!$V$26:$V$42),0)),IF($R$260&gt;=O193,INDEX('Spell Tables'!$X$2:$X$23,MATCH(O193,('Spell Tables'!$V$2:$V$23),0))," "))))))))))))</f>
        <v xml:space="preserve"> </v>
      </c>
      <c r="S262" s="33" t="str">
        <f ca="1">IF(AND($Q$15="Otherworldly patron - great old one",S$244&gt;=O193),INDEX('Spell Tables'!$AB$226:$AB$238,MATCH(O193,('Spell Tables'!$Z$226:$Z$238),0)),IF(AND($Q$15="Otherworldly patron - fiend",S$244&gt;=O193),INDEX('Spell Tables'!$AB$210:$AB$222,MATCH(O193,('Spell Tables'!$Z$210:$Z$222),0)),IF(AND($Q$15="Otherworldly patron - archfey",S$244&gt;=O193),INDEX('Spell Tables'!$AB$194:$AB$206,MATCH(O193,('Spell Tables'!$Z$194:$Z$206),0)),IF($S$242&gt;=O193,INDEX($AL$68:$AL$77,MATCH(O193,($AJ$68:$AJ$77),0)),IF($S$246&gt;=O193,INDEX('Spell Tables'!$AB$168:$AB$187,MATCH(O193,('Spell Tables'!$Z$168:$Z$187),0)),IF($S$248&gt;=O193,INDEX('Spell Tables'!$AJ$141:$AJ$144,MATCH(O193,('Spell Tables'!$AH$141:$AH$144),0)),IF($S$250&gt;=O193,INDEX('Spell Tables'!$X$119:$X$129,MATCH(O193,('Spell Tables'!$V$119:$V$129),0)),IF($S$252&gt;=O193,INDEX('Spell Tables'!$X$97:$X$106,MATCH(O193,('Spell Tables'!$V$97:$V$106),0)),IF($S$254&gt;=O193,INDEX('Spell Tables'!$AJ$70:$AJ$79,MATCH(O193,('Spell Tables'!$AH$70:$AH$79),0)),IF($S$256&gt;=O193,INDEX('Spell Tables'!$AB$48:$AB$60,MATCH(O193,('Spell Tables'!$Z$48:$Z$60),0)),IF($S$258&gt;=O193,INDEX('Spell Tables'!$AB$26:$AB$45,MATCH(O193,('Spell Tables'!$Z$26:$Z$45),0)),IF($S$260&gt;=O193,INDEX('Spell Tables'!$AB$2:$AB$17,MATCH(O193,('Spell Tables'!$Z$2:$Z$17),0))," "))))))))))))</f>
        <v xml:space="preserve"> </v>
      </c>
      <c r="T262" s="33" t="str">
        <f ca="1">IF(AND($Q$15="Otherworldly patron - great old one",T$244&gt;=O193),INDEX('Spell Tables'!$AF$226:$AF$231,MATCH(O193,('Spell Tables'!$AD$226:$AD$231),0)),IF(AND($Q$15="Otherworldly patron - fiend",T$244&gt;=O193),INDEX('Spell Tables'!$AF$210:$AF$215,MATCH(O193,('Spell Tables'!$AD$210:$AD$215),0)),IF(AND($Q$15="Otherworldly patron - archfey",T$244&gt;=O193),INDEX('Spell Tables'!$AF$194:$AF$199,MATCH(O193,('Spell Tables'!$AD$194:$AD$199),0)),IF($T$242&gt;=O193,INDEX($AL$80:$AL$89,MATCH(O193,($AJ$80:$AJ$89),0)),IF($T$246&gt;=O193,INDEX('Spell Tables'!$AF$168:$AF$177,MATCH(O193,('Spell Tables'!$AD$168:$AD$177),0)),IF($T$248&gt;=O193,INDEX('Spell Tables'!$AR$141:$AR$144,MATCH(O193,('Spell Tables'!$AP$141:$AP$144),0)),IF($T$250&gt;=O193,INDEX('Spell Tables'!$AB$119:$AB$123,MATCH(O193,('Spell Tables'!$Z$119:$Z$123),0)),IF($T$252&gt;=O193,INDEX('Spell Tables'!$AB$97:$AB$102,MATCH(O193,('Spell Tables'!$Z$97:$Z$102),0)),IF($T$254&gt;=O193,INDEX('Spell Tables'!$AR$70:$AR$75,MATCH(O193,('Spell Tables'!$AP$70:$AP$75),0)),IF($T$256&gt;=O193,INDEX('Spell Tables'!$AF$48:$AF$63,MATCH(O193,('Spell Tables'!$AD$48:$AD$63),0)),IF($T$258&gt;=O193,INDEX('Spell Tables'!$AF$26:$AF$33,MATCH(O193,('Spell Tables'!$AD$26:$AD$33),0)),IF($T$260&gt;=O193,INDEX('Spell Tables'!$AF$2:$AF$9,MATCH(O193,('Spell Tables'!$AD$2:$AD$9),0))," "))))))))))))</f>
        <v xml:space="preserve"> </v>
      </c>
    </row>
    <row r="263" spans="2:20" x14ac:dyDescent="0.3">
      <c r="B263" s="92" t="s">
        <v>1123</v>
      </c>
      <c r="C263" s="33"/>
      <c r="D263" s="33"/>
      <c r="E263" s="33"/>
      <c r="F263" s="33"/>
      <c r="G263" s="33"/>
      <c r="H263" s="33"/>
      <c r="I263" s="33"/>
      <c r="J263" s="33"/>
      <c r="K263" s="33"/>
      <c r="L263" s="33"/>
      <c r="M263" s="33"/>
      <c r="O263" s="34">
        <v>2</v>
      </c>
      <c r="P263" s="33" t="str">
        <f ca="1">IF(P$242&gt;=O194,INDEX('Spell Tables'!$P$242:$P$257,MATCH(O194,('Spell Tables'!$N$242:$N$257),0)),IF(P$244&gt;=O194,INDEX('Spell Tables'!$P$194:$P$201,MATCH(O194,('Spell Tables'!$N$194:$N$201),0)),IF(P$246&gt;=O194,INDEX('Spell Tables'!$P$168:$P$183,MATCH(O194,('Spell Tables'!$N$168:$N$183),0)),IF(P$248&gt;=O194,INDEX('Spell Tables'!$P$141:$P$156,MATCH(O194,('Spell Tables'!$N$141:$N$157),0)),IF(P$254&gt;=O194,INDEX('Spell Tables'!$P$70:$P$83,MATCH(O194,('Spell Tables'!$N$70:$N$83),0)),IF(P$256&gt;=O194,INDEX('Spell Tables'!$P$48:$P$55,MATCH(O194,('Spell Tables'!$N$48:$N$55),0)),IF(P$258&gt;=O194,INDEX('Spell Tables'!$P$26:$P$32,MATCH(O194,('Spell Tables'!$N$26:$N$32),0)),IF(P$260&gt;=O194,INDEX('Spell Tables'!$P$2:$P$12,MATCH(O194,('Spell Tables'!$N$2:$N$12),0))," "))))))))</f>
        <v xml:space="preserve"> </v>
      </c>
      <c r="Q263" s="33" t="str">
        <f ca="1">IF(AND($Q$15="Otherworldly patron - great old one",Q$244&gt;=O194),INDEX('Spell Tables'!$T$226:$T$238,MATCH(O194,('Spell Tables'!$R$226:$R$238),0)),IF(AND($Q$15="Otherworldly patron - fiend",Q$244&gt;=O194),INDEX('Spell Tables'!$T$210:$T$222,MATCH(O194,('Spell Tables'!$R$210:$R$222),0)),IF(Q$242&gt;=O194,INDEX($AL$44:$AL$53,MATCH(O194,($AJ$44:$AJ$53),0)),IF(AND($Q$15="Otherworldly patron - archfey",Q$244&gt;=O194),INDEX('Spell Tables'!T$206:$T295,MATCH(O194,('Spell Tables'!$R$194:$R$206),0)),IF(Q$246&gt;=O194,INDEX('Spell Tables'!T269:T288,MATCH(O194,('Spell Tables'!$R$168:$R$187),0)),IF(Q$248&gt;=O194,INDEX('Spell Tables'!T242:T248,MATCH(O194,('Spell Tables'!$R$141:$R$147),0)),IF(Q$250&gt;=O194,INDEX('Spell Tables'!$P$119:$P$131,MATCH(O194,('Spell Tables'!$N$119:$N$131),0)),IF(Q$252&gt;=O194,INDEX('Spell Tables'!$P$97:$P$111,MATCH(O194,('Spell Tables'!$N$97:$N$111),0)),IF(Q$254&gt;=O194,INDEX('Spell Tables'!$T$70:$T$78,MATCH(O194,('Spell Tables'!$R$70:$R$78),0)),IF(Q$256&gt;=O194,INDEX('Spell Tables'!$T$48:$T$63,MATCH(O194,('Spell Tables'!$R$48:$R$63),0)),IF(Q$258&gt;=O194,INDEX('Spell Tables'!$T$26:$T$40,MATCH(O194,('Spell Tables'!$R$26:$R$40),0)),IF(Q$260&gt;=O194,INDEX('Spell Tables'!$T$2:$T$22,MATCH(O194,('Spell Tables'!$R$2:$R$22),0))," "))))))))))))</f>
        <v xml:space="preserve"> </v>
      </c>
      <c r="R263" s="33" t="str">
        <f ca="1">IF(AND($Q$15="Otherworldly patron - great old one",R$244&gt;=O194),INDEX('Spell Tables'!$X$226:$X$239,MATCH(O194,('Spell Tables'!$V$226:$V$239),0)),IF(AND($Q$15="Otherworldly patron - fiend",R$244&gt;=O194),INDEX('Spell Tables'!$X$210:$X$223,MATCH(O194,('Spell Tables'!$V$210:$V$223),0)),IF(AND($Q$15="Otherworldly patron - archfey",R$244&gt;=O194),INDEX('Spell Tables'!$X$194:$X$207,MATCH(O194,('Spell Tables'!$V$194:$V$207),0)),IF($R$242&gt;=O194,INDEX($AL$56:$AL$65,MATCH(O194,($AJ$56:$AJ$65),0)),IF($R$246&gt;=O194,INDEX('Spell Tables'!$X$168:$X$191,MATCH(O194,('Spell Tables'!$V$168:$V$191),0)),IF($R$248&gt;=O194,INDEX('Spell Tables'!$AB$141:$AB$149,MATCH(O194,('Spell Tables'!$Z$141:$Z$149),0)),IF($R$250&gt;=O194,INDEX('Spell Tables'!T220:T232,MATCH(O194,('Spell Tables'!$R$119:$R$131),0)),IF($R$252&gt;=O194,INDEX('Spell Tables'!$T$97:T205,MATCH(O194,('Spell Tables'!$R$97:$R$104),0)),IF($R$254&gt;=O194,INDEX('Spell Tables'!$AB$70:$AB$75,MATCH(O194,('Spell Tables'!$Z$70:$Z$75),0)),IF($R$256&gt;=O194,INDEX('Spell Tables'!$X$48:$X$65,MATCH(O194,('Spell Tables'!$V$48:$V$65),0)),IF($R$258&gt;=O194,INDEX('Spell Tables'!$X$26:$X$42,MATCH(O194,('Spell Tables'!$V$26:$V$42),0)),IF($R$260&gt;=O194,INDEX('Spell Tables'!$X$2:$X$23,MATCH(O194,('Spell Tables'!$V$2:$V$23),0))," "))))))))))))</f>
        <v xml:space="preserve"> </v>
      </c>
      <c r="S263" s="33" t="str">
        <f ca="1">IF(AND($Q$15="Otherworldly patron - great old one",S$244&gt;=O194),INDEX('Spell Tables'!$AB$226:$AB$238,MATCH(O194,('Spell Tables'!$Z$226:$Z$238),0)),IF(AND($Q$15="Otherworldly patron - fiend",S$244&gt;=O194),INDEX('Spell Tables'!$AB$210:$AB$222,MATCH(O194,('Spell Tables'!$Z$210:$Z$222),0)),IF(AND($Q$15="Otherworldly patron - archfey",S$244&gt;=O194),INDEX('Spell Tables'!$AB$194:$AB$206,MATCH(O194,('Spell Tables'!$Z$194:$Z$206),0)),IF($S$242&gt;=O194,INDEX($AL$68:$AL$77,MATCH(O194,($AJ$68:$AJ$77),0)),IF($S$246&gt;=O194,INDEX('Spell Tables'!$AB$168:$AB$187,MATCH(O194,('Spell Tables'!$Z$168:$Z$187),0)),IF($S$248&gt;=O194,INDEX('Spell Tables'!$AJ$141:$AJ$144,MATCH(O194,('Spell Tables'!$AH$141:$AH$144),0)),IF($S$250&gt;=O194,INDEX('Spell Tables'!$X$119:$X$129,MATCH(O194,('Spell Tables'!$V$119:$V$129),0)),IF($S$252&gt;=O194,INDEX('Spell Tables'!$X$97:$X$106,MATCH(O194,('Spell Tables'!$V$97:$V$106),0)),IF($S$254&gt;=O194,INDEX('Spell Tables'!$AJ$70:$AJ$79,MATCH(O194,('Spell Tables'!$AH$70:$AH$79),0)),IF($S$256&gt;=O194,INDEX('Spell Tables'!$AB$48:$AB$60,MATCH(O194,('Spell Tables'!$Z$48:$Z$60),0)),IF($S$258&gt;=O194,INDEX('Spell Tables'!$AB$26:$AB$45,MATCH(O194,('Spell Tables'!$Z$26:$Z$45),0)),IF($S$260&gt;=O194,INDEX('Spell Tables'!$AB$2:$AB$17,MATCH(O194,('Spell Tables'!$Z$2:$Z$17),0))," "))))))))))))</f>
        <v xml:space="preserve"> </v>
      </c>
      <c r="T263" s="33" t="str">
        <f ca="1">IF(AND($Q$15="Otherworldly patron - great old one",T$244&gt;=O194),INDEX('Spell Tables'!$AF$226:$AF$231,MATCH(O194,('Spell Tables'!$AD$226:$AD$231),0)),IF(AND($Q$15="Otherworldly patron - fiend",T$244&gt;=O194),INDEX('Spell Tables'!$AF$210:$AF$215,MATCH(O194,('Spell Tables'!$AD$210:$AD$215),0)),IF(AND($Q$15="Otherworldly patron - archfey",T$244&gt;=O194),INDEX('Spell Tables'!$AF$194:$AF$199,MATCH(O194,('Spell Tables'!$AD$194:$AD$199),0)),IF($T$242&gt;=O194,INDEX($AL$80:$AL$89,MATCH(O194,($AJ$80:$AJ$89),0)),IF($T$246&gt;=O194,INDEX('Spell Tables'!$AF$168:$AF$177,MATCH(O194,('Spell Tables'!$AD$168:$AD$177),0)),IF($T$248&gt;=O194,INDEX('Spell Tables'!$AR$141:$AR$144,MATCH(O194,('Spell Tables'!$AP$141:$AP$144),0)),IF($T$250&gt;=O194,INDEX('Spell Tables'!$AB$119:$AB$123,MATCH(O194,('Spell Tables'!$Z$119:$Z$123),0)),IF($T$252&gt;=O194,INDEX('Spell Tables'!$AB$97:$AB$102,MATCH(O194,('Spell Tables'!$Z$97:$Z$102),0)),IF($T$254&gt;=O194,INDEX('Spell Tables'!$AR$70:$AR$75,MATCH(O194,('Spell Tables'!$AP$70:$AP$75),0)),IF($T$256&gt;=O194,INDEX('Spell Tables'!$AF$48:$AF$63,MATCH(O194,('Spell Tables'!$AD$48:$AD$63),0)),IF($T$258&gt;=O194,INDEX('Spell Tables'!$AF$26:$AF$33,MATCH(O194,('Spell Tables'!$AD$26:$AD$33),0)),IF($T$260&gt;=O194,INDEX('Spell Tables'!$AF$2:$AF$9,MATCH(O194,('Spell Tables'!$AD$2:$AD$9),0))," "))))))))))))</f>
        <v xml:space="preserve"> </v>
      </c>
    </row>
    <row r="264" spans="2:20" x14ac:dyDescent="0.3">
      <c r="B264" s="33" t="str">
        <f ca="1">IF(OR(Q11="bard",Q11="paladin",Q11="sorcerer",Q11="warlock"),P8+$N$43,IF(OR(Q11="druid",Q11="cleric",Q11="ranger"),P8+N42,IF(OR(R15="eldritch knight",R15="arcane trickster",Q11="wizard"),P8+N41," ")))</f>
        <v xml:space="preserve"> </v>
      </c>
      <c r="C264" s="33"/>
      <c r="D264" s="33"/>
      <c r="E264" s="33"/>
      <c r="F264" s="33"/>
      <c r="G264" s="33"/>
      <c r="H264" s="33"/>
      <c r="I264" s="33"/>
      <c r="J264" s="33"/>
      <c r="K264" s="33"/>
      <c r="L264" s="33"/>
      <c r="M264" s="33"/>
      <c r="O264" s="34">
        <v>3</v>
      </c>
      <c r="P264" s="33" t="str">
        <f ca="1">IF(P$242&gt;=O195,INDEX('Spell Tables'!$P$242:$P$257,MATCH(O195,('Spell Tables'!$N$242:$N$257),0)),IF(P$244&gt;=O195,INDEX('Spell Tables'!$P$194:$P$201,MATCH(O195,('Spell Tables'!$N$194:$N$201),0)),IF(P$246&gt;=O195,INDEX('Spell Tables'!$P$168:$P$183,MATCH(O195,('Spell Tables'!$N$168:$N$183),0)),IF(P$248&gt;=O195,INDEX('Spell Tables'!$P$141:$P$156,MATCH(O195,('Spell Tables'!$N$141:$N$157),0)),IF(P$254&gt;=O195,INDEX('Spell Tables'!$P$70:$P$83,MATCH(O195,('Spell Tables'!$N$70:$N$83),0)),IF(P$256&gt;=O195,INDEX('Spell Tables'!$P$48:$P$55,MATCH(O195,('Spell Tables'!$N$48:$N$55),0)),IF(P$258&gt;=O195,INDEX('Spell Tables'!$P$26:$P$32,MATCH(O195,('Spell Tables'!$N$26:$N$32),0)),IF(P$260&gt;=O195,INDEX('Spell Tables'!$P$2:$P$12,MATCH(O195,('Spell Tables'!$N$2:$N$12),0))," "))))))))</f>
        <v xml:space="preserve"> </v>
      </c>
      <c r="Q264" s="33" t="str">
        <f ca="1">IF(AND($Q$15="Otherworldly patron - great old one",Q$244&gt;=O195),INDEX('Spell Tables'!$T$226:$T$238,MATCH(O195,('Spell Tables'!$R$226:$R$238),0)),IF(AND($Q$15="Otherworldly patron - fiend",Q$244&gt;=O195),INDEX('Spell Tables'!$T$210:$T$222,MATCH(O195,('Spell Tables'!$R$210:$R$222),0)),IF(Q$242&gt;=O195,INDEX($AL$44:$AL$53,MATCH(O195,($AJ$44:$AJ$53),0)),IF(AND($Q$15="Otherworldly patron - archfey",Q$244&gt;=O195),INDEX('Spell Tables'!T$206:$T296,MATCH(O195,('Spell Tables'!$R$194:$R$206),0)),IF(Q$246&gt;=O195,INDEX('Spell Tables'!T270:T289,MATCH(O195,('Spell Tables'!$R$168:$R$187),0)),IF(Q$248&gt;=O195,INDEX('Spell Tables'!T243:T249,MATCH(O195,('Spell Tables'!$R$141:$R$147),0)),IF(Q$250&gt;=O195,INDEX('Spell Tables'!$P$119:$P$131,MATCH(O195,('Spell Tables'!$N$119:$N$131),0)),IF(Q$252&gt;=O195,INDEX('Spell Tables'!$P$97:$P$111,MATCH(O195,('Spell Tables'!$N$97:$N$111),0)),IF(Q$254&gt;=O195,INDEX('Spell Tables'!$T$70:$T$78,MATCH(O195,('Spell Tables'!$R$70:$R$78),0)),IF(Q$256&gt;=O195,INDEX('Spell Tables'!$T$48:$T$63,MATCH(O195,('Spell Tables'!$R$48:$R$63),0)),IF(Q$258&gt;=O195,INDEX('Spell Tables'!$T$26:$T$40,MATCH(O195,('Spell Tables'!$R$26:$R$40),0)),IF(Q$260&gt;=O195,INDEX('Spell Tables'!$T$2:$T$22,MATCH(O195,('Spell Tables'!$R$2:$R$22),0))," "))))))))))))</f>
        <v xml:space="preserve"> </v>
      </c>
      <c r="R264" s="33" t="str">
        <f ca="1">IF(AND($Q$15="Otherworldly patron - great old one",R$244&gt;=O195),INDEX('Spell Tables'!$X$226:$X$239,MATCH(O195,('Spell Tables'!$V$226:$V$239),0)),IF(AND($Q$15="Otherworldly patron - fiend",R$244&gt;=O195),INDEX('Spell Tables'!$X$210:$X$223,MATCH(O195,('Spell Tables'!$V$210:$V$223),0)),IF(AND($Q$15="Otherworldly patron - archfey",R$244&gt;=O195),INDEX('Spell Tables'!$X$194:$X$207,MATCH(O195,('Spell Tables'!$V$194:$V$207),0)),IF($R$242&gt;=O195,INDEX($AL$56:$AL$65,MATCH(O195,($AJ$56:$AJ$65),0)),IF($R$246&gt;=O195,INDEX('Spell Tables'!$X$168:$X$191,MATCH(O195,('Spell Tables'!$V$168:$V$191),0)),IF($R$248&gt;=O195,INDEX('Spell Tables'!$AB$141:$AB$149,MATCH(O195,('Spell Tables'!$Z$141:$Z$149),0)),IF($R$250&gt;=O195,INDEX('Spell Tables'!T221:T233,MATCH(O195,('Spell Tables'!$R$119:$R$131),0)),IF($R$252&gt;=O195,INDEX('Spell Tables'!$T$97:T206,MATCH(O195,('Spell Tables'!$R$97:$R$104),0)),IF($R$254&gt;=O195,INDEX('Spell Tables'!$AB$70:$AB$75,MATCH(O195,('Spell Tables'!$Z$70:$Z$75),0)),IF($R$256&gt;=O195,INDEX('Spell Tables'!$X$48:$X$65,MATCH(O195,('Spell Tables'!$V$48:$V$65),0)),IF($R$258&gt;=O195,INDEX('Spell Tables'!$X$26:$X$42,MATCH(O195,('Spell Tables'!$V$26:$V$42),0)),IF($R$260&gt;=O195,INDEX('Spell Tables'!$X$2:$X$23,MATCH(O195,('Spell Tables'!$V$2:$V$23),0))," "))))))))))))</f>
        <v xml:space="preserve"> </v>
      </c>
      <c r="S264" s="33" t="str">
        <f ca="1">IF(AND($Q$15="Otherworldly patron - great old one",S$244&gt;=O195),INDEX('Spell Tables'!$AB$226:$AB$238,MATCH(O195,('Spell Tables'!$Z$226:$Z$238),0)),IF(AND($Q$15="Otherworldly patron - fiend",S$244&gt;=O195),INDEX('Spell Tables'!$AB$210:$AB$222,MATCH(O195,('Spell Tables'!$Z$210:$Z$222),0)),IF(AND($Q$15="Otherworldly patron - archfey",S$244&gt;=O195),INDEX('Spell Tables'!$AB$194:$AB$206,MATCH(O195,('Spell Tables'!$Z$194:$Z$206),0)),IF($S$242&gt;=O195,INDEX($AL$68:$AL$77,MATCH(O195,($AJ$68:$AJ$77),0)),IF($S$246&gt;=O195,INDEX('Spell Tables'!$AB$168:$AB$187,MATCH(O195,('Spell Tables'!$Z$168:$Z$187),0)),IF($S$248&gt;=O195,INDEX('Spell Tables'!$AJ$141:$AJ$144,MATCH(O195,('Spell Tables'!$AH$141:$AH$144),0)),IF($S$250&gt;=O195,INDEX('Spell Tables'!$X$119:$X$129,MATCH(O195,('Spell Tables'!$V$119:$V$129),0)),IF($S$252&gt;=O195,INDEX('Spell Tables'!$X$97:$X$106,MATCH(O195,('Spell Tables'!$V$97:$V$106),0)),IF($S$254&gt;=O195,INDEX('Spell Tables'!$AJ$70:$AJ$79,MATCH(O195,('Spell Tables'!$AH$70:$AH$79),0)),IF($S$256&gt;=O195,INDEX('Spell Tables'!$AB$48:$AB$60,MATCH(O195,('Spell Tables'!$Z$48:$Z$60),0)),IF($S$258&gt;=O195,INDEX('Spell Tables'!$AB$26:$AB$45,MATCH(O195,('Spell Tables'!$Z$26:$Z$45),0)),IF($S$260&gt;=O195,INDEX('Spell Tables'!$AB$2:$AB$17,MATCH(O195,('Spell Tables'!$Z$2:$Z$17),0))," "))))))))))))</f>
        <v xml:space="preserve"> </v>
      </c>
      <c r="T264" s="33" t="str">
        <f ca="1">IF(AND($Q$15="Otherworldly patron - great old one",T$244&gt;=O195),INDEX('Spell Tables'!$AF$226:$AF$231,MATCH(O195,('Spell Tables'!$AD$226:$AD$231),0)),IF(AND($Q$15="Otherworldly patron - fiend",T$244&gt;=O195),INDEX('Spell Tables'!$AF$210:$AF$215,MATCH(O195,('Spell Tables'!$AD$210:$AD$215),0)),IF(AND($Q$15="Otherworldly patron - archfey",T$244&gt;=O195),INDEX('Spell Tables'!$AF$194:$AF$199,MATCH(O195,('Spell Tables'!$AD$194:$AD$199),0)),IF($T$242&gt;=O195,INDEX($AL$80:$AL$89,MATCH(O195,($AJ$80:$AJ$89),0)),IF($T$246&gt;=O195,INDEX('Spell Tables'!$AF$168:$AF$177,MATCH(O195,('Spell Tables'!$AD$168:$AD$177),0)),IF($T$248&gt;=O195,INDEX('Spell Tables'!$AR$141:$AR$144,MATCH(O195,('Spell Tables'!$AP$141:$AP$144),0)),IF($T$250&gt;=O195,INDEX('Spell Tables'!$AB$119:$AB$123,MATCH(O195,('Spell Tables'!$Z$119:$Z$123),0)),IF($T$252&gt;=O195,INDEX('Spell Tables'!$AB$97:$AB$102,MATCH(O195,('Spell Tables'!$Z$97:$Z$102),0)),IF($T$254&gt;=O195,INDEX('Spell Tables'!$AR$70:$AR$75,MATCH(O195,('Spell Tables'!$AP$70:$AP$75),0)),IF($T$256&gt;=O195,INDEX('Spell Tables'!$AF$48:$AF$63,MATCH(O195,('Spell Tables'!$AD$48:$AD$63),0)),IF($T$258&gt;=O195,INDEX('Spell Tables'!$AF$26:$AF$33,MATCH(O195,('Spell Tables'!$AD$26:$AD$33),0)),IF($T$260&gt;=O195,INDEX('Spell Tables'!$AF$2:$AF$9,MATCH(O195,('Spell Tables'!$AD$2:$AD$9),0))," "))))))))))))</f>
        <v xml:space="preserve"> </v>
      </c>
    </row>
    <row r="265" spans="2:20" x14ac:dyDescent="0.3">
      <c r="C265" s="33"/>
      <c r="D265" s="33"/>
      <c r="E265" s="33"/>
      <c r="F265" s="33"/>
      <c r="G265" s="33"/>
      <c r="H265" s="33"/>
      <c r="I265" s="33"/>
      <c r="J265" s="33"/>
      <c r="K265" s="33"/>
      <c r="L265" s="33"/>
      <c r="M265" s="33"/>
      <c r="O265" s="34">
        <v>4</v>
      </c>
      <c r="P265" s="33" t="str">
        <f ca="1">IF(P$242&gt;=O196,INDEX('Spell Tables'!$P$242:$P$257,MATCH(O196,('Spell Tables'!$N$242:$N$257),0)),IF(P$244&gt;=O196,INDEX('Spell Tables'!$P$194:$P$201,MATCH(O196,('Spell Tables'!$N$194:$N$201),0)),IF(P$246&gt;=O196,INDEX('Spell Tables'!$P$168:$P$183,MATCH(O196,('Spell Tables'!$N$168:$N$183),0)),IF(P$248&gt;=O196,INDEX('Spell Tables'!$P$141:$P$156,MATCH(O196,('Spell Tables'!$N$141:$N$157),0)),IF(P$254&gt;=O196,INDEX('Spell Tables'!$P$70:$P$83,MATCH(O196,('Spell Tables'!$N$70:$N$83),0)),IF(P$256&gt;=O196,INDEX('Spell Tables'!$P$48:$P$55,MATCH(O196,('Spell Tables'!$N$48:$N$55),0)),IF(P$258&gt;=O196,INDEX('Spell Tables'!$P$26:$P$32,MATCH(O196,('Spell Tables'!$N$26:$N$32),0)),IF(P$260&gt;=O196,INDEX('Spell Tables'!$P$2:$P$12,MATCH(O196,('Spell Tables'!$N$2:$N$12),0))," "))))))))</f>
        <v xml:space="preserve"> </v>
      </c>
      <c r="Q265" s="33" t="str">
        <f ca="1">IF(AND($Q$15="Otherworldly patron - great old one",Q$244&gt;=O196),INDEX('Spell Tables'!$T$226:$T$238,MATCH(O196,('Spell Tables'!$R$226:$R$238),0)),IF(AND($Q$15="Otherworldly patron - fiend",Q$244&gt;=O196),INDEX('Spell Tables'!$T$210:$T$222,MATCH(O196,('Spell Tables'!$R$210:$R$222),0)),IF(Q$242&gt;=O196,INDEX($AL$44:$AL$53,MATCH(O196,($AJ$44:$AJ$53),0)),IF(AND($Q$15="Otherworldly patron - archfey",Q$244&gt;=O196),INDEX('Spell Tables'!T$206:$T297,MATCH(O196,('Spell Tables'!$R$194:$R$206),0)),IF(Q$246&gt;=O196,INDEX('Spell Tables'!T271:T290,MATCH(O196,('Spell Tables'!$R$168:$R$187),0)),IF(Q$248&gt;=O196,INDEX('Spell Tables'!T244:T250,MATCH(O196,('Spell Tables'!$R$141:$R$147),0)),IF(Q$250&gt;=O196,INDEX('Spell Tables'!$P$119:$P$131,MATCH(O196,('Spell Tables'!$N$119:$N$131),0)),IF(Q$252&gt;=O196,INDEX('Spell Tables'!$P$97:$P$111,MATCH(O196,('Spell Tables'!$N$97:$N$111),0)),IF(Q$254&gt;=O196,INDEX('Spell Tables'!$T$70:$T$78,MATCH(O196,('Spell Tables'!$R$70:$R$78),0)),IF(Q$256&gt;=O196,INDEX('Spell Tables'!$T$48:$T$63,MATCH(O196,('Spell Tables'!$R$48:$R$63),0)),IF(Q$258&gt;=O196,INDEX('Spell Tables'!$T$26:$T$40,MATCH(O196,('Spell Tables'!$R$26:$R$40),0)),IF(Q$260&gt;=O196,INDEX('Spell Tables'!$T$2:$T$22,MATCH(O196,('Spell Tables'!$R$2:$R$22),0))," "))))))))))))</f>
        <v xml:space="preserve"> </v>
      </c>
      <c r="R265" s="33" t="str">
        <f ca="1">IF(AND($Q$15="Otherworldly patron - great old one",R$244&gt;=O196),INDEX('Spell Tables'!$X$226:$X$239,MATCH(O196,('Spell Tables'!$V$226:$V$239),0)),IF(AND($Q$15="Otherworldly patron - fiend",R$244&gt;=O196),INDEX('Spell Tables'!$X$210:$X$223,MATCH(O196,('Spell Tables'!$V$210:$V$223),0)),IF(AND($Q$15="Otherworldly patron - archfey",R$244&gt;=O196),INDEX('Spell Tables'!$X$194:$X$207,MATCH(O196,('Spell Tables'!$V$194:$V$207),0)),IF($R$242&gt;=O196,INDEX($AL$56:$AL$65,MATCH(O196,($AJ$56:$AJ$65),0)),IF($R$246&gt;=O196,INDEX('Spell Tables'!$X$168:$X$191,MATCH(O196,('Spell Tables'!$V$168:$V$191),0)),IF($R$248&gt;=O196,INDEX('Spell Tables'!$AB$141:$AB$149,MATCH(O196,('Spell Tables'!$Z$141:$Z$149),0)),IF($R$250&gt;=O196,INDEX('Spell Tables'!T222:T234,MATCH(O196,('Spell Tables'!$R$119:$R$131),0)),IF($R$252&gt;=O196,INDEX('Spell Tables'!$T$97:T207,MATCH(O196,('Spell Tables'!$R$97:$R$104),0)),IF($R$254&gt;=O196,INDEX('Spell Tables'!$AB$70:$AB$75,MATCH(O196,('Spell Tables'!$Z$70:$Z$75),0)),IF($R$256&gt;=O196,INDEX('Spell Tables'!$X$48:$X$65,MATCH(O196,('Spell Tables'!$V$48:$V$65),0)),IF($R$258&gt;=O196,INDEX('Spell Tables'!$X$26:$X$42,MATCH(O196,('Spell Tables'!$V$26:$V$42),0)),IF($R$260&gt;=O196,INDEX('Spell Tables'!$X$2:$X$23,MATCH(O196,('Spell Tables'!$V$2:$V$23),0))," "))))))))))))</f>
        <v xml:space="preserve"> </v>
      </c>
      <c r="S265" s="33" t="str">
        <f ca="1">IF(AND($Q$15="Otherworldly patron - great old one",S$244&gt;=O196),INDEX('Spell Tables'!$AB$226:$AB$238,MATCH(O196,('Spell Tables'!$Z$226:$Z$238),0)),IF(AND($Q$15="Otherworldly patron - fiend",S$244&gt;=O196),INDEX('Spell Tables'!$AB$210:$AB$222,MATCH(O196,('Spell Tables'!$Z$210:$Z$222),0)),IF(AND($Q$15="Otherworldly patron - archfey",S$244&gt;=O196),INDEX('Spell Tables'!$AB$194:$AB$206,MATCH(O196,('Spell Tables'!$Z$194:$Z$206),0)),IF($S$242&gt;=O196,INDEX($AL$68:$AL$77,MATCH(O196,($AJ$68:$AJ$77),0)),IF($S$246&gt;=O196,INDEX('Spell Tables'!$AB$168:$AB$187,MATCH(O196,('Spell Tables'!$Z$168:$Z$187),0)),IF($S$248&gt;=O196,INDEX('Spell Tables'!$AJ$141:$AJ$144,MATCH(O196,('Spell Tables'!$AH$141:$AH$144),0)),IF($S$250&gt;=O196,INDEX('Spell Tables'!$X$119:$X$129,MATCH(O196,('Spell Tables'!$V$119:$V$129),0)),IF($S$252&gt;=O196,INDEX('Spell Tables'!$X$97:$X$106,MATCH(O196,('Spell Tables'!$V$97:$V$106),0)),IF($S$254&gt;=O196,INDEX('Spell Tables'!$AJ$70:$AJ$79,MATCH(O196,('Spell Tables'!$AH$70:$AH$79),0)),IF($S$256&gt;=O196,INDEX('Spell Tables'!$AB$48:$AB$60,MATCH(O196,('Spell Tables'!$Z$48:$Z$60),0)),IF($S$258&gt;=O196,INDEX('Spell Tables'!$AB$26:$AB$45,MATCH(O196,('Spell Tables'!$Z$26:$Z$45),0)),IF($S$260&gt;=O196,INDEX('Spell Tables'!$AB$2:$AB$17,MATCH(O196,('Spell Tables'!$Z$2:$Z$17),0))," "))))))))))))</f>
        <v xml:space="preserve"> </v>
      </c>
      <c r="T265" s="33" t="str">
        <f ca="1">IF(AND($Q$15="Otherworldly patron - great old one",T$244&gt;=O196),INDEX('Spell Tables'!$AF$226:$AF$231,MATCH(O196,('Spell Tables'!$AD$226:$AD$231),0)),IF(AND($Q$15="Otherworldly patron - fiend",T$244&gt;=O196),INDEX('Spell Tables'!$AF$210:$AF$215,MATCH(O196,('Spell Tables'!$AD$210:$AD$215),0)),IF(AND($Q$15="Otherworldly patron - archfey",T$244&gt;=O196),INDEX('Spell Tables'!$AF$194:$AF$199,MATCH(O196,('Spell Tables'!$AD$194:$AD$199),0)),IF($T$242&gt;=O196,INDEX($AL$80:$AL$89,MATCH(O196,($AJ$80:$AJ$89),0)),IF($T$246&gt;=O196,INDEX('Spell Tables'!$AF$168:$AF$177,MATCH(O196,('Spell Tables'!$AD$168:$AD$177),0)),IF($T$248&gt;=O196,INDEX('Spell Tables'!$AR$141:$AR$144,MATCH(O196,('Spell Tables'!$AP$141:$AP$144),0)),IF($T$250&gt;=O196,INDEX('Spell Tables'!$AB$119:$AB$123,MATCH(O196,('Spell Tables'!$Z$119:$Z$123),0)),IF($T$252&gt;=O196,INDEX('Spell Tables'!$AB$97:$AB$102,MATCH(O196,('Spell Tables'!$Z$97:$Z$102),0)),IF($T$254&gt;=O196,INDEX('Spell Tables'!$AR$70:$AR$75,MATCH(O196,('Spell Tables'!$AP$70:$AP$75),0)),IF($T$256&gt;=O196,INDEX('Spell Tables'!$AF$48:$AF$63,MATCH(O196,('Spell Tables'!$AD$48:$AD$63),0)),IF($T$258&gt;=O196,INDEX('Spell Tables'!$AF$26:$AF$33,MATCH(O196,('Spell Tables'!$AD$26:$AD$33),0)),IF($T$260&gt;=O196,INDEX('Spell Tables'!$AF$2:$AF$9,MATCH(O196,('Spell Tables'!$AD$2:$AD$9),0))," "))))))))))))</f>
        <v xml:space="preserve"> </v>
      </c>
    </row>
    <row r="266" spans="2:20" x14ac:dyDescent="0.3">
      <c r="C266" s="33"/>
      <c r="D266" s="33"/>
      <c r="E266" s="33"/>
      <c r="F266" s="33"/>
      <c r="G266" s="33"/>
      <c r="H266" s="33"/>
      <c r="I266" s="33"/>
      <c r="J266" s="33"/>
      <c r="K266" s="33"/>
      <c r="L266" s="33"/>
      <c r="M266" s="33"/>
      <c r="O266" s="34">
        <v>5</v>
      </c>
      <c r="P266" s="33" t="str">
        <f ca="1">IF(P$242&gt;=O197,INDEX('Spell Tables'!$P$242:$P$257,MATCH(O197,('Spell Tables'!$N$242:$N$257),0)),IF(P$244&gt;=O197,INDEX('Spell Tables'!$P$194:$P$201,MATCH(O197,('Spell Tables'!$N$194:$N$201),0)),IF(P$246&gt;=O197,INDEX('Spell Tables'!$P$168:$P$183,MATCH(O197,('Spell Tables'!$N$168:$N$183),0)),IF(P$248&gt;=O197,INDEX('Spell Tables'!$P$141:$P$156,MATCH(O197,('Spell Tables'!$N$141:$N$157),0)),IF(P$254&gt;=O197,INDEX('Spell Tables'!$P$70:$P$83,MATCH(O197,('Spell Tables'!$N$70:$N$83),0)),IF(P$256&gt;=O197,INDEX('Spell Tables'!$P$48:$P$55,MATCH(O197,('Spell Tables'!$N$48:$N$55),0)),IF(P$258&gt;=O197,INDEX('Spell Tables'!$P$26:$P$32,MATCH(O197,('Spell Tables'!$N$26:$N$32),0)),IF(P$260&gt;=O197,INDEX('Spell Tables'!$P$2:$P$12,MATCH(O197,('Spell Tables'!$N$2:$N$12),0))," "))))))))</f>
        <v xml:space="preserve"> </v>
      </c>
      <c r="Q266" s="33" t="str">
        <f ca="1">IF(AND($Q$15="Otherworldly patron - great old one",Q$244&gt;=O197),INDEX('Spell Tables'!$T$226:$T$238,MATCH(O197,('Spell Tables'!$R$226:$R$238),0)),IF(AND($Q$15="Otherworldly patron - fiend",Q$244&gt;=O197),INDEX('Spell Tables'!$T$210:$T$222,MATCH(O197,('Spell Tables'!$R$210:$R$222),0)),IF(Q$242&gt;=O197,INDEX($AL$44:$AL$53,MATCH(O197,($AJ$44:$AJ$53),0)),IF(AND($Q$15="Otherworldly patron - archfey",Q$244&gt;=O197),INDEX('Spell Tables'!T$206:$T298,MATCH(O197,('Spell Tables'!$R$194:$R$206),0)),IF(Q$246&gt;=O197,INDEX('Spell Tables'!T272:T291,MATCH(O197,('Spell Tables'!$R$168:$R$187),0)),IF(Q$248&gt;=O197,INDEX('Spell Tables'!T245:T251,MATCH(O197,('Spell Tables'!$R$141:$R$147),0)),IF(Q$250&gt;=O197,INDEX('Spell Tables'!$P$119:$P$131,MATCH(O197,('Spell Tables'!$N$119:$N$131),0)),IF(Q$252&gt;=O197,INDEX('Spell Tables'!$P$97:$P$111,MATCH(O197,('Spell Tables'!$N$97:$N$111),0)),IF(Q$254&gt;=O197,INDEX('Spell Tables'!$T$70:$T$78,MATCH(O197,('Spell Tables'!$R$70:$R$78),0)),IF(Q$256&gt;=O197,INDEX('Spell Tables'!$T$48:$T$63,MATCH(O197,('Spell Tables'!$R$48:$R$63),0)),IF(Q$258&gt;=O197,INDEX('Spell Tables'!$T$26:$T$40,MATCH(O197,('Spell Tables'!$R$26:$R$40),0)),IF(Q$260&gt;=O197,INDEX('Spell Tables'!$T$2:$T$22,MATCH(O197,('Spell Tables'!$R$2:$R$22),0))," "))))))))))))</f>
        <v xml:space="preserve"> </v>
      </c>
      <c r="R266" s="33" t="str">
        <f ca="1">IF(AND($Q$15="Otherworldly patron - great old one",R$244&gt;=O197),INDEX('Spell Tables'!$X$226:$X$239,MATCH(O197,('Spell Tables'!$V$226:$V$239),0)),IF(AND($Q$15="Otherworldly patron - fiend",R$244&gt;=O197),INDEX('Spell Tables'!$X$210:$X$223,MATCH(O197,('Spell Tables'!$V$210:$V$223),0)),IF(AND($Q$15="Otherworldly patron - archfey",R$244&gt;=O197),INDEX('Spell Tables'!$X$194:$X$207,MATCH(O197,('Spell Tables'!$V$194:$V$207),0)),IF($R$242&gt;=O197,INDEX($AL$56:$AL$65,MATCH(O197,($AJ$56:$AJ$65),0)),IF($R$246&gt;=O197,INDEX('Spell Tables'!$X$168:$X$191,MATCH(O197,('Spell Tables'!$V$168:$V$191),0)),IF($R$248&gt;=O197,INDEX('Spell Tables'!$AB$141:$AB$149,MATCH(O197,('Spell Tables'!$Z$141:$Z$149),0)),IF($R$250&gt;=O197,INDEX('Spell Tables'!T223:T235,MATCH(O197,('Spell Tables'!$R$119:$R$131),0)),IF($R$252&gt;=O197,INDEX('Spell Tables'!$T$97:T208,MATCH(O197,('Spell Tables'!$R$97:$R$104),0)),IF($R$254&gt;=O197,INDEX('Spell Tables'!$AB$70:$AB$75,MATCH(O197,('Spell Tables'!$Z$70:$Z$75),0)),IF($R$256&gt;=O197,INDEX('Spell Tables'!$X$48:$X$65,MATCH(O197,('Spell Tables'!$V$48:$V$65),0)),IF($R$258&gt;=O197,INDEX('Spell Tables'!$X$26:$X$42,MATCH(O197,('Spell Tables'!$V$26:$V$42),0)),IF($R$260&gt;=O197,INDEX('Spell Tables'!$X$2:$X$23,MATCH(O197,('Spell Tables'!$V$2:$V$23),0))," "))))))))))))</f>
        <v xml:space="preserve"> </v>
      </c>
      <c r="S266" s="33" t="str">
        <f ca="1">IF(AND($Q$15="Otherworldly patron - great old one",S$244&gt;=O197),INDEX('Spell Tables'!$AB$226:$AB$238,MATCH(O197,('Spell Tables'!$Z$226:$Z$238),0)),IF(AND($Q$15="Otherworldly patron - fiend",S$244&gt;=O197),INDEX('Spell Tables'!$AB$210:$AB$222,MATCH(O197,('Spell Tables'!$Z$210:$Z$222),0)),IF(AND($Q$15="Otherworldly patron - archfey",S$244&gt;=O197),INDEX('Spell Tables'!$AB$194:$AB$206,MATCH(O197,('Spell Tables'!$Z$194:$Z$206),0)),IF($S$242&gt;=O197,INDEX($AL$68:$AL$77,MATCH(O197,($AJ$68:$AJ$77),0)),IF($S$246&gt;=O197,INDEX('Spell Tables'!$AB$168:$AB$187,MATCH(O197,('Spell Tables'!$Z$168:$Z$187),0)),IF($S$248&gt;=O197,INDEX('Spell Tables'!$AJ$141:$AJ$144,MATCH(O197,('Spell Tables'!$AH$141:$AH$144),0)),IF($S$250&gt;=O197,INDEX('Spell Tables'!$X$119:$X$129,MATCH(O197,('Spell Tables'!$V$119:$V$129),0)),IF($S$252&gt;=O197,INDEX('Spell Tables'!$X$97:$X$106,MATCH(O197,('Spell Tables'!$V$97:$V$106),0)),IF($S$254&gt;=O197,INDEX('Spell Tables'!$AJ$70:$AJ$79,MATCH(O197,('Spell Tables'!$AH$70:$AH$79),0)),IF($S$256&gt;=O197,INDEX('Spell Tables'!$AB$48:$AB$60,MATCH(O197,('Spell Tables'!$Z$48:$Z$60),0)),IF($S$258&gt;=O197,INDEX('Spell Tables'!$AB$26:$AB$45,MATCH(O197,('Spell Tables'!$Z$26:$Z$45),0)),IF($S$260&gt;=O197,INDEX('Spell Tables'!$AB$2:$AB$17,MATCH(O197,('Spell Tables'!$Z$2:$Z$17),0))," "))))))))))))</f>
        <v xml:space="preserve"> </v>
      </c>
      <c r="T266" s="33" t="str">
        <f ca="1">IF(AND($Q$15="Otherworldly patron - great old one",T$244&gt;=O197),INDEX('Spell Tables'!$AF$226:$AF$231,MATCH(O197,('Spell Tables'!$AD$226:$AD$231),0)),IF(AND($Q$15="Otherworldly patron - fiend",T$244&gt;=O197),INDEX('Spell Tables'!$AF$210:$AF$215,MATCH(O197,('Spell Tables'!$AD$210:$AD$215),0)),IF(AND($Q$15="Otherworldly patron - archfey",T$244&gt;=O197),INDEX('Spell Tables'!$AF$194:$AF$199,MATCH(O197,('Spell Tables'!$AD$194:$AD$199),0)),IF($T$242&gt;=O197,INDEX($AL$80:$AL$89,MATCH(O197,($AJ$80:$AJ$89),0)),IF($T$246&gt;=O197,INDEX('Spell Tables'!$AF$168:$AF$177,MATCH(O197,('Spell Tables'!$AD$168:$AD$177),0)),IF($T$248&gt;=O197,INDEX('Spell Tables'!$AR$141:$AR$144,MATCH(O197,('Spell Tables'!$AP$141:$AP$144),0)),IF($T$250&gt;=O197,INDEX('Spell Tables'!$AB$119:$AB$123,MATCH(O197,('Spell Tables'!$Z$119:$Z$123),0)),IF($T$252&gt;=O197,INDEX('Spell Tables'!$AB$97:$AB$102,MATCH(O197,('Spell Tables'!$Z$97:$Z$102),0)),IF($T$254&gt;=O197,INDEX('Spell Tables'!$AR$70:$AR$75,MATCH(O197,('Spell Tables'!$AP$70:$AP$75),0)),IF($T$256&gt;=O197,INDEX('Spell Tables'!$AF$48:$AF$63,MATCH(O197,('Spell Tables'!$AD$48:$AD$63),0)),IF($T$258&gt;=O197,INDEX('Spell Tables'!$AF$26:$AF$33,MATCH(O197,('Spell Tables'!$AD$26:$AD$33),0)),IF($T$260&gt;=O197,INDEX('Spell Tables'!$AF$2:$AF$9,MATCH(O197,('Spell Tables'!$AD$2:$AD$9),0))," "))))))))))))</f>
        <v xml:space="preserve"> </v>
      </c>
    </row>
    <row r="267" spans="2:20" x14ac:dyDescent="0.3">
      <c r="B267" s="33"/>
      <c r="C267" s="33"/>
      <c r="D267" s="33"/>
      <c r="E267" s="33"/>
      <c r="F267" s="33"/>
      <c r="G267" s="33"/>
      <c r="H267" s="33"/>
      <c r="I267" s="33"/>
      <c r="J267" s="33"/>
      <c r="K267" s="33"/>
      <c r="L267" s="33"/>
      <c r="M267" s="33"/>
      <c r="O267" s="34">
        <v>6</v>
      </c>
      <c r="P267" s="33" t="str">
        <f ca="1">IF(P$242&gt;=O198,INDEX('Spell Tables'!$P$242:$P$257,MATCH(O198,('Spell Tables'!$N$242:$N$257),0)),IF(P$244&gt;=O198,INDEX('Spell Tables'!$P$194:$P$201,MATCH(O198,('Spell Tables'!$N$194:$N$201),0)),IF(P$246&gt;=O198,INDEX('Spell Tables'!$P$168:$P$183,MATCH(O198,('Spell Tables'!$N$168:$N$183),0)),IF(P$248&gt;=O198,INDEX('Spell Tables'!$P$141:$P$156,MATCH(O198,('Spell Tables'!$N$141:$N$157),0)),IF(P$254&gt;=O198,INDEX('Spell Tables'!$P$70:$P$83,MATCH(O198,('Spell Tables'!$N$70:$N$83),0)),IF(P$256&gt;=O198,INDEX('Spell Tables'!$P$48:$P$55,MATCH(O198,('Spell Tables'!$N$48:$N$55),0)),IF(P$258&gt;=O198,INDEX('Spell Tables'!$P$26:$P$32,MATCH(O198,('Spell Tables'!$N$26:$N$32),0)),IF(P$260&gt;=O198,INDEX('Spell Tables'!$P$2:$P$12,MATCH(O198,('Spell Tables'!$N$2:$N$12),0))," "))))))))</f>
        <v xml:space="preserve"> </v>
      </c>
      <c r="Q267" s="33" t="str">
        <f ca="1">IF(AND($Q$15="Otherworldly patron - great old one",Q$244&gt;=O198),INDEX('Spell Tables'!$T$226:$T$238,MATCH(O198,('Spell Tables'!$R$226:$R$238),0)),IF(AND($Q$15="Otherworldly patron - fiend",Q$244&gt;=O198),INDEX('Spell Tables'!$T$210:$T$222,MATCH(O198,('Spell Tables'!$R$210:$R$222),0)),IF(Q$242&gt;=O198,INDEX($AL$44:$AL$53,MATCH(O198,($AJ$44:$AJ$53),0)),IF(AND($Q$15="Otherworldly patron - archfey",Q$244&gt;=O198),INDEX('Spell Tables'!T$206:$T299,MATCH(O198,('Spell Tables'!$R$194:$R$206),0)),IF(Q$246&gt;=O198,INDEX('Spell Tables'!T273:T292,MATCH(O198,('Spell Tables'!$R$168:$R$187),0)),IF(Q$248&gt;=O198,INDEX('Spell Tables'!T246:T252,MATCH(O198,('Spell Tables'!$R$141:$R$147),0)),IF(Q$250&gt;=O198,INDEX('Spell Tables'!$P$119:$P$131,MATCH(O198,('Spell Tables'!$N$119:$N$131),0)),IF(Q$252&gt;=O198,INDEX('Spell Tables'!$P$97:$P$111,MATCH(O198,('Spell Tables'!$N$97:$N$111),0)),IF(Q$254&gt;=O198,INDEX('Spell Tables'!$T$70:$T$78,MATCH(O198,('Spell Tables'!$R$70:$R$78),0)),IF(Q$256&gt;=O198,INDEX('Spell Tables'!$T$48:$T$63,MATCH(O198,('Spell Tables'!$R$48:$R$63),0)),IF(Q$258&gt;=O198,INDEX('Spell Tables'!$T$26:$T$40,MATCH(O198,('Spell Tables'!$R$26:$R$40),0)),IF(Q$260&gt;=O198,INDEX('Spell Tables'!$T$2:$T$22,MATCH(O198,('Spell Tables'!$R$2:$R$22),0))," "))))))))))))</f>
        <v xml:space="preserve"> </v>
      </c>
      <c r="R267" s="33" t="str">
        <f ca="1">IF(AND($Q$15="Otherworldly patron - great old one",R$244&gt;=O198),INDEX('Spell Tables'!$X$226:$X$239,MATCH(O198,('Spell Tables'!$V$226:$V$239),0)),IF(AND($Q$15="Otherworldly patron - fiend",R$244&gt;=O198),INDEX('Spell Tables'!$X$210:$X$223,MATCH(O198,('Spell Tables'!$V$210:$V$223),0)),IF(AND($Q$15="Otherworldly patron - archfey",R$244&gt;=O198),INDEX('Spell Tables'!$X$194:$X$207,MATCH(O198,('Spell Tables'!$V$194:$V$207),0)),IF($R$242&gt;=O198,INDEX($AL$56:$AL$65,MATCH(O198,($AJ$56:$AJ$65),0)),IF($R$246&gt;=O198,INDEX('Spell Tables'!$X$168:$X$191,MATCH(O198,('Spell Tables'!$V$168:$V$191),0)),IF($R$248&gt;=O198,INDEX('Spell Tables'!$AB$141:$AB$149,MATCH(O198,('Spell Tables'!$Z$141:$Z$149),0)),IF($R$250&gt;=O198,INDEX('Spell Tables'!T224:T236,MATCH(O198,('Spell Tables'!$R$119:$R$131),0)),IF($R$252&gt;=O198,INDEX('Spell Tables'!$T$97:T209,MATCH(O198,('Spell Tables'!$R$97:$R$104),0)),IF($R$254&gt;=O198,INDEX('Spell Tables'!$AB$70:$AB$75,MATCH(O198,('Spell Tables'!$Z$70:$Z$75),0)),IF($R$256&gt;=O198,INDEX('Spell Tables'!$X$48:$X$65,MATCH(O198,('Spell Tables'!$V$48:$V$65),0)),IF($R$258&gt;=O198,INDEX('Spell Tables'!$X$26:$X$42,MATCH(O198,('Spell Tables'!$V$26:$V$42),0)),IF($R$260&gt;=O198,INDEX('Spell Tables'!$X$2:$X$23,MATCH(O198,('Spell Tables'!$V$2:$V$23),0))," "))))))))))))</f>
        <v xml:space="preserve"> </v>
      </c>
      <c r="S267" s="33" t="str">
        <f ca="1">IF(AND($Q$15="Otherworldly patron - great old one",S$244&gt;=O198),INDEX('Spell Tables'!$AB$226:$AB$238,MATCH(O198,('Spell Tables'!$Z$226:$Z$238),0)),IF(AND($Q$15="Otherworldly patron - fiend",S$244&gt;=O198),INDEX('Spell Tables'!$AB$210:$AB$222,MATCH(O198,('Spell Tables'!$Z$210:$Z$222),0)),IF(AND($Q$15="Otherworldly patron - archfey",S$244&gt;=O198),INDEX('Spell Tables'!$AB$194:$AB$206,MATCH(O198,('Spell Tables'!$Z$194:$Z$206),0)),IF($S$242&gt;=O198,INDEX($AL$68:$AL$77,MATCH(O198,($AJ$68:$AJ$77),0)),IF($S$246&gt;=O198,INDEX('Spell Tables'!$AB$168:$AB$187,MATCH(O198,('Spell Tables'!$Z$168:$Z$187),0)),IF($S$248&gt;=O198,INDEX('Spell Tables'!$AJ$141:$AJ$144,MATCH(O198,('Spell Tables'!$AH$141:$AH$144),0)),IF($S$250&gt;=O198,INDEX('Spell Tables'!$X$119:$X$129,MATCH(O198,('Spell Tables'!$V$119:$V$129),0)),IF($S$252&gt;=O198,INDEX('Spell Tables'!$X$97:$X$106,MATCH(O198,('Spell Tables'!$V$97:$V$106),0)),IF($S$254&gt;=O198,INDEX('Spell Tables'!$AJ$70:$AJ$79,MATCH(O198,('Spell Tables'!$AH$70:$AH$79),0)),IF($S$256&gt;=O198,INDEX('Spell Tables'!$AB$48:$AB$60,MATCH(O198,('Spell Tables'!$Z$48:$Z$60),0)),IF($S$258&gt;=O198,INDEX('Spell Tables'!$AB$26:$AB$45,MATCH(O198,('Spell Tables'!$Z$26:$Z$45),0)),IF($S$260&gt;=O198,INDEX('Spell Tables'!$AB$2:$AB$17,MATCH(O198,('Spell Tables'!$Z$2:$Z$17),0))," "))))))))))))</f>
        <v xml:space="preserve"> </v>
      </c>
      <c r="T267" s="33" t="str">
        <f ca="1">IF(AND($Q$15="Otherworldly patron - great old one",T$244&gt;=O198),INDEX('Spell Tables'!$AF$226:$AF$231,MATCH(O198,('Spell Tables'!$AD$226:$AD$231),0)),IF(AND($Q$15="Otherworldly patron - fiend",T$244&gt;=O198),INDEX('Spell Tables'!$AF$210:$AF$215,MATCH(O198,('Spell Tables'!$AD$210:$AD$215),0)),IF(AND($Q$15="Otherworldly patron - archfey",T$244&gt;=O198),INDEX('Spell Tables'!$AF$194:$AF$199,MATCH(O198,('Spell Tables'!$AD$194:$AD$199),0)),IF($T$242&gt;=O198,INDEX($AL$80:$AL$89,MATCH(O198,($AJ$80:$AJ$89),0)),IF($T$246&gt;=O198,INDEX('Spell Tables'!$AF$168:$AF$177,MATCH(O198,('Spell Tables'!$AD$168:$AD$177),0)),IF($T$248&gt;=O198,INDEX('Spell Tables'!$AR$141:$AR$144,MATCH(O198,('Spell Tables'!$AP$141:$AP$144),0)),IF($T$250&gt;=O198,INDEX('Spell Tables'!$AB$119:$AB$123,MATCH(O198,('Spell Tables'!$Z$119:$Z$123),0)),IF($T$252&gt;=O198,INDEX('Spell Tables'!$AB$97:$AB$102,MATCH(O198,('Spell Tables'!$Z$97:$Z$102),0)),IF($T$254&gt;=O198,INDEX('Spell Tables'!$AR$70:$AR$75,MATCH(O198,('Spell Tables'!$AP$70:$AP$75),0)),IF($T$256&gt;=O198,INDEX('Spell Tables'!$AF$48:$AF$63,MATCH(O198,('Spell Tables'!$AD$48:$AD$63),0)),IF($T$258&gt;=O198,INDEX('Spell Tables'!$AF$26:$AF$33,MATCH(O198,('Spell Tables'!$AD$26:$AD$33),0)),IF($T$260&gt;=O198,INDEX('Spell Tables'!$AF$2:$AF$9,MATCH(O198,('Spell Tables'!$AD$2:$AD$9),0))," "))))))))))))</f>
        <v xml:space="preserve"> </v>
      </c>
    </row>
    <row r="268" spans="2:20" x14ac:dyDescent="0.3">
      <c r="B268" s="33"/>
      <c r="C268" s="33"/>
      <c r="D268" s="33"/>
      <c r="E268" s="33"/>
      <c r="F268" s="33"/>
      <c r="G268" s="33"/>
      <c r="H268" s="33"/>
      <c r="I268" s="33"/>
      <c r="J268" s="33"/>
      <c r="K268" s="33"/>
      <c r="L268" s="33"/>
      <c r="M268" s="33"/>
      <c r="O268" s="34">
        <v>7</v>
      </c>
      <c r="P268" s="33" t="str">
        <f ca="1">IF(P$242&gt;=O199,INDEX('Spell Tables'!$P$242:$P$257,MATCH(O199,('Spell Tables'!$N$242:$N$257),0)),IF(P$244&gt;=O199,INDEX('Spell Tables'!$P$194:$P$201,MATCH(O199,('Spell Tables'!$N$194:$N$201),0)),IF(P$246&gt;=O199,INDEX('Spell Tables'!$P$168:$P$183,MATCH(O199,('Spell Tables'!$N$168:$N$183),0)),IF(P$248&gt;=O199,INDEX('Spell Tables'!$P$141:$P$156,MATCH(O199,('Spell Tables'!$N$141:$N$157),0)),IF(P$254&gt;=O199,INDEX('Spell Tables'!$P$70:$P$83,MATCH(O199,('Spell Tables'!$N$70:$N$83),0)),IF(P$256&gt;=O199,INDEX('Spell Tables'!$P$48:$P$55,MATCH(O199,('Spell Tables'!$N$48:$N$55),0)),IF(P$258&gt;=O199,INDEX('Spell Tables'!$P$26:$P$32,MATCH(O199,('Spell Tables'!$N$26:$N$32),0)),IF(P$260&gt;=O199,INDEX('Spell Tables'!$P$2:$P$12,MATCH(O199,('Spell Tables'!$N$2:$N$12),0))," "))))))))</f>
        <v xml:space="preserve"> </v>
      </c>
      <c r="Q268" s="33" t="str">
        <f ca="1">IF(AND($Q$15="Otherworldly patron - great old one",Q$244&gt;=O199),INDEX('Spell Tables'!$T$226:$T$238,MATCH(O199,('Spell Tables'!$R$226:$R$238),0)),IF(AND($Q$15="Otherworldly patron - fiend",Q$244&gt;=O199),INDEX('Spell Tables'!$T$210:$T$222,MATCH(O199,('Spell Tables'!$R$210:$R$222),0)),IF(Q$242&gt;=O199,INDEX($AL$44:$AL$53,MATCH(O199,($AJ$44:$AJ$53),0)),IF(AND($Q$15="Otherworldly patron - archfey",Q$244&gt;=O199),INDEX('Spell Tables'!T$206:$T300,MATCH(O199,('Spell Tables'!$R$194:$R$206),0)),IF(Q$246&gt;=O199,INDEX('Spell Tables'!T274:T293,MATCH(O199,('Spell Tables'!$R$168:$R$187),0)),IF(Q$248&gt;=O199,INDEX('Spell Tables'!T247:T253,MATCH(O199,('Spell Tables'!$R$141:$R$147),0)),IF(Q$250&gt;=O199,INDEX('Spell Tables'!$P$119:$P$131,MATCH(O199,('Spell Tables'!$N$119:$N$131),0)),IF(Q$252&gt;=O199,INDEX('Spell Tables'!$P$97:$P$111,MATCH(O199,('Spell Tables'!$N$97:$N$111),0)),IF(Q$254&gt;=O199,INDEX('Spell Tables'!$T$70:$T$78,MATCH(O199,('Spell Tables'!$R$70:$R$78),0)),IF(Q$256&gt;=O199,INDEX('Spell Tables'!$T$48:$T$63,MATCH(O199,('Spell Tables'!$R$48:$R$63),0)),IF(Q$258&gt;=O199,INDEX('Spell Tables'!$T$26:$T$40,MATCH(O199,('Spell Tables'!$R$26:$R$40),0)),IF(Q$260&gt;=O199,INDEX('Spell Tables'!$T$2:$T$22,MATCH(O199,('Spell Tables'!$R$2:$R$22),0))," "))))))))))))</f>
        <v xml:space="preserve"> </v>
      </c>
      <c r="R268" s="33" t="str">
        <f ca="1">IF(AND($Q$15="Otherworldly patron - great old one",R$244&gt;=O199),INDEX('Spell Tables'!$X$226:$X$239,MATCH(O199,('Spell Tables'!$V$226:$V$239),0)),IF(AND($Q$15="Otherworldly patron - fiend",R$244&gt;=O199),INDEX('Spell Tables'!$X$210:$X$223,MATCH(O199,('Spell Tables'!$V$210:$V$223),0)),IF(AND($Q$15="Otherworldly patron - archfey",R$244&gt;=O199),INDEX('Spell Tables'!$X$194:$X$207,MATCH(O199,('Spell Tables'!$V$194:$V$207),0)),IF($R$242&gt;=O199,INDEX($AL$56:$AL$65,MATCH(O199,($AJ$56:$AJ$65),0)),IF($R$246&gt;=O199,INDEX('Spell Tables'!$X$168:$X$191,MATCH(O199,('Spell Tables'!$V$168:$V$191),0)),IF($R$248&gt;=O199,INDEX('Spell Tables'!$AB$141:$AB$149,MATCH(O199,('Spell Tables'!$Z$141:$Z$149),0)),IF($R$250&gt;=O199,INDEX('Spell Tables'!T225:T237,MATCH(O199,('Spell Tables'!$R$119:$R$131),0)),IF($R$252&gt;=O199,INDEX('Spell Tables'!$T$97:T210,MATCH(O199,('Spell Tables'!$R$97:$R$104),0)),IF($R$254&gt;=O199,INDEX('Spell Tables'!$AB$70:$AB$75,MATCH(O199,('Spell Tables'!$Z$70:$Z$75),0)),IF($R$256&gt;=O199,INDEX('Spell Tables'!$X$48:$X$65,MATCH(O199,('Spell Tables'!$V$48:$V$65),0)),IF($R$258&gt;=O199,INDEX('Spell Tables'!$X$26:$X$42,MATCH(O199,('Spell Tables'!$V$26:$V$42),0)),IF($R$260&gt;=O199,INDEX('Spell Tables'!$X$2:$X$23,MATCH(O199,('Spell Tables'!$V$2:$V$23),0))," "))))))))))))</f>
        <v xml:space="preserve"> </v>
      </c>
      <c r="S268" s="33" t="str">
        <f ca="1">IF(AND($Q$15="Otherworldly patron - great old one",S$244&gt;=O199),INDEX('Spell Tables'!$AB$226:$AB$238,MATCH(O199,('Spell Tables'!$Z$226:$Z$238),0)),IF(AND($Q$15="Otherworldly patron - fiend",S$244&gt;=O199),INDEX('Spell Tables'!$AB$210:$AB$222,MATCH(O199,('Spell Tables'!$Z$210:$Z$222),0)),IF(AND($Q$15="Otherworldly patron - archfey",S$244&gt;=O199),INDEX('Spell Tables'!$AB$194:$AB$206,MATCH(O199,('Spell Tables'!$Z$194:$Z$206),0)),IF($S$242&gt;=O199,INDEX($AL$68:$AL$77,MATCH(O199,($AJ$68:$AJ$77),0)),IF($S$246&gt;=O199,INDEX('Spell Tables'!$AB$168:$AB$187,MATCH(O199,('Spell Tables'!$Z$168:$Z$187),0)),IF($S$248&gt;=O199,INDEX('Spell Tables'!$AJ$141:$AJ$144,MATCH(O199,('Spell Tables'!$AH$141:$AH$144),0)),IF($S$250&gt;=O199,INDEX('Spell Tables'!$X$119:$X$129,MATCH(O199,('Spell Tables'!$V$119:$V$129),0)),IF($S$252&gt;=O199,INDEX('Spell Tables'!$X$97:$X$106,MATCH(O199,('Spell Tables'!$V$97:$V$106),0)),IF($S$254&gt;=O199,INDEX('Spell Tables'!$AJ$70:$AJ$79,MATCH(O199,('Spell Tables'!$AH$70:$AH$79),0)),IF($S$256&gt;=O199,INDEX('Spell Tables'!$AB$48:$AB$60,MATCH(O199,('Spell Tables'!$Z$48:$Z$60),0)),IF($S$258&gt;=O199,INDEX('Spell Tables'!$AB$26:$AB$45,MATCH(O199,('Spell Tables'!$Z$26:$Z$45),0)),IF($S$260&gt;=O199,INDEX('Spell Tables'!$AB$2:$AB$17,MATCH(O199,('Spell Tables'!$Z$2:$Z$17),0))," "))))))))))))</f>
        <v xml:space="preserve"> </v>
      </c>
      <c r="T268" s="33" t="str">
        <f ca="1">IF(AND($Q$15="Otherworldly patron - great old one",T$244&gt;=O199),INDEX('Spell Tables'!$AF$226:$AF$231,MATCH(O199,('Spell Tables'!$AD$226:$AD$231),0)),IF(AND($Q$15="Otherworldly patron - fiend",T$244&gt;=O199),INDEX('Spell Tables'!$AF$210:$AF$215,MATCH(O199,('Spell Tables'!$AD$210:$AD$215),0)),IF(AND($Q$15="Otherworldly patron - archfey",T$244&gt;=O199),INDEX('Spell Tables'!$AF$194:$AF$199,MATCH(O199,('Spell Tables'!$AD$194:$AD$199),0)),IF($T$242&gt;=O199,INDEX($AL$80:$AL$89,MATCH(O199,($AJ$80:$AJ$89),0)),IF($T$246&gt;=O199,INDEX('Spell Tables'!$AF$168:$AF$177,MATCH(O199,('Spell Tables'!$AD$168:$AD$177),0)),IF($T$248&gt;=O199,INDEX('Spell Tables'!$AR$141:$AR$144,MATCH(O199,('Spell Tables'!$AP$141:$AP$144),0)),IF($T$250&gt;=O199,INDEX('Spell Tables'!$AB$119:$AB$123,MATCH(O199,('Spell Tables'!$Z$119:$Z$123),0)),IF($T$252&gt;=O199,INDEX('Spell Tables'!$AB$97:$AB$102,MATCH(O199,('Spell Tables'!$Z$97:$Z$102),0)),IF($T$254&gt;=O199,INDEX('Spell Tables'!$AR$70:$AR$75,MATCH(O199,('Spell Tables'!$AP$70:$AP$75),0)),IF($T$256&gt;=O199,INDEX('Spell Tables'!$AF$48:$AF$63,MATCH(O199,('Spell Tables'!$AD$48:$AD$63),0)),IF($T$258&gt;=O199,INDEX('Spell Tables'!$AF$26:$AF$33,MATCH(O199,('Spell Tables'!$AD$26:$AD$33),0)),IF($T$260&gt;=O199,INDEX('Spell Tables'!$AF$2:$AF$9,MATCH(O199,('Spell Tables'!$AD$2:$AD$9),0))," "))))))))))))</f>
        <v xml:space="preserve"> </v>
      </c>
    </row>
    <row r="269" spans="2:20" x14ac:dyDescent="0.3">
      <c r="B269" s="33"/>
      <c r="C269" s="33"/>
      <c r="D269" s="33"/>
      <c r="E269" s="33"/>
      <c r="F269" s="33"/>
      <c r="G269" s="33"/>
      <c r="H269" s="33"/>
      <c r="I269" s="33"/>
      <c r="J269" s="33"/>
      <c r="K269" s="33"/>
      <c r="L269" s="33"/>
      <c r="M269" s="33"/>
      <c r="O269" s="34">
        <v>8</v>
      </c>
      <c r="P269" s="33" t="str">
        <f ca="1">IF(P$242&gt;=O200,INDEX('Spell Tables'!$P$242:$P$257,MATCH(O200,('Spell Tables'!$N$242:$N$257),0)),IF(P$244&gt;=O200,INDEX('Spell Tables'!$P$194:$P$201,MATCH(O200,('Spell Tables'!$N$194:$N$201),0)),IF(P$246&gt;=O200,INDEX('Spell Tables'!$P$168:$P$183,MATCH(O200,('Spell Tables'!$N$168:$N$183),0)),IF(P$248&gt;=O200,INDEX('Spell Tables'!$P$141:$P$156,MATCH(O200,('Spell Tables'!$N$141:$N$157),0)),IF(P$254&gt;=O200,INDEX('Spell Tables'!$P$70:$P$83,MATCH(O200,('Spell Tables'!$N$70:$N$83),0)),IF(P$256&gt;=O200,INDEX('Spell Tables'!$P$48:$P$55,MATCH(O200,('Spell Tables'!$N$48:$N$55),0)),IF(P$258&gt;=O200,INDEX('Spell Tables'!$P$26:$P$32,MATCH(O200,('Spell Tables'!$N$26:$N$32),0)),IF(P$260&gt;=O200,INDEX('Spell Tables'!$P$2:$P$12,MATCH(O200,('Spell Tables'!$N$2:$N$12),0))," "))))))))</f>
        <v xml:space="preserve"> </v>
      </c>
      <c r="Q269" s="33" t="str">
        <f ca="1">IF(AND($Q$15="Otherworldly patron - great old one",Q$244&gt;=O200),INDEX('Spell Tables'!$T$226:$T$238,MATCH(O200,('Spell Tables'!$R$226:$R$238),0)),IF(AND($Q$15="Otherworldly patron - fiend",Q$244&gt;=O200),INDEX('Spell Tables'!$T$210:$T$222,MATCH(O200,('Spell Tables'!$R$210:$R$222),0)),IF(Q$242&gt;=O200,INDEX($AL$44:$AL$53,MATCH(O200,($AJ$44:$AJ$53),0)),IF(AND($Q$15="Otherworldly patron - archfey",Q$244&gt;=O200),INDEX('Spell Tables'!T$206:$T301,MATCH(O200,('Spell Tables'!$R$194:$R$206),0)),IF(Q$246&gt;=O200,INDEX('Spell Tables'!T275:T294,MATCH(O200,('Spell Tables'!$R$168:$R$187),0)),IF(Q$248&gt;=O200,INDEX('Spell Tables'!T248:T254,MATCH(O200,('Spell Tables'!$R$141:$R$147),0)),IF(Q$250&gt;=O200,INDEX('Spell Tables'!$P$119:$P$131,MATCH(O200,('Spell Tables'!$N$119:$N$131),0)),IF(Q$252&gt;=O200,INDEX('Spell Tables'!$P$97:$P$111,MATCH(O200,('Spell Tables'!$N$97:$N$111),0)),IF(Q$254&gt;=O200,INDEX('Spell Tables'!$T$70:$T$78,MATCH(O200,('Spell Tables'!$R$70:$R$78),0)),IF(Q$256&gt;=O200,INDEX('Spell Tables'!$T$48:$T$63,MATCH(O200,('Spell Tables'!$R$48:$R$63),0)),IF(Q$258&gt;=O200,INDEX('Spell Tables'!$T$26:$T$40,MATCH(O200,('Spell Tables'!$R$26:$R$40),0)),IF(Q$260&gt;=O200,INDEX('Spell Tables'!$T$2:$T$22,MATCH(O200,('Spell Tables'!$R$2:$R$22),0))," "))))))))))))</f>
        <v xml:space="preserve"> </v>
      </c>
      <c r="R269" s="33" t="str">
        <f ca="1">IF(AND($Q$15="Otherworldly patron - great old one",R$244&gt;=O200),INDEX('Spell Tables'!$X$226:$X$239,MATCH(O200,('Spell Tables'!$V$226:$V$239),0)),IF(AND($Q$15="Otherworldly patron - fiend",R$244&gt;=O200),INDEX('Spell Tables'!$X$210:$X$223,MATCH(O200,('Spell Tables'!$V$210:$V$223),0)),IF(AND($Q$15="Otherworldly patron - archfey",R$244&gt;=O200),INDEX('Spell Tables'!$X$194:$X$207,MATCH(O200,('Spell Tables'!$V$194:$V$207),0)),IF($R$242&gt;=O200,INDEX($AL$56:$AL$65,MATCH(O200,($AJ$56:$AJ$65),0)),IF($R$246&gt;=O200,INDEX('Spell Tables'!$X$168:$X$191,MATCH(O200,('Spell Tables'!$V$168:$V$191),0)),IF($R$248&gt;=O200,INDEX('Spell Tables'!$AB$141:$AB$149,MATCH(O200,('Spell Tables'!$Z$141:$Z$149),0)),IF($R$250&gt;=O200,INDEX('Spell Tables'!T226:T238,MATCH(O200,('Spell Tables'!$R$119:$R$131),0)),IF($R$252&gt;=O200,INDEX('Spell Tables'!$T$97:T211,MATCH(O200,('Spell Tables'!$R$97:$R$104),0)),IF($R$254&gt;=O200,INDEX('Spell Tables'!$AB$70:$AB$75,MATCH(O200,('Spell Tables'!$Z$70:$Z$75),0)),IF($R$256&gt;=O200,INDEX('Spell Tables'!$X$48:$X$65,MATCH(O200,('Spell Tables'!$V$48:$V$65),0)),IF($R$258&gt;=O200,INDEX('Spell Tables'!$X$26:$X$42,MATCH(O200,('Spell Tables'!$V$26:$V$42),0)),IF($R$260&gt;=O200,INDEX('Spell Tables'!$X$2:$X$23,MATCH(O200,('Spell Tables'!$V$2:$V$23),0))," "))))))))))))</f>
        <v xml:space="preserve"> </v>
      </c>
      <c r="S269" s="33" t="str">
        <f ca="1">IF(AND($Q$15="Otherworldly patron - great old one",S$244&gt;=O200),INDEX('Spell Tables'!$AB$226:$AB$238,MATCH(O200,('Spell Tables'!$Z$226:$Z$238),0)),IF(AND($Q$15="Otherworldly patron - fiend",S$244&gt;=O200),INDEX('Spell Tables'!$AB$210:$AB$222,MATCH(O200,('Spell Tables'!$Z$210:$Z$222),0)),IF(AND($Q$15="Otherworldly patron - archfey",S$244&gt;=O200),INDEX('Spell Tables'!$AB$194:$AB$206,MATCH(O200,('Spell Tables'!$Z$194:$Z$206),0)),IF($S$242&gt;=O200,INDEX($AL$68:$AL$77,MATCH(O200,($AJ$68:$AJ$77),0)),IF($S$246&gt;=O200,INDEX('Spell Tables'!$AB$168:$AB$187,MATCH(O200,('Spell Tables'!$Z$168:$Z$187),0)),IF($S$248&gt;=O200,INDEX('Spell Tables'!$AJ$141:$AJ$144,MATCH(O200,('Spell Tables'!$AH$141:$AH$144),0)),IF($S$250&gt;=O200,INDEX('Spell Tables'!$X$119:$X$129,MATCH(O200,('Spell Tables'!$V$119:$V$129),0)),IF($S$252&gt;=O200,INDEX('Spell Tables'!$X$97:$X$106,MATCH(O200,('Spell Tables'!$V$97:$V$106),0)),IF($S$254&gt;=O200,INDEX('Spell Tables'!$AJ$70:$AJ$79,MATCH(O200,('Spell Tables'!$AH$70:$AH$79),0)),IF($S$256&gt;=O200,INDEX('Spell Tables'!$AB$48:$AB$60,MATCH(O200,('Spell Tables'!$Z$48:$Z$60),0)),IF($S$258&gt;=O200,INDEX('Spell Tables'!$AB$26:$AB$45,MATCH(O200,('Spell Tables'!$Z$26:$Z$45),0)),IF($S$260&gt;=O200,INDEX('Spell Tables'!$AB$2:$AB$17,MATCH(O200,('Spell Tables'!$Z$2:$Z$17),0))," "))))))))))))</f>
        <v xml:space="preserve"> </v>
      </c>
      <c r="T269" s="33" t="str">
        <f ca="1">IF(AND($Q$15="Otherworldly patron - great old one",T$244&gt;=O200),INDEX('Spell Tables'!$AF$226:$AF$231,MATCH(O200,('Spell Tables'!$AD$226:$AD$231),0)),IF(AND($Q$15="Otherworldly patron - fiend",T$244&gt;=O200),INDEX('Spell Tables'!$AF$210:$AF$215,MATCH(O200,('Spell Tables'!$AD$210:$AD$215),0)),IF(AND($Q$15="Otherworldly patron - archfey",T$244&gt;=O200),INDEX('Spell Tables'!$AF$194:$AF$199,MATCH(O200,('Spell Tables'!$AD$194:$AD$199),0)),IF($T$242&gt;=O200,INDEX($AL$80:$AL$89,MATCH(O200,($AJ$80:$AJ$89),0)),IF($T$246&gt;=O200,INDEX('Spell Tables'!$AF$168:$AF$177,MATCH(O200,('Spell Tables'!$AD$168:$AD$177),0)),IF($T$248&gt;=O200,INDEX('Spell Tables'!$AR$141:$AR$144,MATCH(O200,('Spell Tables'!$AP$141:$AP$144),0)),IF($T$250&gt;=O200,INDEX('Spell Tables'!$AB$119:$AB$123,MATCH(O200,('Spell Tables'!$Z$119:$Z$123),0)),IF($T$252&gt;=O200,INDEX('Spell Tables'!$AB$97:$AB$102,MATCH(O200,('Spell Tables'!$Z$97:$Z$102),0)),IF($T$254&gt;=O200,INDEX('Spell Tables'!$AR$70:$AR$75,MATCH(O200,('Spell Tables'!$AP$70:$AP$75),0)),IF($T$256&gt;=O200,INDEX('Spell Tables'!$AF$48:$AF$63,MATCH(O200,('Spell Tables'!$AD$48:$AD$63),0)),IF($T$258&gt;=O200,INDEX('Spell Tables'!$AF$26:$AF$33,MATCH(O200,('Spell Tables'!$AD$26:$AD$33),0)),IF($T$260&gt;=O200,INDEX('Spell Tables'!$AF$2:$AF$9,MATCH(O200,('Spell Tables'!$AD$2:$AD$9),0))," "))))))))))))</f>
        <v xml:space="preserve"> </v>
      </c>
    </row>
    <row r="270" spans="2:20" x14ac:dyDescent="0.3">
      <c r="B270" s="33"/>
      <c r="C270" s="33"/>
      <c r="D270" s="33"/>
      <c r="E270" s="33"/>
      <c r="F270" s="33"/>
      <c r="G270" s="33"/>
      <c r="H270" s="33"/>
      <c r="I270" s="33"/>
      <c r="J270" s="33"/>
      <c r="K270" s="33"/>
      <c r="L270" s="33"/>
      <c r="M270" s="33"/>
      <c r="O270" s="34">
        <v>9</v>
      </c>
      <c r="P270" s="33" t="str">
        <f ca="1">IF(P$242&gt;=O201,INDEX('Spell Tables'!$P$242:$P$257,MATCH(O201,('Spell Tables'!$N$242:$N$257),0)),IF(P$244&gt;=O201,INDEX('Spell Tables'!$P$194:$P$201,MATCH(O201,('Spell Tables'!$N$194:$N$201),0)),IF(P$246&gt;=O201,INDEX('Spell Tables'!$P$168:$P$183,MATCH(O201,('Spell Tables'!$N$168:$N$183),0)),IF(P$248&gt;=O201,INDEX('Spell Tables'!$P$141:$P$156,MATCH(O201,('Spell Tables'!$N$141:$N$157),0)),IF(P$254&gt;=O201,INDEX('Spell Tables'!$P$70:$P$83,MATCH(O201,('Spell Tables'!$N$70:$N$83),0)),IF(P$256&gt;=O201,INDEX('Spell Tables'!$P$48:$P$55,MATCH(O201,('Spell Tables'!$N$48:$N$55),0)),IF(P$258&gt;=O201,INDEX('Spell Tables'!$P$26:$P$32,MATCH(O201,('Spell Tables'!$N$26:$N$32),0)),IF(P$260&gt;=O201,INDEX('Spell Tables'!$P$2:$P$12,MATCH(O201,('Spell Tables'!$N$2:$N$12),0))," "))))))))</f>
        <v xml:space="preserve"> </v>
      </c>
      <c r="Q270" s="33" t="str">
        <f ca="1">IF(AND($Q$15="Otherworldly patron - great old one",Q$244&gt;=O201),INDEX('Spell Tables'!$T$226:$T$238,MATCH(O201,('Spell Tables'!$R$226:$R$238),0)),IF(AND($Q$15="Otherworldly patron - fiend",Q$244&gt;=O201),INDEX('Spell Tables'!$T$210:$T$222,MATCH(O201,('Spell Tables'!$R$210:$R$222),0)),IF(Q$242&gt;=O201,INDEX($AL$44:$AL$53,MATCH(O201,($AJ$44:$AJ$53),0)),IF(AND($Q$15="Otherworldly patron - archfey",Q$244&gt;=O201),INDEX('Spell Tables'!T$206:$T302,MATCH(O201,('Spell Tables'!$R$194:$R$206),0)),IF(Q$246&gt;=O201,INDEX('Spell Tables'!T276:T295,MATCH(O201,('Spell Tables'!$R$168:$R$187),0)),IF(Q$248&gt;=O201,INDEX('Spell Tables'!T249:T255,MATCH(O201,('Spell Tables'!$R$141:$R$147),0)),IF(Q$250&gt;=O201,INDEX('Spell Tables'!$P$119:$P$131,MATCH(O201,('Spell Tables'!$N$119:$N$131),0)),IF(Q$252&gt;=O201,INDEX('Spell Tables'!$P$97:$P$111,MATCH(O201,('Spell Tables'!$N$97:$N$111),0)),IF(Q$254&gt;=O201,INDEX('Spell Tables'!$T$70:$T$78,MATCH(O201,('Spell Tables'!$R$70:$R$78),0)),IF(Q$256&gt;=O201,INDEX('Spell Tables'!$T$48:$T$63,MATCH(O201,('Spell Tables'!$R$48:$R$63),0)),IF(Q$258&gt;=O201,INDEX('Spell Tables'!$T$26:$T$40,MATCH(O201,('Spell Tables'!$R$26:$R$40),0)),IF(Q$260&gt;=O201,INDEX('Spell Tables'!$T$2:$T$22,MATCH(O201,('Spell Tables'!$R$2:$R$22),0))," "))))))))))))</f>
        <v xml:space="preserve"> </v>
      </c>
      <c r="R270" s="33" t="str">
        <f ca="1">IF(AND($Q$15="Otherworldly patron - great old one",R$244&gt;=O201),INDEX('Spell Tables'!$X$226:$X$239,MATCH(O201,('Spell Tables'!$V$226:$V$239),0)),IF(AND($Q$15="Otherworldly patron - fiend",R$244&gt;=O201),INDEX('Spell Tables'!$X$210:$X$223,MATCH(O201,('Spell Tables'!$V$210:$V$223),0)),IF(AND($Q$15="Otherworldly patron - archfey",R$244&gt;=O201),INDEX('Spell Tables'!$X$194:$X$207,MATCH(O201,('Spell Tables'!$V$194:$V$207),0)),IF($R$242&gt;=O201,INDEX($AL$56:$AL$65,MATCH(O201,($AJ$56:$AJ$65),0)),IF($R$246&gt;=O201,INDEX('Spell Tables'!$X$168:$X$191,MATCH(O201,('Spell Tables'!$V$168:$V$191),0)),IF($R$248&gt;=O201,INDEX('Spell Tables'!$AB$141:$AB$149,MATCH(O201,('Spell Tables'!$Z$141:$Z$149),0)),IF($R$250&gt;=O201,INDEX('Spell Tables'!T227:T239,MATCH(O201,('Spell Tables'!$R$119:$R$131),0)),IF($R$252&gt;=O201,INDEX('Spell Tables'!$T$97:T212,MATCH(O201,('Spell Tables'!$R$97:$R$104),0)),IF($R$254&gt;=O201,INDEX('Spell Tables'!$AB$70:$AB$75,MATCH(O201,('Spell Tables'!$Z$70:$Z$75),0)),IF($R$256&gt;=O201,INDEX('Spell Tables'!$X$48:$X$65,MATCH(O201,('Spell Tables'!$V$48:$V$65),0)),IF($R$258&gt;=O201,INDEX('Spell Tables'!$X$26:$X$42,MATCH(O201,('Spell Tables'!$V$26:$V$42),0)),IF($R$260&gt;=O201,INDEX('Spell Tables'!$X$2:$X$23,MATCH(O201,('Spell Tables'!$V$2:$V$23),0))," "))))))))))))</f>
        <v xml:space="preserve"> </v>
      </c>
      <c r="S270" s="33" t="str">
        <f ca="1">IF(AND($Q$15="Otherworldly patron - great old one",S$244&gt;=O201),INDEX('Spell Tables'!$AB$226:$AB$238,MATCH(O201,('Spell Tables'!$Z$226:$Z$238),0)),IF(AND($Q$15="Otherworldly patron - fiend",S$244&gt;=O201),INDEX('Spell Tables'!$AB$210:$AB$222,MATCH(O201,('Spell Tables'!$Z$210:$Z$222),0)),IF(AND($Q$15="Otherworldly patron - archfey",S$244&gt;=O201),INDEX('Spell Tables'!$AB$194:$AB$206,MATCH(O201,('Spell Tables'!$Z$194:$Z$206),0)),IF($S$242&gt;=O201,INDEX($AL$68:$AL$77,MATCH(O201,($AJ$68:$AJ$77),0)),IF($S$246&gt;=O201,INDEX('Spell Tables'!$AB$168:$AB$187,MATCH(O201,('Spell Tables'!$Z$168:$Z$187),0)),IF($S$248&gt;=O201,INDEX('Spell Tables'!$AJ$141:$AJ$144,MATCH(O201,('Spell Tables'!$AH$141:$AH$144),0)),IF($S$250&gt;=O201,INDEX('Spell Tables'!$X$119:$X$129,MATCH(O201,('Spell Tables'!$V$119:$V$129),0)),IF($S$252&gt;=O201,INDEX('Spell Tables'!$X$97:$X$106,MATCH(O201,('Spell Tables'!$V$97:$V$106),0)),IF($S$254&gt;=O201,INDEX('Spell Tables'!$AJ$70:$AJ$79,MATCH(O201,('Spell Tables'!$AH$70:$AH$79),0)),IF($S$256&gt;=O201,INDEX('Spell Tables'!$AB$48:$AB$60,MATCH(O201,('Spell Tables'!$Z$48:$Z$60),0)),IF($S$258&gt;=O201,INDEX('Spell Tables'!$AB$26:$AB$45,MATCH(O201,('Spell Tables'!$Z$26:$Z$45),0)),IF($S$260&gt;=O201,INDEX('Spell Tables'!$AB$2:$AB$17,MATCH(O201,('Spell Tables'!$Z$2:$Z$17),0))," "))))))))))))</f>
        <v xml:space="preserve"> </v>
      </c>
      <c r="T270" s="33" t="str">
        <f ca="1">IF(AND($Q$15="Otherworldly patron - great old one",T$244&gt;=O201),INDEX('Spell Tables'!$AF$226:$AF$231,MATCH(O201,('Spell Tables'!$AD$226:$AD$231),0)),IF(AND($Q$15="Otherworldly patron - fiend",T$244&gt;=O201),INDEX('Spell Tables'!$AF$210:$AF$215,MATCH(O201,('Spell Tables'!$AD$210:$AD$215),0)),IF(AND($Q$15="Otherworldly patron - archfey",T$244&gt;=O201),INDEX('Spell Tables'!$AF$194:$AF$199,MATCH(O201,('Spell Tables'!$AD$194:$AD$199),0)),IF($T$242&gt;=O201,INDEX($AL$80:$AL$89,MATCH(O201,($AJ$80:$AJ$89),0)),IF($T$246&gt;=O201,INDEX('Spell Tables'!$AF$168:$AF$177,MATCH(O201,('Spell Tables'!$AD$168:$AD$177),0)),IF($T$248&gt;=O201,INDEX('Spell Tables'!$AR$141:$AR$144,MATCH(O201,('Spell Tables'!$AP$141:$AP$144),0)),IF($T$250&gt;=O201,INDEX('Spell Tables'!$AB$119:$AB$123,MATCH(O201,('Spell Tables'!$Z$119:$Z$123),0)),IF($T$252&gt;=O201,INDEX('Spell Tables'!$AB$97:$AB$102,MATCH(O201,('Spell Tables'!$Z$97:$Z$102),0)),IF($T$254&gt;=O201,INDEX('Spell Tables'!$AR$70:$AR$75,MATCH(O201,('Spell Tables'!$AP$70:$AP$75),0)),IF($T$256&gt;=O201,INDEX('Spell Tables'!$AF$48:$AF$63,MATCH(O201,('Spell Tables'!$AD$48:$AD$63),0)),IF($T$258&gt;=O201,INDEX('Spell Tables'!$AF$26:$AF$33,MATCH(O201,('Spell Tables'!$AD$26:$AD$33),0)),IF($T$260&gt;=O201,INDEX('Spell Tables'!$AF$2:$AF$9,MATCH(O201,('Spell Tables'!$AD$2:$AD$9),0))," "))))))))))))</f>
        <v xml:space="preserve"> </v>
      </c>
    </row>
    <row r="271" spans="2:20" x14ac:dyDescent="0.3">
      <c r="B271" s="33"/>
      <c r="C271" s="33"/>
      <c r="D271" s="33"/>
      <c r="E271" s="33"/>
      <c r="F271" s="33"/>
      <c r="G271" s="33"/>
      <c r="H271" s="33"/>
      <c r="I271" s="33"/>
      <c r="J271" s="33"/>
      <c r="K271" s="33"/>
      <c r="L271" s="33"/>
      <c r="M271" s="33"/>
      <c r="O271" s="34">
        <v>10</v>
      </c>
      <c r="P271" s="33" t="str">
        <f ca="1">IF(P$242&gt;=O202,INDEX('Spell Tables'!$P$242:$P$257,MATCH(O202,('Spell Tables'!$N$242:$N$257),0)),IF(P$244&gt;=O202,INDEX('Spell Tables'!$P$194:$P$201,MATCH(O202,('Spell Tables'!$N$194:$N$201),0)),IF(P$246&gt;=O202,INDEX('Spell Tables'!$P$168:$P$183,MATCH(O202,('Spell Tables'!$N$168:$N$183),0)),IF(P$248&gt;=O202,INDEX('Spell Tables'!$P$141:$P$156,MATCH(O202,('Spell Tables'!$N$141:$N$157),0)),IF(P$254&gt;=O202,INDEX('Spell Tables'!$P$70:$P$83,MATCH(O202,('Spell Tables'!$N$70:$N$83),0)),IF(P$256&gt;=O202,INDEX('Spell Tables'!$P$48:$P$55,MATCH(O202,('Spell Tables'!$N$48:$N$55),0)),IF(P$258&gt;=O202,INDEX('Spell Tables'!$P$26:$P$32,MATCH(O202,('Spell Tables'!$N$26:$N$32),0)),IF(P$260&gt;=O202,INDEX('Spell Tables'!$P$2:$P$12,MATCH(O202,('Spell Tables'!$N$2:$N$12),0))," "))))))))</f>
        <v xml:space="preserve"> </v>
      </c>
      <c r="Q271" s="33" t="str">
        <f ca="1">IF(AND($Q$15="Otherworldly patron - great old one",Q$244&gt;=O202),INDEX('Spell Tables'!$T$226:$T$238,MATCH(O202,('Spell Tables'!$R$226:$R$238),0)),IF(AND($Q$15="Otherworldly patron - fiend",Q$244&gt;=O202),INDEX('Spell Tables'!$T$210:$T$222,MATCH(O202,('Spell Tables'!$R$210:$R$222),0)),IF(Q$242&gt;=O202,INDEX($AL$44:$AL$53,MATCH(O202,($AJ$44:$AJ$53),0)),IF(AND($Q$15="Otherworldly patron - archfey",Q$244&gt;=O202),INDEX('Spell Tables'!T$206:$T303,MATCH(O202,('Spell Tables'!$R$194:$R$206),0)),IF(Q$246&gt;=O202,INDEX('Spell Tables'!T277:T296,MATCH(O202,('Spell Tables'!$R$168:$R$187),0)),IF(Q$248&gt;=O202,INDEX('Spell Tables'!T250:T256,MATCH(O202,('Spell Tables'!$R$141:$R$147),0)),IF(Q$250&gt;=O202,INDEX('Spell Tables'!$P$119:$P$131,MATCH(O202,('Spell Tables'!$N$119:$N$131),0)),IF(Q$252&gt;=O202,INDEX('Spell Tables'!$P$97:$P$111,MATCH(O202,('Spell Tables'!$N$97:$N$111),0)),IF(Q$254&gt;=O202,INDEX('Spell Tables'!$T$70:$T$78,MATCH(O202,('Spell Tables'!$R$70:$R$78),0)),IF(Q$256&gt;=O202,INDEX('Spell Tables'!$T$48:$T$63,MATCH(O202,('Spell Tables'!$R$48:$R$63),0)),IF(Q$258&gt;=O202,INDEX('Spell Tables'!$T$26:$T$40,MATCH(O202,('Spell Tables'!$R$26:$R$40),0)),IF(Q$260&gt;=O202,INDEX('Spell Tables'!$T$2:$T$22,MATCH(O202,('Spell Tables'!$R$2:$R$22),0))," "))))))))))))</f>
        <v xml:space="preserve"> </v>
      </c>
      <c r="R271" s="33" t="str">
        <f ca="1">IF(AND($Q$15="Otherworldly patron - great old one",R$244&gt;=O202),INDEX('Spell Tables'!$X$226:$X$239,MATCH(O202,('Spell Tables'!$V$226:$V$239),0)),IF(AND($Q$15="Otherworldly patron - fiend",R$244&gt;=O202),INDEX('Spell Tables'!$X$210:$X$223,MATCH(O202,('Spell Tables'!$V$210:$V$223),0)),IF(AND($Q$15="Otherworldly patron - archfey",R$244&gt;=O202),INDEX('Spell Tables'!$X$194:$X$207,MATCH(O202,('Spell Tables'!$V$194:$V$207),0)),IF($R$242&gt;=O202,INDEX($AL$56:$AL$65,MATCH(O202,($AJ$56:$AJ$65),0)),IF($R$246&gt;=O202,INDEX('Spell Tables'!$X$168:$X$191,MATCH(O202,('Spell Tables'!$V$168:$V$191),0)),IF($R$248&gt;=O202,INDEX('Spell Tables'!$AB$141:$AB$149,MATCH(O202,('Spell Tables'!$Z$141:$Z$149),0)),IF($R$250&gt;=O202,INDEX('Spell Tables'!T228:T240,MATCH(O202,('Spell Tables'!$R$119:$R$131),0)),IF($R$252&gt;=O202,INDEX('Spell Tables'!$T$97:T213,MATCH(O202,('Spell Tables'!$R$97:$R$104),0)),IF($R$254&gt;=O202,INDEX('Spell Tables'!$AB$70:$AB$75,MATCH(O202,('Spell Tables'!$Z$70:$Z$75),0)),IF($R$256&gt;=O202,INDEX('Spell Tables'!$X$48:$X$65,MATCH(O202,('Spell Tables'!$V$48:$V$65),0)),IF($R$258&gt;=O202,INDEX('Spell Tables'!$X$26:$X$42,MATCH(O202,('Spell Tables'!$V$26:$V$42),0)),IF($R$260&gt;=O202,INDEX('Spell Tables'!$X$2:$X$23,MATCH(O202,('Spell Tables'!$V$2:$V$23),0))," "))))))))))))</f>
        <v xml:space="preserve"> </v>
      </c>
      <c r="S271" s="33" t="str">
        <f ca="1">IF(AND($Q$15="Otherworldly patron - great old one",S$244&gt;=O202),INDEX('Spell Tables'!$AB$226:$AB$238,MATCH(O202,('Spell Tables'!$Z$226:$Z$238),0)),IF(AND($Q$15="Otherworldly patron - fiend",S$244&gt;=O202),INDEX('Spell Tables'!$AB$210:$AB$222,MATCH(O202,('Spell Tables'!$Z$210:$Z$222),0)),IF(AND($Q$15="Otherworldly patron - archfey",S$244&gt;=O202),INDEX('Spell Tables'!$AB$194:$AB$206,MATCH(O202,('Spell Tables'!$Z$194:$Z$206),0)),IF($S$242&gt;=O202,INDEX($AL$68:$AL$77,MATCH(O202,($AJ$68:$AJ$77),0)),IF($S$246&gt;=O202,INDEX('Spell Tables'!$AB$168:$AB$187,MATCH(O202,('Spell Tables'!$Z$168:$Z$187),0)),IF($S$248&gt;=O202,INDEX('Spell Tables'!$AJ$141:$AJ$144,MATCH(O202,('Spell Tables'!$AH$141:$AH$144),0)),IF($S$250&gt;=O202,INDEX('Spell Tables'!$X$119:$X$129,MATCH(O202,('Spell Tables'!$V$119:$V$129),0)),IF($S$252&gt;=O202,INDEX('Spell Tables'!$X$97:$X$106,MATCH(O202,('Spell Tables'!$V$97:$V$106),0)),IF($S$254&gt;=O202,INDEX('Spell Tables'!$AJ$70:$AJ$79,MATCH(O202,('Spell Tables'!$AH$70:$AH$79),0)),IF($S$256&gt;=O202,INDEX('Spell Tables'!$AB$48:$AB$60,MATCH(O202,('Spell Tables'!$Z$48:$Z$60),0)),IF($S$258&gt;=O202,INDEX('Spell Tables'!$AB$26:$AB$45,MATCH(O202,('Spell Tables'!$Z$26:$Z$45),0)),IF($S$260&gt;=O202,INDEX('Spell Tables'!$AB$2:$AB$17,MATCH(O202,('Spell Tables'!$Z$2:$Z$17),0))," "))))))))))))</f>
        <v xml:space="preserve"> </v>
      </c>
      <c r="T271" s="33" t="str">
        <f ca="1">IF(AND($Q$15="Otherworldly patron - great old one",T$244&gt;=O202),INDEX('Spell Tables'!$AF$226:$AF$231,MATCH(O202,('Spell Tables'!$AD$226:$AD$231),0)),IF(AND($Q$15="Otherworldly patron - fiend",T$244&gt;=O202),INDEX('Spell Tables'!$AF$210:$AF$215,MATCH(O202,('Spell Tables'!$AD$210:$AD$215),0)),IF(AND($Q$15="Otherworldly patron - archfey",T$244&gt;=O202),INDEX('Spell Tables'!$AF$194:$AF$199,MATCH(O202,('Spell Tables'!$AD$194:$AD$199),0)),IF($T$242&gt;=O202,INDEX($AL$80:$AL$89,MATCH(O202,($AJ$80:$AJ$89),0)),IF($T$246&gt;=O202,INDEX('Spell Tables'!$AF$168:$AF$177,MATCH(O202,('Spell Tables'!$AD$168:$AD$177),0)),IF($T$248&gt;=O202,INDEX('Spell Tables'!$AR$141:$AR$144,MATCH(O202,('Spell Tables'!$AP$141:$AP$144),0)),IF($T$250&gt;=O202,INDEX('Spell Tables'!$AB$119:$AB$123,MATCH(O202,('Spell Tables'!$Z$119:$Z$123),0)),IF($T$252&gt;=O202,INDEX('Spell Tables'!$AB$97:$AB$102,MATCH(O202,('Spell Tables'!$Z$97:$Z$102),0)),IF($T$254&gt;=O202,INDEX('Spell Tables'!$AR$70:$AR$75,MATCH(O202,('Spell Tables'!$AP$70:$AP$75),0)),IF($T$256&gt;=O202,INDEX('Spell Tables'!$AF$48:$AF$63,MATCH(O202,('Spell Tables'!$AD$48:$AD$63),0)),IF($T$258&gt;=O202,INDEX('Spell Tables'!$AF$26:$AF$33,MATCH(O202,('Spell Tables'!$AD$26:$AD$33),0)),IF($T$260&gt;=O202,INDEX('Spell Tables'!$AF$2:$AF$9,MATCH(O202,('Spell Tables'!$AD$2:$AD$9),0))," "))))))))))))</f>
        <v xml:space="preserve"> </v>
      </c>
    </row>
    <row r="272" spans="2:20" ht="19.5" thickBot="1" x14ac:dyDescent="0.35">
      <c r="B272" s="33"/>
      <c r="C272" s="38"/>
      <c r="D272" s="38"/>
      <c r="E272" s="38"/>
      <c r="F272" s="38"/>
      <c r="G272" s="38"/>
      <c r="H272" s="38"/>
      <c r="I272" s="38"/>
      <c r="J272" s="38"/>
      <c r="K272" s="38"/>
      <c r="L272" s="38"/>
      <c r="M272" s="38"/>
      <c r="N272" s="38"/>
      <c r="O272" s="38"/>
      <c r="P272" s="38"/>
      <c r="Q272" s="38"/>
      <c r="R272" s="38"/>
      <c r="S272" s="38"/>
      <c r="T272" s="38"/>
    </row>
    <row r="273" spans="15:19" hidden="1" x14ac:dyDescent="0.3">
      <c r="O273" s="108"/>
      <c r="P273" s="108"/>
      <c r="Q273" s="108"/>
      <c r="R273" s="108"/>
      <c r="S273" s="109"/>
    </row>
    <row r="274" spans="15:19" hidden="1" x14ac:dyDescent="0.3">
      <c r="O274" s="60" t="str">
        <f>IF(AND(Q11="wizard",Q12&gt;=11),"x",IF(AND($Q$11="wizard",$Q$12&gt;9),"xx",IF(AND(Q11="wizard",Q12=9),"xxx"," ")))</f>
        <v xml:space="preserve"> </v>
      </c>
      <c r="P274" s="60" t="str">
        <f>IF(AND(Q11="wizard",Q12&gt;=13),"x",IF(AND($Q$11="wizard",$Q$12&gt;11),"xx",IF(AND(Q11="wizard",Q12=11),"xxx"," ")))</f>
        <v xml:space="preserve"> </v>
      </c>
      <c r="Q274" s="60" t="str">
        <f>IF(AND(Q11="wizard",Q12&gt;=15),"x",IF(AND($Q$11="wizard",$Q$12&gt;13),"xx",IF(AND(Q11="wizard",Q12=13),"xxx"," ")))</f>
        <v xml:space="preserve"> </v>
      </c>
      <c r="R274" s="60" t="str">
        <f>IF(AND(Q11="wizard",Q12&gt;=17),"x",IF(AND($Q$11="wizard",$Q$12&gt;15),"xx",IF(AND(Q11="wizard",Q12=15),"xxx"," ")))</f>
        <v xml:space="preserve"> </v>
      </c>
      <c r="S274" s="63" t="str">
        <f>IF(AND($Q$11="wizard",$Q$12&gt;17),"xx",IF(AND(Q11="wizard",Q12=17),"xxx"," "))</f>
        <v xml:space="preserve"> </v>
      </c>
    </row>
    <row r="275" spans="15:19" hidden="1" x14ac:dyDescent="0.3">
      <c r="O275" s="65">
        <f ca="1">IF(O274="x",RANDBETWEEN(2,3),IF(O274="xx",RANDBETWEEN(2,3),IF(O274="xxx",RANDBETWEEN(1,2),0)))</f>
        <v>0</v>
      </c>
      <c r="P275" s="65">
        <f ca="1">IF(P274="x",RANDBETWEEN(2,3),IF(P274="xx",RANDBETWEEN(2,3),IF(P274="xxx",RANDBETWEEN(1,2),0)))</f>
        <v>0</v>
      </c>
      <c r="Q275" s="65">
        <f ca="1">IF(Q274="x",RANDBETWEEN(1,2),IF(Q274="xx",RANDBETWEEN(1,2),IF(Q274="xxx",RANDBETWEEN(1,2),0)))</f>
        <v>0</v>
      </c>
      <c r="R275" s="65">
        <f ca="1">IF(OR(R274="x",R274="xx"),RANDBETWEEN(1,2),IF(R274="xxx",RANDBETWEEN(1,2),0))</f>
        <v>0</v>
      </c>
      <c r="S275" s="66">
        <f ca="1">IF(S274="xx",RANDBETWEEN(1,2),IF(S274="xxx",RANDBETWEEN(1,2),0))</f>
        <v>0</v>
      </c>
    </row>
    <row r="276" spans="15:19" hidden="1" x14ac:dyDescent="0.3">
      <c r="O276" s="60" t="str">
        <f>IF(AND($Q$11="warlock",$Q$12&gt;=9),"xx"," ")</f>
        <v xml:space="preserve"> </v>
      </c>
      <c r="P276" s="60"/>
      <c r="Q276" s="60"/>
      <c r="R276" s="60"/>
      <c r="S276" s="63"/>
    </row>
    <row r="277" spans="15:19" hidden="1" x14ac:dyDescent="0.3">
      <c r="O277" s="65">
        <f ca="1">IF(O276="x",RANDBETWEEN(2,3),IF(O276="xx",RANDBETWEEN(2,3),0))</f>
        <v>0</v>
      </c>
      <c r="P277" s="65"/>
      <c r="Q277" s="65"/>
      <c r="R277" s="65"/>
      <c r="S277" s="66"/>
    </row>
    <row r="278" spans="15:19" hidden="1" x14ac:dyDescent="0.3">
      <c r="O278" s="60" t="str">
        <f>IF(AND($Q$11="sorcerer",$Q$12&gt;=11),"x",IF(AND($Q$11="sorcerer",$Q$12&gt;=9),"xx"," "))</f>
        <v xml:space="preserve"> </v>
      </c>
      <c r="P278" s="60" t="str">
        <f>IF(AND($Q$11="sorcerer",$Q$12&gt;=13),"x",IF(AND($Q$11="sorcerer",$Q$12&gt;=11),"xx"," "))</f>
        <v xml:space="preserve"> </v>
      </c>
      <c r="Q278" s="60" t="str">
        <f>IF(AND($Q$11="sorcerer",$Q$12&gt;=15),"x",IF(AND($Q$11="sorcerer",$Q$12&gt;=13),"xx"," "))</f>
        <v xml:space="preserve"> </v>
      </c>
      <c r="R278" s="60" t="str">
        <f>IF(AND($Q$11="sorcerer",$Q$12&gt;=17),"x",IF(AND($Q$11="sorcerer",$Q$12&gt;15),"xx"," "))</f>
        <v xml:space="preserve"> </v>
      </c>
      <c r="S278" s="63" t="str">
        <f>IF(AND($Q$11="sorcerer",$Q$12&gt;=17),"xx"," ")</f>
        <v xml:space="preserve"> </v>
      </c>
    </row>
    <row r="279" spans="15:19" hidden="1" x14ac:dyDescent="0.3">
      <c r="O279" s="65">
        <f ca="1">IF(O278="x",RANDBETWEEN(2,3),IF(O278="xx",RANDBETWEEN(2,3),0))</f>
        <v>0</v>
      </c>
      <c r="P279" s="65">
        <f ca="1">IF(P278="x",RANDBETWEEN(2,3),IF(P278="xx",RANDBETWEEN(2,3),0))</f>
        <v>0</v>
      </c>
      <c r="Q279" s="65">
        <f ca="1">IF(Q278="x",RANDBETWEEN(1,2),IF(Q278="xx",RANDBETWEEN(1,2),0))</f>
        <v>0</v>
      </c>
      <c r="R279" s="65">
        <f ca="1">IF(OR(R278="x",R278="xx"),RANDBETWEEN(1,2),0)</f>
        <v>0</v>
      </c>
      <c r="S279" s="66">
        <f ca="1">IF(S278="xx",RANDBETWEEN(1,2),0)</f>
        <v>0</v>
      </c>
    </row>
    <row r="280" spans="15:19" hidden="1" x14ac:dyDescent="0.3">
      <c r="O280" s="60"/>
      <c r="P280" s="60"/>
      <c r="Q280" s="60"/>
      <c r="R280" s="60"/>
      <c r="S280" s="63"/>
    </row>
    <row r="281" spans="15:19" hidden="1" x14ac:dyDescent="0.3">
      <c r="O281" s="65"/>
      <c r="P281" s="65"/>
      <c r="Q281" s="65"/>
      <c r="R281" s="65"/>
      <c r="S281" s="66"/>
    </row>
    <row r="282" spans="15:19" hidden="1" x14ac:dyDescent="0.3">
      <c r="O282" s="60" t="str">
        <f>IF(AND($Q$11="ranger",$Q$12&gt;=17),"xx"," ")</f>
        <v xml:space="preserve"> </v>
      </c>
      <c r="P282" s="60"/>
      <c r="Q282" s="60"/>
      <c r="R282" s="60"/>
      <c r="S282" s="63"/>
    </row>
    <row r="283" spans="15:19" hidden="1" x14ac:dyDescent="0.3">
      <c r="O283" s="65">
        <f ca="1">IF(O282="x",RANDBETWEEN(2,3),IF(O282="xx",RANDBETWEEN(2,3),0))</f>
        <v>0</v>
      </c>
      <c r="P283" s="65"/>
      <c r="Q283" s="65"/>
      <c r="R283" s="65"/>
      <c r="S283" s="66"/>
    </row>
    <row r="284" spans="15:19" hidden="1" x14ac:dyDescent="0.3">
      <c r="O284" s="60" t="str">
        <f>IF(AND(Q11="paladin",Q12&gt;=17),"xx"," ")</f>
        <v xml:space="preserve"> </v>
      </c>
      <c r="P284" s="60"/>
      <c r="Q284" s="60"/>
      <c r="R284" s="60"/>
      <c r="S284" s="63"/>
    </row>
    <row r="285" spans="15:19" hidden="1" x14ac:dyDescent="0.3">
      <c r="O285" s="65">
        <f ca="1">IF(O284="x",RANDBETWEEN(2,3),IF(O284="xx",RANDBETWEEN(2,3),0))</f>
        <v>0</v>
      </c>
      <c r="P285" s="65"/>
      <c r="Q285" s="65"/>
      <c r="R285" s="65"/>
      <c r="S285" s="66"/>
    </row>
    <row r="286" spans="15:19" hidden="1" x14ac:dyDescent="0.3">
      <c r="O286" s="60"/>
      <c r="P286" s="60"/>
      <c r="Q286" s="60"/>
      <c r="R286" s="60"/>
      <c r="S286" s="63"/>
    </row>
    <row r="287" spans="15:19" hidden="1" x14ac:dyDescent="0.3">
      <c r="O287" s="65"/>
      <c r="P287" s="65"/>
      <c r="Q287" s="65"/>
      <c r="R287" s="65"/>
      <c r="S287" s="66"/>
    </row>
    <row r="288" spans="15:19" hidden="1" x14ac:dyDescent="0.3">
      <c r="O288" s="60" t="str">
        <f>IF(AND($Q$11="druid",$Q$12&gt;=11),"x",IF(AND($Q$11="druid",$Q$12&gt;=9),"xx"," "))</f>
        <v xml:space="preserve"> </v>
      </c>
      <c r="P288" s="60" t="str">
        <f>IF(AND($Q$11="druid",$Q$12&gt;=13),"x",IF(AND($Q$11="druid",$Q$12&gt;=11),"xx"," "))</f>
        <v xml:space="preserve"> </v>
      </c>
      <c r="Q288" s="60" t="str">
        <f>IF(AND($Q$11="druid",$Q$12&gt;=15),"x",IF(AND($Q$11="druid",$Q$12&gt;=13),"xx"," "))</f>
        <v xml:space="preserve"> </v>
      </c>
      <c r="R288" s="60" t="str">
        <f>IF(AND($Q$11="druid",$Q$12&gt;=17),"x",IF(AND($Q$11="druid",$Q$12&gt;15),"xx"," "))</f>
        <v xml:space="preserve"> </v>
      </c>
      <c r="S288" s="63" t="str">
        <f>IF(AND($Q$11="druid",$Q$12&gt;=17),"xx"," ")</f>
        <v xml:space="preserve"> </v>
      </c>
    </row>
    <row r="289" spans="14:20" hidden="1" x14ac:dyDescent="0.3">
      <c r="O289" s="65">
        <f ca="1">IF(O288="x",RANDBETWEEN(2,3),IF(O288="xx",RANDBETWEEN(2,3),0))</f>
        <v>0</v>
      </c>
      <c r="P289" s="65">
        <f ca="1">IF(P288="x",RANDBETWEEN(2,3),IF(P288="xx",RANDBETWEEN(2,3),0))</f>
        <v>0</v>
      </c>
      <c r="Q289" s="65">
        <f ca="1">IF(Q288="x",RANDBETWEEN(1,2),IF(Q288="xx",RANDBETWEEN(1,2),0))</f>
        <v>0</v>
      </c>
      <c r="R289" s="65">
        <f ca="1">IF(OR(R288="x",R288="xx"),RANDBETWEEN(1,2),0)</f>
        <v>0</v>
      </c>
      <c r="S289" s="66">
        <f ca="1">IF(S288="xx",RANDBETWEEN(1,2),0)</f>
        <v>0</v>
      </c>
    </row>
    <row r="290" spans="14:20" hidden="1" x14ac:dyDescent="0.3">
      <c r="O290" s="60" t="str">
        <f>IF(AND(Q11="cleric",Q12&gt;=11),"x",IF(AND($Q$11="cleric",$Q$12&gt;=9),"xx"," "))</f>
        <v xml:space="preserve"> </v>
      </c>
      <c r="P290" s="60" t="str">
        <f>IF(AND(Q11="cleric",Q12&gt;=13),"x",IF(AND($Q$11="cleric",$Q$12&gt;=11),"xx"," "))</f>
        <v xml:space="preserve"> </v>
      </c>
      <c r="Q290" s="60" t="str">
        <f>IF(AND(Q11="cleric",Q12&gt;=15),"x",IF(AND($Q$11="cleric",$Q$12&gt;=13),"xx"," "))</f>
        <v xml:space="preserve"> </v>
      </c>
      <c r="R290" s="60" t="str">
        <f>IF(AND(Q11="cleric",Q12&gt;=17),"x",IF(AND($Q$11="cleric",$Q$12&gt;15),"xx"," "))</f>
        <v xml:space="preserve"> </v>
      </c>
      <c r="S290" s="63" t="str">
        <f>IF(AND($Q$11="cleric",$Q$12&gt;=17),"xx"," ")</f>
        <v xml:space="preserve"> </v>
      </c>
    </row>
    <row r="291" spans="14:20" hidden="1" x14ac:dyDescent="0.3">
      <c r="O291" s="65">
        <f ca="1">IF(O290="x",RANDBETWEEN(2,3),IF(O290="xx",RANDBETWEEN(2,3),0))</f>
        <v>0</v>
      </c>
      <c r="P291" s="65">
        <f ca="1">IF(P290="x",RANDBETWEEN(2,3),IF(P290="xx",RANDBETWEEN(2,3),0))</f>
        <v>0</v>
      </c>
      <c r="Q291" s="65">
        <f ca="1">IF(Q290="x",RANDBETWEEN(1,2),IF(Q290="xx",RANDBETWEEN(1,2),0))</f>
        <v>0</v>
      </c>
      <c r="R291" s="65">
        <f ca="1">IF(OR(R290="x",R290="xx"),RANDBETWEEN(1,2),0)</f>
        <v>0</v>
      </c>
      <c r="S291" s="66">
        <f ca="1">IF(S290="xx",RANDBETWEEN(1,2),0)</f>
        <v>0</v>
      </c>
    </row>
    <row r="292" spans="14:20" hidden="1" x14ac:dyDescent="0.3">
      <c r="O292" s="60" t="str">
        <f>IF(AND($Q$11="bard",$Q$12&gt;=11),"x",IF(AND($Q$11="bard",$Q$12&gt;=9),"xx"," "))</f>
        <v xml:space="preserve"> </v>
      </c>
      <c r="P292" s="60" t="str">
        <f>IF(AND($Q$11="bard",$Q$12&gt;=13),"x",IF(AND($Q$11="bard",$Q$12&gt;=11),"xx"," "))</f>
        <v xml:space="preserve"> </v>
      </c>
      <c r="Q292" s="60" t="str">
        <f>IF(AND($Q$11="bard",$Q$12&gt;=15),"x",IF(AND($Q$11="bard",$Q$12&gt;=13),"xx"," "))</f>
        <v xml:space="preserve"> </v>
      </c>
      <c r="R292" s="60" t="str">
        <f>IF(AND($Q$11="bard",$Q$12&gt;=17),"x",IF(AND($Q$11="bard",$Q$12&gt;15),"xx"," "))</f>
        <v xml:space="preserve"> </v>
      </c>
      <c r="S292" s="63" t="str">
        <f>IF(AND($Q$11="bard",$Q$12&gt;=17),"xx"," ")</f>
        <v xml:space="preserve"> </v>
      </c>
    </row>
    <row r="293" spans="14:20" hidden="1" x14ac:dyDescent="0.3">
      <c r="O293" s="65">
        <f ca="1">IF(O292="x",RANDBETWEEN(2,3),IF(O292="xx",RANDBETWEEN(2,3),0))</f>
        <v>0</v>
      </c>
      <c r="P293" s="65">
        <f ca="1">IF(P292="x",RANDBETWEEN(2,3),IF(P292="xx",RANDBETWEEN(2,3),0))</f>
        <v>0</v>
      </c>
      <c r="Q293" s="65">
        <f ca="1">IF(Q292="x",RANDBETWEEN(1,2),IF(Q292="xx",RANDBETWEEN(1,2),0))</f>
        <v>0</v>
      </c>
      <c r="R293" s="65">
        <f ca="1">IF(OR(R292="x",R292="xx"),RANDBETWEEN(1,2),0)</f>
        <v>0</v>
      </c>
      <c r="S293" s="66">
        <f ca="1">IF(S292="xx",RANDBETWEEN(1,2),0)</f>
        <v>0</v>
      </c>
    </row>
    <row r="294" spans="14:20" x14ac:dyDescent="0.3">
      <c r="N294" s="72"/>
      <c r="O294" s="136"/>
      <c r="P294" s="96" t="s">
        <v>750</v>
      </c>
      <c r="Q294" s="96" t="s">
        <v>1125</v>
      </c>
      <c r="R294" s="96" t="s">
        <v>1126</v>
      </c>
      <c r="S294" s="96" t="s">
        <v>1127</v>
      </c>
      <c r="T294" s="97" t="s">
        <v>751</v>
      </c>
    </row>
    <row r="295" spans="14:20" x14ac:dyDescent="0.3">
      <c r="N295" s="72"/>
      <c r="O295" s="86">
        <v>1</v>
      </c>
      <c r="P295" s="65" t="str">
        <f ca="1">IF(AND($Q$15="Otherworldly patron - great old one",O$277&gt;=O193),INDEX('Spell Tables'!$AJ$226:$AJ$231,MATCH(O193,('Spell Tables'!$AH$226:$AH$231),0)),IF(AND($Q$15="Otherworldly patron - fiend",O$277&gt;=O193),INDEX('Spell Tables'!$AJ$210:$AJ$215,MATCH(O193,('Spell Tables'!$AH$210:$AH$215),0)),IF(AND($Q$15="Otherworldly patron - archfey",O$277&gt;=O193),INDEX('Spell Tables'!$AJ$194:$AJ$199,MATCH(O193,('Spell Tables'!$AH$194:$AH$199),0)),IF($O$275&gt;=O193,INDEX($AL$92:$AL$101,MATCH(O193,($AJ$92:$AJ$101),0)),IF($O$279&gt;=O193,INDEX('Spell Tables'!$AJ$168:$AJ$178,MATCH(O193,('Spell Tables'!$AH$168:$AH$178),0)),IF($O$283&gt;=O193,INDEX('Spell Tables'!$AF$119:$AF$122,MATCH(O193,('Spell Tables'!$AD$119:$AD$122),0)),IF($O$285&gt;=O193,INDEX('Spell Tables'!$AF$97:$AF$102,MATCH(O193,('Spell Tables'!$AD$97:$AD$102),0)),IF($O$289&gt;=O193,INDEX('Spell Tables'!$AJ$48:$AJ$61,MATCH(O193,('Spell Tables'!$AH$48:$AH$61),0)),IF($O$291&gt;=O193,INDEX('Spell Tables'!$AJ$26:$AJ$38,MATCH(O193,('Spell Tables'!$AH$26:$AH$38),0)),IF($O$293&gt;=O193,INDEX('Spell Tables'!$AJ$2:$AJ$17,MATCH(O193,('Spell Tables'!$AH$2:$AH$17),0))," "))))))))))</f>
        <v xml:space="preserve"> </v>
      </c>
      <c r="Q295" s="65" t="str">
        <f ca="1">IF($P$275&gt;=O262,INDEX($AL$104:$AL$113,MATCH(O262,($AJ$104:$AJ$113),0)),IF($P$279&gt;=O262,INDEX('Spell Tables'!$AN$168:$AN$177,MATCH(O262,('Spell Tables'!$AL$168:$AL$177),0)),IF($P$289&gt;=O262,INDEX('Spell Tables'!$AN$48:$AN$56,MATCH(O262,('Spell Tables'!$AL$48:$AL$56),0)),IF($P$291&gt;=O262,INDEX('Spell Tables'!$AN$26:$AN$35,MATCH(O262,('Spell Tables'!$AL$26:$AL$35),0)),IF($P$293&gt;=O262,INDEX('Spell Tables'!$AN$2:$AN$8,MATCH(O262,('Spell Tables'!$AL$2:$AL$8),0))," ")))))</f>
        <v xml:space="preserve"> </v>
      </c>
      <c r="R295" s="65" t="str">
        <f ca="1">IF($Q$275&gt;=O262,INDEX($AL$116:$AL$125,MATCH(O262,($AJ$116:$AJ$125),0)),IF($Q$279&gt;=O262,INDEX('Spell Tables'!$AR$168:$AR$175,MATCH(O262,('Spell Tables'!$AP$168:$AP$175),0)),IF($Q$289&gt;=O262,INDEX('Spell Tables'!$AR$48:$AR$52,MATCH(O262,('Spell Tables'!$AP$48:$AP$52),0)),IF($Q$291&gt;=O262,INDEX('Spell Tables'!$AR$26:$AR$33,MATCH(O262,('Spell Tables'!$AP$26:$AP$33),0)),IF($Q$293&gt;=O262,INDEX('Spell Tables'!$AR$2:$AR$11,MATCH(O262,('Spell Tables'!$AL$2:$AL$11),0))," ")))))</f>
        <v xml:space="preserve"> </v>
      </c>
      <c r="S295" s="65" t="str">
        <f ca="1">IF($R$275&gt;=O262,INDEX($AL$128:$AL$137,MATCH(O262,($AJ$128:$AJ$137),0)),IF($R$279&gt;=O262,INDEX('Spell Tables'!$AV$168:$AV$172,MATCH(O262,('Spell Tables'!$AT$168:$AT$172),0)),IF($R$289&gt;=O262,INDEX('Spell Tables'!$AV$48:$AV$54,MATCH(O262,('Spell Tables'!$AT$48:$AT$54),0)),IF($R$291&gt;=O262,INDEX('Spell Tables'!$AV$26:$AV$29,MATCH(O262,('Spell Tables'!$AT$26:$AT$29),0)),IF($R$293&gt;=O262,INDEX('Spell Tables'!$AV$2:$AV$6,MATCH(O262,('Spell Tables'!$AT$2:$AT$6),0))," ")))))</f>
        <v xml:space="preserve"> </v>
      </c>
      <c r="T295" s="66" t="str">
        <f ca="1">IF($S$289&gt;=O262,INDEX($AL$140:$AL$149,MATCH(O262,($AJ$140:$AJ$149),0)),IF($S$275&gt;=O262,INDEX('Spell Tables'!$AZ$242:$AZ$253,MATCH(O262,('Spell Tables'!$AX$242:$AX$253),0)),IF($S$279&gt;=O262,INDEX('Spell Tables'!$AZ$168:$AZ$172,MATCH(O262,('Spell Tables'!$AX$168:$AX$172),0)),IF($S$291&gt;=O262,INDEX('Spell Tables'!$AZ$26:$AZ$29,MATCH(O262,('Spell Tables'!$AX$26:$AX$29),0)),IF($S$293&gt;=O262,INDEX('Spell Tables'!$AZ$2:$AZ$5,MATCH(O262,('Spell Tables'!$AX$2:$AX$5),0))," ")))))</f>
        <v xml:space="preserve"> </v>
      </c>
    </row>
    <row r="296" spans="14:20" x14ac:dyDescent="0.3">
      <c r="N296" s="72"/>
      <c r="O296" s="133">
        <v>2</v>
      </c>
      <c r="P296" s="60" t="str">
        <f ca="1">IF(AND($Q$15="Otherworldly patron - great old one",O$277&gt;=O194),INDEX('Spell Tables'!$AJ$226:$AJ$231,MATCH(O194,('Spell Tables'!$AH$226:$AH$231),0)),IF(AND($Q$15="Otherworldly patron - fiend",O$277&gt;=O194),INDEX('Spell Tables'!$AJ$210:$AJ$215,MATCH(O194,('Spell Tables'!$AH$210:$AH$215),0)),IF(AND($Q$15="Otherworldly patron - archfey",O$277&gt;=O194),INDEX('Spell Tables'!$AJ$194:$AJ$199,MATCH(O194,('Spell Tables'!$AH$194:$AH$199),0)),IF($O$275&gt;=O194,INDEX($AL$92:$AL$101,MATCH(O194,($AJ$92:$AJ$101),0)),IF($O$279&gt;=O194,INDEX('Spell Tables'!$AJ$168:$AJ$178,MATCH(O194,('Spell Tables'!$AH$168:$AH$178),0)),IF($O$283&gt;=O194,INDEX('Spell Tables'!$AF$119:$AF$122,MATCH(O194,('Spell Tables'!$AD$119:$AD$122),0)),IF($O$285&gt;=O194,INDEX('Spell Tables'!$AF$97:$AF$102,MATCH(O194,('Spell Tables'!$AD$97:$AD$102),0)),IF($O$289&gt;=O194,INDEX('Spell Tables'!$AJ$48:$AJ$61,MATCH(O194,('Spell Tables'!$AH$48:$AH$61),0)),IF($O$291&gt;=O194,INDEX('Spell Tables'!$AJ$26:$AJ$38,MATCH(O194,('Spell Tables'!$AH$26:$AH$38),0)),IF($O$293&gt;=O194,INDEX('Spell Tables'!$AJ$2:$AJ$17,MATCH(O194,('Spell Tables'!$AH$2:$AH$17),0))," "))))))))))</f>
        <v xml:space="preserve"> </v>
      </c>
      <c r="Q296" s="60" t="str">
        <f ca="1">IF($P$275&gt;=O263,INDEX($AL$104:$AL$113,MATCH(O263,($AJ$104:$AJ$113),0)),IF($P$279&gt;=O263,INDEX('Spell Tables'!$AN$168:$AN$177,MATCH(O263,('Spell Tables'!$AL$168:$AL$177),0)),IF($P$289&gt;=O263,INDEX('Spell Tables'!$AN$48:$AN$56,MATCH(O263,('Spell Tables'!$AL$48:$AL$56),0)),IF($P$291&gt;=O263,INDEX('Spell Tables'!$AN$26:$AN$35,MATCH(O263,('Spell Tables'!$AL$26:$AL$35),0)),IF($P$293&gt;=O263,INDEX('Spell Tables'!$AN$2:$AN$8,MATCH(O263,('Spell Tables'!$AL$2:$AL$8),0))," ")))))</f>
        <v xml:space="preserve"> </v>
      </c>
      <c r="R296" s="60" t="str">
        <f ca="1">IF($Q$275&gt;=O263,INDEX($AL$116:$AL$125,MATCH(O263,($AJ$116:$AJ$125),0)),IF($Q$279&gt;=O263,INDEX('Spell Tables'!$AR$168:$AR$175,MATCH(O263,('Spell Tables'!$AP$168:$AP$175),0)),IF($Q$289&gt;=O263,INDEX('Spell Tables'!$AR$48:$AR$52,MATCH(O263,('Spell Tables'!$AP$48:$AP$52),0)),IF($Q$291&gt;=O263,INDEX('Spell Tables'!$AR$26:$AR$33,MATCH(O263,('Spell Tables'!$AP$26:$AP$33),0)),IF($Q$293&gt;=O263,INDEX('Spell Tables'!$AR$2:$AR$11,MATCH(O263,('Spell Tables'!$AL$2:$AL$11),0))," ")))))</f>
        <v xml:space="preserve"> </v>
      </c>
      <c r="S296" s="60" t="str">
        <f ca="1">IF($R$275&gt;=O263,INDEX($AL$128:$AL$137,MATCH(O263,($AJ$128:$AJ$137),0)),IF($R$279&gt;=O263,INDEX('Spell Tables'!$AV$168:$AV$172,MATCH(O263,('Spell Tables'!$AT$168:$AT$172),0)),IF($R$289&gt;=O263,INDEX('Spell Tables'!$AV$48:$AV$54,MATCH(O263,('Spell Tables'!$AT$48:$AT$54),0)),IF($R$291&gt;=O263,INDEX('Spell Tables'!$AV$26:$AV$29,MATCH(O263,('Spell Tables'!$AT$26:$AT$29),0)),IF($R$293&gt;=O263,INDEX('Spell Tables'!$AV$2:$AV$6,MATCH(O263,('Spell Tables'!$AT$2:$AT$6),0))," ")))))</f>
        <v xml:space="preserve"> </v>
      </c>
      <c r="T296" s="63" t="str">
        <f ca="1">IF($S$289&gt;=O263,INDEX($AL$140:$AL$149,MATCH(O263,($AJ$140:$AJ$149),0)),IF($S$275&gt;=O263,INDEX('Spell Tables'!$AZ$242:$AZ$253,MATCH(O263,('Spell Tables'!$AX$242:$AX$253),0)),IF($S$279&gt;=O263,INDEX('Spell Tables'!$AZ$168:$AZ$172,MATCH(O263,('Spell Tables'!$AX$168:$AX$172),0)),IF($S$291&gt;=O263,INDEX('Spell Tables'!$AZ$26:$AZ$29,MATCH(O263,('Spell Tables'!$AX$26:$AX$29),0)),IF($S$293&gt;=O263,INDEX('Spell Tables'!$AZ$2:$AZ$5,MATCH(O263,('Spell Tables'!$AX$2:$AX$5),0))," ")))))</f>
        <v xml:space="preserve"> </v>
      </c>
    </row>
    <row r="297" spans="14:20" x14ac:dyDescent="0.3">
      <c r="N297" s="72"/>
      <c r="O297" s="86">
        <v>3</v>
      </c>
      <c r="P297" s="65" t="str">
        <f ca="1">IF(AND($Q$15="Otherworldly patron - great old one",O$277&gt;=O195),INDEX('Spell Tables'!$AJ$226:$AJ$231,MATCH(O195,('Spell Tables'!$AH$226:$AH$231),0)),IF(AND($Q$15="Otherworldly patron - fiend",O$277&gt;=O195),INDEX('Spell Tables'!$AJ$210:$AJ$215,MATCH(O195,('Spell Tables'!$AH$210:$AH$215),0)),IF(AND($Q$15="Otherworldly patron - archfey",O$277&gt;=O195),INDEX('Spell Tables'!$AJ$194:$AJ$199,MATCH(O195,('Spell Tables'!$AH$194:$AH$199),0)),IF($O$275&gt;=O195,INDEX($AL$92:$AL$101,MATCH(O195,($AJ$92:$AJ$101),0)),IF($O$279&gt;=O195,INDEX('Spell Tables'!$AJ$168:$AJ$178,MATCH(O195,('Spell Tables'!$AH$168:$AH$178),0)),IF($O$283&gt;=O195,INDEX('Spell Tables'!$AF$119:$AF$122,MATCH(O195,('Spell Tables'!$AD$119:$AD$122),0)),IF($O$285&gt;=O195,INDEX('Spell Tables'!$AF$97:$AF$102,MATCH(O195,('Spell Tables'!$AD$97:$AD$102),0)),IF($O$289&gt;=O195,INDEX('Spell Tables'!$AJ$48:$AJ$61,MATCH(O195,('Spell Tables'!$AH$48:$AH$61),0)),IF($O$291&gt;=O195,INDEX('Spell Tables'!$AJ$26:$AJ$38,MATCH(O195,('Spell Tables'!$AH$26:$AH$38),0)),IF($O$293&gt;=O195,INDEX('Spell Tables'!$AJ$2:$AJ$17,MATCH(O195,('Spell Tables'!$AH$2:$AH$17),0))," "))))))))))</f>
        <v xml:space="preserve"> </v>
      </c>
      <c r="Q297" s="65" t="str">
        <f ca="1">IF($P$275&gt;=O264,INDEX($AL$104:$AL$113,MATCH(O264,($AJ$104:$AJ$113),0)),IF($P$279&gt;=O264,INDEX('Spell Tables'!$AN$168:$AN$177,MATCH(O264,('Spell Tables'!$AL$168:$AL$177),0)),IF($P$289&gt;=O264,INDEX('Spell Tables'!$AN$48:$AN$56,MATCH(O264,('Spell Tables'!$AL$48:$AL$56),0)),IF($P$291&gt;=O264,INDEX('Spell Tables'!$AN$26:$AN$35,MATCH(O264,('Spell Tables'!$AL$26:$AL$35),0)),IF($P$293&gt;=O264,INDEX('Spell Tables'!$AN$2:$AN$8,MATCH(O264,('Spell Tables'!$AL$2:$AL$8),0))," ")))))</f>
        <v xml:space="preserve"> </v>
      </c>
      <c r="R297" s="65" t="str">
        <f ca="1">IF($Q$275&gt;=O264,INDEX($AL$116:$AL$125,MATCH(O264,($AJ$116:$AJ$125),0)),IF($Q$279&gt;=O264,INDEX('Spell Tables'!$AR$168:$AR$175,MATCH(O264,('Spell Tables'!$AP$168:$AP$175),0)),IF($Q$289&gt;=O264,INDEX('Spell Tables'!$AR$48:$AR$52,MATCH(O264,('Spell Tables'!$AP$48:$AP$52),0)),IF($Q$291&gt;=O264,INDEX('Spell Tables'!$AR$26:$AR$33,MATCH(O264,('Spell Tables'!$AP$26:$AP$33),0)),IF($Q$293&gt;=O264,INDEX('Spell Tables'!$AR$2:$AR$11,MATCH(O264,('Spell Tables'!$AL$2:$AL$11),0))," ")))))</f>
        <v xml:space="preserve"> </v>
      </c>
      <c r="S297" s="65" t="str">
        <f ca="1">IF($R$275&gt;=O264,INDEX($AL$128:$AL$137,MATCH(O264,($AJ$128:$AJ$137),0)),IF($R$279&gt;=O264,INDEX('Spell Tables'!$AV$168:$AV$172,MATCH(O264,('Spell Tables'!$AT$168:$AT$172),0)),IF($R$289&gt;=O264,INDEX('Spell Tables'!$AV$48:$AV$54,MATCH(O264,('Spell Tables'!$AT$48:$AT$54),0)),IF($R$291&gt;=O264,INDEX('Spell Tables'!$AV$26:$AV$29,MATCH(O264,('Spell Tables'!$AT$26:$AT$29),0)),IF($R$293&gt;=O264,INDEX('Spell Tables'!$AV$2:$AV$6,MATCH(O264,('Spell Tables'!$AT$2:$AT$6),0))," ")))))</f>
        <v xml:space="preserve"> </v>
      </c>
      <c r="T297" s="66" t="str">
        <f ca="1">IF($S$289&gt;=O264,INDEX($AL$140:$AL$149,MATCH(O264,($AJ$140:$AJ$149),0)),IF($S$275&gt;=O264,INDEX('Spell Tables'!$AZ$242:$AZ$253,MATCH(O264,('Spell Tables'!$AX$242:$AX$253),0)),IF($S$279&gt;=O264,INDEX('Spell Tables'!$AZ$168:$AZ$172,MATCH(O264,('Spell Tables'!$AX$168:$AX$172),0)),IF($S$291&gt;=O264,INDEX('Spell Tables'!$AZ$26:$AZ$29,MATCH(O264,('Spell Tables'!$AX$26:$AX$29),0)),IF($S$293&gt;=O264,INDEX('Spell Tables'!$AZ$2:$AZ$5,MATCH(O264,('Spell Tables'!$AX$2:$AX$5),0))," ")))))</f>
        <v xml:space="preserve"> </v>
      </c>
    </row>
    <row r="298" spans="14:20" x14ac:dyDescent="0.3">
      <c r="N298" s="72"/>
      <c r="O298" s="133">
        <v>4</v>
      </c>
      <c r="P298" s="60" t="str">
        <f ca="1">IF(AND($Q$15="Otherworldly patron - great old one",O$277&gt;=O196),INDEX('Spell Tables'!$AJ$226:$AJ$231,MATCH(O196,('Spell Tables'!$AH$226:$AH$231),0)),IF(AND($Q$15="Otherworldly patron - fiend",O$277&gt;=O196),INDEX('Spell Tables'!$AJ$210:$AJ$215,MATCH(O196,('Spell Tables'!$AH$210:$AH$215),0)),IF(AND($Q$15="Otherworldly patron - archfey",O$277&gt;=O196),INDEX('Spell Tables'!$AJ$194:$AJ$199,MATCH(O196,('Spell Tables'!$AH$194:$AH$199),0)),IF($O$275&gt;=O196,INDEX($AL$92:$AL$101,MATCH(O196,($AJ$92:$AJ$101),0)),IF($O$279&gt;=O196,INDEX('Spell Tables'!$AJ$168:$AJ$178,MATCH(O196,('Spell Tables'!$AH$168:$AH$178),0)),IF($O$283&gt;=O196,INDEX('Spell Tables'!$AF$119:$AF$122,MATCH(O196,('Spell Tables'!$AD$119:$AD$122),0)),IF($O$285&gt;=O196,INDEX('Spell Tables'!$AF$97:$AF$102,MATCH(O196,('Spell Tables'!$AD$97:$AD$102),0)),IF($O$289&gt;=O196,INDEX('Spell Tables'!$AJ$48:$AJ$61,MATCH(O196,('Spell Tables'!$AH$48:$AH$61),0)),IF($O$291&gt;=O196,INDEX('Spell Tables'!$AJ$26:$AJ$38,MATCH(O196,('Spell Tables'!$AH$26:$AH$38),0)),IF($O$293&gt;=O196,INDEX('Spell Tables'!$AJ$2:$AJ$17,MATCH(O196,('Spell Tables'!$AH$2:$AH$17),0))," "))))))))))</f>
        <v xml:space="preserve"> </v>
      </c>
      <c r="Q298" s="60" t="str">
        <f ca="1">IF($P$275&gt;=O265,INDEX($AL$104:$AL$113,MATCH(O265,($AJ$104:$AJ$113),0)),IF($P$279&gt;=O265,INDEX('Spell Tables'!$AN$168:$AN$177,MATCH(O265,('Spell Tables'!$AL$168:$AL$177),0)),IF($P$289&gt;=O265,INDEX('Spell Tables'!$AN$48:$AN$56,MATCH(O265,('Spell Tables'!$AL$48:$AL$56),0)),IF($P$291&gt;=O265,INDEX('Spell Tables'!$AN$26:$AN$35,MATCH(O265,('Spell Tables'!$AL$26:$AL$35),0)),IF($P$293&gt;=O265,INDEX('Spell Tables'!$AN$2:$AN$8,MATCH(O265,('Spell Tables'!$AL$2:$AL$8),0))," ")))))</f>
        <v xml:space="preserve"> </v>
      </c>
      <c r="R298" s="60" t="str">
        <f ca="1">IF($Q$275&gt;=O265,INDEX($AL$116:$AL$125,MATCH(O265,($AJ$116:$AJ$125),0)),IF($Q$279&gt;=O265,INDEX('Spell Tables'!$AR$168:$AR$175,MATCH(O265,('Spell Tables'!$AP$168:$AP$175),0)),IF($Q$289&gt;=O265,INDEX('Spell Tables'!$AR$48:$AR$52,MATCH(O265,('Spell Tables'!$AP$48:$AP$52),0)),IF($Q$291&gt;=O265,INDEX('Spell Tables'!$AR$26:$AR$33,MATCH(O265,('Spell Tables'!$AP$26:$AP$33),0)),IF($Q$293&gt;=O265,INDEX('Spell Tables'!$AR$2:$AR$11,MATCH(O265,('Spell Tables'!$AL$2:$AL$11),0))," ")))))</f>
        <v xml:space="preserve"> </v>
      </c>
      <c r="S298" s="60" t="str">
        <f ca="1">IF($R$275&gt;=O265,INDEX($AL$128:$AL$137,MATCH(O265,($AJ$128:$AJ$137),0)),IF($R$279&gt;=O265,INDEX('Spell Tables'!$AV$168:$AV$172,MATCH(O265,('Spell Tables'!$AT$168:$AT$172),0)),IF($R$289&gt;=O265,INDEX('Spell Tables'!$AV$48:$AV$54,MATCH(O265,('Spell Tables'!$AT$48:$AT$54),0)),IF($R$291&gt;=O265,INDEX('Spell Tables'!$AV$26:$AV$29,MATCH(O265,('Spell Tables'!$AT$26:$AT$29),0)),IF($R$293&gt;=O265,INDEX('Spell Tables'!$AV$2:$AV$6,MATCH(O265,('Spell Tables'!$AT$2:$AT$6),0))," ")))))</f>
        <v xml:space="preserve"> </v>
      </c>
      <c r="T298" s="63" t="str">
        <f ca="1">IF($S$289&gt;=O265,INDEX($AL$140:$AL$149,MATCH(O265,($AJ$140:$AJ$149),0)),IF($S$275&gt;=O265,INDEX('Spell Tables'!$AZ$242:$AZ$253,MATCH(O265,('Spell Tables'!$AX$242:$AX$253),0)),IF($S$279&gt;=O265,INDEX('Spell Tables'!$AZ$168:$AZ$172,MATCH(O265,('Spell Tables'!$AX$168:$AX$172),0)),IF($S$291&gt;=O265,INDEX('Spell Tables'!$AZ$26:$AZ$29,MATCH(O265,('Spell Tables'!$AX$26:$AX$29),0)),IF($S$293&gt;=O265,INDEX('Spell Tables'!$AZ$2:$AZ$5,MATCH(O265,('Spell Tables'!$AX$2:$AX$5),0))," ")))))</f>
        <v xml:space="preserve"> </v>
      </c>
    </row>
    <row r="299" spans="14:20" x14ac:dyDescent="0.3">
      <c r="N299" s="72"/>
      <c r="O299" s="86">
        <v>5</v>
      </c>
      <c r="P299" s="65" t="str">
        <f ca="1">IF(AND($Q$15="Otherworldly patron - great old one",O$277&gt;=O197),INDEX('Spell Tables'!$AJ$226:$AJ$231,MATCH(O197,('Spell Tables'!$AH$226:$AH$231),0)),IF(AND($Q$15="Otherworldly patron - fiend",O$277&gt;=O197),INDEX('Spell Tables'!$AJ$210:$AJ$215,MATCH(O197,('Spell Tables'!$AH$210:$AH$215),0)),IF(AND($Q$15="Otherworldly patron - archfey",O$277&gt;=O197),INDEX('Spell Tables'!$AJ$194:$AJ$199,MATCH(O197,('Spell Tables'!$AH$194:$AH$199),0)),IF($O$275&gt;=O197,INDEX($AL$92:$AL$101,MATCH(O197,($AJ$92:$AJ$101),0)),IF($O$279&gt;=O197,INDEX('Spell Tables'!$AJ$168:$AJ$178,MATCH(O197,('Spell Tables'!$AH$168:$AH$178),0)),IF($O$283&gt;=O197,INDEX('Spell Tables'!$AF$119:$AF$122,MATCH(O197,('Spell Tables'!$AD$119:$AD$122),0)),IF($O$285&gt;=O197,INDEX('Spell Tables'!$AF$97:$AF$102,MATCH(O197,('Spell Tables'!$AD$97:$AD$102),0)),IF($O$289&gt;=O197,INDEX('Spell Tables'!$AJ$48:$AJ$61,MATCH(O197,('Spell Tables'!$AH$48:$AH$61),0)),IF($O$291&gt;=O197,INDEX('Spell Tables'!$AJ$26:$AJ$38,MATCH(O197,('Spell Tables'!$AH$26:$AH$38),0)),IF($O$293&gt;=O197,INDEX('Spell Tables'!$AJ$2:$AJ$17,MATCH(O197,('Spell Tables'!$AH$2:$AH$17),0))," "))))))))))</f>
        <v xml:space="preserve"> </v>
      </c>
      <c r="Q299" s="65" t="str">
        <f ca="1">IF($P$275&gt;=O266,INDEX($AL$104:$AL$113,MATCH(O266,($AJ$104:$AJ$113),0)),IF($P$279&gt;=O266,INDEX('Spell Tables'!$AN$168:$AN$177,MATCH(O266,('Spell Tables'!$AL$168:$AL$177),0)),IF($P$289&gt;=O266,INDEX('Spell Tables'!$AN$48:$AN$56,MATCH(O266,('Spell Tables'!$AL$48:$AL$56),0)),IF($P$291&gt;=O266,INDEX('Spell Tables'!$AN$26:$AN$35,MATCH(O266,('Spell Tables'!$AL$26:$AL$35),0)),IF($P$293&gt;=O266,INDEX('Spell Tables'!$AN$2:$AN$8,MATCH(O266,('Spell Tables'!$AL$2:$AL$8),0))," ")))))</f>
        <v xml:space="preserve"> </v>
      </c>
      <c r="R299" s="65" t="str">
        <f ca="1">IF($Q$275&gt;=O266,INDEX($AL$116:$AL$125,MATCH(O266,($AJ$116:$AJ$125),0)),IF($Q$279&gt;=O266,INDEX('Spell Tables'!$AR$168:$AR$175,MATCH(O266,('Spell Tables'!$AP$168:$AP$175),0)),IF($Q$289&gt;=O266,INDEX('Spell Tables'!$AR$48:$AR$52,MATCH(O266,('Spell Tables'!$AP$48:$AP$52),0)),IF($Q$291&gt;=O266,INDEX('Spell Tables'!$AR$26:$AR$33,MATCH(O266,('Spell Tables'!$AP$26:$AP$33),0)),IF($Q$293&gt;=O266,INDEX('Spell Tables'!$AR$2:$AR$11,MATCH(O266,('Spell Tables'!$AL$2:$AL$11),0))," ")))))</f>
        <v xml:space="preserve"> </v>
      </c>
      <c r="S299" s="65" t="str">
        <f ca="1">IF($R$275&gt;=O266,INDEX($AL$128:$AL$137,MATCH(O266,($AJ$128:$AJ$137),0)),IF($R$279&gt;=O266,INDEX('Spell Tables'!$AV$168:$AV$172,MATCH(O266,('Spell Tables'!$AT$168:$AT$172),0)),IF($R$289&gt;=O266,INDEX('Spell Tables'!$AV$48:$AV$54,MATCH(O266,('Spell Tables'!$AT$48:$AT$54),0)),IF($R$291&gt;=O266,INDEX('Spell Tables'!$AV$26:$AV$29,MATCH(O266,('Spell Tables'!$AT$26:$AT$29),0)),IF($R$293&gt;=O266,INDEX('Spell Tables'!$AV$2:$AV$6,MATCH(O266,('Spell Tables'!$AT$2:$AT$6),0))," ")))))</f>
        <v xml:space="preserve"> </v>
      </c>
      <c r="T299" s="66" t="str">
        <f ca="1">IF($S$289&gt;=O266,INDEX($AL$140:$AL$149,MATCH(O266,($AJ$140:$AJ$149),0)),IF($S$275&gt;=O266,INDEX('Spell Tables'!$AZ$242:$AZ$253,MATCH(O266,('Spell Tables'!$AX$242:$AX$253),0)),IF($S$279&gt;=O266,INDEX('Spell Tables'!$AZ$168:$AZ$172,MATCH(O266,('Spell Tables'!$AX$168:$AX$172),0)),IF($S$291&gt;=O266,INDEX('Spell Tables'!$AZ$26:$AZ$29,MATCH(O266,('Spell Tables'!$AX$26:$AX$29),0)),IF($S$293&gt;=O266,INDEX('Spell Tables'!$AZ$2:$AZ$5,MATCH(O266,('Spell Tables'!$AX$2:$AX$5),0))," ")))))</f>
        <v xml:space="preserve"> </v>
      </c>
    </row>
    <row r="300" spans="14:20" x14ac:dyDescent="0.3">
      <c r="N300" s="72"/>
      <c r="O300" s="133">
        <v>6</v>
      </c>
      <c r="P300" s="60" t="str">
        <f ca="1">IF(AND($Q$15="Otherworldly patron - great old one",O$277&gt;=O198),INDEX('Spell Tables'!$AJ$226:$AJ$231,MATCH(O198,('Spell Tables'!$AH$226:$AH$231),0)),IF(AND($Q$15="Otherworldly patron - fiend",O$277&gt;=O198),INDEX('Spell Tables'!$AJ$210:$AJ$215,MATCH(O198,('Spell Tables'!$AH$210:$AH$215),0)),IF(AND($Q$15="Otherworldly patron - archfey",O$277&gt;=O198),INDEX('Spell Tables'!$AJ$194:$AJ$199,MATCH(O198,('Spell Tables'!$AH$194:$AH$199),0)),IF($O$275&gt;=O198,INDEX($AL$92:$AL$101,MATCH(O198,($AJ$92:$AJ$101),0)),IF($O$279&gt;=O198,INDEX('Spell Tables'!$AJ$168:$AJ$178,MATCH(O198,('Spell Tables'!$AH$168:$AH$178),0)),IF($O$283&gt;=O198,INDEX('Spell Tables'!$AF$119:$AF$122,MATCH(O198,('Spell Tables'!$AD$119:$AD$122),0)),IF($O$285&gt;=O198,INDEX('Spell Tables'!$AF$97:$AF$102,MATCH(O198,('Spell Tables'!$AD$97:$AD$102),0)),IF($O$289&gt;=O198,INDEX('Spell Tables'!$AJ$48:$AJ$61,MATCH(O198,('Spell Tables'!$AH$48:$AH$61),0)),IF($O$291&gt;=O198,INDEX('Spell Tables'!$AJ$26:$AJ$38,MATCH(O198,('Spell Tables'!$AH$26:$AH$38),0)),IF($O$293&gt;=O198,INDEX('Spell Tables'!$AJ$2:$AJ$17,MATCH(O198,('Spell Tables'!$AH$2:$AH$17),0))," "))))))))))</f>
        <v xml:space="preserve"> </v>
      </c>
      <c r="Q300" s="60" t="str">
        <f ca="1">IF($P$275&gt;=O267,INDEX($AL$104:$AL$113,MATCH(O267,($AJ$104:$AJ$113),0)),IF($P$279&gt;=O267,INDEX('Spell Tables'!$AN$168:$AN$177,MATCH(O267,('Spell Tables'!$AL$168:$AL$177),0)),IF($P$289&gt;=O267,INDEX('Spell Tables'!$AN$48:$AN$56,MATCH(O267,('Spell Tables'!$AL$48:$AL$56),0)),IF($P$291&gt;=O267,INDEX('Spell Tables'!$AN$26:$AN$35,MATCH(O267,('Spell Tables'!$AL$26:$AL$35),0)),IF($P$293&gt;=O267,INDEX('Spell Tables'!$AN$2:$AN$8,MATCH(O267,('Spell Tables'!$AL$2:$AL$8),0))," ")))))</f>
        <v xml:space="preserve"> </v>
      </c>
      <c r="R300" s="60" t="str">
        <f ca="1">IF($Q$275&gt;=O267,INDEX($AL$116:$AL$125,MATCH(O267,($AJ$116:$AJ$125),0)),IF($Q$279&gt;=O267,INDEX('Spell Tables'!$AR$168:$AR$175,MATCH(O267,('Spell Tables'!$AP$168:$AP$175),0)),IF($Q$289&gt;=O267,INDEX('Spell Tables'!$AR$48:$AR$52,MATCH(O267,('Spell Tables'!$AP$48:$AP$52),0)),IF($Q$291&gt;=O267,INDEX('Spell Tables'!$AR$26:$AR$33,MATCH(O267,('Spell Tables'!$AP$26:$AP$33),0)),IF($Q$293&gt;=O267,INDEX('Spell Tables'!$AR$2:$AR$11,MATCH(O267,('Spell Tables'!$AL$2:$AL$11),0))," ")))))</f>
        <v xml:space="preserve"> </v>
      </c>
      <c r="S300" s="60" t="str">
        <f ca="1">IF($R$275&gt;=O267,INDEX($AL$128:$AL$137,MATCH(O267,($AJ$128:$AJ$137),0)),IF($R$279&gt;=O267,INDEX('Spell Tables'!$AV$168:$AV$172,MATCH(O267,('Spell Tables'!$AT$168:$AT$172),0)),IF($R$289&gt;=O267,INDEX('Spell Tables'!$AV$48:$AV$54,MATCH(O267,('Spell Tables'!$AT$48:$AT$54),0)),IF($R$291&gt;=O267,INDEX('Spell Tables'!$AV$26:$AV$29,MATCH(O267,('Spell Tables'!$AT$26:$AT$29),0)),IF($R$293&gt;=O267,INDEX('Spell Tables'!$AV$2:$AV$6,MATCH(O267,('Spell Tables'!$AT$2:$AT$6),0))," ")))))</f>
        <v xml:space="preserve"> </v>
      </c>
      <c r="T300" s="63" t="str">
        <f ca="1">IF($S$289&gt;=O267,INDEX($AL$140:$AL$149,MATCH(O267,($AJ$140:$AJ$149),0)),IF($S$275&gt;=O267,INDEX('Spell Tables'!$AZ$242:$AZ$253,MATCH(O267,('Spell Tables'!$AX$242:$AX$253),0)),IF($S$279&gt;=O267,INDEX('Spell Tables'!$AZ$168:$AZ$172,MATCH(O267,('Spell Tables'!$AX$168:$AX$172),0)),IF($S$291&gt;=O267,INDEX('Spell Tables'!$AZ$26:$AZ$29,MATCH(O267,('Spell Tables'!$AX$26:$AX$29),0)),IF($S$293&gt;=O267,INDEX('Spell Tables'!$AZ$2:$AZ$5,MATCH(O267,('Spell Tables'!$AX$2:$AX$5),0))," ")))))</f>
        <v xml:space="preserve"> </v>
      </c>
    </row>
    <row r="301" spans="14:20" x14ac:dyDescent="0.3">
      <c r="N301" s="72"/>
      <c r="O301" s="86">
        <v>7</v>
      </c>
      <c r="P301" s="65" t="str">
        <f ca="1">IF(AND($Q$15="Otherworldly patron - great old one",O$277&gt;=O199),INDEX('Spell Tables'!$AJ$226:$AJ$231,MATCH(O199,('Spell Tables'!$AH$226:$AH$231),0)),IF(AND($Q$15="Otherworldly patron - fiend",O$277&gt;=O199),INDEX('Spell Tables'!$AJ$210:$AJ$215,MATCH(O199,('Spell Tables'!$AH$210:$AH$215),0)),IF(AND($Q$15="Otherworldly patron - archfey",O$277&gt;=O199),INDEX('Spell Tables'!$AJ$194:$AJ$199,MATCH(O199,('Spell Tables'!$AH$194:$AH$199),0)),IF($O$275&gt;=O199,INDEX($AL$92:$AL$101,MATCH(O199,($AJ$92:$AJ$101),0)),IF($O$279&gt;=O199,INDEX('Spell Tables'!$AJ$168:$AJ$178,MATCH(O199,('Spell Tables'!$AH$168:$AH$178),0)),IF($O$283&gt;=O199,INDEX('Spell Tables'!$AF$119:$AF$122,MATCH(O199,('Spell Tables'!$AD$119:$AD$122),0)),IF($O$285&gt;=O199,INDEX('Spell Tables'!$AF$97:$AF$102,MATCH(O199,('Spell Tables'!$AD$97:$AD$102),0)),IF($O$289&gt;=O199,INDEX('Spell Tables'!$AJ$48:$AJ$61,MATCH(O199,('Spell Tables'!$AH$48:$AH$61),0)),IF($O$291&gt;=O199,INDEX('Spell Tables'!$AJ$26:$AJ$38,MATCH(O199,('Spell Tables'!$AH$26:$AH$38),0)),IF($O$293&gt;=O199,INDEX('Spell Tables'!$AJ$2:$AJ$17,MATCH(O199,('Spell Tables'!$AH$2:$AH$17),0))," "))))))))))</f>
        <v xml:space="preserve"> </v>
      </c>
      <c r="Q301" s="65" t="str">
        <f ca="1">IF($P$275&gt;=O268,INDEX($AL$104:$AL$113,MATCH(O268,($AJ$104:$AJ$113),0)),IF($P$279&gt;=O268,INDEX('Spell Tables'!$AN$168:$AN$177,MATCH(O268,('Spell Tables'!$AL$168:$AL$177),0)),IF($P$289&gt;=O268,INDEX('Spell Tables'!$AN$48:$AN$56,MATCH(O268,('Spell Tables'!$AL$48:$AL$56),0)),IF($P$291&gt;=O268,INDEX('Spell Tables'!$AN$26:$AN$35,MATCH(O268,('Spell Tables'!$AL$26:$AL$35),0)),IF($P$293&gt;=O268,INDEX('Spell Tables'!$AN$2:$AN$8,MATCH(O268,('Spell Tables'!$AL$2:$AL$8),0))," ")))))</f>
        <v xml:space="preserve"> </v>
      </c>
      <c r="R301" s="65" t="str">
        <f ca="1">IF($Q$275&gt;=O268,INDEX($AL$116:$AL$125,MATCH(O268,($AJ$116:$AJ$125),0)),IF($Q$279&gt;=O268,INDEX('Spell Tables'!$AR$168:$AR$175,MATCH(O268,('Spell Tables'!$AP$168:$AP$175),0)),IF($Q$289&gt;=O268,INDEX('Spell Tables'!$AR$48:$AR$52,MATCH(O268,('Spell Tables'!$AP$48:$AP$52),0)),IF($Q$291&gt;=O268,INDEX('Spell Tables'!$AR$26:$AR$33,MATCH(O268,('Spell Tables'!$AP$26:$AP$33),0)),IF($Q$293&gt;=O268,INDEX('Spell Tables'!$AR$2:$AR$11,MATCH(O268,('Spell Tables'!$AL$2:$AL$11),0))," ")))))</f>
        <v xml:space="preserve"> </v>
      </c>
      <c r="S301" s="65" t="str">
        <f ca="1">IF($R$275&gt;=O268,INDEX($AL$128:$AL$137,MATCH(O268,($AJ$128:$AJ$137),0)),IF($R$279&gt;=O268,INDEX('Spell Tables'!$AV$168:$AV$172,MATCH(O268,('Spell Tables'!$AT$168:$AT$172),0)),IF($R$289&gt;=O268,INDEX('Spell Tables'!$AV$48:$AV$54,MATCH(O268,('Spell Tables'!$AT$48:$AT$54),0)),IF($R$291&gt;=O268,INDEX('Spell Tables'!$AV$26:$AV$29,MATCH(O268,('Spell Tables'!$AT$26:$AT$29),0)),IF($R$293&gt;=O268,INDEX('Spell Tables'!$AV$2:$AV$6,MATCH(O268,('Spell Tables'!$AT$2:$AT$6),0))," ")))))</f>
        <v xml:space="preserve"> </v>
      </c>
      <c r="T301" s="66" t="str">
        <f ca="1">IF($S$289&gt;=O268,INDEX($AL$140:$AL$149,MATCH(O268,($AJ$140:$AJ$149),0)),IF($S$275&gt;=O268,INDEX('Spell Tables'!$AZ$242:$AZ$253,MATCH(O268,('Spell Tables'!$AX$242:$AX$253),0)),IF($S$279&gt;=O268,INDEX('Spell Tables'!$AZ$168:$AZ$172,MATCH(O268,('Spell Tables'!$AX$168:$AX$172),0)),IF($S$291&gt;=O268,INDEX('Spell Tables'!$AZ$26:$AZ$29,MATCH(O268,('Spell Tables'!$AX$26:$AX$29),0)),IF($S$293&gt;=O268,INDEX('Spell Tables'!$AZ$2:$AZ$5,MATCH(O268,('Spell Tables'!$AX$2:$AX$5),0))," ")))))</f>
        <v xml:space="preserve"> </v>
      </c>
    </row>
    <row r="302" spans="14:20" x14ac:dyDescent="0.3">
      <c r="N302" s="72"/>
      <c r="O302" s="133">
        <v>8</v>
      </c>
      <c r="P302" s="60" t="str">
        <f ca="1">IF(AND($Q$15="Otherworldly patron - great old one",O$277&gt;=O200),INDEX('Spell Tables'!$AJ$226:$AJ$231,MATCH(O200,('Spell Tables'!$AH$226:$AH$231),0)),IF(AND($Q$15="Otherworldly patron - fiend",O$277&gt;=O200),INDEX('Spell Tables'!$AJ$210:$AJ$215,MATCH(O200,('Spell Tables'!$AH$210:$AH$215),0)),IF(AND($Q$15="Otherworldly patron - archfey",O$277&gt;=O200),INDEX('Spell Tables'!$AJ$194:$AJ$199,MATCH(O200,('Spell Tables'!$AH$194:$AH$199),0)),IF($O$275&gt;=O200,INDEX($AL$92:$AL$101,MATCH(O200,($AJ$92:$AJ$101),0)),IF($O$279&gt;=O200,INDEX('Spell Tables'!$AJ$168:$AJ$178,MATCH(O200,('Spell Tables'!$AH$168:$AH$178),0)),IF($O$283&gt;=O200,INDEX('Spell Tables'!$AF$119:$AF$122,MATCH(O200,('Spell Tables'!$AD$119:$AD$122),0)),IF($O$285&gt;=O200,INDEX('Spell Tables'!$AF$97:$AF$102,MATCH(O200,('Spell Tables'!$AD$97:$AD$102),0)),IF($O$289&gt;=O200,INDEX('Spell Tables'!$AJ$48:$AJ$61,MATCH(O200,('Spell Tables'!$AH$48:$AH$61),0)),IF($O$291&gt;=O200,INDEX('Spell Tables'!$AJ$26:$AJ$38,MATCH(O200,('Spell Tables'!$AH$26:$AH$38),0)),IF($O$293&gt;=O200,INDEX('Spell Tables'!$AJ$2:$AJ$17,MATCH(O200,('Spell Tables'!$AH$2:$AH$17),0))," "))))))))))</f>
        <v xml:space="preserve"> </v>
      </c>
      <c r="Q302" s="60" t="str">
        <f ca="1">IF($P$275&gt;=O269,INDEX($AL$104:$AL$113,MATCH(O269,($AJ$104:$AJ$113),0)),IF($P$279&gt;=O269,INDEX('Spell Tables'!$AN$168:$AN$177,MATCH(O269,('Spell Tables'!$AL$168:$AL$177),0)),IF($P$289&gt;=O269,INDEX('Spell Tables'!$AN$48:$AN$56,MATCH(O269,('Spell Tables'!$AL$48:$AL$56),0)),IF($P$291&gt;=O269,INDEX('Spell Tables'!$AN$26:$AN$35,MATCH(O269,('Spell Tables'!$AL$26:$AL$35),0)),IF($P$293&gt;=O269,INDEX('Spell Tables'!$AN$2:$AN$8,MATCH(O269,('Spell Tables'!$AL$2:$AL$8),0))," ")))))</f>
        <v xml:space="preserve"> </v>
      </c>
      <c r="R302" s="60" t="str">
        <f ca="1">IF($Q$275&gt;=O269,INDEX($AL$116:$AL$125,MATCH(O269,($AJ$116:$AJ$125),0)),IF($Q$279&gt;=O269,INDEX('Spell Tables'!$AR$168:$AR$175,MATCH(O269,('Spell Tables'!$AP$168:$AP$175),0)),IF($Q$289&gt;=O269,INDEX('Spell Tables'!$AR$48:$AR$52,MATCH(O269,('Spell Tables'!$AP$48:$AP$52),0)),IF($Q$291&gt;=O269,INDEX('Spell Tables'!$AR$26:$AR$33,MATCH(O269,('Spell Tables'!$AP$26:$AP$33),0)),IF($Q$293&gt;=O269,INDEX('Spell Tables'!$AR$2:$AR$11,MATCH(O269,('Spell Tables'!$AL$2:$AL$11),0))," ")))))</f>
        <v xml:space="preserve"> </v>
      </c>
      <c r="S302" s="60" t="str">
        <f ca="1">IF($R$275&gt;=O269,INDEX($AL$128:$AL$137,MATCH(O269,($AJ$128:$AJ$137),0)),IF($R$279&gt;=O269,INDEX('Spell Tables'!$AV$168:$AV$172,MATCH(O269,('Spell Tables'!$AT$168:$AT$172),0)),IF($R$289&gt;=O269,INDEX('Spell Tables'!$AV$48:$AV$54,MATCH(O269,('Spell Tables'!$AT$48:$AT$54),0)),IF($R$291&gt;=O269,INDEX('Spell Tables'!$AV$26:$AV$29,MATCH(O269,('Spell Tables'!$AT$26:$AT$29),0)),IF($R$293&gt;=O269,INDEX('Spell Tables'!$AV$2:$AV$6,MATCH(O269,('Spell Tables'!$AT$2:$AT$6),0))," ")))))</f>
        <v xml:space="preserve"> </v>
      </c>
      <c r="T302" s="63" t="str">
        <f ca="1">IF($S$289&gt;=O269,INDEX($AL$140:$AL$149,MATCH(O269,($AJ$140:$AJ$149),0)),IF($S$275&gt;=O269,INDEX('Spell Tables'!$AZ$242:$AZ$253,MATCH(O269,('Spell Tables'!$AX$242:$AX$253),0)),IF($S$279&gt;=O269,INDEX('Spell Tables'!$AZ$168:$AZ$172,MATCH(O269,('Spell Tables'!$AX$168:$AX$172),0)),IF($S$291&gt;=O269,INDEX('Spell Tables'!$AZ$26:$AZ$29,MATCH(O269,('Spell Tables'!$AX$26:$AX$29),0)),IF($S$293&gt;=O269,INDEX('Spell Tables'!$AZ$2:$AZ$5,MATCH(O269,('Spell Tables'!$AX$2:$AX$5),0))," ")))))</f>
        <v xml:space="preserve"> </v>
      </c>
    </row>
    <row r="303" spans="14:20" x14ac:dyDescent="0.3">
      <c r="N303" s="72"/>
      <c r="O303" s="86">
        <v>9</v>
      </c>
      <c r="P303" s="65" t="str">
        <f ca="1">IF(AND($Q$15="Otherworldly patron - great old one",O$277&gt;=O201),INDEX('Spell Tables'!$AJ$226:$AJ$231,MATCH(O201,('Spell Tables'!$AH$226:$AH$231),0)),IF(AND($Q$15="Otherworldly patron - fiend",O$277&gt;=O201),INDEX('Spell Tables'!$AJ$210:$AJ$215,MATCH(O201,('Spell Tables'!$AH$210:$AH$215),0)),IF(AND($Q$15="Otherworldly patron - archfey",O$277&gt;=O201),INDEX('Spell Tables'!$AJ$194:$AJ$199,MATCH(O201,('Spell Tables'!$AH$194:$AH$199),0)),IF($O$275&gt;=O201,INDEX($AL$92:$AL$101,MATCH(O201,($AJ$92:$AJ$101),0)),IF($O$279&gt;=O201,INDEX('Spell Tables'!$AJ$168:$AJ$178,MATCH(O201,('Spell Tables'!$AH$168:$AH$178),0)),IF($O$283&gt;=O201,INDEX('Spell Tables'!$AF$119:$AF$122,MATCH(O201,('Spell Tables'!$AD$119:$AD$122),0)),IF($O$285&gt;=O201,INDEX('Spell Tables'!$AF$97:$AF$102,MATCH(O201,('Spell Tables'!$AD$97:$AD$102),0)),IF($O$289&gt;=O201,INDEX('Spell Tables'!$AJ$48:$AJ$61,MATCH(O201,('Spell Tables'!$AH$48:$AH$61),0)),IF($O$291&gt;=O201,INDEX('Spell Tables'!$AJ$26:$AJ$38,MATCH(O201,('Spell Tables'!$AH$26:$AH$38),0)),IF($O$293&gt;=O201,INDEX('Spell Tables'!$AJ$2:$AJ$17,MATCH(O201,('Spell Tables'!$AH$2:$AH$17),0))," "))))))))))</f>
        <v xml:space="preserve"> </v>
      </c>
      <c r="Q303" s="65" t="str">
        <f ca="1">IF($P$275&gt;=O270,INDEX($AL$104:$AL$113,MATCH(O270,($AJ$104:$AJ$113),0)),IF($P$279&gt;=O270,INDEX('Spell Tables'!$AN$168:$AN$177,MATCH(O270,('Spell Tables'!$AL$168:$AL$177),0)),IF($P$289&gt;=O270,INDEX('Spell Tables'!$AN$48:$AN$56,MATCH(O270,('Spell Tables'!$AL$48:$AL$56),0)),IF($P$291&gt;=O270,INDEX('Spell Tables'!$AN$26:$AN$35,MATCH(O270,('Spell Tables'!$AL$26:$AL$35),0)),IF($P$293&gt;=O270,INDEX('Spell Tables'!$AN$2:$AN$8,MATCH(O270,('Spell Tables'!$AL$2:$AL$8),0))," ")))))</f>
        <v xml:space="preserve"> </v>
      </c>
      <c r="R303" s="65" t="str">
        <f ca="1">IF($Q$275&gt;=O270,INDEX($AL$116:$AL$125,MATCH(O270,($AJ$116:$AJ$125),0)),IF($Q$279&gt;=O270,INDEX('Spell Tables'!$AR$168:$AR$175,MATCH(O270,('Spell Tables'!$AP$168:$AP$175),0)),IF($Q$289&gt;=O270,INDEX('Spell Tables'!$AR$48:$AR$52,MATCH(O270,('Spell Tables'!$AP$48:$AP$52),0)),IF($Q$291&gt;=O270,INDEX('Spell Tables'!$AR$26:$AR$33,MATCH(O270,('Spell Tables'!$AP$26:$AP$33),0)),IF($Q$293&gt;=O270,INDEX('Spell Tables'!$AR$2:$AR$11,MATCH(O270,('Spell Tables'!$AL$2:$AL$11),0))," ")))))</f>
        <v xml:space="preserve"> </v>
      </c>
      <c r="S303" s="65" t="str">
        <f ca="1">IF($R$275&gt;=O270,INDEX($AL$128:$AL$137,MATCH(O270,($AJ$128:$AJ$137),0)),IF($R$279&gt;=O270,INDEX('Spell Tables'!$AV$168:$AV$172,MATCH(O270,('Spell Tables'!$AT$168:$AT$172),0)),IF($R$289&gt;=O270,INDEX('Spell Tables'!$AV$48:$AV$54,MATCH(O270,('Spell Tables'!$AT$48:$AT$54),0)),IF($R$291&gt;=O270,INDEX('Spell Tables'!$AV$26:$AV$29,MATCH(O270,('Spell Tables'!$AT$26:$AT$29),0)),IF($R$293&gt;=O270,INDEX('Spell Tables'!$AV$2:$AV$6,MATCH(O270,('Spell Tables'!$AT$2:$AT$6),0))," ")))))</f>
        <v xml:space="preserve"> </v>
      </c>
      <c r="T303" s="66" t="str">
        <f ca="1">IF($S$289&gt;=O270,INDEX($AL$140:$AL$149,MATCH(O270,($AJ$140:$AJ$149),0)),IF($S$275&gt;=O270,INDEX('Spell Tables'!$AZ$242:$AZ$253,MATCH(O270,('Spell Tables'!$AX$242:$AX$253),0)),IF($S$279&gt;=O270,INDEX('Spell Tables'!$AZ$168:$AZ$172,MATCH(O270,('Spell Tables'!$AX$168:$AX$172),0)),IF($S$291&gt;=O270,INDEX('Spell Tables'!$AZ$26:$AZ$29,MATCH(O270,('Spell Tables'!$AX$26:$AX$29),0)),IF($S$293&gt;=O270,INDEX('Spell Tables'!$AZ$2:$AZ$5,MATCH(O270,('Spell Tables'!$AX$2:$AX$5),0))," ")))))</f>
        <v xml:space="preserve"> </v>
      </c>
    </row>
    <row r="304" spans="14:20" ht="19.5" thickBot="1" x14ac:dyDescent="0.35">
      <c r="N304" s="72"/>
      <c r="O304" s="134">
        <v>10</v>
      </c>
      <c r="P304" s="67" t="str">
        <f ca="1">IF(AND($Q$15="Otherworldly patron - great old one",O$277&gt;=O202),INDEX('Spell Tables'!$AJ$226:$AJ$231,MATCH(O202,('Spell Tables'!$AH$226:$AH$231),0)),IF(AND($Q$15="Otherworldly patron - fiend",O$277&gt;=O202),INDEX('Spell Tables'!$AJ$210:$AJ$215,MATCH(O202,('Spell Tables'!$AH$210:$AH$215),0)),IF(AND($Q$15="Otherworldly patron - archfey",O$277&gt;=O202),INDEX('Spell Tables'!$AJ$194:$AJ$199,MATCH(O202,('Spell Tables'!$AH$194:$AH$199),0)),IF($O$275&gt;=O202,INDEX($AL$92:$AL$101,MATCH(O202,($AJ$92:$AJ$101),0)),IF($O$279&gt;=O202,INDEX('Spell Tables'!$AJ$168:$AJ$178,MATCH(O202,('Spell Tables'!$AH$168:$AH$178),0)),IF($O$283&gt;=O202,INDEX('Spell Tables'!$AF$119:$AF$122,MATCH(O202,('Spell Tables'!$AD$119:$AD$122),0)),IF($O$285&gt;=O202,INDEX('Spell Tables'!$AF$97:$AF$102,MATCH(O202,('Spell Tables'!$AD$97:$AD$102),0)),IF($O$289&gt;=O202,INDEX('Spell Tables'!$AJ$48:$AJ$61,MATCH(O202,('Spell Tables'!$AH$48:$AH$61),0)),IF($O$291&gt;=O202,INDEX('Spell Tables'!$AJ$26:$AJ$38,MATCH(O202,('Spell Tables'!$AH$26:$AH$38),0)),IF($O$293&gt;=O202,INDEX('Spell Tables'!$AJ$2:$AJ$17,MATCH(O202,('Spell Tables'!$AH$2:$AH$17),0))," "))))))))))</f>
        <v xml:space="preserve"> </v>
      </c>
      <c r="Q304" s="67" t="str">
        <f ca="1">IF($P$275&gt;=O271,INDEX($AL$104:$AL$113,MATCH(O271,($AJ$104:$AJ$113),0)),IF($P$279&gt;=O271,INDEX('Spell Tables'!$AN$168:$AN$177,MATCH(O271,('Spell Tables'!$AL$168:$AL$177),0)),IF($P$289&gt;=O271,INDEX('Spell Tables'!$AN$48:$AN$56,MATCH(O271,('Spell Tables'!$AL$48:$AL$56),0)),IF($P$291&gt;=O271,INDEX('Spell Tables'!$AN$26:$AN$35,MATCH(O271,('Spell Tables'!$AL$26:$AL$35),0)),IF($P$293&gt;=O271,INDEX('Spell Tables'!$AN$2:$AN$8,MATCH(O271,('Spell Tables'!$AL$2:$AL$8),0))," ")))))</f>
        <v xml:space="preserve"> </v>
      </c>
      <c r="R304" s="67" t="str">
        <f ca="1">IF($Q$275&gt;=O271,INDEX($AL$116:$AL$125,MATCH(O271,($AJ$116:$AJ$125),0)),IF($Q$279&gt;=O271,INDEX('Spell Tables'!$AR$168:$AR$175,MATCH(O271,('Spell Tables'!$AP$168:$AP$175),0)),IF($Q$289&gt;=O271,INDEX('Spell Tables'!$AR$48:$AR$52,MATCH(O271,('Spell Tables'!$AP$48:$AP$52),0)),IF($Q$291&gt;=O271,INDEX('Spell Tables'!$AR$26:$AR$33,MATCH(O271,('Spell Tables'!$AP$26:$AP$33),0)),IF($Q$293&gt;=O271,INDEX('Spell Tables'!$AR$2:$AR$11,MATCH(O271,('Spell Tables'!$AL$2:$AL$11),0))," ")))))</f>
        <v xml:space="preserve"> </v>
      </c>
      <c r="S304" s="67" t="str">
        <f ca="1">IF($R$275&gt;=O271,INDEX($AL$128:$AL$137,MATCH(O271,($AJ$128:$AJ$137),0)),IF($R$279&gt;=O271,INDEX('Spell Tables'!$AV$168:$AV$172,MATCH(O271,('Spell Tables'!$AT$168:$AT$172),0)),IF($R$289&gt;=O271,INDEX('Spell Tables'!$AV$48:$AV$54,MATCH(O271,('Spell Tables'!$AT$48:$AT$54),0)),IF($R$291&gt;=O271,INDEX('Spell Tables'!$AV$26:$AV$29,MATCH(O271,('Spell Tables'!$AT$26:$AT$29),0)),IF($R$293&gt;=O271,INDEX('Spell Tables'!$AV$2:$AV$6,MATCH(O271,('Spell Tables'!$AT$2:$AT$6),0))," ")))))</f>
        <v xml:space="preserve"> </v>
      </c>
      <c r="T304" s="68" t="str">
        <f ca="1">IF($S$289&gt;=O271,INDEX($AL$140:$AL$149,MATCH(O271,($AJ$140:$AJ$149),0)),IF($S$275&gt;=O271,INDEX('Spell Tables'!$AZ$242:$AZ$253,MATCH(O271,('Spell Tables'!$AX$242:$AX$253),0)),IF($S$279&gt;=O271,INDEX('Spell Tables'!$AZ$168:$AZ$172,MATCH(O271,('Spell Tables'!$AX$168:$AX$172),0)),IF($S$291&gt;=O271,INDEX('Spell Tables'!$AZ$26:$AZ$29,MATCH(O271,('Spell Tables'!$AX$26:$AX$29),0)),IF($S$293&gt;=O271,INDEX('Spell Tables'!$AZ$2:$AZ$5,MATCH(O271,('Spell Tables'!$AX$2:$AX$5),0))," ")))))</f>
        <v xml:space="preserve"> </v>
      </c>
    </row>
    <row r="305" spans="2:20" ht="19.5" thickBot="1" x14ac:dyDescent="0.35"/>
    <row r="306" spans="2:20" ht="30.75" thickBot="1" x14ac:dyDescent="0.45">
      <c r="B306" s="105" t="s">
        <v>1271</v>
      </c>
    </row>
    <row r="307" spans="2:20" ht="19.5" hidden="1" thickBot="1" x14ac:dyDescent="0.35">
      <c r="P307" s="29" t="s">
        <v>1166</v>
      </c>
      <c r="Q307" s="29" t="s">
        <v>1167</v>
      </c>
      <c r="R307" s="29" t="s">
        <v>1168</v>
      </c>
      <c r="S307" s="29" t="s">
        <v>676</v>
      </c>
    </row>
    <row r="308" spans="2:20" ht="19.5" hidden="1" thickBot="1" x14ac:dyDescent="0.35">
      <c r="B308" s="29" t="s">
        <v>1270</v>
      </c>
      <c r="O308" s="29" t="s">
        <v>530</v>
      </c>
      <c r="P308" s="29" t="str">
        <f>IF(AND(O11="wizard",O12&gt;=3),"x",IF(O11="wizard","xx"," "))</f>
        <v>x</v>
      </c>
      <c r="Q308" s="29" t="str">
        <f>IF(AND(O11="wizard",O12&gt;=9),"xxxx",IF(AND(O11="wizard",O12&gt;=5),"x",IF(AND($O$11="wizard",$O$12&gt;3),"xx",IF(AND(O11="wizard",O12=3),"xxx"," "))))</f>
        <v>xxxx</v>
      </c>
      <c r="R308" s="29" t="str">
        <f>IF(AND(O11="wizard",O12&gt;=11),"xxxx",IF(AND(O11="wizard",O12&gt;=7),"x",IF(AND($O$11="wizard",$O$12&gt;5),"xx",IF(AND(O11="wizard",O12=5),"xxx"," "))))</f>
        <v>xxxx</v>
      </c>
      <c r="S308" s="29" t="str">
        <f>IF(AND(O11="wizard",O12&gt;=13),"xxxx",IF(AND(O11="wizard",O12&gt;=9),"x",IF(AND($O$11="wizard",$O$12&gt;7),"xx",IF(AND(O11="wizard",O12=7),"xxx"," "))))</f>
        <v>xxxx</v>
      </c>
    </row>
    <row r="309" spans="2:20" ht="19.5" hidden="1" thickBot="1" x14ac:dyDescent="0.35">
      <c r="B309" s="29" t="s">
        <v>1271</v>
      </c>
      <c r="O309" s="29">
        <f>IF(O11="wizard",((O12-1)*2)+6," ")</f>
        <v>44</v>
      </c>
      <c r="P309" s="29">
        <f>IF(AND(O11="wizard",O12=2),O309,IF(AND(O11="wizard",O12=1),$O$309,IF(AND(O11="wizard",O12&gt;=3),MAX(8,O309-SUM(U216:X216)),0)))</f>
        <v>44</v>
      </c>
      <c r="Q309" s="29">
        <f ca="1">IF(Q$308="xxxx",MAX(R173,(RANDBETWEEN(5,6))),IF(Q308="x",MAX(R173,(RANDBETWEEN(3,6))),IF(Q308="xx",MAX(R173,(RANDBETWEEN(2,4))),IF(Q308="xxx",MAX(R173,(2)),0))))</f>
        <v>6</v>
      </c>
      <c r="R309" s="29">
        <f ca="1">IF($R308="xxxx",MAX(S173,(RANDBETWEEN(5,6))),IF(R308="x",MAX(S173,(RANDBETWEEN(3,6))),IF(R308="xx",MAX(S173,(RANDBETWEEN(2,4))),IF(R308="xxx",MAX(S173,(2)),0))))</f>
        <v>21</v>
      </c>
      <c r="S309" s="29">
        <f ca="1">IF(S$308="xxxx",MAX(T173,(RANDBETWEEN(5,6))),IF(S308="x",MAX(T173,(RANDBETWEEN(3,6))),IF(S308="xx",MAX(T173,(RANDBETWEEN(2,4))),IF(S308="xxx",MAX(T173,(2)),0))))</f>
        <v>6</v>
      </c>
    </row>
    <row r="310" spans="2:20" ht="19.5" hidden="1" thickBot="1" x14ac:dyDescent="0.35">
      <c r="P310" s="98" t="s">
        <v>1166</v>
      </c>
      <c r="Q310" s="98" t="s">
        <v>1167</v>
      </c>
      <c r="R310" s="98" t="s">
        <v>1168</v>
      </c>
      <c r="S310" s="98" t="s">
        <v>676</v>
      </c>
    </row>
    <row r="311" spans="2:20" ht="19.5" hidden="1" thickBot="1" x14ac:dyDescent="0.35">
      <c r="P311" s="98" t="str">
        <f>IF(AND(Q11="wizard",Q12&gt;=3),"x",IF(Q11="wizard","xx"," "))</f>
        <v xml:space="preserve"> </v>
      </c>
      <c r="Q311" s="98" t="str">
        <f>IF(AND(Q11="wizard",Q12&gt;=9),"xxxx",IF(AND(Q11="wizard",Q12&gt;=5),"x",IF(AND($Q$11="wizard",$Q$12&gt;3),"xx",IF(AND(Q11="wizard",Q12=3),"xxx"," "))))</f>
        <v xml:space="preserve"> </v>
      </c>
      <c r="R311" s="98" t="str">
        <f>IF(AND(Q11="wizard",Q12&gt;=11),"xxxx",IF(AND(Q11="wizard",Q12&gt;=7),"x",IF(AND($Q$11="wizard",$Q$12&gt;5),"xx",IF(AND(Q11="wizard",Q12=5),"xxx"," "))))</f>
        <v xml:space="preserve"> </v>
      </c>
      <c r="S311" s="98" t="str">
        <f>IF(AND(Q11="wizard",Q12&gt;=13),"xxxx",IF(AND(Q11="wizard",Q12&gt;=9),"x",IF(AND($Q$11="wizard",$Q$12&gt;7),"xx",IF(AND(Q11="wizard",Q12=7),"xxx"," "))))</f>
        <v xml:space="preserve"> </v>
      </c>
    </row>
    <row r="312" spans="2:20" ht="19.5" hidden="1" thickBot="1" x14ac:dyDescent="0.35">
      <c r="P312" s="98">
        <f>IF(AND(Q11="wizard",Q12=2),AK41,IF(AND(Q11="wizard",Q12=1),$AK$41,IF(AND(Q11="wizard",Q12&gt;=3),MAX(8,AK41-SUM(U219:X219)),0)))</f>
        <v>0</v>
      </c>
      <c r="Q312" s="98">
        <f ca="1">IF(Q$311="xxxx",MAX(R242,(RANDBETWEEN(5,6))),IF(Q311="x",MAX(R242,(RANDBETWEEN(3,6))),IF(Q311="xx",MAX(R242,(RANDBETWEEN(2,4))),IF(Q311="xxx",MAX(R242,(2)),0))))</f>
        <v>0</v>
      </c>
      <c r="R312" s="98">
        <f ca="1">IF($R311="xxxx",MAX(S242,(RANDBETWEEN(5,6))),IF(R311="x",MAX(S242,(RANDBETWEEN(3,6))),IF(R311="xx",MAX(S242,(RANDBETWEEN(2,4))),IF(R311="xxx",MAX(S242,(2)),0))))</f>
        <v>0</v>
      </c>
      <c r="S312" s="98">
        <f ca="1">IF(S$311="xxxx",MAX(T242,(RANDBETWEEN(5,6))),IF(S311="x",MAX(T242,(RANDBETWEEN(3,6))),IF(S311="xx",MAX(T242,(RANDBETWEEN(2,4))),IF(S311="xxx",MAX(T242,(2)),0))))</f>
        <v>0</v>
      </c>
    </row>
    <row r="313" spans="2:20" ht="19.5" hidden="1" thickBot="1" x14ac:dyDescent="0.35"/>
    <row r="314" spans="2:20" x14ac:dyDescent="0.3">
      <c r="B314" s="79"/>
      <c r="C314" s="27"/>
      <c r="D314" s="27"/>
      <c r="E314" s="27"/>
      <c r="F314" s="27"/>
      <c r="G314" s="27"/>
      <c r="H314" s="27"/>
      <c r="I314" s="27"/>
      <c r="J314" s="27"/>
      <c r="K314" s="27"/>
      <c r="L314" s="27"/>
      <c r="M314" s="27"/>
      <c r="N314" s="27"/>
      <c r="O314" s="27"/>
      <c r="P314" s="76" t="s">
        <v>1124</v>
      </c>
      <c r="Q314" s="76" t="s">
        <v>1166</v>
      </c>
      <c r="R314" s="76" t="s">
        <v>1167</v>
      </c>
      <c r="S314" s="76" t="s">
        <v>1168</v>
      </c>
      <c r="T314" s="77" t="s">
        <v>676</v>
      </c>
    </row>
    <row r="315" spans="2:20" x14ac:dyDescent="0.3">
      <c r="B315" s="79"/>
      <c r="C315" s="33"/>
      <c r="D315" s="33"/>
      <c r="E315" s="33"/>
      <c r="F315" s="33"/>
      <c r="G315" s="33"/>
      <c r="H315" s="33"/>
      <c r="I315" s="33"/>
      <c r="J315" s="33"/>
      <c r="K315" s="33"/>
      <c r="L315" s="33"/>
      <c r="M315" s="33"/>
      <c r="N315" s="33"/>
      <c r="O315" s="34">
        <v>1</v>
      </c>
      <c r="P315" s="33" t="str">
        <f t="shared" ref="P315:P324" ca="1" si="67">IF($O$11="wizard",P193,IF($Q$11="wizard",P262," "))</f>
        <v>Minor Illusion</v>
      </c>
      <c r="Q315" s="33" t="str">
        <f>IF(AND($O$11="wizard",$P$309&gt;=O315),INDEX('Spell Tables'!$T$242:$T$271,MATCH(1,(O315:O324),0)),IF(AND($Q$11="wizard",$P$312&gt;=O315),INDEX('Spell Tables'!$T$242:$T$271,MATCH(O315,('Spell Tables'!$R$242:$R$271),0))," "))</f>
        <v>Alarm</v>
      </c>
      <c r="R315" s="33" t="str">
        <f ca="1">IF($Q$309&gt;=O315,INDEX('Spell Tables'!$X$242:$X$275,MATCH(O315,('Spell Tables'!$V$242:$V$275),0)),IF(AND($Q$11="wizard",$Q$312&gt;=O315),INDEX('Spell Tables'!$X$242:$X$275,MATCH(O315,('Spell Tables'!$V$242:$V$275),0))," "))</f>
        <v>Invisibility</v>
      </c>
      <c r="S315" s="33" t="str">
        <f ca="1">IF($R$309&gt;=O315,INDEX('Spell Tables'!$AB$242:$AB$270,MATCH(O315,('Spell Tables'!$Z$242:$Z$270),0)),IF(AND($Q$11="wizard",$R$312&gt;=O315),INDEX('Spell Tables'!$AB$242:$AB$270,MATCH(O315,('Spell Tables'!$Z$242:$Z$270),0))," "))</f>
        <v>Clairvoyance</v>
      </c>
      <c r="T315" s="72" t="str">
        <f ca="1">IF($S$309&gt;=O315,INDEX('Spell Tables'!$AF$242:$AF$264,MATCH(O315,('Spell Tables'!$AD$242:$AD$264),0)),IF(AND($Q$11="wizard",$S$312&gt;=O315),INDEX('Spell Tables'!$AF$242:$AF$264,MATCH(O315,('Spell Tables'!$AD$242:$AD$264),0))," "))</f>
        <v>Blight</v>
      </c>
    </row>
    <row r="316" spans="2:20" x14ac:dyDescent="0.3">
      <c r="B316" s="79"/>
      <c r="C316" s="33"/>
      <c r="D316" s="33"/>
      <c r="E316" s="33"/>
      <c r="F316" s="33"/>
      <c r="G316" s="33"/>
      <c r="H316" s="33"/>
      <c r="I316" s="33"/>
      <c r="J316" s="33"/>
      <c r="K316" s="33"/>
      <c r="L316" s="33"/>
      <c r="M316" s="33"/>
      <c r="N316" s="33"/>
      <c r="O316" s="34">
        <v>2</v>
      </c>
      <c r="P316" s="33" t="str">
        <f t="shared" ca="1" si="67"/>
        <v>Ray of Frost</v>
      </c>
      <c r="Q316" s="33" t="str">
        <f ca="1">IF(AND($O$11="wizard",$P$309&gt;=O316),INDEX('Spell Tables'!$T$242:$T$271,MATCH(O316,('Spell Tables'!$R$242:$R$271),0)),IF(AND($Q$11="wizard",$P$312&gt;=O316),INDEX('Spell Tables'!$T$242:$T$271,MATCH(O316,('Spell Tables'!$R$242:$R$271),0))," "))</f>
        <v>Shield</v>
      </c>
      <c r="R316" s="33" t="str">
        <f ca="1">IF($Q$309&gt;=O316,INDEX('Spell Tables'!$X$242:$X$275,MATCH(O316,('Spell Tables'!$V$242:$V$275),0)),IF(AND($Q$11="wizard",$Q$312&gt;=O316),INDEX('Spell Tables'!$X$242:$X$275,MATCH(O316,('Spell Tables'!$V$242:$V$275),0))," "))</f>
        <v>Alter Self</v>
      </c>
      <c r="S316" s="33" t="str">
        <f ca="1">IF($R$309&gt;=O316,INDEX('Spell Tables'!$AB$242:$AB$270,MATCH(O316,('Spell Tables'!$Z$242:$Z$270),0)),IF(AND($Q$11="wizard",$R$312&gt;=O316),INDEX('Spell Tables'!$AB$242:$AB$270,MATCH(O316,('Spell Tables'!$Z$242:$Z$270),0))," "))</f>
        <v>Protection from Energy</v>
      </c>
      <c r="T316" s="72" t="str">
        <f ca="1">IF($S$309&gt;=O316,INDEX('Spell Tables'!$AF$242:$AF$264,MATCH(O316,('Spell Tables'!$AD$242:$AD$264),0)),IF(AND($Q$11="wizard",$S$312&gt;=O316),INDEX('Spell Tables'!$AF$242:$AF$264,MATCH(O316,('Spell Tables'!$AD$242:$AD$264),0))," "))</f>
        <v>Ice Storm</v>
      </c>
    </row>
    <row r="317" spans="2:20" x14ac:dyDescent="0.3">
      <c r="B317" s="79"/>
      <c r="C317" s="33"/>
      <c r="D317" s="33"/>
      <c r="E317" s="33"/>
      <c r="F317" s="33"/>
      <c r="G317" s="33"/>
      <c r="H317" s="33"/>
      <c r="I317" s="33"/>
      <c r="J317" s="33"/>
      <c r="K317" s="33"/>
      <c r="L317" s="33"/>
      <c r="M317" s="33"/>
      <c r="N317" s="33"/>
      <c r="O317" s="34">
        <v>3</v>
      </c>
      <c r="P317" s="33" t="str">
        <f t="shared" ca="1" si="67"/>
        <v>Light</v>
      </c>
      <c r="Q317" s="33" t="str">
        <f ca="1">IF(AND($O$11="wizard",$P$309&gt;=O317),INDEX('Spell Tables'!$T$242:$T$271,MATCH(O317,('Spell Tables'!$R$242:$R$271),0)),IF(AND($Q$11="wizard",$P$312&gt;=O317),INDEX('Spell Tables'!$T$242:$T$271,MATCH(O317,('Spell Tables'!$R$242:$R$271),0))," "))</f>
        <v>Charm Person</v>
      </c>
      <c r="R317" s="33" t="str">
        <f ca="1">IF($Q$309&gt;=O317,INDEX('Spell Tables'!$X$242:$X$275,MATCH(O317,('Spell Tables'!$V$242:$V$275),0)),IF(AND($Q$11="wizard",$Q$312&gt;=O317),INDEX('Spell Tables'!$X$242:$X$275,MATCH(O317,('Spell Tables'!$V$242:$V$275),0))," "))</f>
        <v>Mirror Image</v>
      </c>
      <c r="S317" s="33" t="str">
        <f ca="1">IF($R$309&gt;=O317,INDEX('Spell Tables'!$AB$242:$AB$270,MATCH(O317,('Spell Tables'!$Z$242:$Z$270),0)),IF(AND($Q$11="wizard",$R$312&gt;=O317),INDEX('Spell Tables'!$AB$242:$AB$270,MATCH(O317,('Spell Tables'!$Z$242:$Z$270),0))," "))</f>
        <v>Magic Circle</v>
      </c>
      <c r="T317" s="72" t="str">
        <f ca="1">IF($S$309&gt;=O317,INDEX('Spell Tables'!$AF$242:$AF$264,MATCH(O317,('Spell Tables'!$AD$242:$AD$264),0)),IF(AND($Q$11="wizard",$S$312&gt;=O317),INDEX('Spell Tables'!$AF$242:$AF$264,MATCH(O317,('Spell Tables'!$AD$242:$AD$264),0))," "))</f>
        <v>Polymorph</v>
      </c>
    </row>
    <row r="318" spans="2:20" x14ac:dyDescent="0.3">
      <c r="B318" s="79"/>
      <c r="C318" s="33"/>
      <c r="D318" s="33"/>
      <c r="E318" s="33"/>
      <c r="F318" s="33"/>
      <c r="G318" s="33"/>
      <c r="H318" s="33"/>
      <c r="I318" s="33"/>
      <c r="J318" s="33"/>
      <c r="K318" s="33"/>
      <c r="L318" s="33"/>
      <c r="M318" s="33"/>
      <c r="N318" s="33"/>
      <c r="O318" s="34">
        <v>4</v>
      </c>
      <c r="P318" s="33" t="str">
        <f t="shared" ca="1" si="67"/>
        <v>Poison Spray</v>
      </c>
      <c r="Q318" s="33" t="str">
        <f ca="1">IF(AND($O$11="wizard",$P$309&gt;=O318),INDEX('Spell Tables'!$T$242:$T$271,MATCH(O318,('Spell Tables'!$R$242:$R$271),0)),IF(AND($Q$11="wizard",$P$312&gt;=O318),INDEX('Spell Tables'!$T$242:$T$271,MATCH(O318,('Spell Tables'!$R$242:$R$271),0))," "))</f>
        <v>Expeditious Retreat</v>
      </c>
      <c r="R318" s="33" t="str">
        <f ca="1">IF($Q$309&gt;=O318,INDEX('Spell Tables'!$X$242:$X$275,MATCH(O318,('Spell Tables'!$V$242:$V$275),0)),IF(AND($Q$11="wizard",$Q$312&gt;=O318),INDEX('Spell Tables'!$X$242:$X$275,MATCH(O318,('Spell Tables'!$V$242:$V$275),0))," "))</f>
        <v>Magic Mouth</v>
      </c>
      <c r="S318" s="33" t="str">
        <f ca="1">IF($R$309&gt;=O318,INDEX('Spell Tables'!$AB$242:$AB$270,MATCH(O318,('Spell Tables'!$Z$242:$Z$270),0)),IF(AND($Q$11="wizard",$R$312&gt;=O318),INDEX('Spell Tables'!$AB$242:$AB$270,MATCH(O318,('Spell Tables'!$Z$242:$Z$270),0))," "))</f>
        <v>Vampiric Touch</v>
      </c>
      <c r="T318" s="72" t="str">
        <f ca="1">IF($S$309&gt;=O318,INDEX('Spell Tables'!$AF$242:$AF$264,MATCH(O318,('Spell Tables'!$AD$242:$AD$264),0)),IF(AND($Q$11="wizard",$S$312&gt;=O318),INDEX('Spell Tables'!$AF$242:$AF$264,MATCH(O318,('Spell Tables'!$AD$242:$AD$264),0))," "))</f>
        <v>Fabricate</v>
      </c>
    </row>
    <row r="319" spans="2:20" x14ac:dyDescent="0.3">
      <c r="B319" s="79"/>
      <c r="C319" s="33"/>
      <c r="D319" s="33"/>
      <c r="E319" s="33"/>
      <c r="F319" s="33"/>
      <c r="G319" s="33"/>
      <c r="H319" s="33"/>
      <c r="I319" s="33"/>
      <c r="J319" s="33"/>
      <c r="K319" s="33"/>
      <c r="L319" s="33"/>
      <c r="M319" s="33"/>
      <c r="N319" s="33"/>
      <c r="O319" s="34">
        <v>5</v>
      </c>
      <c r="P319" s="33" t="str">
        <f t="shared" ca="1" si="67"/>
        <v>Mending</v>
      </c>
      <c r="Q319" s="33" t="str">
        <f ca="1">IF(AND($O$11="wizard",$P$309&gt;=O319),INDEX('Spell Tables'!$T$242:$T$271,MATCH(O319,('Spell Tables'!$R$242:$R$271),0)),IF(AND($Q$11="wizard",$P$312&gt;=O319),INDEX('Spell Tables'!$T$242:$T$271,MATCH(O319,('Spell Tables'!$R$242:$R$271),0))," "))</f>
        <v>Protection from Evil and Good</v>
      </c>
      <c r="R319" s="33" t="str">
        <f ca="1">IF($Q$309&gt;=O319,INDEX('Spell Tables'!$X$242:$X$275,MATCH(O319,('Spell Tables'!$V$242:$V$275),0)),IF(AND($Q$11="wizard",$Q$312&gt;=O319),INDEX('Spell Tables'!$X$242:$X$275,MATCH(O319,('Spell Tables'!$V$242:$V$275),0))," "))</f>
        <v>Darkvision</v>
      </c>
      <c r="S319" s="33" t="str">
        <f ca="1">IF($R$309&gt;=O319,INDEX('Spell Tables'!$AB$242:$AB$270,MATCH(O319,('Spell Tables'!$Z$242:$Z$270),0)),IF(AND($Q$11="wizard",$R$312&gt;=O319),INDEX('Spell Tables'!$AB$242:$AB$270,MATCH(O319,('Spell Tables'!$Z$242:$Z$270),0))," "))</f>
        <v>Sending</v>
      </c>
      <c r="T319" s="72" t="str">
        <f ca="1">IF($S$309&gt;=O319,INDEX('Spell Tables'!$AF$242:$AF$264,MATCH(O319,('Spell Tables'!$AD$242:$AD$264),0)),IF(AND($Q$11="wizard",$S$312&gt;=O319),INDEX('Spell Tables'!$AF$242:$AF$264,MATCH(O319,('Spell Tables'!$AD$242:$AD$264),0))," "))</f>
        <v>Wall of Fire</v>
      </c>
    </row>
    <row r="320" spans="2:20" x14ac:dyDescent="0.3">
      <c r="B320" s="79"/>
      <c r="C320" s="33"/>
      <c r="D320" s="33"/>
      <c r="E320" s="33"/>
      <c r="F320" s="33"/>
      <c r="G320" s="33"/>
      <c r="H320" s="33"/>
      <c r="I320" s="33"/>
      <c r="J320" s="33"/>
      <c r="K320" s="33"/>
      <c r="L320" s="33"/>
      <c r="M320" s="33"/>
      <c r="N320" s="33"/>
      <c r="O320" s="34">
        <v>6</v>
      </c>
      <c r="P320" s="33" t="str">
        <f t="shared" ca="1" si="67"/>
        <v xml:space="preserve"> </v>
      </c>
      <c r="Q320" s="33" t="str">
        <f ca="1">IF(AND($O$11="wizard",$P$309&gt;=O320),INDEX('Spell Tables'!$T$242:$T$271,MATCH(O320,('Spell Tables'!$R$242:$R$271),0)),IF(AND($Q$11="wizard",$P$312&gt;=O320),INDEX('Spell Tables'!$T$242:$T$271,MATCH(O320,('Spell Tables'!$R$242:$R$271),0))," "))</f>
        <v>Feather Fall</v>
      </c>
      <c r="R320" s="33" t="str">
        <f ca="1">IF($Q$309&gt;=O320,INDEX('Spell Tables'!$X$242:$X$275,MATCH(O320,('Spell Tables'!$V$242:$V$275),0)),IF(AND($Q$11="wizard",$Q$312&gt;=O320),INDEX('Spell Tables'!$X$242:$X$275,MATCH(O320,('Spell Tables'!$V$242:$V$275),0))," "))</f>
        <v>Rope Trick</v>
      </c>
      <c r="S320" s="33" t="str">
        <f ca="1">IF($R$309&gt;=O320,INDEX('Spell Tables'!$AB$242:$AB$270,MATCH(O320,('Spell Tables'!$Z$242:$Z$270),0)),IF(AND($Q$11="wizard",$R$312&gt;=O320),INDEX('Spell Tables'!$AB$242:$AB$270,MATCH(O320,('Spell Tables'!$Z$242:$Z$270),0))," "))</f>
        <v>Lightning Bolt</v>
      </c>
      <c r="T320" s="72" t="str">
        <f ca="1">IF($S$309&gt;=O320,INDEX('Spell Tables'!$AF$242:$AF$264,MATCH(O320,('Spell Tables'!$AD$242:$AD$264),0)),IF(AND($Q$11="wizard",$S$312&gt;=O320),INDEX('Spell Tables'!$AF$242:$AF$264,MATCH(O320,('Spell Tables'!$AD$242:$AD$264),0))," "))</f>
        <v>Arcane Eye</v>
      </c>
    </row>
    <row r="321" spans="1:20" x14ac:dyDescent="0.3">
      <c r="B321" s="79"/>
      <c r="C321" s="33"/>
      <c r="D321" s="33"/>
      <c r="E321" s="33"/>
      <c r="F321" s="33"/>
      <c r="G321" s="33"/>
      <c r="H321" s="33"/>
      <c r="I321" s="33"/>
      <c r="J321" s="33"/>
      <c r="K321" s="33"/>
      <c r="L321" s="33"/>
      <c r="M321" s="33"/>
      <c r="N321" s="33"/>
      <c r="O321" s="34">
        <v>7</v>
      </c>
      <c r="P321" s="33" t="str">
        <f t="shared" ca="1" si="67"/>
        <v xml:space="preserve"> </v>
      </c>
      <c r="Q321" s="33" t="str">
        <f ca="1">IF(AND($O$11="wizard",$P$309&gt;=O321),INDEX('Spell Tables'!$T$242:$T$271,MATCH(O321,('Spell Tables'!$R$242:$R$271),0)),IF(AND($Q$11="wizard",$P$312&gt;=O321),INDEX('Spell Tables'!$T$242:$T$271,MATCH(O321,('Spell Tables'!$R$242:$R$271),0))," "))</f>
        <v>Silent Image</v>
      </c>
      <c r="R321" s="33" t="str">
        <f ca="1">IF($Q$309&gt;=O321,INDEX('Spell Tables'!$X$242:$X$275,MATCH(O321,('Spell Tables'!$V$242:$V$275),0)),IF(AND($Q$11="wizard",$Q$312&gt;=O321),INDEX('Spell Tables'!$X$242:$X$275,MATCH(O321,('Spell Tables'!$V$242:$V$275),0))," "))</f>
        <v xml:space="preserve"> </v>
      </c>
      <c r="S321" s="33" t="str">
        <f ca="1">IF($R$309&gt;=O321,INDEX('Spell Tables'!$AB$242:$AB$270,MATCH(O321,('Spell Tables'!$Z$242:$Z$270),0)),IF(AND($Q$11="wizard",$R$312&gt;=O321),INDEX('Spell Tables'!$AB$242:$AB$270,MATCH(O321,('Spell Tables'!$Z$242:$Z$270),0))," "))</f>
        <v>Water Breathing</v>
      </c>
      <c r="T321" s="72" t="str">
        <f ca="1">IF($S$309&gt;=O321,INDEX('Spell Tables'!$AF$242:$AF$264,MATCH(O321,('Spell Tables'!$AD$242:$AD$264),0)),IF(AND($Q$11="wizard",$S$312&gt;=O321),INDEX('Spell Tables'!$AF$242:$AF$264,MATCH(O321,('Spell Tables'!$AD$242:$AD$264),0))," "))</f>
        <v xml:space="preserve"> </v>
      </c>
    </row>
    <row r="322" spans="1:20" x14ac:dyDescent="0.3">
      <c r="B322" s="79"/>
      <c r="C322" s="33"/>
      <c r="D322" s="33"/>
      <c r="E322" s="33"/>
      <c r="F322" s="33"/>
      <c r="G322" s="33"/>
      <c r="H322" s="33"/>
      <c r="I322" s="33"/>
      <c r="J322" s="33"/>
      <c r="K322" s="33"/>
      <c r="L322" s="33"/>
      <c r="M322" s="33"/>
      <c r="N322" s="33"/>
      <c r="O322" s="34">
        <v>8</v>
      </c>
      <c r="P322" s="33" t="str">
        <f t="shared" ca="1" si="67"/>
        <v xml:space="preserve"> </v>
      </c>
      <c r="Q322" s="33" t="str">
        <f ca="1">IF(AND($O$11="wizard",$P$309&gt;=O322),INDEX('Spell Tables'!$T$242:$T$271,MATCH(O322,('Spell Tables'!$R$242:$R$271),0)),IF(AND($Q$11="wizard",$P$312&gt;=O322),INDEX('Spell Tables'!$T$242:$T$271,MATCH(O322,('Spell Tables'!$R$242:$R$271),0))," "))</f>
        <v>Fog Cloud</v>
      </c>
      <c r="R322" s="33" t="str">
        <f ca="1">IF($Q$309&gt;=O322,INDEX('Spell Tables'!$X$242:$X$275,MATCH(O322,('Spell Tables'!$V$242:$V$275),0)),IF(AND($Q$11="wizard",$Q$312&gt;=O322),INDEX('Spell Tables'!$X$242:$X$275,MATCH(O322,('Spell Tables'!$V$242:$V$275),0))," "))</f>
        <v xml:space="preserve"> </v>
      </c>
      <c r="S322" s="33" t="str">
        <f ca="1">IF($R$309&gt;=O322,INDEX('Spell Tables'!$AB$242:$AB$270,MATCH(O322,('Spell Tables'!$Z$242:$Z$270),0)),IF(AND($Q$11="wizard",$R$312&gt;=O322),INDEX('Spell Tables'!$AB$242:$AB$270,MATCH(O322,('Spell Tables'!$Z$242:$Z$270),0))," "))</f>
        <v>Gaseous Form</v>
      </c>
      <c r="T322" s="72" t="str">
        <f ca="1">IF($S$309&gt;=O322,INDEX('Spell Tables'!$AF$242:$AF$264,MATCH(O322,('Spell Tables'!$AD$242:$AD$264),0)),IF(AND($Q$11="wizard",$S$312&gt;=O322),INDEX('Spell Tables'!$AF$242:$AF$264,MATCH(O322,('Spell Tables'!$AD$242:$AD$264),0))," "))</f>
        <v xml:space="preserve"> </v>
      </c>
    </row>
    <row r="323" spans="1:20" x14ac:dyDescent="0.3">
      <c r="B323" s="79"/>
      <c r="C323" s="33"/>
      <c r="D323" s="33"/>
      <c r="E323" s="33"/>
      <c r="F323" s="33"/>
      <c r="G323" s="33"/>
      <c r="H323" s="33"/>
      <c r="I323" s="33"/>
      <c r="J323" s="33"/>
      <c r="K323" s="33"/>
      <c r="L323" s="33"/>
      <c r="M323" s="33"/>
      <c r="N323" s="33"/>
      <c r="O323" s="34">
        <v>9</v>
      </c>
      <c r="P323" s="33" t="str">
        <f t="shared" ca="1" si="67"/>
        <v xml:space="preserve"> </v>
      </c>
      <c r="Q323" s="33" t="str">
        <f ca="1">IF(AND($O$11="wizard",$P$309&gt;=O323),INDEX('Spell Tables'!$T$242:$T$271,MATCH(O323,('Spell Tables'!$R$242:$R$271),0)),IF(AND($Q$11="wizard",$P$312&gt;=O323),INDEX('Spell Tables'!$T$242:$T$271,MATCH(O323,('Spell Tables'!$R$242:$R$271),0))," "))</f>
        <v>Alarm</v>
      </c>
      <c r="R323" s="33" t="str">
        <f ca="1">IF($Q$309&gt;=O323,INDEX('Spell Tables'!$X$242:$X$275,MATCH(O323,('Spell Tables'!$V$242:$V$275),0)),IF(AND($Q$11="wizard",$Q$312&gt;=O323),INDEX('Spell Tables'!$X$242:$X$275,MATCH(O323,('Spell Tables'!$V$242:$V$275),0))," "))</f>
        <v xml:space="preserve"> </v>
      </c>
      <c r="S323" s="33" t="str">
        <f ca="1">IF($R$309&gt;=O323,INDEX('Spell Tables'!$AB$242:$AB$270,MATCH(O323,('Spell Tables'!$Z$242:$Z$270),0)),IF(AND($Q$11="wizard",$R$312&gt;=O323),INDEX('Spell Tables'!$AB$242:$AB$270,MATCH(O323,('Spell Tables'!$Z$242:$Z$270),0))," "))</f>
        <v>Tongues</v>
      </c>
      <c r="T323" s="72" t="str">
        <f ca="1">IF($S$309&gt;=O323,INDEX('Spell Tables'!$AF$242:$AF$264,MATCH(O323,('Spell Tables'!$AD$242:$AD$264),0)),IF(AND($Q$11="wizard",$S$312&gt;=O323),INDEX('Spell Tables'!$AF$242:$AF$264,MATCH(O323,('Spell Tables'!$AD$242:$AD$264),0))," "))</f>
        <v xml:space="preserve"> </v>
      </c>
    </row>
    <row r="324" spans="1:20" ht="19.5" thickBot="1" x14ac:dyDescent="0.35">
      <c r="B324" s="80"/>
      <c r="C324" s="38"/>
      <c r="D324" s="38"/>
      <c r="E324" s="38"/>
      <c r="F324" s="38"/>
      <c r="G324" s="38"/>
      <c r="H324" s="38"/>
      <c r="I324" s="38"/>
      <c r="J324" s="38"/>
      <c r="K324" s="38"/>
      <c r="L324" s="38"/>
      <c r="M324" s="38"/>
      <c r="N324" s="38"/>
      <c r="O324" s="82">
        <v>10</v>
      </c>
      <c r="P324" s="38" t="str">
        <f t="shared" ca="1" si="67"/>
        <v xml:space="preserve"> </v>
      </c>
      <c r="Q324" s="38" t="str">
        <f ca="1">IF(AND($O$11="wizard",$P$309&gt;=O324),INDEX('Spell Tables'!$T$242:$T$271,MATCH(O324,('Spell Tables'!$R$242:$R$271),0)),IF(AND($Q$11="wizard",$P$312&gt;=O324),INDEX('Spell Tables'!$T$242:$T$271,MATCH(O324,('Spell Tables'!$R$242:$R$271),0))," "))</f>
        <v>Disguise Self</v>
      </c>
      <c r="R324" s="38" t="str">
        <f ca="1">IF($Q$309&gt;=O324,INDEX('Spell Tables'!$X$242:$X$275,MATCH(O324,('Spell Tables'!$V$242:$V$275),0)),IF(AND($Q$11="wizard",$Q$312&gt;=O324),INDEX('Spell Tables'!$X$242:$X$275,MATCH(O324,('Spell Tables'!$V$242:$V$275),0))," "))</f>
        <v xml:space="preserve"> </v>
      </c>
      <c r="S324" s="38" t="str">
        <f ca="1">IF($R$309&gt;=O324,INDEX('Spell Tables'!$AB$242:$AB$270,MATCH(O324,('Spell Tables'!$Z$242:$Z$270),0)),IF(AND($Q$11="wizard",$R$312&gt;=O324),INDEX('Spell Tables'!$AB$242:$AB$270,MATCH(O324,('Spell Tables'!$Z$242:$Z$270),0))," "))</f>
        <v>Stinking Cloud</v>
      </c>
      <c r="T324" s="73" t="str">
        <f ca="1">IF($S$309&gt;=O324,INDEX('Spell Tables'!$AF$242:$AF$264,MATCH(O324,('Spell Tables'!$AD$242:$AD$264),0)),IF(AND($Q$11="wizard",$S$312&gt;=O324),INDEX('Spell Tables'!$AF$242:$AF$264,MATCH(O324,('Spell Tables'!$AD$242:$AD$264),0))," "))</f>
        <v xml:space="preserve"> </v>
      </c>
    </row>
    <row r="325" spans="1:20" ht="19.5" thickBot="1" x14ac:dyDescent="0.35">
      <c r="K325" s="100"/>
      <c r="L325" s="60"/>
      <c r="O325" s="99"/>
    </row>
    <row r="326" spans="1:20" hidden="1" x14ac:dyDescent="0.3">
      <c r="K326" s="100"/>
      <c r="L326" s="60"/>
      <c r="O326" s="65" t="s">
        <v>1169</v>
      </c>
      <c r="P326" s="65" t="s">
        <v>1170</v>
      </c>
      <c r="Q326" s="65" t="s">
        <v>1171</v>
      </c>
      <c r="R326" s="65" t="s">
        <v>677</v>
      </c>
      <c r="S326" s="101" t="s">
        <v>1172</v>
      </c>
    </row>
    <row r="327" spans="1:20" hidden="1" x14ac:dyDescent="0.3">
      <c r="K327" s="100"/>
      <c r="L327" s="60"/>
      <c r="O327" s="60" t="str">
        <f>IF(AND(O11="wizard",O12&gt;=15),"xxxx",IF(AND(O11="wizard",O12&gt;=11),"x",IF(AND($O$11="wizard",$O$12&gt;9),"xx",IF(AND(O11="wizard",O12=9),"xxx"," "))))</f>
        <v>xxxx</v>
      </c>
      <c r="P327" s="60" t="str">
        <f>IF(AND(O11="wizard",O12&gt;=17),"xxxx",IF(AND(O11="wizard",O12&gt;=13),"x",IF(AND($O$11="wizard",$O$12&gt;11),"xx",IF(AND(O11="wizard",O12=11),"xxx"," "))))</f>
        <v>xxxx</v>
      </c>
      <c r="Q327" s="60" t="str">
        <f>IF(AND(O11="wizard",O12&gt;=19),"xxxx",IF(AND(O11="wizard",O12&gt;=15),"x",IF(AND($O$11="wizard",$O$12&gt;13),"xx",IF(AND(O11="wizard",O12=13),"xxx"," "))))</f>
        <v>xxxx</v>
      </c>
      <c r="R327" s="60" t="str">
        <f>IF(AND(O11="wizard",O12&gt;=17),"x",IF(AND($O$11="wizard",$O$12&gt;15),"xx",IF(AND(O11="wizard",O12=15),"xxx"," ")))</f>
        <v>x</v>
      </c>
      <c r="S327" s="102" t="str">
        <f>IF(AND($O$11="wizard",$O$12&gt;17),"xx",IF(AND(O11="wizard",O12=17),"xxx"," "))</f>
        <v>xx</v>
      </c>
    </row>
    <row r="328" spans="1:20" hidden="1" x14ac:dyDescent="0.3">
      <c r="K328" s="100"/>
      <c r="L328" s="60"/>
      <c r="O328" s="65">
        <f ca="1">IF($O327="xxxx",MAX(P208,(RANDBETWEEN(5,6))),IF(O327="x",MAX(P208,(RANDBETWEEN(3,6))),IF(O327="xx",MAX(P208,(RANDBETWEEN(2,4))),IF(O327="xxx",MAX(P208,(2)),0))))</f>
        <v>6</v>
      </c>
      <c r="P328" s="65">
        <f ca="1">IF($P327="xxxx",RANDBETWEEN(5,6),IF(P327="x",RANDBETWEEN(3,6),IF(P327="xx",RANDBETWEEN(2,4),IF(P327="xxx",2,0))))</f>
        <v>6</v>
      </c>
      <c r="Q328" s="65">
        <f ca="1">IF($Q327="xxxx",RANDBETWEEN(5,6),IF(Q327="x",RANDBETWEEN(3,6),IF(Q327="xx",RANDBETWEEN(2,4),IF(Q327="xxx",2,0))))</f>
        <v>5</v>
      </c>
      <c r="R328" s="65">
        <f ca="1">IF(OR(R327="x",R327="xx"),RANDBETWEEN(2,4),IF(R327="xxx",2,0))</f>
        <v>4</v>
      </c>
      <c r="S328" s="101">
        <f ca="1">IF(S327="xx",RANDBETWEEN(2,4),IF(S327="xxx",2,0))</f>
        <v>3</v>
      </c>
    </row>
    <row r="329" spans="1:20" hidden="1" x14ac:dyDescent="0.3">
      <c r="K329" s="100"/>
      <c r="L329" s="60"/>
      <c r="O329" s="60" t="s">
        <v>1169</v>
      </c>
      <c r="P329" s="60" t="s">
        <v>1170</v>
      </c>
      <c r="Q329" s="60" t="s">
        <v>1171</v>
      </c>
      <c r="R329" s="60" t="s">
        <v>677</v>
      </c>
      <c r="S329" s="102" t="s">
        <v>1172</v>
      </c>
    </row>
    <row r="330" spans="1:20" hidden="1" x14ac:dyDescent="0.3">
      <c r="K330" s="100"/>
      <c r="L330" s="60"/>
      <c r="O330" s="65" t="str">
        <f>IF(AND(Q11="wizard",Q12&gt;=15),"xxxx",IF(AND(Q11="wizard",Q12&gt;=11),"x",IF(AND($Q$11="wizard",$Q$12&gt;9),"xx",IF(AND(Q11="wizard",Q12=9),"xxx"," "))))</f>
        <v xml:space="preserve"> </v>
      </c>
      <c r="P330" s="65" t="str">
        <f>IF(AND(Q11="wizard",Q12&gt;=17),"xxxx",IF(AND(Q11="wizard",Q12&gt;=13),"x",IF(AND($Q$11="wizard",$Q$12&gt;11),"xx",IF(AND(Q11="wizard",Q12=11),"xxx"," "))))</f>
        <v xml:space="preserve"> </v>
      </c>
      <c r="Q330" s="65" t="str">
        <f>IF(AND(Q11="wizard",Q12&gt;=19),"xxxx",IF(AND(Q11="wizard",Q12&gt;=15),"x",IF(AND($Q$11="wizard",$Q$12&gt;13),"xx",IF(AND(Q11="wizard",Q12=13),"xxx"," "))))</f>
        <v xml:space="preserve"> </v>
      </c>
      <c r="R330" s="65" t="str">
        <f>IF(AND(Q11="wizard",Q12&gt;=17),"x",IF(AND($Q$11="wizard",$Q$12&gt;15),"xx",IF(AND(Q11="wizard",Q12=15),"xxx"," ")))</f>
        <v xml:space="preserve"> </v>
      </c>
      <c r="S330" s="101" t="str">
        <f>IF(AND($Q$11="wizard",$Q$12&gt;17),"xx",IF(AND(Q11="wizard",Q12=17),"xxx"," "))</f>
        <v xml:space="preserve"> </v>
      </c>
    </row>
    <row r="331" spans="1:20" hidden="1" x14ac:dyDescent="0.3">
      <c r="K331" s="100"/>
      <c r="L331" s="60"/>
      <c r="O331" s="60">
        <f ca="1">IF($O330="xxxx",MAX(O275,(RANDBETWEEN(5,6))),IF(O330="x",MAX(O275,(RANDBETWEEN(3,6))),IF(O330="xx",MAX(O275,(RANDBETWEEN(2,4))),IF(O330="xxx",MAX(O275,(2)),0))))</f>
        <v>0</v>
      </c>
      <c r="P331" s="60">
        <f ca="1">IF($P330="xxxx",RANDBETWEEN(5,6),IF(P330="x",RANDBETWEEN(3,6),IF(P330="xx",RANDBETWEEN(2,4),IF(P330="xxx",2,0))))</f>
        <v>0</v>
      </c>
      <c r="Q331" s="60">
        <f ca="1">IF($Q330="xxxx",RANDBETWEEN(5,6),IF(Q330="x",RANDBETWEEN(3,6),IF(Q330="xx",RANDBETWEEN(2,4),IF(Q330="xxx",2,0))))</f>
        <v>0</v>
      </c>
      <c r="R331" s="60">
        <f ca="1">IF(OR(R330="x",R330="xx"),RANDBETWEEN(2,4),IF(R330="xxx",2,0))</f>
        <v>0</v>
      </c>
      <c r="S331" s="102">
        <f ca="1">IF(S330="xx",RANDBETWEEN(2,4),IF(S330="xxx",2,0))</f>
        <v>0</v>
      </c>
    </row>
    <row r="332" spans="1:20" ht="19.5" hidden="1" thickBot="1" x14ac:dyDescent="0.35">
      <c r="K332" s="100"/>
      <c r="L332" s="60"/>
      <c r="O332" s="65"/>
      <c r="P332" s="65"/>
      <c r="Q332" s="65"/>
      <c r="R332" s="65"/>
      <c r="S332" s="101"/>
    </row>
    <row r="333" spans="1:20" x14ac:dyDescent="0.3">
      <c r="A333" s="33"/>
      <c r="B333" s="72"/>
      <c r="K333" s="100"/>
      <c r="L333" s="60"/>
      <c r="P333" s="103" t="s">
        <v>1169</v>
      </c>
      <c r="Q333" s="103" t="s">
        <v>1170</v>
      </c>
      <c r="R333" s="103" t="s">
        <v>1171</v>
      </c>
      <c r="S333" s="103" t="s">
        <v>677</v>
      </c>
      <c r="T333" s="104" t="s">
        <v>1172</v>
      </c>
    </row>
    <row r="334" spans="1:20" x14ac:dyDescent="0.3">
      <c r="A334" s="33"/>
      <c r="B334" s="72"/>
      <c r="K334" s="100"/>
      <c r="L334" s="60"/>
      <c r="O334" s="83">
        <v>1</v>
      </c>
      <c r="P334" s="65" t="str">
        <f ca="1">IF($O$328&gt;=O315,INDEX('Spell Tables'!$AJ$242:$AJ$264,MATCH(O315,('Spell Tables'!$AH$242:$AH$264),0)),IF(AND($Q$11="wizard",$O$331&gt;=O315),INDEX('Spell Tables'!$AJ$242:$AJ$264,MATCH(O315,('Spell Tables'!$AH$242:$AH$264),0))," "))</f>
        <v>Animate Objects</v>
      </c>
      <c r="Q334" s="65" t="str">
        <f ca="1">IF($P$328&gt;=O$315,INDEX('Spell Tables'!$AN$242:$AN$260,MATCH(O$315,('Spell Tables'!$AL$242:$AL$260),0))," ")</f>
        <v>Globe of Invulnerability</v>
      </c>
      <c r="R334" s="65" t="str">
        <f ca="1">IF($Q$328&gt;=O$315,INDEX('Spell Tables'!$AR$242:$AR$256,MATCH(O$315,('Spell Tables'!$AP$242:$AP$256),0))," ")</f>
        <v>Finger of Death</v>
      </c>
      <c r="S334" s="65" t="str">
        <f ca="1">IF($R$328&gt;=O$315,INDEX('Spell Tables'!$AV$242:$AV$255,MATCH(O$315,('Spell Tables'!$AT$242:$AT$255),0))," ")</f>
        <v>Trap the Soul</v>
      </c>
      <c r="T334" s="66" t="str">
        <f ca="1">IF($S$328&gt;=O$315,INDEX('Spell Tables'!$AZ$242:$AZ$253,MATCH(O$315,('Spell Tables'!$AX$242:$AX$253),0))," ")</f>
        <v>Power Word Kill</v>
      </c>
    </row>
    <row r="335" spans="1:20" x14ac:dyDescent="0.3">
      <c r="A335" s="33"/>
      <c r="B335" s="72"/>
      <c r="O335" s="84">
        <v>2</v>
      </c>
      <c r="P335" s="60" t="str">
        <f ca="1">IF($O$328&gt;=O316,INDEX('Spell Tables'!$AJ$242:$AJ$264,MATCH(O316,('Spell Tables'!$AH$242:$AH$264),0)),IF(AND($Q$11="wizard",$O$331&gt;=O316),INDEX('Spell Tables'!$AJ$242:$AJ$264,MATCH(O316,('Spell Tables'!$AH$242:$AH$264),0))," "))</f>
        <v>Rary's Telepathic Bond</v>
      </c>
      <c r="Q335" s="60" t="str">
        <f ca="1">IF($P$328&gt;=O$316,INDEX('Spell Tables'!$AN$242:$AN$260,MATCH(O$316,('Spell Tables'!$AL$242:$AL$260),0))," ")</f>
        <v>Flesh to Stone</v>
      </c>
      <c r="R335" s="60" t="str">
        <f ca="1">IF($Q$328&gt;=O$316,INDEX('Spell Tables'!$AR$242:$AR$256,MATCH(O$316,('Spell Tables'!$AP$242:$AP$256),0))," ")</f>
        <v>Forcecage</v>
      </c>
      <c r="S335" s="60" t="str">
        <f ca="1">IF($R$328&gt;=O$316,INDEX('Spell Tables'!$AV$242:$AV$255,MATCH(O$316,('Spell Tables'!$AT$242:$AT$255),0))," ")</f>
        <v>Demiplane</v>
      </c>
      <c r="T335" s="63" t="str">
        <f ca="1">IF($S$328&gt;=O$316,INDEX('Spell Tables'!$AZ$242:$AZ$253,MATCH(O$316,('Spell Tables'!$AX$242:$AX$253),0))," ")</f>
        <v>Foresight</v>
      </c>
    </row>
    <row r="336" spans="1:20" x14ac:dyDescent="0.3">
      <c r="A336" s="33"/>
      <c r="B336" s="72"/>
      <c r="O336" s="83">
        <v>3</v>
      </c>
      <c r="P336" s="65" t="str">
        <f ca="1">IF($O$328&gt;=O317,INDEX('Spell Tables'!$AJ$242:$AJ$264,MATCH(O317,('Spell Tables'!$AH$242:$AH$264),0)),IF(AND($Q$11="wizard",$O$331&gt;=O317),INDEX('Spell Tables'!$AJ$242:$AJ$264,MATCH(O317,('Spell Tables'!$AH$242:$AH$264),0))," "))</f>
        <v>Modify Memory</v>
      </c>
      <c r="Q336" s="65" t="str">
        <f ca="1">IF($P$328&gt;=O$317,INDEX('Spell Tables'!$AN$242:$AN$260,MATCH(O$317,('Spell Tables'!$AL$242:$AL$260),0))," ")</f>
        <v>Wall of Ice</v>
      </c>
      <c r="R336" s="65" t="str">
        <f ca="1">IF($Q$328&gt;=O$317,INDEX('Spell Tables'!$AR$242:$AR$256,MATCH(O$317,('Spell Tables'!$AP$242:$AP$256),0))," ")</f>
        <v>Project Image</v>
      </c>
      <c r="S336" s="65" t="str">
        <f ca="1">IF($R$328&gt;=O$317,INDEX('Spell Tables'!$AV$242:$AV$255,MATCH(O$317,('Spell Tables'!$AT$242:$AT$255),0))," ")</f>
        <v>Mind Blank</v>
      </c>
      <c r="T336" s="66" t="str">
        <f ca="1">IF($S$328&gt;=O$317,INDEX('Spell Tables'!$AZ$242:$AZ$253,MATCH(O$317,('Spell Tables'!$AX$242:$AX$253),0))," ")</f>
        <v>Imprisonment</v>
      </c>
    </row>
    <row r="337" spans="1:20" x14ac:dyDescent="0.3">
      <c r="A337" s="33"/>
      <c r="B337" s="72"/>
      <c r="O337" s="84">
        <v>4</v>
      </c>
      <c r="P337" s="60" t="str">
        <f ca="1">IF($O$328&gt;=O318,INDEX('Spell Tables'!$AJ$242:$AJ$264,MATCH(O318,('Spell Tables'!$AH$242:$AH$264),0)),IF(AND($Q$11="wizard",$O$331&gt;=O318),INDEX('Spell Tables'!$AJ$242:$AJ$264,MATCH(O318,('Spell Tables'!$AH$242:$AH$264),0))," "))</f>
        <v>Dream</v>
      </c>
      <c r="Q337" s="60" t="str">
        <f ca="1">IF($P$328&gt;=O$318,INDEX('Spell Tables'!$AN$242:$AN$260,MATCH(O$318,('Spell Tables'!$AL$242:$AL$260),0))," ")</f>
        <v>Guards and Wards</v>
      </c>
      <c r="R337" s="60" t="str">
        <f ca="1">IF($Q$328&gt;=O$318,INDEX('Spell Tables'!$AR$242:$AR$256,MATCH(O$318,('Spell Tables'!$AP$242:$AP$256),0))," ")</f>
        <v>Mordenkainen's Sword</v>
      </c>
      <c r="S337" s="60" t="str">
        <f ca="1">IF($R$328&gt;=O$318,INDEX('Spell Tables'!$AV$242:$AV$255,MATCH(O$318,('Spell Tables'!$AT$242:$AT$255),0))," ")</f>
        <v>Antimagic Field</v>
      </c>
      <c r="T337" s="63" t="str">
        <f ca="1">IF($S$328&gt;=O$318,INDEX('Spell Tables'!$AZ$242:$AZ$253,MATCH(O$318,('Spell Tables'!$AX$242:$AX$253),0))," ")</f>
        <v xml:space="preserve"> </v>
      </c>
    </row>
    <row r="338" spans="1:20" x14ac:dyDescent="0.3">
      <c r="A338" s="33"/>
      <c r="B338" s="72"/>
      <c r="O338" s="83">
        <v>5</v>
      </c>
      <c r="P338" s="65" t="str">
        <f ca="1">IF($O$328&gt;=O319,INDEX('Spell Tables'!$AJ$242:$AJ$264,MATCH(O319,('Spell Tables'!$AH$242:$AH$264),0)),IF(AND($Q$11="wizard",$O$331&gt;=O319),INDEX('Spell Tables'!$AJ$242:$AJ$264,MATCH(O319,('Spell Tables'!$AH$242:$AH$264),0))," "))</f>
        <v>Telekinesis</v>
      </c>
      <c r="Q338" s="65" t="str">
        <f ca="1">IF($P$328&gt;=O$319,INDEX('Spell Tables'!$AN$242:$AN$260,MATCH(O$319,('Spell Tables'!$AL$242:$AL$260),0))," ")</f>
        <v>Eyebite</v>
      </c>
      <c r="R338" s="65" t="str">
        <f ca="1">IF($Q$328&gt;=O$319,INDEX('Spell Tables'!$AR$242:$AR$256,MATCH(O$319,('Spell Tables'!$AP$242:$AP$256),0))," ")</f>
        <v>Reverse Gravity</v>
      </c>
      <c r="S338" s="65" t="str">
        <f ca="1">IF($R$328&gt;=O$319,INDEX('Spell Tables'!$AV$242:$AV$255,MATCH(O$319,('Spell Tables'!$AT$242:$AT$255),0))," ")</f>
        <v xml:space="preserve"> </v>
      </c>
      <c r="T338" s="66" t="str">
        <f ca="1">IF($S$328&gt;=O$319,INDEX('Spell Tables'!$AZ$242:$AZ$253,MATCH(O$319,('Spell Tables'!$AX$242:$AX$253),0))," ")</f>
        <v xml:space="preserve"> </v>
      </c>
    </row>
    <row r="339" spans="1:20" x14ac:dyDescent="0.3">
      <c r="A339" s="33"/>
      <c r="B339" s="72"/>
      <c r="K339" s="100"/>
      <c r="L339" s="60"/>
      <c r="O339" s="84">
        <v>6</v>
      </c>
      <c r="P339" s="60" t="str">
        <f ca="1">IF($O$328&gt;=O320,INDEX('Spell Tables'!$AJ$242:$AJ$264,MATCH(O320,('Spell Tables'!$AH$242:$AH$264),0)),IF(AND($Q$11="wizard",$O$331&gt;=O320),INDEX('Spell Tables'!$AJ$242:$AJ$264,MATCH(O320,('Spell Tables'!$AH$242:$AH$264),0))," "))</f>
        <v>Conjure Elemental</v>
      </c>
      <c r="Q339" s="60" t="str">
        <f ca="1">IF($P$328&gt;=O$320,INDEX('Spell Tables'!$AN$242:$AN$260,MATCH(O$320,('Spell Tables'!$AL$242:$AL$260),0))," ")</f>
        <v>Create Undead</v>
      </c>
      <c r="R339" s="60" t="str">
        <f ca="1">IF($Q$328&gt;=O$320,INDEX('Spell Tables'!$AR$242:$AR$256,MATCH(O$320,('Spell Tables'!$AP$242:$AP$256),0))," ")</f>
        <v xml:space="preserve"> </v>
      </c>
      <c r="S339" s="60" t="str">
        <f ca="1">IF($R$328&gt;=O$320,INDEX('Spell Tables'!$AV$242:$AV$255,MATCH(O$320,('Spell Tables'!$AT$242:$AT$255),0))," ")</f>
        <v xml:space="preserve"> </v>
      </c>
      <c r="T339" s="63" t="str">
        <f ca="1">IF($S$328&gt;=O$320,INDEX('Spell Tables'!$AZ$242:$AZ$253,MATCH(O$320,('Spell Tables'!$AX$242:$AX$253),0))," ")</f>
        <v xml:space="preserve"> </v>
      </c>
    </row>
    <row r="340" spans="1:20" x14ac:dyDescent="0.3">
      <c r="A340" s="33"/>
      <c r="B340" s="72"/>
      <c r="K340" s="100"/>
      <c r="L340" s="60"/>
      <c r="O340" s="83">
        <v>7</v>
      </c>
      <c r="P340" s="65" t="str">
        <f ca="1">IF($O$328&gt;=O321,INDEX('Spell Tables'!$AJ$242:$AJ$264,MATCH(O321,('Spell Tables'!$AH$242:$AH$264),0)),IF(AND($Q$11="wizard",$O$331&gt;=O321),INDEX('Spell Tables'!$AJ$242:$AJ$264,MATCH(O321,('Spell Tables'!$AH$242:$AH$264),0))," "))</f>
        <v xml:space="preserve"> </v>
      </c>
      <c r="Q340" s="65" t="str">
        <f ca="1">IF($P$328&gt;=O$321,INDEX('Spell Tables'!$AN$242:$AN$260,MATCH(O$321,('Spell Tables'!$AL$242:$AL$260),0))," ")</f>
        <v xml:space="preserve"> </v>
      </c>
      <c r="R340" s="65" t="str">
        <f ca="1">IF($Q$328&gt;=O$321,INDEX('Spell Tables'!$AR$242:$AR$256,MATCH(O$321,('Spell Tables'!$AP$242:$AP$256),0))," ")</f>
        <v xml:space="preserve"> </v>
      </c>
      <c r="S340" s="65" t="str">
        <f ca="1">IF($R$328&gt;=O$321,INDEX('Spell Tables'!$AV$242:$AV$255,MATCH(O$321,('Spell Tables'!$AT$242:$AT$255),0))," ")</f>
        <v xml:space="preserve"> </v>
      </c>
      <c r="T340" s="66" t="str">
        <f ca="1">IF($S$328&gt;=O$321,INDEX('Spell Tables'!$AZ$242:$AZ$253,MATCH(O$321,('Spell Tables'!$AX$242:$AX$253),0))," ")</f>
        <v xml:space="preserve"> </v>
      </c>
    </row>
    <row r="341" spans="1:20" x14ac:dyDescent="0.3">
      <c r="A341" s="33"/>
      <c r="B341" s="72"/>
      <c r="K341" s="100"/>
      <c r="L341" s="60"/>
      <c r="O341" s="84">
        <v>8</v>
      </c>
      <c r="P341" s="60" t="str">
        <f ca="1">IF($O$328&gt;=O322,INDEX('Spell Tables'!$AJ$242:$AJ$264,MATCH(O322,('Spell Tables'!$AH$242:$AH$264),0)),IF(AND($Q$11="wizard",$O$331&gt;=O322),INDEX('Spell Tables'!$AJ$242:$AJ$264,MATCH(O322,('Spell Tables'!$AH$242:$AH$264),0))," "))</f>
        <v xml:space="preserve"> </v>
      </c>
      <c r="Q341" s="60" t="str">
        <f ca="1">IF($P$328&gt;=O$322,INDEX('Spell Tables'!$AN$242:$AN$260,MATCH(O$322,('Spell Tables'!$AL$242:$AL$260),0))," ")</f>
        <v xml:space="preserve"> </v>
      </c>
      <c r="R341" s="60" t="str">
        <f ca="1">IF($Q$328&gt;=O$322,INDEX('Spell Tables'!$AR$242:$AR$256,MATCH(O$322,('Spell Tables'!$AP$242:$AP$256),0))," ")</f>
        <v xml:space="preserve"> </v>
      </c>
      <c r="S341" s="60" t="str">
        <f ca="1">IF($R$328&gt;=O$322,INDEX('Spell Tables'!$AV$242:$AV$255,MATCH(O$322,('Spell Tables'!$AT$242:$AT$255),0))," ")</f>
        <v xml:space="preserve"> </v>
      </c>
      <c r="T341" s="63" t="str">
        <f ca="1">IF($S$328&gt;=O$322,INDEX('Spell Tables'!$AZ$242:$AZ$253,MATCH(O$322,('Spell Tables'!$AX$242:$AX$253),0))," ")</f>
        <v xml:space="preserve"> </v>
      </c>
    </row>
    <row r="342" spans="1:20" x14ac:dyDescent="0.3">
      <c r="A342" s="33"/>
      <c r="B342" s="72"/>
      <c r="O342" s="83">
        <v>9</v>
      </c>
      <c r="P342" s="65" t="str">
        <f ca="1">IF($O$328&gt;=O323,INDEX('Spell Tables'!$AJ$242:$AJ$264,MATCH(O323,('Spell Tables'!$AH$242:$AH$264),0)),IF(AND($Q$11="wizard",$O$331&gt;=O323),INDEX('Spell Tables'!$AJ$242:$AJ$264,MATCH(O323,('Spell Tables'!$AH$242:$AH$264),0))," "))</f>
        <v xml:space="preserve"> </v>
      </c>
      <c r="Q342" s="65" t="str">
        <f ca="1">IF($P$328&gt;=O$323,INDEX('Spell Tables'!$AN$242:$AN$260,MATCH(O$323,('Spell Tables'!$AL$242:$AL$260),0))," ")</f>
        <v xml:space="preserve"> </v>
      </c>
      <c r="R342" s="65" t="str">
        <f ca="1">IF($Q$328&gt;=O$323,INDEX('Spell Tables'!$AR$242:$AR$256,MATCH(O$323,('Spell Tables'!$AP$242:$AP$256),0))," ")</f>
        <v xml:space="preserve"> </v>
      </c>
      <c r="S342" s="65" t="str">
        <f ca="1">IF($R$328&gt;=O$323,INDEX('Spell Tables'!$AV$242:$AV$255,MATCH(O$323,('Spell Tables'!$AT$242:$AT$255),0))," ")</f>
        <v xml:space="preserve"> </v>
      </c>
      <c r="T342" s="66" t="str">
        <f ca="1">IF($S$328&gt;=O$323,INDEX('Spell Tables'!$AZ$242:$AZ$253,MATCH(O$323,('Spell Tables'!$AX$242:$AX$253),0))," ")</f>
        <v xml:space="preserve"> </v>
      </c>
    </row>
    <row r="343" spans="1:20" ht="19.5" thickBot="1" x14ac:dyDescent="0.35">
      <c r="A343" s="33"/>
      <c r="B343" s="72"/>
      <c r="K343" s="31"/>
      <c r="O343" s="85">
        <v>10</v>
      </c>
      <c r="P343" s="67" t="str">
        <f ca="1">IF($O$328&gt;=O324,INDEX('Spell Tables'!$AJ$242:$AJ$264,MATCH(O324,('Spell Tables'!$AH$242:$AH$264),0)),IF(AND($Q$11="wizard",$O$331&gt;=O324),INDEX('Spell Tables'!$AJ$242:$AJ$264,MATCH(O324,('Spell Tables'!$AH$242:$AH$264),0))," "))</f>
        <v xml:space="preserve"> </v>
      </c>
      <c r="Q343" s="67" t="str">
        <f ca="1">IF($P$328&gt;=O$324,INDEX('Spell Tables'!$AN$242:$AN$260,MATCH(O$324,('Spell Tables'!$AL$242:$AL$260),0))," ")</f>
        <v xml:space="preserve"> </v>
      </c>
      <c r="R343" s="67" t="str">
        <f ca="1">IF($Q$328&gt;=O$324,INDEX('Spell Tables'!$AR$242:$AR$256,MATCH(O$324,('Spell Tables'!$AP$242:$AP$256),0))," ")</f>
        <v xml:space="preserve"> </v>
      </c>
      <c r="S343" s="67" t="str">
        <f ca="1">IF($R$328&gt;=O$324,INDEX('Spell Tables'!$AV$242:$AV$255,MATCH(O$324,('Spell Tables'!$AT$242:$AT$255),0))," ")</f>
        <v xml:space="preserve"> </v>
      </c>
      <c r="T343" s="68" t="str">
        <f ca="1">IF($S$328&gt;=O$324,INDEX('Spell Tables'!$AZ$242:$AZ$253,MATCH(O$324,('Spell Tables'!$AX$242:$AX$253),0))," ")</f>
        <v xml:space="preserve"> </v>
      </c>
    </row>
  </sheetData>
  <sheetProtection sheet="1" objects="1" scenarios="1"/>
  <dataValidations count="5">
    <dataValidation type="list" allowBlank="1" showInputMessage="1" showErrorMessage="1" sqref="Q2" xr:uid="{97CC91C9-846A-46D1-AD5C-7D79DD814F39}">
      <formula1>"Dragonborn, Dwarf, Elf, Gnome, Half-elf, Half-orc, Halfling, Human, Tiefling"</formula1>
    </dataValidation>
    <dataValidation type="list" allowBlank="1" showInputMessage="1" showErrorMessage="1" sqref="O11" xr:uid="{D5C7078D-9DE0-492E-9C26-2AE37B852B9C}">
      <formula1>"Barbarian, Bard, Cleric, Druid, Fighter, Monk, Non-classed,Paladin, Ranger, Rogue, Sorcerer, Warlock, Wizard"</formula1>
    </dataValidation>
    <dataValidation type="list" allowBlank="1" showInputMessage="1" showErrorMessage="1" prompt="Set to &quot;None&quot; and &quot;0&quot; if character is single classed" sqref="Q11" xr:uid="{5256BFF9-0961-4655-B53A-FBF3EC342738}">
      <formula1>"Barbarian, Bard, Cleric, Druid, Fighter, Monk, None, Paladin, Ranger, Rogue, Sorcerer, Warlock, Wizard"</formula1>
    </dataValidation>
    <dataValidation type="list" allowBlank="1" showInputMessage="1" showErrorMessage="1" prompt="If Multi-Class, this character's class 1 level cannot exceed 10. " sqref="O12" xr:uid="{A8504BE9-1C65-4E59-8573-2F5F03EAB614}">
      <formula1>"1,2,3,4,5,6,7,8,9,10,11,12,13,14,15,16,17,18,19,20"</formula1>
    </dataValidation>
    <dataValidation type="list" allowBlank="1" showInputMessage="1" showErrorMessage="1" sqref="Q12" xr:uid="{5C8A1DED-2B6F-46E4-A0F5-4CE28038A001}">
      <formula1>"0,1,2,3,4,5,6,7,8,9,10,"</formula1>
    </dataValidation>
  </dataValidations>
  <hyperlinks>
    <hyperlink ref="A1" location="'Character Overview'!A1" display="Back to Overview" xr:uid="{8F42F2CF-4DAE-4B68-83E1-73B46E6E50D8}"/>
  </hyperlinks>
  <pageMargins left="0.7" right="0.7" top="0.75" bottom="0.75" header="0.3" footer="0.3"/>
  <pageSetup scale="32" fitToHeight="0" orientation="landscape" horizontalDpi="4294967293" r:id="rId1"/>
  <drawing r:id="rId2"/>
  <tableParts count="56">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 r:id="rId50"/>
    <tablePart r:id="rId51"/>
    <tablePart r:id="rId52"/>
    <tablePart r:id="rId53"/>
    <tablePart r:id="rId54"/>
    <tablePart r:id="rId55"/>
    <tablePart r:id="rId56"/>
    <tablePart r:id="rId57"/>
    <tablePart r:id="rId58"/>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5BB2E-67ED-4AA5-9176-79FB48F701CD}">
  <sheetPr codeName="Аркуш15"/>
  <dimension ref="A1:BM173"/>
  <sheetViews>
    <sheetView topLeftCell="W123" workbookViewId="0">
      <selection activeCell="BJ1" sqref="J1:BJ51"/>
    </sheetView>
  </sheetViews>
  <sheetFormatPr defaultColWidth="8.85546875" defaultRowHeight="15" x14ac:dyDescent="0.25"/>
  <cols>
    <col min="1" max="1" width="15.5703125" style="1" bestFit="1" customWidth="1"/>
    <col min="2" max="2" width="10.42578125" style="1" customWidth="1"/>
    <col min="3" max="3" width="8.85546875" style="1"/>
    <col min="4" max="4" width="16.7109375" style="1" bestFit="1" customWidth="1"/>
    <col min="5" max="5" width="12" style="1" bestFit="1" customWidth="1"/>
    <col min="6" max="6" width="14.140625" style="1" bestFit="1" customWidth="1"/>
    <col min="7" max="7" width="19.7109375" style="1" bestFit="1" customWidth="1"/>
    <col min="8" max="8" width="15.28515625" style="1" bestFit="1" customWidth="1"/>
    <col min="9" max="9" width="8.85546875" style="1"/>
    <col min="10" max="10" width="23.140625" style="1" bestFit="1" customWidth="1"/>
    <col min="11" max="11" width="13" style="1" bestFit="1" customWidth="1"/>
    <col min="12" max="12" width="8.85546875" style="1"/>
    <col min="13" max="13" width="24.85546875" style="1" bestFit="1" customWidth="1"/>
    <col min="14" max="14" width="13" style="1" bestFit="1" customWidth="1"/>
    <col min="15" max="15" width="8.85546875" style="1"/>
    <col min="16" max="16" width="17.28515625" style="1" bestFit="1" customWidth="1"/>
    <col min="17" max="17" width="11" style="1" bestFit="1" customWidth="1"/>
    <col min="18" max="18" width="8.85546875" style="1"/>
    <col min="19" max="19" width="19.7109375" style="1" bestFit="1" customWidth="1"/>
    <col min="20" max="20" width="10.42578125" style="1" customWidth="1"/>
    <col min="21" max="21" width="8.85546875" style="1"/>
    <col min="22" max="22" width="22" style="1" bestFit="1" customWidth="1"/>
    <col min="23" max="23" width="13" style="1" bestFit="1" customWidth="1"/>
    <col min="24" max="24" width="8.85546875" style="1"/>
    <col min="25" max="25" width="23.7109375" style="1" bestFit="1" customWidth="1"/>
    <col min="26" max="26" width="9" style="1" bestFit="1" customWidth="1"/>
    <col min="27" max="27" width="8.85546875" style="1"/>
    <col min="28" max="28" width="21.7109375" style="1" bestFit="1" customWidth="1"/>
    <col min="29" max="29" width="10.42578125" style="1" customWidth="1"/>
    <col min="30" max="30" width="8.85546875" style="1"/>
    <col min="31" max="31" width="23.42578125" style="1" bestFit="1" customWidth="1"/>
    <col min="32" max="32" width="10.42578125" style="1" customWidth="1"/>
    <col min="33" max="33" width="8.85546875" style="1"/>
    <col min="34" max="34" width="25.7109375" style="1" bestFit="1" customWidth="1"/>
    <col min="35" max="35" width="14.85546875" style="1" bestFit="1" customWidth="1"/>
    <col min="36" max="36" width="8.85546875" style="1"/>
    <col min="37" max="37" width="27.42578125" style="1" bestFit="1" customWidth="1"/>
    <col min="38" max="38" width="10.42578125" style="1" customWidth="1"/>
    <col min="39" max="39" width="8.85546875" style="1"/>
    <col min="40" max="40" width="21.7109375" style="1" bestFit="1" customWidth="1"/>
    <col min="41" max="41" width="11.28515625" style="1" bestFit="1" customWidth="1"/>
    <col min="42" max="42" width="8.85546875" style="1"/>
    <col min="43" max="43" width="23.5703125" style="1" bestFit="1" customWidth="1"/>
    <col min="44" max="44" width="10.42578125" style="1" customWidth="1"/>
    <col min="45" max="45" width="8.85546875" style="1"/>
    <col min="46" max="46" width="22" style="1" bestFit="1" customWidth="1"/>
    <col min="47" max="47" width="10.42578125" style="1" customWidth="1"/>
    <col min="48" max="48" width="9" style="1" customWidth="1"/>
    <col min="49" max="49" width="23.7109375" style="1" bestFit="1" customWidth="1"/>
    <col min="50" max="50" width="10.42578125" style="1" customWidth="1"/>
    <col min="51" max="51" width="8.85546875" style="1"/>
    <col min="52" max="52" width="18.7109375" style="1" bestFit="1" customWidth="1"/>
    <col min="53" max="53" width="6.42578125" style="1" bestFit="1" customWidth="1"/>
    <col min="54" max="54" width="8.85546875" style="1"/>
    <col min="55" max="55" width="20.5703125" style="1" bestFit="1" customWidth="1"/>
    <col min="56" max="56" width="10.42578125" style="1" customWidth="1"/>
    <col min="57" max="57" width="8.85546875" style="1"/>
    <col min="58" max="58" width="17.7109375" style="1" bestFit="1" customWidth="1"/>
    <col min="59" max="59" width="9.5703125" style="1" bestFit="1" customWidth="1"/>
    <col min="60" max="60" width="8.85546875" style="1"/>
    <col min="61" max="61" width="19.5703125" style="1" bestFit="1" customWidth="1"/>
    <col min="62" max="62" width="9.5703125" style="1" bestFit="1" customWidth="1"/>
    <col min="63" max="63" width="8.85546875" style="1"/>
    <col min="64" max="64" width="9.140625" style="1" bestFit="1" customWidth="1"/>
    <col min="65" max="65" width="13.85546875" style="1" bestFit="1" customWidth="1"/>
    <col min="66" max="16384" width="8.85546875" style="1"/>
  </cols>
  <sheetData>
    <row r="1" spans="1:65" x14ac:dyDescent="0.25">
      <c r="A1" s="2" t="s">
        <v>7</v>
      </c>
      <c r="D1" s="2" t="s">
        <v>44</v>
      </c>
      <c r="G1" s="2" t="s">
        <v>47</v>
      </c>
      <c r="J1" s="2" t="s">
        <v>452</v>
      </c>
      <c r="M1" s="2" t="s">
        <v>453</v>
      </c>
      <c r="P1" s="2" t="s">
        <v>457</v>
      </c>
      <c r="S1" s="2" t="s">
        <v>459</v>
      </c>
      <c r="V1" s="2" t="s">
        <v>458</v>
      </c>
      <c r="W1" s="1">
        <v>1</v>
      </c>
      <c r="Y1" s="2" t="s">
        <v>460</v>
      </c>
      <c r="AB1" s="2" t="s">
        <v>461</v>
      </c>
      <c r="AE1" s="2" t="s">
        <v>462</v>
      </c>
      <c r="AH1" s="2" t="s">
        <v>473</v>
      </c>
      <c r="AK1" s="2" t="s">
        <v>491</v>
      </c>
      <c r="AN1" s="2" t="s">
        <v>531</v>
      </c>
      <c r="AQ1" s="2" t="s">
        <v>568</v>
      </c>
      <c r="AT1" s="2" t="s">
        <v>593</v>
      </c>
      <c r="AU1" s="2"/>
      <c r="AW1" s="2" t="s">
        <v>594</v>
      </c>
      <c r="AZ1" s="2" t="s">
        <v>597</v>
      </c>
      <c r="BC1" s="2" t="s">
        <v>608</v>
      </c>
      <c r="BF1" s="2" t="s">
        <v>622</v>
      </c>
      <c r="BI1" s="2" t="s">
        <v>655</v>
      </c>
      <c r="BL1" s="9" t="s">
        <v>33</v>
      </c>
    </row>
    <row r="2" spans="1:65" x14ac:dyDescent="0.25">
      <c r="A2" s="1">
        <v>1</v>
      </c>
      <c r="B2" s="1">
        <v>-5</v>
      </c>
      <c r="D2" s="1">
        <v>1</v>
      </c>
      <c r="E2" s="1" t="s">
        <v>43</v>
      </c>
      <c r="G2" s="1">
        <v>1</v>
      </c>
      <c r="H2" s="1" t="s">
        <v>48</v>
      </c>
      <c r="J2" s="1">
        <v>1</v>
      </c>
      <c r="K2" s="1" t="s">
        <v>53</v>
      </c>
      <c r="M2" s="1">
        <v>1</v>
      </c>
      <c r="N2" s="5" t="s">
        <v>82</v>
      </c>
      <c r="P2" s="1">
        <v>1</v>
      </c>
      <c r="Q2" s="1" t="s">
        <v>137</v>
      </c>
      <c r="S2" s="1">
        <v>1</v>
      </c>
      <c r="T2" s="6" t="s">
        <v>166</v>
      </c>
      <c r="V2" s="1">
        <v>1</v>
      </c>
      <c r="W2" s="1" t="s">
        <v>221</v>
      </c>
      <c r="Y2" s="1">
        <v>1</v>
      </c>
      <c r="Z2" s="3" t="s">
        <v>238</v>
      </c>
      <c r="AB2" s="1">
        <v>1</v>
      </c>
      <c r="AC2" s="1" t="s">
        <v>380</v>
      </c>
      <c r="AE2" s="1">
        <v>1</v>
      </c>
      <c r="AF2" s="1" t="s">
        <v>310</v>
      </c>
      <c r="AH2" s="1">
        <v>1</v>
      </c>
      <c r="AI2" s="1" t="s">
        <v>474</v>
      </c>
      <c r="AK2" s="1">
        <v>1</v>
      </c>
      <c r="AL2" s="1" t="s">
        <v>492</v>
      </c>
      <c r="AN2" s="1">
        <v>1</v>
      </c>
      <c r="AO2" s="1" t="s">
        <v>532</v>
      </c>
      <c r="AQ2" s="1">
        <v>1</v>
      </c>
      <c r="AR2" s="1" t="s">
        <v>569</v>
      </c>
      <c r="AT2" s="1">
        <v>1</v>
      </c>
      <c r="AU2" s="1" t="s">
        <v>137</v>
      </c>
      <c r="AW2" s="1">
        <v>1</v>
      </c>
      <c r="AX2" s="1" t="s">
        <v>166</v>
      </c>
      <c r="AZ2" s="1">
        <v>1</v>
      </c>
      <c r="BA2" s="1" t="s">
        <v>598</v>
      </c>
      <c r="BC2" s="1">
        <v>1</v>
      </c>
      <c r="BD2" s="1" t="s">
        <v>609</v>
      </c>
      <c r="BF2" s="1">
        <v>1</v>
      </c>
      <c r="BG2" s="1" t="s">
        <v>623</v>
      </c>
      <c r="BI2" s="1">
        <v>1</v>
      </c>
      <c r="BJ2" s="1" t="s">
        <v>656</v>
      </c>
      <c r="BL2" s="1">
        <v>1</v>
      </c>
      <c r="BM2" s="1" t="s">
        <v>1112</v>
      </c>
    </row>
    <row r="3" spans="1:65" x14ac:dyDescent="0.25">
      <c r="A3" s="1">
        <v>2</v>
      </c>
      <c r="B3" s="1">
        <v>-4</v>
      </c>
      <c r="D3" s="1">
        <v>2</v>
      </c>
      <c r="E3" s="1" t="s">
        <v>206</v>
      </c>
      <c r="G3" s="1">
        <v>2</v>
      </c>
      <c r="H3" s="1" t="s">
        <v>49</v>
      </c>
      <c r="J3" s="1">
        <v>2</v>
      </c>
      <c r="K3" s="1" t="s">
        <v>54</v>
      </c>
      <c r="M3" s="1">
        <v>2</v>
      </c>
      <c r="N3" s="4" t="s">
        <v>83</v>
      </c>
      <c r="P3" s="1">
        <v>2</v>
      </c>
      <c r="Q3" s="1" t="s">
        <v>138</v>
      </c>
      <c r="S3" s="1">
        <v>2</v>
      </c>
      <c r="T3" s="4" t="s">
        <v>167</v>
      </c>
      <c r="V3" s="1">
        <v>2</v>
      </c>
      <c r="W3" s="1" t="s">
        <v>222</v>
      </c>
      <c r="Y3" s="1">
        <v>2</v>
      </c>
      <c r="Z3" s="4" t="s">
        <v>239</v>
      </c>
      <c r="AB3" s="1">
        <v>2</v>
      </c>
      <c r="AC3" s="1" t="s">
        <v>222</v>
      </c>
      <c r="AE3" s="1">
        <v>2</v>
      </c>
      <c r="AF3" s="1" t="s">
        <v>325</v>
      </c>
      <c r="AH3" s="1">
        <v>2</v>
      </c>
      <c r="AI3" s="1" t="s">
        <v>475</v>
      </c>
      <c r="AK3" s="1">
        <v>2</v>
      </c>
      <c r="AL3" s="1" t="s">
        <v>493</v>
      </c>
      <c r="AN3" s="1">
        <v>2</v>
      </c>
      <c r="AO3" s="1" t="s">
        <v>533</v>
      </c>
      <c r="AQ3" s="1">
        <v>2</v>
      </c>
      <c r="AR3" s="1" t="s">
        <v>570</v>
      </c>
      <c r="AT3" s="1">
        <v>2</v>
      </c>
      <c r="AU3" s="1" t="s">
        <v>138</v>
      </c>
      <c r="AW3" s="1">
        <v>2</v>
      </c>
      <c r="AX3" s="1" t="s">
        <v>310</v>
      </c>
      <c r="AZ3" s="1">
        <v>2</v>
      </c>
      <c r="BA3" s="1" t="s">
        <v>599</v>
      </c>
      <c r="BC3" s="1">
        <v>2</v>
      </c>
      <c r="BD3" s="1" t="s">
        <v>610</v>
      </c>
      <c r="BF3" s="1">
        <v>2</v>
      </c>
      <c r="BG3" s="1" t="s">
        <v>624</v>
      </c>
      <c r="BI3" s="1">
        <v>2</v>
      </c>
      <c r="BJ3" s="1" t="s">
        <v>657</v>
      </c>
      <c r="BL3" s="1">
        <v>2</v>
      </c>
      <c r="BM3" s="1" t="s">
        <v>1112</v>
      </c>
    </row>
    <row r="4" spans="1:65" x14ac:dyDescent="0.25">
      <c r="A4" s="1">
        <v>3</v>
      </c>
      <c r="B4" s="1">
        <v>-4</v>
      </c>
      <c r="D4" s="1">
        <v>3</v>
      </c>
      <c r="E4" s="1" t="s">
        <v>207</v>
      </c>
      <c r="G4" s="1">
        <v>3</v>
      </c>
      <c r="H4" s="1" t="s">
        <v>50</v>
      </c>
      <c r="J4" s="1">
        <v>3</v>
      </c>
      <c r="K4" s="1" t="s">
        <v>55</v>
      </c>
      <c r="M4" s="1">
        <v>3</v>
      </c>
      <c r="N4" s="5" t="s">
        <v>84</v>
      </c>
      <c r="P4" s="1">
        <v>3</v>
      </c>
      <c r="Q4" s="1" t="s">
        <v>139</v>
      </c>
      <c r="S4" s="1">
        <v>3</v>
      </c>
      <c r="T4" s="3" t="s">
        <v>168</v>
      </c>
      <c r="V4" s="1">
        <v>3</v>
      </c>
      <c r="W4" s="1" t="s">
        <v>223</v>
      </c>
      <c r="Y4" s="1">
        <v>3</v>
      </c>
      <c r="Z4" s="6" t="s">
        <v>240</v>
      </c>
      <c r="AB4" s="1">
        <v>3</v>
      </c>
      <c r="AC4" s="1" t="s">
        <v>383</v>
      </c>
      <c r="AE4" s="1">
        <v>3</v>
      </c>
      <c r="AF4" s="1" t="s">
        <v>338</v>
      </c>
      <c r="AH4" s="1">
        <v>3</v>
      </c>
      <c r="AI4" s="1" t="s">
        <v>476</v>
      </c>
      <c r="AK4" s="1">
        <v>3</v>
      </c>
      <c r="AL4" s="1" t="s">
        <v>494</v>
      </c>
      <c r="AN4" s="1">
        <v>3</v>
      </c>
      <c r="AO4" s="1" t="s">
        <v>534</v>
      </c>
      <c r="AQ4" s="1">
        <v>3</v>
      </c>
      <c r="AR4" s="1" t="s">
        <v>571</v>
      </c>
      <c r="AT4" s="1">
        <v>3</v>
      </c>
      <c r="AU4" s="1" t="s">
        <v>380</v>
      </c>
      <c r="AW4" s="1">
        <v>3</v>
      </c>
      <c r="AX4" s="1" t="s">
        <v>167</v>
      </c>
      <c r="AZ4" s="1">
        <v>3</v>
      </c>
      <c r="BA4" s="1" t="s">
        <v>600</v>
      </c>
      <c r="BC4" s="1">
        <v>3</v>
      </c>
      <c r="BD4" s="1" t="s">
        <v>611</v>
      </c>
      <c r="BF4" s="1">
        <v>3</v>
      </c>
      <c r="BG4" s="1" t="s">
        <v>634</v>
      </c>
      <c r="BI4" s="1">
        <v>3</v>
      </c>
      <c r="BJ4" s="1" t="s">
        <v>634</v>
      </c>
      <c r="BL4" s="1">
        <v>3</v>
      </c>
      <c r="BM4" s="1" t="s">
        <v>1112</v>
      </c>
    </row>
    <row r="5" spans="1:65" x14ac:dyDescent="0.25">
      <c r="A5" s="1">
        <v>4</v>
      </c>
      <c r="B5" s="1">
        <v>-3</v>
      </c>
      <c r="D5" s="1">
        <v>4</v>
      </c>
      <c r="E5" s="1" t="s">
        <v>208</v>
      </c>
      <c r="J5" s="1">
        <v>4</v>
      </c>
      <c r="K5" s="1" t="s">
        <v>56</v>
      </c>
      <c r="M5" s="1">
        <v>4</v>
      </c>
      <c r="N5" s="8" t="s">
        <v>85</v>
      </c>
      <c r="P5" s="1">
        <v>4</v>
      </c>
      <c r="Q5" s="1" t="s">
        <v>140</v>
      </c>
      <c r="S5" s="1">
        <v>4</v>
      </c>
      <c r="T5" s="4" t="s">
        <v>169</v>
      </c>
      <c r="V5" s="1">
        <v>4</v>
      </c>
      <c r="W5" s="1" t="s">
        <v>224</v>
      </c>
      <c r="Y5" s="1">
        <v>4</v>
      </c>
      <c r="Z5" s="3" t="s">
        <v>241</v>
      </c>
      <c r="AB5" s="1">
        <v>4</v>
      </c>
      <c r="AC5" s="1" t="s">
        <v>270</v>
      </c>
      <c r="AE5" s="1">
        <v>4</v>
      </c>
      <c r="AF5" s="1" t="s">
        <v>295</v>
      </c>
      <c r="AH5" s="1">
        <v>4</v>
      </c>
      <c r="AI5" s="1" t="s">
        <v>477</v>
      </c>
      <c r="AK5" s="1">
        <v>4</v>
      </c>
      <c r="AL5" s="1" t="s">
        <v>495</v>
      </c>
      <c r="AN5" s="1">
        <v>4</v>
      </c>
      <c r="AO5" s="1" t="s">
        <v>535</v>
      </c>
      <c r="AQ5" s="1">
        <v>4</v>
      </c>
      <c r="AR5" s="1" t="s">
        <v>572</v>
      </c>
      <c r="AT5" s="1">
        <v>4</v>
      </c>
      <c r="AU5" s="1" t="s">
        <v>222</v>
      </c>
      <c r="AW5" s="1">
        <v>4</v>
      </c>
      <c r="AX5" s="1" t="s">
        <v>325</v>
      </c>
      <c r="AZ5" s="1">
        <v>4</v>
      </c>
      <c r="BA5" s="1" t="s">
        <v>601</v>
      </c>
      <c r="BC5" s="1">
        <v>4</v>
      </c>
      <c r="BD5" s="1" t="s">
        <v>612</v>
      </c>
      <c r="BF5" s="1">
        <v>4</v>
      </c>
      <c r="BG5" s="1" t="s">
        <v>625</v>
      </c>
      <c r="BI5" s="1">
        <v>4</v>
      </c>
      <c r="BJ5" s="1" t="s">
        <v>658</v>
      </c>
      <c r="BL5" s="1">
        <v>4</v>
      </c>
      <c r="BM5" s="1" t="s">
        <v>1112</v>
      </c>
    </row>
    <row r="6" spans="1:65" x14ac:dyDescent="0.25">
      <c r="A6" s="1">
        <v>5</v>
      </c>
      <c r="B6" s="1">
        <v>-3</v>
      </c>
      <c r="D6" s="1">
        <v>5</v>
      </c>
      <c r="E6" s="1" t="s">
        <v>209</v>
      </c>
      <c r="G6" s="2" t="s">
        <v>218</v>
      </c>
      <c r="J6" s="1">
        <v>5</v>
      </c>
      <c r="K6" s="1" t="s">
        <v>57</v>
      </c>
      <c r="M6" s="1">
        <v>5</v>
      </c>
      <c r="N6" s="5" t="s">
        <v>86</v>
      </c>
      <c r="P6" s="1">
        <v>5</v>
      </c>
      <c r="Q6" s="1" t="s">
        <v>141</v>
      </c>
      <c r="S6" s="1">
        <v>5</v>
      </c>
      <c r="T6" s="3" t="s">
        <v>170</v>
      </c>
      <c r="V6" s="1">
        <v>5</v>
      </c>
      <c r="W6" s="1" t="s">
        <v>225</v>
      </c>
      <c r="Y6" s="1">
        <v>5</v>
      </c>
      <c r="Z6" s="3" t="s">
        <v>242</v>
      </c>
      <c r="AB6" s="1">
        <v>5</v>
      </c>
      <c r="AC6" s="1" t="s">
        <v>271</v>
      </c>
      <c r="AE6" s="1">
        <v>5</v>
      </c>
      <c r="AF6" s="1" t="s">
        <v>278</v>
      </c>
      <c r="AH6" s="1">
        <v>5</v>
      </c>
      <c r="AI6" s="1" t="s">
        <v>478</v>
      </c>
      <c r="AK6" s="1">
        <v>5</v>
      </c>
      <c r="AL6" s="1" t="s">
        <v>496</v>
      </c>
      <c r="AN6" s="1">
        <v>5</v>
      </c>
      <c r="AO6" s="1" t="s">
        <v>536</v>
      </c>
      <c r="AQ6" s="1">
        <v>5</v>
      </c>
      <c r="AR6" s="1" t="s">
        <v>573</v>
      </c>
      <c r="AT6" s="1">
        <v>5</v>
      </c>
      <c r="AU6" s="1" t="s">
        <v>383</v>
      </c>
      <c r="AW6" s="1">
        <v>5</v>
      </c>
      <c r="AX6" s="1" t="s">
        <v>168</v>
      </c>
      <c r="AZ6" s="1">
        <v>5</v>
      </c>
      <c r="BA6" s="1" t="s">
        <v>602</v>
      </c>
      <c r="BC6" s="1">
        <v>5</v>
      </c>
      <c r="BD6" s="1" t="s">
        <v>613</v>
      </c>
      <c r="BF6" s="1">
        <v>5</v>
      </c>
      <c r="BG6" s="1" t="s">
        <v>635</v>
      </c>
      <c r="BI6" s="1">
        <v>5</v>
      </c>
      <c r="BJ6" s="1" t="s">
        <v>635</v>
      </c>
      <c r="BL6" s="1">
        <v>5</v>
      </c>
      <c r="BM6" s="1" t="s">
        <v>1112</v>
      </c>
    </row>
    <row r="7" spans="1:65" x14ac:dyDescent="0.25">
      <c r="A7" s="1">
        <v>6</v>
      </c>
      <c r="B7" s="1">
        <v>-2</v>
      </c>
      <c r="D7" s="1">
        <v>6</v>
      </c>
      <c r="E7" s="1" t="s">
        <v>210</v>
      </c>
      <c r="G7" s="1">
        <v>1</v>
      </c>
      <c r="H7" s="1" t="s">
        <v>214</v>
      </c>
      <c r="J7" s="1">
        <v>6</v>
      </c>
      <c r="K7" s="1" t="s">
        <v>58</v>
      </c>
      <c r="M7" s="1">
        <v>6</v>
      </c>
      <c r="N7" s="8" t="s">
        <v>87</v>
      </c>
      <c r="P7" s="1">
        <v>6</v>
      </c>
      <c r="Q7" s="1" t="s">
        <v>142</v>
      </c>
      <c r="S7" s="1">
        <v>6</v>
      </c>
      <c r="T7" s="4" t="s">
        <v>171</v>
      </c>
      <c r="V7" s="1">
        <v>6</v>
      </c>
      <c r="W7" s="1" t="s">
        <v>226</v>
      </c>
      <c r="Y7" s="1">
        <v>6</v>
      </c>
      <c r="Z7" s="4" t="s">
        <v>243</v>
      </c>
      <c r="AB7" s="1">
        <v>6</v>
      </c>
      <c r="AC7" s="1" t="s">
        <v>272</v>
      </c>
      <c r="AE7" s="1">
        <v>6</v>
      </c>
      <c r="AF7" s="1" t="s">
        <v>376</v>
      </c>
      <c r="AH7" s="1">
        <v>6</v>
      </c>
      <c r="AI7" s="1" t="s">
        <v>479</v>
      </c>
      <c r="AK7" s="1">
        <v>6</v>
      </c>
      <c r="AL7" s="1" t="s">
        <v>497</v>
      </c>
      <c r="AN7" s="1">
        <v>6</v>
      </c>
      <c r="AO7" s="1" t="s">
        <v>537</v>
      </c>
      <c r="AQ7" s="1">
        <v>6</v>
      </c>
      <c r="AR7" s="1" t="s">
        <v>574</v>
      </c>
      <c r="AT7" s="1">
        <v>6</v>
      </c>
      <c r="AU7" s="1" t="s">
        <v>270</v>
      </c>
      <c r="AW7" s="1">
        <v>6</v>
      </c>
      <c r="AX7" s="1" t="s">
        <v>169</v>
      </c>
      <c r="AZ7" s="1">
        <v>6</v>
      </c>
      <c r="BA7" s="1" t="s">
        <v>603</v>
      </c>
      <c r="BC7" s="1">
        <v>6</v>
      </c>
      <c r="BD7" s="1" t="s">
        <v>614</v>
      </c>
      <c r="BF7" s="1">
        <v>6</v>
      </c>
      <c r="BG7" s="1" t="s">
        <v>636</v>
      </c>
      <c r="BI7" s="1">
        <v>6</v>
      </c>
      <c r="BJ7" s="1" t="s">
        <v>636</v>
      </c>
      <c r="BL7" s="1">
        <v>6</v>
      </c>
      <c r="BM7" s="1" t="s">
        <v>1112</v>
      </c>
    </row>
    <row r="8" spans="1:65" x14ac:dyDescent="0.25">
      <c r="A8" s="1">
        <v>7</v>
      </c>
      <c r="B8" s="1">
        <v>-2</v>
      </c>
      <c r="D8" s="1">
        <v>7</v>
      </c>
      <c r="E8" s="1" t="s">
        <v>211</v>
      </c>
      <c r="G8" s="1">
        <v>2</v>
      </c>
      <c r="H8" s="1" t="s">
        <v>215</v>
      </c>
      <c r="J8" s="1">
        <v>7</v>
      </c>
      <c r="K8" s="1" t="s">
        <v>59</v>
      </c>
      <c r="M8" s="1">
        <v>7</v>
      </c>
      <c r="N8" s="6" t="s">
        <v>88</v>
      </c>
      <c r="P8" s="1">
        <v>7</v>
      </c>
      <c r="Q8" s="1" t="s">
        <v>143</v>
      </c>
      <c r="S8" s="1">
        <v>7</v>
      </c>
      <c r="T8" s="3" t="s">
        <v>172</v>
      </c>
      <c r="V8" s="1">
        <v>7</v>
      </c>
      <c r="W8" s="1" t="s">
        <v>227</v>
      </c>
      <c r="Y8" s="1">
        <v>7</v>
      </c>
      <c r="Z8" s="3" t="s">
        <v>244</v>
      </c>
      <c r="AB8" s="1">
        <v>7</v>
      </c>
      <c r="AC8" s="1" t="s">
        <v>332</v>
      </c>
      <c r="AE8" s="1">
        <v>7</v>
      </c>
      <c r="AF8" s="1" t="s">
        <v>391</v>
      </c>
      <c r="AH8" s="1">
        <v>7</v>
      </c>
      <c r="AI8" s="1" t="s">
        <v>480</v>
      </c>
      <c r="AK8" s="1">
        <v>7</v>
      </c>
      <c r="AL8" s="1" t="s">
        <v>498</v>
      </c>
      <c r="AN8" s="1">
        <v>7</v>
      </c>
      <c r="AO8" s="1" t="s">
        <v>225</v>
      </c>
      <c r="AQ8" s="1">
        <v>7</v>
      </c>
      <c r="AR8" s="1" t="s">
        <v>575</v>
      </c>
      <c r="AT8" s="1">
        <v>7</v>
      </c>
      <c r="AU8" s="1" t="s">
        <v>139</v>
      </c>
      <c r="AW8" s="1">
        <v>7</v>
      </c>
      <c r="AX8" s="1" t="s">
        <v>170</v>
      </c>
      <c r="AZ8" s="1">
        <v>7</v>
      </c>
      <c r="BA8" s="1" t="s">
        <v>604</v>
      </c>
      <c r="BC8" s="1">
        <v>7</v>
      </c>
      <c r="BD8" s="1" t="s">
        <v>621</v>
      </c>
      <c r="BF8" s="1">
        <v>7</v>
      </c>
      <c r="BG8" s="1" t="s">
        <v>637</v>
      </c>
      <c r="BI8" s="1">
        <v>7</v>
      </c>
      <c r="BJ8" s="1" t="s">
        <v>637</v>
      </c>
      <c r="BL8" s="1">
        <v>7</v>
      </c>
      <c r="BM8" s="1" t="s">
        <v>1112</v>
      </c>
    </row>
    <row r="9" spans="1:65" x14ac:dyDescent="0.25">
      <c r="A9" s="1">
        <v>8</v>
      </c>
      <c r="B9" s="1">
        <v>-1</v>
      </c>
      <c r="D9" s="1">
        <v>8</v>
      </c>
      <c r="E9" s="1" t="s">
        <v>212</v>
      </c>
      <c r="J9" s="1">
        <v>8</v>
      </c>
      <c r="K9" s="1" t="s">
        <v>60</v>
      </c>
      <c r="M9" s="1">
        <v>8</v>
      </c>
      <c r="N9" s="8" t="s">
        <v>89</v>
      </c>
      <c r="P9" s="1">
        <v>8</v>
      </c>
      <c r="Q9" s="1" t="s">
        <v>144</v>
      </c>
      <c r="S9" s="1">
        <v>8</v>
      </c>
      <c r="T9" s="4" t="s">
        <v>123</v>
      </c>
      <c r="V9" s="1">
        <v>8</v>
      </c>
      <c r="W9" s="1" t="s">
        <v>228</v>
      </c>
      <c r="Y9" s="1">
        <v>8</v>
      </c>
      <c r="Z9" s="4" t="s">
        <v>245</v>
      </c>
      <c r="AB9" s="1">
        <v>8</v>
      </c>
      <c r="AC9" s="1" t="s">
        <v>317</v>
      </c>
      <c r="AE9" s="1">
        <v>8</v>
      </c>
      <c r="AF9" s="1" t="s">
        <v>326</v>
      </c>
      <c r="AH9" s="1">
        <v>8</v>
      </c>
      <c r="AI9" s="1" t="s">
        <v>481</v>
      </c>
      <c r="AK9" s="1">
        <v>8</v>
      </c>
      <c r="AL9" s="1" t="s">
        <v>499</v>
      </c>
      <c r="AN9" s="1">
        <v>8</v>
      </c>
      <c r="AO9" s="1" t="s">
        <v>538</v>
      </c>
      <c r="AQ9" s="1">
        <v>8</v>
      </c>
      <c r="AR9" s="1" t="s">
        <v>576</v>
      </c>
      <c r="AT9" s="1">
        <v>8</v>
      </c>
      <c r="AU9" s="1" t="s">
        <v>140</v>
      </c>
      <c r="AW9" s="1">
        <v>8</v>
      </c>
      <c r="AX9" s="1" t="s">
        <v>122</v>
      </c>
      <c r="AZ9" s="1">
        <v>8</v>
      </c>
      <c r="BA9" s="1" t="s">
        <v>605</v>
      </c>
      <c r="BC9" s="1">
        <v>8</v>
      </c>
      <c r="BD9" s="1" t="s">
        <v>615</v>
      </c>
      <c r="BF9" s="1">
        <v>8</v>
      </c>
      <c r="BG9" s="1" t="s">
        <v>626</v>
      </c>
      <c r="BI9" s="1">
        <v>8</v>
      </c>
      <c r="BJ9" s="1" t="s">
        <v>659</v>
      </c>
      <c r="BL9" s="1">
        <v>8</v>
      </c>
      <c r="BM9" s="1" t="s">
        <v>1112</v>
      </c>
    </row>
    <row r="10" spans="1:65" x14ac:dyDescent="0.25">
      <c r="A10" s="1">
        <v>9</v>
      </c>
      <c r="B10" s="1">
        <v>-1</v>
      </c>
      <c r="D10" s="1">
        <v>9</v>
      </c>
      <c r="E10" s="1" t="s">
        <v>213</v>
      </c>
      <c r="G10" s="2" t="s">
        <v>219</v>
      </c>
      <c r="H10" s="2"/>
      <c r="J10" s="1">
        <v>9</v>
      </c>
      <c r="K10" s="1" t="s">
        <v>61</v>
      </c>
      <c r="M10" s="1">
        <v>9</v>
      </c>
      <c r="N10" s="5" t="s">
        <v>90</v>
      </c>
      <c r="P10" s="1">
        <v>9</v>
      </c>
      <c r="Q10" s="1" t="s">
        <v>124</v>
      </c>
      <c r="S10" s="1">
        <v>9</v>
      </c>
      <c r="T10" s="3" t="s">
        <v>173</v>
      </c>
      <c r="V10" s="1">
        <v>9</v>
      </c>
      <c r="W10" s="1" t="s">
        <v>229</v>
      </c>
      <c r="Y10" s="1">
        <v>9</v>
      </c>
      <c r="Z10" s="3" t="s">
        <v>246</v>
      </c>
      <c r="AB10" s="1">
        <v>9</v>
      </c>
      <c r="AC10" s="1" t="s">
        <v>346</v>
      </c>
      <c r="AE10" s="1">
        <v>9</v>
      </c>
      <c r="AF10" s="1" t="s">
        <v>327</v>
      </c>
      <c r="AH10" s="1">
        <v>9</v>
      </c>
      <c r="AI10" s="1" t="s">
        <v>482</v>
      </c>
      <c r="AK10" s="1">
        <v>9</v>
      </c>
      <c r="AL10" s="1" t="s">
        <v>500</v>
      </c>
      <c r="AN10" s="1">
        <v>9</v>
      </c>
      <c r="AO10" s="1" t="s">
        <v>539</v>
      </c>
      <c r="AQ10" s="1">
        <v>9</v>
      </c>
      <c r="AR10" s="1" t="s">
        <v>577</v>
      </c>
      <c r="AT10" s="1">
        <v>9</v>
      </c>
      <c r="AU10" s="1" t="s">
        <v>271</v>
      </c>
      <c r="AW10" s="1">
        <v>9</v>
      </c>
      <c r="AX10" s="1" t="s">
        <v>338</v>
      </c>
      <c r="AZ10" s="1">
        <v>9</v>
      </c>
      <c r="BA10" s="1" t="s">
        <v>606</v>
      </c>
      <c r="BC10" s="1">
        <v>9</v>
      </c>
      <c r="BD10" s="1" t="s">
        <v>616</v>
      </c>
      <c r="BF10" s="1">
        <v>9</v>
      </c>
      <c r="BG10" s="1" t="s">
        <v>638</v>
      </c>
      <c r="BI10" s="1">
        <v>9</v>
      </c>
      <c r="BJ10" s="1" t="s">
        <v>660</v>
      </c>
      <c r="BL10" s="1">
        <v>9</v>
      </c>
      <c r="BM10" s="1" t="s">
        <v>1112</v>
      </c>
    </row>
    <row r="11" spans="1:65" x14ac:dyDescent="0.25">
      <c r="A11" s="1">
        <v>10</v>
      </c>
      <c r="B11" s="1">
        <v>0</v>
      </c>
      <c r="G11" s="1">
        <v>1</v>
      </c>
      <c r="H11" s="1" t="s">
        <v>216</v>
      </c>
      <c r="J11" s="1">
        <v>10</v>
      </c>
      <c r="K11" s="1" t="s">
        <v>62</v>
      </c>
      <c r="M11" s="1">
        <v>10</v>
      </c>
      <c r="N11" s="4" t="s">
        <v>91</v>
      </c>
      <c r="P11" s="1">
        <v>10</v>
      </c>
      <c r="Q11" s="1" t="s">
        <v>145</v>
      </c>
      <c r="S11" s="1">
        <v>10</v>
      </c>
      <c r="T11" s="4" t="s">
        <v>174</v>
      </c>
      <c r="V11" s="1">
        <v>10</v>
      </c>
      <c r="W11" s="1" t="s">
        <v>230</v>
      </c>
      <c r="Y11" s="1">
        <v>10</v>
      </c>
      <c r="Z11" s="4" t="s">
        <v>247</v>
      </c>
      <c r="AB11" s="1">
        <v>10</v>
      </c>
      <c r="AC11" s="1" t="s">
        <v>318</v>
      </c>
      <c r="AE11" s="1">
        <v>10</v>
      </c>
      <c r="AF11" s="1" t="s">
        <v>279</v>
      </c>
      <c r="AH11" s="1">
        <v>10</v>
      </c>
      <c r="AI11" s="1" t="s">
        <v>483</v>
      </c>
      <c r="AK11" s="1">
        <v>10</v>
      </c>
      <c r="AL11" s="1" t="s">
        <v>501</v>
      </c>
      <c r="AN11" s="1">
        <v>10</v>
      </c>
      <c r="AO11" s="1" t="s">
        <v>540</v>
      </c>
      <c r="AQ11" s="1">
        <v>10</v>
      </c>
      <c r="AR11" s="1" t="s">
        <v>578</v>
      </c>
      <c r="AT11" s="1">
        <v>10</v>
      </c>
      <c r="AU11" s="1" t="s">
        <v>141</v>
      </c>
      <c r="AW11" s="1">
        <v>10</v>
      </c>
      <c r="AX11" s="1" t="s">
        <v>295</v>
      </c>
      <c r="AZ11" s="1">
        <v>10</v>
      </c>
      <c r="BA11" s="1" t="s">
        <v>607</v>
      </c>
      <c r="BC11" s="1">
        <v>10</v>
      </c>
      <c r="BD11" s="1" t="s">
        <v>617</v>
      </c>
      <c r="BF11" s="1">
        <v>10</v>
      </c>
      <c r="BG11" s="1" t="s">
        <v>669</v>
      </c>
      <c r="BI11" s="1">
        <v>10</v>
      </c>
      <c r="BJ11" s="1" t="s">
        <v>638</v>
      </c>
      <c r="BL11" s="1">
        <v>10</v>
      </c>
      <c r="BM11" s="1" t="s">
        <v>1112</v>
      </c>
    </row>
    <row r="12" spans="1:65" x14ac:dyDescent="0.25">
      <c r="A12" s="1">
        <v>11</v>
      </c>
      <c r="B12" s="1">
        <v>0</v>
      </c>
      <c r="D12" s="2" t="s">
        <v>42</v>
      </c>
      <c r="G12" s="1">
        <v>2</v>
      </c>
      <c r="H12" s="1" t="s">
        <v>217</v>
      </c>
      <c r="J12" s="1">
        <v>11</v>
      </c>
      <c r="K12" s="1" t="s">
        <v>63</v>
      </c>
      <c r="M12" s="1">
        <v>11</v>
      </c>
      <c r="N12" s="5" t="s">
        <v>92</v>
      </c>
      <c r="P12" s="1">
        <v>11</v>
      </c>
      <c r="Q12" s="1" t="s">
        <v>146</v>
      </c>
      <c r="S12" s="1">
        <v>11</v>
      </c>
      <c r="T12" s="6" t="s">
        <v>175</v>
      </c>
      <c r="V12" s="1">
        <v>11</v>
      </c>
      <c r="W12" s="1" t="s">
        <v>231</v>
      </c>
      <c r="Y12" s="1">
        <v>11</v>
      </c>
      <c r="Z12" s="3" t="s">
        <v>248</v>
      </c>
      <c r="AB12" s="1">
        <v>11</v>
      </c>
      <c r="AC12" s="1" t="s">
        <v>365</v>
      </c>
      <c r="AE12" s="1">
        <v>11</v>
      </c>
      <c r="AF12" s="1" t="s">
        <v>377</v>
      </c>
      <c r="AH12" s="1">
        <v>11</v>
      </c>
      <c r="AI12" s="1" t="s">
        <v>484</v>
      </c>
      <c r="AK12" s="1">
        <v>11</v>
      </c>
      <c r="AL12" s="1" t="s">
        <v>502</v>
      </c>
      <c r="AN12" s="1">
        <v>11</v>
      </c>
      <c r="AO12" s="1" t="s">
        <v>541</v>
      </c>
      <c r="AQ12" s="1">
        <v>11</v>
      </c>
      <c r="AR12" s="1" t="s">
        <v>579</v>
      </c>
      <c r="AT12" s="1">
        <v>11</v>
      </c>
      <c r="AU12" s="1" t="s">
        <v>272</v>
      </c>
      <c r="AW12" s="1">
        <v>11</v>
      </c>
      <c r="AX12" s="1" t="s">
        <v>278</v>
      </c>
      <c r="BC12" s="1">
        <v>11</v>
      </c>
      <c r="BD12" s="1" t="s">
        <v>618</v>
      </c>
      <c r="BF12" s="1">
        <v>11</v>
      </c>
      <c r="BG12" s="1" t="s">
        <v>639</v>
      </c>
      <c r="BI12" s="1">
        <v>11</v>
      </c>
      <c r="BJ12" s="1" t="s">
        <v>661</v>
      </c>
      <c r="BL12" s="1">
        <v>11</v>
      </c>
      <c r="BM12" s="1" t="s">
        <v>1112</v>
      </c>
    </row>
    <row r="13" spans="1:65" x14ac:dyDescent="0.25">
      <c r="A13" s="1">
        <v>12</v>
      </c>
      <c r="B13" s="1">
        <v>1</v>
      </c>
      <c r="D13" s="1">
        <v>1</v>
      </c>
      <c r="E13" s="1" t="s">
        <v>455</v>
      </c>
      <c r="G13" s="1">
        <v>3</v>
      </c>
      <c r="H13" s="1" t="s">
        <v>220</v>
      </c>
      <c r="J13" s="1">
        <v>12</v>
      </c>
      <c r="K13" s="1" t="s">
        <v>64</v>
      </c>
      <c r="M13" s="1">
        <v>12</v>
      </c>
      <c r="N13" s="8" t="s">
        <v>93</v>
      </c>
      <c r="P13" s="1">
        <v>12</v>
      </c>
      <c r="Q13" s="1" t="s">
        <v>147</v>
      </c>
      <c r="S13" s="1">
        <v>12</v>
      </c>
      <c r="T13" s="3" t="s">
        <v>125</v>
      </c>
      <c r="V13" s="1">
        <v>12</v>
      </c>
      <c r="W13" s="1" t="s">
        <v>232</v>
      </c>
      <c r="Y13" s="1">
        <v>12</v>
      </c>
      <c r="Z13" s="3" t="s">
        <v>249</v>
      </c>
      <c r="AB13" s="1">
        <v>12</v>
      </c>
      <c r="AC13" s="1" t="s">
        <v>366</v>
      </c>
      <c r="AE13" s="1">
        <v>12</v>
      </c>
      <c r="AF13" s="1" t="s">
        <v>339</v>
      </c>
      <c r="AH13" s="1">
        <v>12</v>
      </c>
      <c r="AI13" s="1" t="s">
        <v>485</v>
      </c>
      <c r="AK13" s="1">
        <v>12</v>
      </c>
      <c r="AL13" s="1" t="s">
        <v>503</v>
      </c>
      <c r="AN13" s="1">
        <v>12</v>
      </c>
      <c r="AO13" s="1" t="s">
        <v>542</v>
      </c>
      <c r="AQ13" s="1">
        <v>12</v>
      </c>
      <c r="AR13" s="1" t="s">
        <v>580</v>
      </c>
      <c r="AT13" s="1">
        <v>12</v>
      </c>
      <c r="AU13" s="1" t="s">
        <v>332</v>
      </c>
      <c r="AW13" s="1">
        <v>12</v>
      </c>
      <c r="AX13" s="1" t="s">
        <v>376</v>
      </c>
      <c r="BC13" s="1">
        <v>12</v>
      </c>
      <c r="BD13" s="1" t="s">
        <v>619</v>
      </c>
      <c r="BF13" s="1">
        <v>12</v>
      </c>
      <c r="BG13" s="1" t="s">
        <v>640</v>
      </c>
      <c r="BI13" s="1">
        <v>12</v>
      </c>
      <c r="BJ13" s="1" t="s">
        <v>639</v>
      </c>
      <c r="BL13" s="1">
        <v>12</v>
      </c>
      <c r="BM13" s="1" t="s">
        <v>1112</v>
      </c>
    </row>
    <row r="14" spans="1:65" x14ac:dyDescent="0.25">
      <c r="A14" s="1">
        <v>13</v>
      </c>
      <c r="B14" s="1">
        <v>1</v>
      </c>
      <c r="D14" s="1">
        <v>2</v>
      </c>
      <c r="E14" s="1" t="s">
        <v>456</v>
      </c>
      <c r="J14" s="1">
        <v>13</v>
      </c>
      <c r="K14" s="1" t="s">
        <v>65</v>
      </c>
      <c r="M14" s="1">
        <v>13</v>
      </c>
      <c r="N14" s="6" t="s">
        <v>94</v>
      </c>
      <c r="P14" s="1">
        <v>13</v>
      </c>
      <c r="Q14" s="1" t="s">
        <v>126</v>
      </c>
      <c r="S14" s="1">
        <v>13</v>
      </c>
      <c r="T14" s="3" t="s">
        <v>176</v>
      </c>
      <c r="V14" s="1">
        <v>13</v>
      </c>
      <c r="W14" s="1" t="s">
        <v>233</v>
      </c>
      <c r="Y14" s="1">
        <v>13</v>
      </c>
      <c r="Z14" s="3" t="s">
        <v>250</v>
      </c>
      <c r="AB14" s="1">
        <v>13</v>
      </c>
      <c r="AC14" s="1" t="s">
        <v>285</v>
      </c>
      <c r="AE14" s="1">
        <v>13</v>
      </c>
      <c r="AF14" s="1" t="s">
        <v>392</v>
      </c>
      <c r="AH14" s="1">
        <v>13</v>
      </c>
      <c r="AI14" s="1" t="s">
        <v>486</v>
      </c>
      <c r="AK14" s="1">
        <v>13</v>
      </c>
      <c r="AL14" s="1" t="s">
        <v>504</v>
      </c>
      <c r="AN14" s="1">
        <v>13</v>
      </c>
      <c r="AO14" s="1" t="s">
        <v>543</v>
      </c>
      <c r="AQ14" s="1">
        <v>13</v>
      </c>
      <c r="AR14" s="1" t="s">
        <v>581</v>
      </c>
      <c r="AT14" s="1">
        <v>13</v>
      </c>
      <c r="AU14" s="1" t="s">
        <v>142</v>
      </c>
      <c r="AW14" s="1">
        <v>13</v>
      </c>
      <c r="AX14" s="1" t="s">
        <v>391</v>
      </c>
      <c r="BC14" s="1">
        <v>13</v>
      </c>
      <c r="BD14" s="1" t="s">
        <v>620</v>
      </c>
      <c r="BF14" s="1">
        <v>13</v>
      </c>
      <c r="BG14" s="1" t="s">
        <v>641</v>
      </c>
      <c r="BI14" s="1">
        <v>13</v>
      </c>
      <c r="BJ14" s="1" t="s">
        <v>640</v>
      </c>
      <c r="BL14" s="1">
        <v>13</v>
      </c>
      <c r="BM14" s="1" t="s">
        <v>1112</v>
      </c>
    </row>
    <row r="15" spans="1:65" x14ac:dyDescent="0.25">
      <c r="A15" s="1">
        <v>14</v>
      </c>
      <c r="B15" s="1">
        <v>2</v>
      </c>
      <c r="G15" s="2" t="s">
        <v>269</v>
      </c>
      <c r="J15" s="1">
        <v>14</v>
      </c>
      <c r="K15" s="1" t="s">
        <v>66</v>
      </c>
      <c r="M15" s="1">
        <v>14</v>
      </c>
      <c r="N15" s="8" t="s">
        <v>97</v>
      </c>
      <c r="P15" s="1">
        <v>14</v>
      </c>
      <c r="Q15" s="1" t="s">
        <v>148</v>
      </c>
      <c r="S15" s="1">
        <v>14</v>
      </c>
      <c r="T15" s="4" t="s">
        <v>177</v>
      </c>
      <c r="V15" s="1">
        <v>14</v>
      </c>
      <c r="W15" s="1" t="s">
        <v>234</v>
      </c>
      <c r="Y15" s="1">
        <v>14</v>
      </c>
      <c r="Z15" s="4" t="s">
        <v>251</v>
      </c>
      <c r="AB15" s="1">
        <v>14</v>
      </c>
      <c r="AC15" s="1" t="s">
        <v>384</v>
      </c>
      <c r="AE15" s="1">
        <v>14</v>
      </c>
      <c r="AF15" s="1" t="s">
        <v>296</v>
      </c>
      <c r="AH15" s="1">
        <v>14</v>
      </c>
      <c r="AI15" s="1" t="s">
        <v>487</v>
      </c>
      <c r="AK15" s="1">
        <v>14</v>
      </c>
      <c r="AL15" s="1" t="s">
        <v>505</v>
      </c>
      <c r="AN15" s="1">
        <v>14</v>
      </c>
      <c r="AO15" s="1" t="s">
        <v>544</v>
      </c>
      <c r="AQ15" s="1">
        <v>14</v>
      </c>
      <c r="AR15" s="1" t="s">
        <v>582</v>
      </c>
      <c r="AT15" s="1">
        <v>14</v>
      </c>
      <c r="AU15" s="1" t="s">
        <v>143</v>
      </c>
      <c r="AW15" s="1">
        <v>14</v>
      </c>
      <c r="AX15" s="1" t="s">
        <v>326</v>
      </c>
      <c r="BF15" s="1">
        <v>14</v>
      </c>
      <c r="BG15" s="1" t="s">
        <v>642</v>
      </c>
      <c r="BI15" s="1">
        <v>14</v>
      </c>
      <c r="BJ15" s="1" t="s">
        <v>641</v>
      </c>
      <c r="BL15" s="1">
        <v>14</v>
      </c>
      <c r="BM15" s="1" t="s">
        <v>1112</v>
      </c>
    </row>
    <row r="16" spans="1:65" x14ac:dyDescent="0.25">
      <c r="A16" s="1">
        <v>15</v>
      </c>
      <c r="B16" s="1">
        <v>2</v>
      </c>
      <c r="D16" s="2" t="s">
        <v>40</v>
      </c>
      <c r="G16" s="1">
        <v>1</v>
      </c>
      <c r="H16" s="1" t="s">
        <v>267</v>
      </c>
      <c r="J16" s="1">
        <v>15</v>
      </c>
      <c r="K16" s="1" t="s">
        <v>67</v>
      </c>
      <c r="M16" s="1">
        <v>15</v>
      </c>
      <c r="N16" s="6" t="s">
        <v>95</v>
      </c>
      <c r="P16" s="1">
        <v>15</v>
      </c>
      <c r="Q16" s="1" t="s">
        <v>149</v>
      </c>
      <c r="S16" s="1">
        <v>15</v>
      </c>
      <c r="T16" s="6" t="s">
        <v>178</v>
      </c>
      <c r="V16" s="1">
        <v>15</v>
      </c>
      <c r="W16" s="1" t="s">
        <v>235</v>
      </c>
      <c r="Y16" s="1">
        <v>15</v>
      </c>
      <c r="Z16" s="3" t="s">
        <v>252</v>
      </c>
      <c r="AB16" s="1">
        <v>15</v>
      </c>
      <c r="AC16" s="1" t="s">
        <v>286</v>
      </c>
      <c r="AE16" s="1">
        <v>15</v>
      </c>
      <c r="AF16" s="1" t="s">
        <v>393</v>
      </c>
      <c r="AH16" s="1">
        <v>15</v>
      </c>
      <c r="AI16" s="1" t="s">
        <v>488</v>
      </c>
      <c r="AK16" s="1">
        <v>15</v>
      </c>
      <c r="AL16" s="1" t="s">
        <v>506</v>
      </c>
      <c r="AN16" s="1">
        <v>15</v>
      </c>
      <c r="AO16" s="1" t="s">
        <v>545</v>
      </c>
      <c r="AQ16" s="1">
        <v>15</v>
      </c>
      <c r="AR16" s="1" t="s">
        <v>583</v>
      </c>
      <c r="AT16" s="1">
        <v>15</v>
      </c>
      <c r="AU16" s="1" t="s">
        <v>317</v>
      </c>
      <c r="AW16" s="1">
        <v>15</v>
      </c>
      <c r="AX16" s="1" t="s">
        <v>171</v>
      </c>
      <c r="BF16" s="1">
        <v>15</v>
      </c>
      <c r="BG16" s="1" t="s">
        <v>643</v>
      </c>
      <c r="BI16" s="1">
        <v>15</v>
      </c>
      <c r="BJ16" s="1" t="s">
        <v>642</v>
      </c>
      <c r="BL16" s="1">
        <v>15</v>
      </c>
      <c r="BM16" s="1" t="s">
        <v>1112</v>
      </c>
    </row>
    <row r="17" spans="1:65" x14ac:dyDescent="0.25">
      <c r="A17" s="1">
        <v>16</v>
      </c>
      <c r="B17" s="1">
        <v>3</v>
      </c>
      <c r="D17" s="1">
        <v>1</v>
      </c>
      <c r="E17" s="1" t="s">
        <v>469</v>
      </c>
      <c r="G17" s="1">
        <v>2</v>
      </c>
      <c r="H17" s="1" t="s">
        <v>268</v>
      </c>
      <c r="J17" s="1">
        <v>16</v>
      </c>
      <c r="K17" s="1" t="s">
        <v>68</v>
      </c>
      <c r="M17" s="1">
        <v>16</v>
      </c>
      <c r="N17" s="4" t="s">
        <v>96</v>
      </c>
      <c r="P17" s="1">
        <v>16</v>
      </c>
      <c r="Q17" s="1" t="s">
        <v>150</v>
      </c>
      <c r="S17" s="1">
        <v>16</v>
      </c>
      <c r="T17" s="3" t="s">
        <v>179</v>
      </c>
      <c r="V17" s="1">
        <v>16</v>
      </c>
      <c r="W17" s="1" t="s">
        <v>236</v>
      </c>
      <c r="Y17" s="1">
        <v>16</v>
      </c>
      <c r="Z17" s="4" t="s">
        <v>253</v>
      </c>
      <c r="AB17" s="1">
        <v>16</v>
      </c>
      <c r="AC17" s="1" t="s">
        <v>333</v>
      </c>
      <c r="AE17" s="1">
        <v>16</v>
      </c>
      <c r="AF17" s="1" t="s">
        <v>357</v>
      </c>
      <c r="AH17" s="1">
        <v>16</v>
      </c>
      <c r="AI17" s="1" t="s">
        <v>489</v>
      </c>
      <c r="AK17" s="1">
        <v>16</v>
      </c>
      <c r="AL17" s="1" t="s">
        <v>507</v>
      </c>
      <c r="AN17" s="1">
        <v>16</v>
      </c>
      <c r="AO17" s="1" t="s">
        <v>546</v>
      </c>
      <c r="AQ17" s="1">
        <v>16</v>
      </c>
      <c r="AR17" s="1" t="s">
        <v>584</v>
      </c>
      <c r="AT17" s="1">
        <v>16</v>
      </c>
      <c r="AU17" s="1" t="s">
        <v>346</v>
      </c>
      <c r="AW17" s="1">
        <v>16</v>
      </c>
      <c r="AX17" s="1" t="s">
        <v>172</v>
      </c>
      <c r="BF17" s="1">
        <v>16</v>
      </c>
      <c r="BG17" s="1" t="s">
        <v>627</v>
      </c>
      <c r="BI17" s="1">
        <v>16</v>
      </c>
      <c r="BJ17" s="1" t="s">
        <v>643</v>
      </c>
      <c r="BL17" s="1">
        <v>16</v>
      </c>
      <c r="BM17" s="1" t="s">
        <v>1113</v>
      </c>
    </row>
    <row r="18" spans="1:65" x14ac:dyDescent="0.25">
      <c r="A18" s="1">
        <v>17</v>
      </c>
      <c r="B18" s="1">
        <v>3</v>
      </c>
      <c r="D18" s="1">
        <v>2</v>
      </c>
      <c r="E18" s="1" t="s">
        <v>467</v>
      </c>
      <c r="J18" s="1">
        <v>17</v>
      </c>
      <c r="K18" s="1" t="s">
        <v>69</v>
      </c>
      <c r="M18" s="1">
        <v>17</v>
      </c>
      <c r="N18" s="5" t="s">
        <v>98</v>
      </c>
      <c r="P18" s="1">
        <v>17</v>
      </c>
      <c r="Q18" s="1" t="s">
        <v>151</v>
      </c>
      <c r="S18" s="1">
        <v>17</v>
      </c>
      <c r="T18" s="6" t="s">
        <v>180</v>
      </c>
      <c r="V18" s="1">
        <v>17</v>
      </c>
      <c r="W18" s="1" t="s">
        <v>237</v>
      </c>
      <c r="Y18" s="1">
        <v>17</v>
      </c>
      <c r="Z18" s="3" t="s">
        <v>254</v>
      </c>
      <c r="AB18" s="1">
        <v>17</v>
      </c>
      <c r="AC18" s="1" t="s">
        <v>287</v>
      </c>
      <c r="AE18" s="1">
        <v>17</v>
      </c>
      <c r="AF18" s="1" t="s">
        <v>280</v>
      </c>
      <c r="AH18" s="1">
        <v>17</v>
      </c>
      <c r="AI18" s="1" t="s">
        <v>490</v>
      </c>
      <c r="AK18" s="1">
        <v>17</v>
      </c>
      <c r="AL18" s="1" t="s">
        <v>508</v>
      </c>
      <c r="AN18" s="1">
        <v>17</v>
      </c>
      <c r="AO18" s="1" t="s">
        <v>547</v>
      </c>
      <c r="AQ18" s="1">
        <v>17</v>
      </c>
      <c r="AR18" s="1" t="s">
        <v>585</v>
      </c>
      <c r="AT18" s="1">
        <v>17</v>
      </c>
      <c r="AU18" s="1" t="s">
        <v>318</v>
      </c>
      <c r="AW18" s="1">
        <v>17</v>
      </c>
      <c r="AX18" s="1" t="s">
        <v>123</v>
      </c>
      <c r="BF18" s="1">
        <v>17</v>
      </c>
      <c r="BG18" s="1" t="s">
        <v>628</v>
      </c>
      <c r="BI18" s="1">
        <v>17</v>
      </c>
      <c r="BJ18" s="1" t="s">
        <v>662</v>
      </c>
      <c r="BL18" s="1">
        <v>17</v>
      </c>
      <c r="BM18" s="1" t="s">
        <v>1113</v>
      </c>
    </row>
    <row r="19" spans="1:65" x14ac:dyDescent="0.25">
      <c r="A19" s="1">
        <v>18</v>
      </c>
      <c r="B19" s="1">
        <v>4</v>
      </c>
      <c r="D19" s="1">
        <v>3</v>
      </c>
      <c r="E19" s="1" t="s">
        <v>468</v>
      </c>
      <c r="G19" s="2" t="s">
        <v>528</v>
      </c>
      <c r="J19" s="1">
        <v>18</v>
      </c>
      <c r="K19" s="1" t="s">
        <v>70</v>
      </c>
      <c r="M19" s="1">
        <v>18</v>
      </c>
      <c r="N19" s="4" t="s">
        <v>99</v>
      </c>
      <c r="P19" s="1">
        <v>18</v>
      </c>
      <c r="Q19" s="1" t="s">
        <v>152</v>
      </c>
      <c r="S19" s="1">
        <v>18</v>
      </c>
      <c r="T19" s="3" t="s">
        <v>181</v>
      </c>
      <c r="Y19" s="1">
        <v>18</v>
      </c>
      <c r="Z19" s="4" t="s">
        <v>255</v>
      </c>
      <c r="AB19" s="1">
        <v>18</v>
      </c>
      <c r="AC19" s="1" t="s">
        <v>367</v>
      </c>
      <c r="AE19" s="1">
        <v>18</v>
      </c>
      <c r="AF19" s="1" t="s">
        <v>358</v>
      </c>
      <c r="AN19" s="1">
        <v>18</v>
      </c>
      <c r="AO19" s="1" t="s">
        <v>548</v>
      </c>
      <c r="AQ19" s="1">
        <v>18</v>
      </c>
      <c r="AR19" s="1" t="s">
        <v>586</v>
      </c>
      <c r="AT19" s="1">
        <v>18</v>
      </c>
      <c r="AU19" s="1" t="s">
        <v>144</v>
      </c>
      <c r="AW19" s="1">
        <v>18</v>
      </c>
      <c r="AX19" s="1" t="s">
        <v>173</v>
      </c>
      <c r="BF19" s="1">
        <v>18</v>
      </c>
      <c r="BG19" s="1" t="s">
        <v>629</v>
      </c>
      <c r="BI19" s="1">
        <v>18</v>
      </c>
      <c r="BJ19" s="1" t="s">
        <v>663</v>
      </c>
      <c r="BL19" s="1">
        <v>18</v>
      </c>
      <c r="BM19" s="1" t="s">
        <v>1113</v>
      </c>
    </row>
    <row r="20" spans="1:65" x14ac:dyDescent="0.25">
      <c r="A20" s="1">
        <v>19</v>
      </c>
      <c r="B20" s="1">
        <v>4</v>
      </c>
      <c r="D20" s="1">
        <v>4</v>
      </c>
      <c r="E20" s="1" t="s">
        <v>471</v>
      </c>
      <c r="G20" s="1">
        <v>1</v>
      </c>
      <c r="H20" s="1" t="s">
        <v>1593</v>
      </c>
      <c r="J20" s="1">
        <v>19</v>
      </c>
      <c r="K20" s="1" t="s">
        <v>71</v>
      </c>
      <c r="M20" s="1">
        <v>19</v>
      </c>
      <c r="N20" s="5" t="s">
        <v>100</v>
      </c>
      <c r="P20" s="1">
        <v>19</v>
      </c>
      <c r="Q20" s="1" t="s">
        <v>127</v>
      </c>
      <c r="S20" s="1">
        <v>19</v>
      </c>
      <c r="T20" s="6" t="s">
        <v>122</v>
      </c>
      <c r="V20" s="2" t="s">
        <v>256</v>
      </c>
      <c r="AB20" s="1">
        <v>19</v>
      </c>
      <c r="AC20" s="1" t="s">
        <v>347</v>
      </c>
      <c r="AE20" s="1">
        <v>19</v>
      </c>
      <c r="AF20" s="1" t="s">
        <v>359</v>
      </c>
      <c r="AH20" s="2" t="s">
        <v>509</v>
      </c>
      <c r="AN20" s="1">
        <v>19</v>
      </c>
      <c r="AO20" s="1" t="s">
        <v>549</v>
      </c>
      <c r="AQ20" s="1">
        <v>19</v>
      </c>
      <c r="AR20" s="1" t="s">
        <v>587</v>
      </c>
      <c r="AT20" s="1">
        <v>19</v>
      </c>
      <c r="AU20" s="1" t="s">
        <v>365</v>
      </c>
      <c r="AW20" s="1">
        <v>19</v>
      </c>
      <c r="AX20" s="1" t="s">
        <v>327</v>
      </c>
      <c r="BF20" s="1">
        <v>19</v>
      </c>
      <c r="BG20" s="1" t="s">
        <v>630</v>
      </c>
      <c r="BI20" s="1">
        <v>19</v>
      </c>
      <c r="BJ20" s="1" t="s">
        <v>664</v>
      </c>
      <c r="BL20" s="1">
        <v>19</v>
      </c>
      <c r="BM20" s="1" t="s">
        <v>1113</v>
      </c>
    </row>
    <row r="21" spans="1:65" x14ac:dyDescent="0.25">
      <c r="A21" s="1">
        <v>20</v>
      </c>
      <c r="B21" s="1">
        <v>5</v>
      </c>
      <c r="D21" s="1">
        <v>5</v>
      </c>
      <c r="E21" s="1" t="s">
        <v>207</v>
      </c>
      <c r="G21" s="1">
        <v>2</v>
      </c>
      <c r="H21" s="1" t="s">
        <v>1594</v>
      </c>
      <c r="J21" s="1">
        <v>20</v>
      </c>
      <c r="K21" s="1" t="s">
        <v>72</v>
      </c>
      <c r="M21" s="1">
        <v>20</v>
      </c>
      <c r="N21" s="8" t="s">
        <v>101</v>
      </c>
      <c r="P21" s="1">
        <v>20</v>
      </c>
      <c r="Q21" s="1" t="s">
        <v>153</v>
      </c>
      <c r="S21" s="1">
        <v>20</v>
      </c>
      <c r="T21" s="3" t="s">
        <v>182</v>
      </c>
      <c r="V21" s="1">
        <v>1</v>
      </c>
      <c r="W21" s="1" t="s">
        <v>257</v>
      </c>
      <c r="AB21" s="1">
        <v>20</v>
      </c>
      <c r="AC21" s="1" t="s">
        <v>319</v>
      </c>
      <c r="AE21" s="1">
        <v>20</v>
      </c>
      <c r="AF21" s="1" t="s">
        <v>360</v>
      </c>
      <c r="AH21" s="1">
        <v>1</v>
      </c>
      <c r="AI21" s="1" t="s">
        <v>510</v>
      </c>
      <c r="AN21" s="1">
        <v>20</v>
      </c>
      <c r="AO21" s="1" t="s">
        <v>550</v>
      </c>
      <c r="AQ21" s="1">
        <v>20</v>
      </c>
      <c r="AR21" s="1" t="s">
        <v>316</v>
      </c>
      <c r="AT21" s="1">
        <v>20</v>
      </c>
      <c r="AU21" s="1" t="s">
        <v>366</v>
      </c>
      <c r="AW21" s="1">
        <v>20</v>
      </c>
      <c r="AX21" s="1" t="s">
        <v>279</v>
      </c>
      <c r="BF21" s="1">
        <v>20</v>
      </c>
      <c r="BG21" s="1" t="s">
        <v>644</v>
      </c>
      <c r="BI21" s="1">
        <v>20</v>
      </c>
      <c r="BJ21" s="1" t="s">
        <v>644</v>
      </c>
      <c r="BL21" s="1">
        <v>20</v>
      </c>
      <c r="BM21" s="1" t="s">
        <v>1113</v>
      </c>
    </row>
    <row r="22" spans="1:65" x14ac:dyDescent="0.25">
      <c r="A22" s="1">
        <v>21</v>
      </c>
      <c r="B22" s="1">
        <v>5</v>
      </c>
      <c r="D22" s="1">
        <v>6</v>
      </c>
      <c r="E22" s="1" t="s">
        <v>208</v>
      </c>
      <c r="G22" s="1">
        <v>3</v>
      </c>
      <c r="H22" s="1" t="s">
        <v>1595</v>
      </c>
      <c r="J22" s="1">
        <v>21</v>
      </c>
      <c r="K22" s="1" t="s">
        <v>454</v>
      </c>
      <c r="M22" s="1">
        <v>21</v>
      </c>
      <c r="N22" s="5" t="s">
        <v>102</v>
      </c>
      <c r="P22" s="1">
        <v>21</v>
      </c>
      <c r="Q22" s="1" t="s">
        <v>154</v>
      </c>
      <c r="S22" s="1">
        <v>21</v>
      </c>
      <c r="T22" s="6" t="s">
        <v>128</v>
      </c>
      <c r="V22" s="1">
        <v>2</v>
      </c>
      <c r="W22" s="1" t="s">
        <v>258</v>
      </c>
      <c r="AB22" s="1">
        <v>21</v>
      </c>
      <c r="AC22" s="1" t="s">
        <v>320</v>
      </c>
      <c r="AE22" s="1">
        <v>21</v>
      </c>
      <c r="AF22" s="1" t="s">
        <v>394</v>
      </c>
      <c r="AH22" s="1">
        <v>2</v>
      </c>
      <c r="AI22" s="1" t="s">
        <v>511</v>
      </c>
      <c r="AN22" s="1">
        <v>21</v>
      </c>
      <c r="AO22" s="1" t="s">
        <v>551</v>
      </c>
      <c r="AQ22" s="1">
        <v>21</v>
      </c>
      <c r="AR22" s="1" t="s">
        <v>588</v>
      </c>
      <c r="AT22" s="1">
        <v>21</v>
      </c>
      <c r="AU22" s="1" t="s">
        <v>285</v>
      </c>
      <c r="AW22" s="1">
        <v>21</v>
      </c>
      <c r="AX22" s="1" t="s">
        <v>377</v>
      </c>
      <c r="BF22" s="1">
        <v>21</v>
      </c>
      <c r="BG22" s="1" t="s">
        <v>645</v>
      </c>
      <c r="BI22" s="1">
        <v>21</v>
      </c>
      <c r="BJ22" s="1" t="s">
        <v>665</v>
      </c>
      <c r="BL22" s="1">
        <v>21</v>
      </c>
      <c r="BM22" s="1" t="s">
        <v>1113</v>
      </c>
    </row>
    <row r="23" spans="1:65" x14ac:dyDescent="0.25">
      <c r="A23" s="1">
        <v>22</v>
      </c>
      <c r="B23" s="1">
        <v>6</v>
      </c>
      <c r="D23" s="1">
        <v>7</v>
      </c>
      <c r="E23" s="1" t="s">
        <v>472</v>
      </c>
      <c r="G23" s="1">
        <v>4</v>
      </c>
      <c r="H23" s="1" t="s">
        <v>1596</v>
      </c>
      <c r="J23" s="1">
        <v>22</v>
      </c>
      <c r="K23" s="1" t="s">
        <v>73</v>
      </c>
      <c r="M23" s="1">
        <v>22</v>
      </c>
      <c r="N23" s="8" t="s">
        <v>103</v>
      </c>
      <c r="P23" s="1">
        <v>22</v>
      </c>
      <c r="Q23" s="1" t="s">
        <v>155</v>
      </c>
      <c r="S23" s="1">
        <v>22</v>
      </c>
      <c r="T23" s="4" t="s">
        <v>129</v>
      </c>
      <c r="V23" s="1">
        <v>3</v>
      </c>
      <c r="W23" s="1" t="s">
        <v>259</v>
      </c>
      <c r="AB23" s="1">
        <v>22</v>
      </c>
      <c r="AC23" s="1" t="s">
        <v>304</v>
      </c>
      <c r="AE23" s="1">
        <v>22</v>
      </c>
      <c r="AF23" s="1" t="s">
        <v>281</v>
      </c>
      <c r="AH23" s="1">
        <v>3</v>
      </c>
      <c r="AI23" s="1" t="s">
        <v>512</v>
      </c>
      <c r="AN23" s="1">
        <v>22</v>
      </c>
      <c r="AO23" s="1" t="s">
        <v>552</v>
      </c>
      <c r="AQ23" s="1">
        <v>22</v>
      </c>
      <c r="AR23" s="1" t="s">
        <v>589</v>
      </c>
      <c r="AT23" s="1">
        <v>22</v>
      </c>
      <c r="AU23" s="1" t="s">
        <v>124</v>
      </c>
      <c r="AW23" s="1">
        <v>22</v>
      </c>
      <c r="AX23" s="1" t="s">
        <v>339</v>
      </c>
      <c r="BF23" s="1">
        <v>22</v>
      </c>
      <c r="BG23" s="1" t="s">
        <v>646</v>
      </c>
      <c r="BI23" s="1">
        <v>22</v>
      </c>
      <c r="BJ23" s="1" t="s">
        <v>645</v>
      </c>
      <c r="BL23" s="1">
        <v>22</v>
      </c>
      <c r="BM23" s="1" t="s">
        <v>1113</v>
      </c>
    </row>
    <row r="24" spans="1:65" x14ac:dyDescent="0.25">
      <c r="A24" s="1">
        <v>23</v>
      </c>
      <c r="B24" s="1">
        <v>6</v>
      </c>
      <c r="D24" s="1">
        <v>8</v>
      </c>
      <c r="E24" s="1" t="s">
        <v>470</v>
      </c>
      <c r="G24" s="1">
        <v>5</v>
      </c>
      <c r="H24" s="1" t="s">
        <v>1597</v>
      </c>
      <c r="J24" s="1">
        <v>23</v>
      </c>
      <c r="K24" s="1" t="s">
        <v>74</v>
      </c>
      <c r="M24" s="1">
        <v>23</v>
      </c>
      <c r="N24" s="6" t="s">
        <v>104</v>
      </c>
      <c r="P24" s="1">
        <v>23</v>
      </c>
      <c r="Q24" s="1" t="s">
        <v>130</v>
      </c>
      <c r="S24" s="1">
        <v>23</v>
      </c>
      <c r="T24" s="6" t="s">
        <v>183</v>
      </c>
      <c r="V24" s="1">
        <v>4</v>
      </c>
      <c r="W24" s="1" t="s">
        <v>266</v>
      </c>
      <c r="AB24" s="1">
        <v>23</v>
      </c>
      <c r="AC24" s="1" t="s">
        <v>288</v>
      </c>
      <c r="AE24" s="1">
        <v>23</v>
      </c>
      <c r="AF24" s="1" t="s">
        <v>297</v>
      </c>
      <c r="AH24" s="1">
        <v>4</v>
      </c>
      <c r="AI24" s="1" t="s">
        <v>513</v>
      </c>
      <c r="AN24" s="1">
        <v>23</v>
      </c>
      <c r="AO24" s="1" t="s">
        <v>553</v>
      </c>
      <c r="AT24" s="1">
        <v>23</v>
      </c>
      <c r="AU24" s="1" t="s">
        <v>384</v>
      </c>
      <c r="AW24" s="1">
        <v>23</v>
      </c>
      <c r="AX24" s="1" t="s">
        <v>392</v>
      </c>
      <c r="BF24" s="1">
        <v>23</v>
      </c>
      <c r="BG24" s="1" t="s">
        <v>631</v>
      </c>
      <c r="BI24" s="1">
        <v>23</v>
      </c>
      <c r="BJ24" s="1" t="s">
        <v>646</v>
      </c>
      <c r="BL24" s="1">
        <v>23</v>
      </c>
      <c r="BM24" s="1" t="s">
        <v>1113</v>
      </c>
    </row>
    <row r="25" spans="1:65" x14ac:dyDescent="0.25">
      <c r="A25" s="1">
        <v>24</v>
      </c>
      <c r="B25" s="1">
        <v>7</v>
      </c>
      <c r="G25" s="1">
        <v>6</v>
      </c>
      <c r="H25" s="1" t="s">
        <v>1598</v>
      </c>
      <c r="J25" s="1">
        <v>24</v>
      </c>
      <c r="K25" s="1" t="s">
        <v>75</v>
      </c>
      <c r="P25" s="1">
        <v>24</v>
      </c>
      <c r="Q25" s="1" t="s">
        <v>131</v>
      </c>
      <c r="S25" s="1">
        <v>24</v>
      </c>
      <c r="T25" s="3" t="s">
        <v>184</v>
      </c>
      <c r="V25" s="1">
        <v>5</v>
      </c>
      <c r="W25" s="1" t="s">
        <v>260</v>
      </c>
      <c r="AB25" s="1">
        <v>24</v>
      </c>
      <c r="AC25" s="1" t="s">
        <v>305</v>
      </c>
      <c r="AE25" s="1">
        <v>24</v>
      </c>
      <c r="AF25" s="1" t="s">
        <v>368</v>
      </c>
      <c r="AH25" s="1">
        <v>5</v>
      </c>
      <c r="AI25" s="1" t="s">
        <v>514</v>
      </c>
      <c r="AT25" s="1">
        <v>24</v>
      </c>
      <c r="AU25" s="1" t="s">
        <v>286</v>
      </c>
      <c r="AW25" s="1">
        <v>24</v>
      </c>
      <c r="AX25" s="1" t="s">
        <v>174</v>
      </c>
      <c r="BF25" s="1">
        <v>24</v>
      </c>
      <c r="BG25" s="1" t="s">
        <v>647</v>
      </c>
      <c r="BI25" s="1">
        <v>24</v>
      </c>
      <c r="BJ25" s="1" t="s">
        <v>666</v>
      </c>
      <c r="BL25" s="1">
        <v>24</v>
      </c>
      <c r="BM25" s="1" t="s">
        <v>1113</v>
      </c>
    </row>
    <row r="26" spans="1:65" x14ac:dyDescent="0.25">
      <c r="A26" s="1">
        <v>25</v>
      </c>
      <c r="B26" s="1">
        <v>7</v>
      </c>
      <c r="D26" s="2" t="s">
        <v>1325</v>
      </c>
      <c r="G26" s="1">
        <v>7</v>
      </c>
      <c r="H26" s="1" t="s">
        <v>1599</v>
      </c>
      <c r="J26" s="1">
        <v>25</v>
      </c>
      <c r="K26" s="1" t="s">
        <v>76</v>
      </c>
      <c r="P26" s="1">
        <v>25</v>
      </c>
      <c r="Q26" s="1" t="s">
        <v>156</v>
      </c>
      <c r="S26" s="1">
        <v>25</v>
      </c>
      <c r="T26" s="6" t="s">
        <v>185</v>
      </c>
      <c r="V26" s="1">
        <v>6</v>
      </c>
      <c r="W26" s="1" t="s">
        <v>261</v>
      </c>
      <c r="AB26" s="1">
        <v>25</v>
      </c>
      <c r="AC26" s="1" t="s">
        <v>289</v>
      </c>
      <c r="AE26" s="1">
        <v>25</v>
      </c>
      <c r="AF26" s="1" t="s">
        <v>464</v>
      </c>
      <c r="AH26" s="1">
        <v>6</v>
      </c>
      <c r="AI26" s="1" t="s">
        <v>515</v>
      </c>
      <c r="AN26" s="2" t="s">
        <v>554</v>
      </c>
      <c r="AT26" s="1">
        <v>25</v>
      </c>
      <c r="AU26" s="1" t="s">
        <v>333</v>
      </c>
      <c r="AW26" s="1">
        <v>25</v>
      </c>
      <c r="AX26" s="1" t="s">
        <v>175</v>
      </c>
      <c r="BF26" s="1">
        <v>25</v>
      </c>
      <c r="BG26" s="1" t="s">
        <v>648</v>
      </c>
      <c r="BI26" s="1">
        <v>25</v>
      </c>
      <c r="BJ26" s="1" t="s">
        <v>667</v>
      </c>
      <c r="BL26" s="1">
        <v>25</v>
      </c>
      <c r="BM26" s="1" t="s">
        <v>1113</v>
      </c>
    </row>
    <row r="27" spans="1:65" x14ac:dyDescent="0.25">
      <c r="A27" s="1">
        <v>26</v>
      </c>
      <c r="B27" s="1">
        <v>8</v>
      </c>
      <c r="D27" s="1">
        <v>1</v>
      </c>
      <c r="E27" s="1" t="s">
        <v>469</v>
      </c>
      <c r="G27" s="1">
        <v>8</v>
      </c>
      <c r="H27" s="1" t="s">
        <v>1600</v>
      </c>
      <c r="J27" s="1">
        <v>26</v>
      </c>
      <c r="K27" s="1" t="s">
        <v>77</v>
      </c>
      <c r="P27" s="1">
        <v>26</v>
      </c>
      <c r="Q27" s="1" t="s">
        <v>157</v>
      </c>
      <c r="S27" s="1">
        <v>26</v>
      </c>
      <c r="T27" s="3" t="s">
        <v>186</v>
      </c>
      <c r="V27" s="1">
        <v>7</v>
      </c>
      <c r="W27" s="1" t="s">
        <v>262</v>
      </c>
      <c r="AB27" s="1">
        <v>26</v>
      </c>
      <c r="AC27" s="1" t="s">
        <v>273</v>
      </c>
      <c r="AE27" s="1">
        <v>26</v>
      </c>
      <c r="AF27" s="1" t="s">
        <v>311</v>
      </c>
      <c r="AH27" s="1">
        <v>7</v>
      </c>
      <c r="AI27" s="1" t="s">
        <v>516</v>
      </c>
      <c r="AN27" s="1">
        <v>1</v>
      </c>
      <c r="AO27" s="1" t="s">
        <v>555</v>
      </c>
      <c r="AT27" s="1">
        <v>26</v>
      </c>
      <c r="AU27" s="1" t="s">
        <v>145</v>
      </c>
      <c r="AW27" s="1">
        <v>26</v>
      </c>
      <c r="AX27" s="1" t="s">
        <v>125</v>
      </c>
      <c r="BF27" s="1">
        <v>26</v>
      </c>
      <c r="BG27" s="1" t="s">
        <v>649</v>
      </c>
      <c r="BI27" s="1">
        <v>26</v>
      </c>
      <c r="BJ27" s="1" t="s">
        <v>647</v>
      </c>
      <c r="BL27" s="1">
        <v>26</v>
      </c>
      <c r="BM27" s="1" t="s">
        <v>1113</v>
      </c>
    </row>
    <row r="28" spans="1:65" x14ac:dyDescent="0.25">
      <c r="A28" s="1">
        <v>27</v>
      </c>
      <c r="B28" s="1">
        <v>8</v>
      </c>
      <c r="D28" s="1">
        <v>2</v>
      </c>
      <c r="E28" s="1" t="s">
        <v>467</v>
      </c>
      <c r="G28" s="1">
        <v>9</v>
      </c>
      <c r="H28" s="1" t="s">
        <v>1601</v>
      </c>
      <c r="J28" s="1">
        <v>27</v>
      </c>
      <c r="K28" s="1" t="s">
        <v>78</v>
      </c>
      <c r="P28" s="1">
        <v>27</v>
      </c>
      <c r="Q28" s="1" t="s">
        <v>158</v>
      </c>
      <c r="S28" s="1">
        <v>27</v>
      </c>
      <c r="T28" s="6" t="s">
        <v>187</v>
      </c>
      <c r="V28" s="1">
        <v>8</v>
      </c>
      <c r="W28" s="1" t="s">
        <v>263</v>
      </c>
      <c r="AB28" s="1">
        <v>27</v>
      </c>
      <c r="AC28" s="1" t="s">
        <v>290</v>
      </c>
      <c r="AE28" s="1">
        <v>27</v>
      </c>
      <c r="AF28" s="1" t="s">
        <v>298</v>
      </c>
      <c r="AH28" s="1">
        <v>8</v>
      </c>
      <c r="AI28" s="1" t="s">
        <v>517</v>
      </c>
      <c r="AN28" s="1">
        <v>2</v>
      </c>
      <c r="AO28" s="1" t="s">
        <v>556</v>
      </c>
      <c r="AT28" s="1">
        <v>27</v>
      </c>
      <c r="AU28" s="1" t="s">
        <v>146</v>
      </c>
      <c r="AW28" s="1">
        <v>27</v>
      </c>
      <c r="AX28" s="1" t="s">
        <v>296</v>
      </c>
      <c r="BF28" s="1">
        <v>27</v>
      </c>
      <c r="BG28" s="1" t="s">
        <v>650</v>
      </c>
      <c r="BI28" s="1">
        <v>27</v>
      </c>
      <c r="BJ28" s="1" t="s">
        <v>648</v>
      </c>
      <c r="BL28" s="1">
        <v>27</v>
      </c>
      <c r="BM28" s="1" t="s">
        <v>1113</v>
      </c>
    </row>
    <row r="29" spans="1:65" x14ac:dyDescent="0.25">
      <c r="A29" s="1">
        <v>28</v>
      </c>
      <c r="B29" s="1">
        <v>9</v>
      </c>
      <c r="D29" s="1">
        <v>3</v>
      </c>
      <c r="E29" s="1" t="s">
        <v>471</v>
      </c>
      <c r="G29" s="1">
        <v>10</v>
      </c>
      <c r="H29" s="1" t="s">
        <v>1602</v>
      </c>
      <c r="J29" s="1">
        <v>28</v>
      </c>
      <c r="K29" s="1" t="s">
        <v>79</v>
      </c>
      <c r="P29" s="1">
        <v>28</v>
      </c>
      <c r="Q29" s="1" t="s">
        <v>159</v>
      </c>
      <c r="S29" s="1">
        <v>28</v>
      </c>
      <c r="T29" s="3" t="s">
        <v>188</v>
      </c>
      <c r="V29" s="1">
        <v>9</v>
      </c>
      <c r="W29" s="1" t="s">
        <v>264</v>
      </c>
      <c r="AB29" s="1">
        <v>28</v>
      </c>
      <c r="AC29" s="1" t="s">
        <v>306</v>
      </c>
      <c r="AE29" s="1">
        <v>28</v>
      </c>
      <c r="AF29" s="1" t="s">
        <v>328</v>
      </c>
      <c r="AH29" s="1">
        <v>9</v>
      </c>
      <c r="AI29" s="1" t="s">
        <v>518</v>
      </c>
      <c r="AN29" s="1">
        <v>3</v>
      </c>
      <c r="AO29" s="1" t="s">
        <v>557</v>
      </c>
      <c r="AT29" s="1">
        <v>28</v>
      </c>
      <c r="AU29" s="1" t="s">
        <v>147</v>
      </c>
      <c r="AW29" s="1">
        <v>28</v>
      </c>
      <c r="AX29" s="1" t="s">
        <v>393</v>
      </c>
      <c r="BF29" s="1">
        <v>28</v>
      </c>
      <c r="BG29" s="1" t="s">
        <v>632</v>
      </c>
      <c r="BI29" s="1">
        <v>28</v>
      </c>
      <c r="BJ29" s="1" t="s">
        <v>649</v>
      </c>
      <c r="BL29" s="1">
        <v>28</v>
      </c>
      <c r="BM29" s="1" t="s">
        <v>1113</v>
      </c>
    </row>
    <row r="30" spans="1:65" x14ac:dyDescent="0.25">
      <c r="A30" s="1">
        <v>29</v>
      </c>
      <c r="B30" s="1">
        <v>9</v>
      </c>
      <c r="D30" s="1">
        <v>4</v>
      </c>
      <c r="E30" s="1" t="s">
        <v>207</v>
      </c>
      <c r="J30" s="1">
        <v>29</v>
      </c>
      <c r="K30" s="1" t="s">
        <v>80</v>
      </c>
      <c r="P30" s="1">
        <v>29</v>
      </c>
      <c r="Q30" s="1" t="s">
        <v>132</v>
      </c>
      <c r="S30" s="1">
        <v>29</v>
      </c>
      <c r="T30" s="6" t="s">
        <v>189</v>
      </c>
      <c r="V30" s="1">
        <v>10</v>
      </c>
      <c r="W30" s="1" t="s">
        <v>265</v>
      </c>
      <c r="AB30" s="1">
        <v>29</v>
      </c>
      <c r="AC30" s="1" t="s">
        <v>465</v>
      </c>
      <c r="AE30" s="1">
        <v>29</v>
      </c>
      <c r="AF30" s="1" t="s">
        <v>378</v>
      </c>
      <c r="AH30" s="1">
        <v>10</v>
      </c>
      <c r="AI30" s="1" t="s">
        <v>519</v>
      </c>
      <c r="AN30" s="1">
        <v>4</v>
      </c>
      <c r="AO30" s="1" t="s">
        <v>558</v>
      </c>
      <c r="AT30" s="1">
        <v>29</v>
      </c>
      <c r="AU30" s="1" t="s">
        <v>287</v>
      </c>
      <c r="AW30" s="1">
        <v>29</v>
      </c>
      <c r="AX30" s="1" t="s">
        <v>176</v>
      </c>
      <c r="BF30" s="1">
        <v>29</v>
      </c>
      <c r="BG30" s="1" t="s">
        <v>651</v>
      </c>
      <c r="BI30" s="1">
        <v>29</v>
      </c>
      <c r="BJ30" s="1" t="s">
        <v>650</v>
      </c>
      <c r="BL30" s="1">
        <v>29</v>
      </c>
      <c r="BM30" s="1" t="s">
        <v>1113</v>
      </c>
    </row>
    <row r="31" spans="1:65" x14ac:dyDescent="0.25">
      <c r="A31" s="1">
        <v>30</v>
      </c>
      <c r="B31" s="1">
        <v>10</v>
      </c>
      <c r="D31" s="1">
        <v>5</v>
      </c>
      <c r="E31" s="1" t="s">
        <v>208</v>
      </c>
      <c r="G31" s="2" t="s">
        <v>590</v>
      </c>
      <c r="J31" s="1">
        <v>30</v>
      </c>
      <c r="K31" s="1" t="s">
        <v>81</v>
      </c>
      <c r="P31" s="1">
        <v>30</v>
      </c>
      <c r="Q31" s="1" t="s">
        <v>160</v>
      </c>
      <c r="S31" s="1">
        <v>30</v>
      </c>
      <c r="T31" s="3" t="s">
        <v>190</v>
      </c>
      <c r="AB31" s="1">
        <v>30</v>
      </c>
      <c r="AC31" s="1" t="s">
        <v>348</v>
      </c>
      <c r="AE31" s="1">
        <v>30</v>
      </c>
      <c r="AF31" s="1" t="s">
        <v>395</v>
      </c>
      <c r="AH31" s="1">
        <v>11</v>
      </c>
      <c r="AI31" s="1" t="s">
        <v>520</v>
      </c>
      <c r="AN31" s="1">
        <v>5</v>
      </c>
      <c r="AO31" s="1" t="s">
        <v>559</v>
      </c>
      <c r="AT31" s="1">
        <v>30</v>
      </c>
      <c r="AU31" s="1" t="s">
        <v>126</v>
      </c>
      <c r="AW31" s="1">
        <v>30</v>
      </c>
      <c r="AX31" s="1" t="s">
        <v>357</v>
      </c>
      <c r="BF31" s="1">
        <v>30</v>
      </c>
      <c r="BG31" s="1" t="s">
        <v>652</v>
      </c>
      <c r="BI31" s="1">
        <v>30</v>
      </c>
      <c r="BJ31" s="1" t="s">
        <v>668</v>
      </c>
      <c r="BL31" s="1">
        <v>30</v>
      </c>
      <c r="BM31" s="1" t="s">
        <v>1113</v>
      </c>
    </row>
    <row r="32" spans="1:65" x14ac:dyDescent="0.25">
      <c r="D32" s="1">
        <v>6</v>
      </c>
      <c r="E32" s="1" t="s">
        <v>472</v>
      </c>
      <c r="G32" s="1">
        <v>1</v>
      </c>
      <c r="H32" s="1" t="s">
        <v>591</v>
      </c>
      <c r="P32" s="1">
        <v>31</v>
      </c>
      <c r="Q32" s="1" t="s">
        <v>133</v>
      </c>
      <c r="S32" s="1">
        <v>31</v>
      </c>
      <c r="T32" s="6" t="s">
        <v>191</v>
      </c>
      <c r="AB32" s="1">
        <v>31</v>
      </c>
      <c r="AC32" s="1" t="s">
        <v>368</v>
      </c>
      <c r="AE32" s="1">
        <v>31</v>
      </c>
      <c r="AF32" s="1" t="s">
        <v>299</v>
      </c>
      <c r="AH32" s="1">
        <v>12</v>
      </c>
      <c r="AI32" s="1" t="s">
        <v>521</v>
      </c>
      <c r="AN32" s="1">
        <v>6</v>
      </c>
      <c r="AO32" s="1" t="s">
        <v>560</v>
      </c>
      <c r="AT32" s="1">
        <v>31</v>
      </c>
      <c r="AU32" s="1" t="s">
        <v>367</v>
      </c>
      <c r="AW32" s="1">
        <v>31</v>
      </c>
      <c r="AX32" s="1" t="s">
        <v>280</v>
      </c>
      <c r="BF32" s="1">
        <v>31</v>
      </c>
      <c r="BG32" s="1" t="s">
        <v>633</v>
      </c>
      <c r="BI32" s="1">
        <v>31</v>
      </c>
      <c r="BJ32" s="1" t="s">
        <v>651</v>
      </c>
      <c r="BL32" s="1">
        <v>31</v>
      </c>
      <c r="BM32" s="1" t="s">
        <v>1113</v>
      </c>
    </row>
    <row r="33" spans="1:65" x14ac:dyDescent="0.25">
      <c r="A33" s="2" t="s">
        <v>34</v>
      </c>
      <c r="D33" s="1">
        <v>7</v>
      </c>
      <c r="E33" s="1" t="s">
        <v>470</v>
      </c>
      <c r="G33" s="1">
        <v>2</v>
      </c>
      <c r="H33" s="1" t="s">
        <v>592</v>
      </c>
      <c r="J33" s="2" t="s">
        <v>105</v>
      </c>
      <c r="P33" s="1">
        <v>32</v>
      </c>
      <c r="Q33" s="1" t="s">
        <v>161</v>
      </c>
      <c r="S33" s="1">
        <v>32</v>
      </c>
      <c r="T33" s="3" t="s">
        <v>135</v>
      </c>
      <c r="AB33" s="1">
        <v>32</v>
      </c>
      <c r="AC33" s="1" t="s">
        <v>369</v>
      </c>
      <c r="AE33" s="1">
        <v>32</v>
      </c>
      <c r="AF33" s="1" t="s">
        <v>312</v>
      </c>
      <c r="AH33" s="1">
        <v>13</v>
      </c>
      <c r="AI33" s="1" t="s">
        <v>522</v>
      </c>
      <c r="AN33" s="1">
        <v>7</v>
      </c>
      <c r="AO33" s="1" t="s">
        <v>561</v>
      </c>
      <c r="AT33" s="1">
        <v>32</v>
      </c>
      <c r="AU33" s="1" t="s">
        <v>347</v>
      </c>
      <c r="AW33" s="1">
        <v>32</v>
      </c>
      <c r="AX33" s="1" t="s">
        <v>358</v>
      </c>
      <c r="BF33" s="1">
        <v>32</v>
      </c>
      <c r="BG33" s="1" t="s">
        <v>653</v>
      </c>
      <c r="BI33" s="1">
        <v>32</v>
      </c>
      <c r="BJ33" s="1" t="s">
        <v>652</v>
      </c>
      <c r="BL33" s="1">
        <v>32</v>
      </c>
      <c r="BM33" s="1" t="s">
        <v>1113</v>
      </c>
    </row>
    <row r="34" spans="1:65" x14ac:dyDescent="0.25">
      <c r="A34" s="1">
        <v>1</v>
      </c>
      <c r="B34" s="1">
        <v>2</v>
      </c>
      <c r="J34" s="1">
        <v>1</v>
      </c>
      <c r="K34" s="1" t="s">
        <v>106</v>
      </c>
      <c r="P34" s="1">
        <v>33</v>
      </c>
      <c r="Q34" s="1" t="s">
        <v>134</v>
      </c>
      <c r="S34" s="1">
        <v>33</v>
      </c>
      <c r="T34" s="6" t="s">
        <v>192</v>
      </c>
      <c r="AB34" s="1">
        <v>33</v>
      </c>
      <c r="AC34" s="1" t="s">
        <v>349</v>
      </c>
      <c r="AE34" s="1">
        <v>33</v>
      </c>
      <c r="AF34" s="1" t="s">
        <v>312</v>
      </c>
      <c r="AH34" s="1">
        <v>14</v>
      </c>
      <c r="AI34" s="1" t="s">
        <v>523</v>
      </c>
      <c r="AN34" s="1">
        <v>8</v>
      </c>
      <c r="AO34" s="1" t="s">
        <v>562</v>
      </c>
      <c r="AT34" s="1">
        <v>33</v>
      </c>
      <c r="AU34" s="1" t="s">
        <v>319</v>
      </c>
      <c r="AW34" s="1">
        <v>33</v>
      </c>
      <c r="AX34" s="1" t="s">
        <v>177</v>
      </c>
      <c r="BF34" s="1">
        <v>33</v>
      </c>
      <c r="BG34" s="1" t="s">
        <v>654</v>
      </c>
      <c r="BI34" s="1">
        <v>33</v>
      </c>
      <c r="BJ34" s="1" t="s">
        <v>653</v>
      </c>
      <c r="BL34" s="1">
        <v>33</v>
      </c>
      <c r="BM34" s="1" t="s">
        <v>1113</v>
      </c>
    </row>
    <row r="35" spans="1:65" x14ac:dyDescent="0.25">
      <c r="A35" s="1">
        <v>2</v>
      </c>
      <c r="B35" s="1">
        <v>2</v>
      </c>
      <c r="D35" s="2" t="s">
        <v>596</v>
      </c>
      <c r="F35" s="2"/>
      <c r="J35" s="1">
        <v>2</v>
      </c>
      <c r="K35" s="1" t="s">
        <v>107</v>
      </c>
      <c r="P35" s="1">
        <v>34</v>
      </c>
      <c r="Q35" s="1" t="s">
        <v>162</v>
      </c>
      <c r="S35" s="1">
        <v>34</v>
      </c>
      <c r="T35" s="3" t="s">
        <v>193</v>
      </c>
      <c r="AB35" s="1">
        <v>34</v>
      </c>
      <c r="AC35" s="1" t="s">
        <v>334</v>
      </c>
      <c r="AE35" s="1">
        <v>34</v>
      </c>
      <c r="AF35" s="1" t="s">
        <v>396</v>
      </c>
      <c r="AH35" s="1">
        <v>15</v>
      </c>
      <c r="AI35" s="1" t="s">
        <v>524</v>
      </c>
      <c r="AN35" s="1">
        <v>9</v>
      </c>
      <c r="AO35" s="1" t="s">
        <v>563</v>
      </c>
      <c r="AT35" s="1">
        <v>34</v>
      </c>
      <c r="AU35" s="1" t="s">
        <v>148</v>
      </c>
      <c r="AW35" s="1">
        <v>34</v>
      </c>
      <c r="AX35" s="1" t="s">
        <v>359</v>
      </c>
      <c r="BI35" s="1">
        <v>34</v>
      </c>
      <c r="BJ35" s="1" t="s">
        <v>654</v>
      </c>
      <c r="BL35" s="1">
        <v>34</v>
      </c>
      <c r="BM35" s="1" t="s">
        <v>1113</v>
      </c>
    </row>
    <row r="36" spans="1:65" x14ac:dyDescent="0.25">
      <c r="A36" s="1">
        <v>3</v>
      </c>
      <c r="B36" s="1">
        <v>2</v>
      </c>
      <c r="D36" s="13">
        <f t="shared" ref="D36:D53" ca="1" si="0">_xlfn.RANK.EQ(E36,$E$36:$E$53)</f>
        <v>16</v>
      </c>
      <c r="E36" s="12">
        <f t="shared" ref="E36:E53" ca="1" si="1">RAND()</f>
        <v>9.9651506948721269E-2</v>
      </c>
      <c r="F36" s="1" t="s">
        <v>12</v>
      </c>
      <c r="J36" s="1">
        <v>3</v>
      </c>
      <c r="K36" s="1" t="s">
        <v>108</v>
      </c>
      <c r="P36" s="1">
        <v>35</v>
      </c>
      <c r="Q36" s="1" t="s">
        <v>163</v>
      </c>
      <c r="S36" s="1">
        <v>35</v>
      </c>
      <c r="T36" s="6" t="s">
        <v>194</v>
      </c>
      <c r="AB36" s="1">
        <v>35</v>
      </c>
      <c r="AC36" s="1" t="s">
        <v>274</v>
      </c>
      <c r="AE36" s="1">
        <v>35</v>
      </c>
      <c r="AF36" s="1" t="s">
        <v>282</v>
      </c>
      <c r="AH36" s="1">
        <v>16</v>
      </c>
      <c r="AI36" s="1" t="s">
        <v>525</v>
      </c>
      <c r="AN36" s="1">
        <v>10</v>
      </c>
      <c r="AO36" s="1" t="s">
        <v>564</v>
      </c>
      <c r="AT36" s="1">
        <v>35</v>
      </c>
      <c r="AU36" s="1" t="s">
        <v>320</v>
      </c>
      <c r="AW36" s="1">
        <v>35</v>
      </c>
      <c r="AX36" s="1" t="s">
        <v>360</v>
      </c>
      <c r="BL36" s="1">
        <v>35</v>
      </c>
      <c r="BM36" s="1" t="s">
        <v>1113</v>
      </c>
    </row>
    <row r="37" spans="1:65" x14ac:dyDescent="0.25">
      <c r="A37" s="1">
        <v>4</v>
      </c>
      <c r="B37" s="1">
        <v>2</v>
      </c>
      <c r="D37" s="13">
        <f t="shared" ca="1" si="0"/>
        <v>13</v>
      </c>
      <c r="E37" s="12">
        <f t="shared" ca="1" si="1"/>
        <v>0.52065747149435815</v>
      </c>
      <c r="F37" s="1" t="s">
        <v>29</v>
      </c>
      <c r="J37" s="1">
        <v>4</v>
      </c>
      <c r="K37" s="1" t="s">
        <v>109</v>
      </c>
      <c r="P37" s="1">
        <v>36</v>
      </c>
      <c r="Q37" s="1" t="s">
        <v>164</v>
      </c>
      <c r="S37" s="1">
        <v>36</v>
      </c>
      <c r="T37" s="4" t="s">
        <v>135</v>
      </c>
      <c r="AB37" s="1">
        <v>36</v>
      </c>
      <c r="AC37" s="1" t="s">
        <v>307</v>
      </c>
      <c r="AE37" s="1">
        <v>36</v>
      </c>
      <c r="AF37" s="1" t="s">
        <v>282</v>
      </c>
      <c r="AH37" s="1">
        <v>17</v>
      </c>
      <c r="AI37" s="1" t="s">
        <v>526</v>
      </c>
      <c r="AN37" s="1">
        <v>11</v>
      </c>
      <c r="AO37" s="1" t="s">
        <v>565</v>
      </c>
      <c r="AT37" s="1">
        <v>36</v>
      </c>
      <c r="AU37" s="1" t="s">
        <v>304</v>
      </c>
      <c r="AW37" s="1">
        <v>36</v>
      </c>
      <c r="AX37" s="1" t="s">
        <v>394</v>
      </c>
      <c r="BL37" s="1">
        <v>36</v>
      </c>
      <c r="BM37" s="1" t="s">
        <v>1114</v>
      </c>
    </row>
    <row r="38" spans="1:65" x14ac:dyDescent="0.25">
      <c r="A38" s="1">
        <v>5</v>
      </c>
      <c r="B38" s="1">
        <v>3</v>
      </c>
      <c r="D38" s="13">
        <f t="shared" ca="1" si="0"/>
        <v>5</v>
      </c>
      <c r="E38" s="12">
        <f t="shared" ca="1" si="1"/>
        <v>0.8542373013362683</v>
      </c>
      <c r="F38" s="1" t="s">
        <v>13</v>
      </c>
      <c r="J38" s="1">
        <v>5</v>
      </c>
      <c r="K38" s="1" t="s">
        <v>110</v>
      </c>
      <c r="P38" s="1">
        <v>37</v>
      </c>
      <c r="Q38" s="1" t="s">
        <v>136</v>
      </c>
      <c r="AB38" s="1">
        <v>37</v>
      </c>
      <c r="AC38" s="1" t="s">
        <v>370</v>
      </c>
      <c r="AE38" s="1">
        <v>37</v>
      </c>
      <c r="AF38" s="1" t="s">
        <v>300</v>
      </c>
      <c r="AH38" s="1">
        <v>18</v>
      </c>
      <c r="AI38" s="1" t="s">
        <v>527</v>
      </c>
      <c r="AN38" s="1">
        <v>12</v>
      </c>
      <c r="AO38" s="1" t="s">
        <v>566</v>
      </c>
      <c r="AT38" s="1">
        <v>37</v>
      </c>
      <c r="AU38" s="1" t="s">
        <v>288</v>
      </c>
      <c r="AW38" s="1">
        <v>37</v>
      </c>
      <c r="AX38" s="1" t="s">
        <v>281</v>
      </c>
      <c r="BL38" s="1">
        <v>37</v>
      </c>
      <c r="BM38" s="1" t="s">
        <v>1114</v>
      </c>
    </row>
    <row r="39" spans="1:65" x14ac:dyDescent="0.25">
      <c r="A39" s="1">
        <v>6</v>
      </c>
      <c r="B39" s="1">
        <v>3</v>
      </c>
      <c r="D39" s="13">
        <f t="shared" ca="1" si="0"/>
        <v>17</v>
      </c>
      <c r="E39" s="12">
        <f t="shared" ca="1" si="1"/>
        <v>5.8635762809242875E-2</v>
      </c>
      <c r="F39" s="1" t="s">
        <v>14</v>
      </c>
      <c r="J39" s="1">
        <v>6</v>
      </c>
      <c r="K39" s="1" t="s">
        <v>111</v>
      </c>
      <c r="P39" s="1">
        <v>38</v>
      </c>
      <c r="Q39" s="1" t="s">
        <v>165</v>
      </c>
      <c r="AB39" s="1">
        <v>38</v>
      </c>
      <c r="AC39" s="1" t="s">
        <v>371</v>
      </c>
      <c r="AE39" s="1">
        <v>38</v>
      </c>
      <c r="AF39" s="1" t="s">
        <v>342</v>
      </c>
      <c r="AN39" s="1">
        <v>13</v>
      </c>
      <c r="AO39" s="1" t="s">
        <v>567</v>
      </c>
      <c r="AT39" s="1">
        <v>38</v>
      </c>
      <c r="AU39" s="1" t="s">
        <v>305</v>
      </c>
      <c r="AW39" s="1">
        <v>38</v>
      </c>
      <c r="AX39" s="1" t="s">
        <v>178</v>
      </c>
      <c r="BL39" s="1">
        <v>38</v>
      </c>
      <c r="BM39" s="1" t="s">
        <v>1114</v>
      </c>
    </row>
    <row r="40" spans="1:65" x14ac:dyDescent="0.25">
      <c r="A40" s="1">
        <v>7</v>
      </c>
      <c r="B40" s="1">
        <v>3</v>
      </c>
      <c r="D40" s="13">
        <f t="shared" ca="1" si="0"/>
        <v>8</v>
      </c>
      <c r="E40" s="12">
        <f t="shared" ca="1" si="1"/>
        <v>0.76476036329495034</v>
      </c>
      <c r="F40" s="1" t="s">
        <v>15</v>
      </c>
      <c r="J40" s="1">
        <v>7</v>
      </c>
      <c r="K40" s="1" t="s">
        <v>112</v>
      </c>
      <c r="AB40" s="1">
        <v>39</v>
      </c>
      <c r="AC40" s="1" t="s">
        <v>350</v>
      </c>
      <c r="AE40" s="1">
        <v>39</v>
      </c>
      <c r="AF40" s="1" t="s">
        <v>313</v>
      </c>
      <c r="AT40" s="1">
        <v>39</v>
      </c>
      <c r="AU40" s="1" t="s">
        <v>289</v>
      </c>
      <c r="AW40" s="1">
        <v>39</v>
      </c>
      <c r="AX40" s="1" t="s">
        <v>297</v>
      </c>
      <c r="BL40" s="1">
        <v>39</v>
      </c>
      <c r="BM40" s="1" t="s">
        <v>1114</v>
      </c>
    </row>
    <row r="41" spans="1:65" x14ac:dyDescent="0.25">
      <c r="A41" s="1">
        <v>8</v>
      </c>
      <c r="B41" s="1">
        <v>3</v>
      </c>
      <c r="D41" s="13">
        <f t="shared" ca="1" si="0"/>
        <v>2</v>
      </c>
      <c r="E41" s="12">
        <f t="shared" ca="1" si="1"/>
        <v>0.95185067504643317</v>
      </c>
      <c r="F41" s="1" t="s">
        <v>16</v>
      </c>
      <c r="J41" s="1">
        <v>8</v>
      </c>
      <c r="K41" s="1" t="s">
        <v>113</v>
      </c>
      <c r="P41" s="2" t="s">
        <v>195</v>
      </c>
      <c r="AB41" s="1">
        <v>40</v>
      </c>
      <c r="AC41" s="1" t="s">
        <v>291</v>
      </c>
      <c r="AE41" s="1">
        <v>40</v>
      </c>
      <c r="AF41" s="1" t="s">
        <v>361</v>
      </c>
      <c r="AT41" s="1">
        <v>40</v>
      </c>
      <c r="AU41" s="1" t="s">
        <v>149</v>
      </c>
      <c r="AW41" s="1">
        <v>40</v>
      </c>
      <c r="AX41" s="1" t="s">
        <v>368</v>
      </c>
      <c r="BL41" s="1">
        <v>40</v>
      </c>
      <c r="BM41" s="1" t="s">
        <v>1114</v>
      </c>
    </row>
    <row r="42" spans="1:65" x14ac:dyDescent="0.25">
      <c r="A42" s="1">
        <v>9</v>
      </c>
      <c r="B42" s="1">
        <v>4</v>
      </c>
      <c r="D42" s="13">
        <f t="shared" ca="1" si="0"/>
        <v>15</v>
      </c>
      <c r="E42" s="12">
        <f t="shared" ca="1" si="1"/>
        <v>0.15650512727487853</v>
      </c>
      <c r="F42" s="1" t="s">
        <v>17</v>
      </c>
      <c r="J42" s="1">
        <v>9</v>
      </c>
      <c r="K42" s="1" t="s">
        <v>114</v>
      </c>
      <c r="P42" s="1">
        <v>1</v>
      </c>
      <c r="Q42" s="1" t="s">
        <v>196</v>
      </c>
      <c r="AB42" s="1">
        <v>41</v>
      </c>
      <c r="AC42" s="1" t="s">
        <v>321</v>
      </c>
      <c r="AE42" s="1">
        <v>41</v>
      </c>
      <c r="AF42" s="1" t="s">
        <v>340</v>
      </c>
      <c r="AT42" s="1">
        <v>41</v>
      </c>
      <c r="AU42" s="1" t="s">
        <v>273</v>
      </c>
      <c r="AW42" s="1">
        <v>41</v>
      </c>
      <c r="AX42" s="1" t="s">
        <v>464</v>
      </c>
      <c r="BL42" s="1">
        <v>41</v>
      </c>
      <c r="BM42" s="1" t="s">
        <v>1114</v>
      </c>
    </row>
    <row r="43" spans="1:65" x14ac:dyDescent="0.25">
      <c r="A43" s="1">
        <v>10</v>
      </c>
      <c r="B43" s="1">
        <v>4</v>
      </c>
      <c r="D43" s="13">
        <f t="shared" ca="1" si="0"/>
        <v>14</v>
      </c>
      <c r="E43" s="12">
        <f t="shared" ca="1" si="1"/>
        <v>0.49474520105781838</v>
      </c>
      <c r="F43" s="1" t="s">
        <v>18</v>
      </c>
      <c r="J43" s="1">
        <v>10</v>
      </c>
      <c r="K43" s="1" t="s">
        <v>115</v>
      </c>
      <c r="P43" s="1">
        <v>2</v>
      </c>
      <c r="Q43" s="1" t="s">
        <v>197</v>
      </c>
      <c r="AB43" s="1">
        <v>42</v>
      </c>
      <c r="AC43" s="1" t="s">
        <v>385</v>
      </c>
      <c r="AE43" s="1">
        <v>42</v>
      </c>
      <c r="AF43" s="1" t="s">
        <v>341</v>
      </c>
      <c r="AT43" s="1">
        <v>42</v>
      </c>
      <c r="AU43" s="1" t="s">
        <v>150</v>
      </c>
      <c r="AW43" s="1">
        <v>42</v>
      </c>
      <c r="AX43" s="1" t="s">
        <v>311</v>
      </c>
      <c r="BL43" s="1">
        <v>42</v>
      </c>
      <c r="BM43" s="1" t="s">
        <v>1114</v>
      </c>
    </row>
    <row r="44" spans="1:65" x14ac:dyDescent="0.25">
      <c r="A44" s="1">
        <v>11</v>
      </c>
      <c r="B44" s="1">
        <v>4</v>
      </c>
      <c r="D44" s="13">
        <f t="shared" ca="1" si="0"/>
        <v>3</v>
      </c>
      <c r="E44" s="12">
        <f t="shared" ca="1" si="1"/>
        <v>0.91237011273506197</v>
      </c>
      <c r="F44" s="1" t="s">
        <v>19</v>
      </c>
      <c r="J44" s="1">
        <v>11</v>
      </c>
      <c r="K44" s="1" t="s">
        <v>116</v>
      </c>
      <c r="P44" s="1">
        <v>3</v>
      </c>
      <c r="Q44" s="1" t="s">
        <v>198</v>
      </c>
      <c r="AB44" s="1">
        <v>43</v>
      </c>
      <c r="AC44" s="1" t="s">
        <v>275</v>
      </c>
      <c r="AE44" s="1">
        <v>43</v>
      </c>
      <c r="AF44" s="1" t="s">
        <v>329</v>
      </c>
      <c r="AT44" s="1">
        <v>43</v>
      </c>
      <c r="AU44" s="1" t="s">
        <v>290</v>
      </c>
      <c r="AW44" s="1">
        <v>43</v>
      </c>
      <c r="AX44" s="1" t="s">
        <v>298</v>
      </c>
      <c r="BL44" s="1">
        <v>43</v>
      </c>
      <c r="BM44" s="1" t="s">
        <v>1114</v>
      </c>
    </row>
    <row r="45" spans="1:65" x14ac:dyDescent="0.25">
      <c r="A45" s="1">
        <v>12</v>
      </c>
      <c r="B45" s="1">
        <v>4</v>
      </c>
      <c r="D45" s="13">
        <f t="shared" ca="1" si="0"/>
        <v>6</v>
      </c>
      <c r="E45" s="12">
        <f t="shared" ca="1" si="1"/>
        <v>0.83461014563107661</v>
      </c>
      <c r="F45" s="1" t="s">
        <v>20</v>
      </c>
      <c r="J45" s="1">
        <v>12</v>
      </c>
      <c r="K45" s="1" t="s">
        <v>117</v>
      </c>
      <c r="P45" s="1">
        <v>4</v>
      </c>
      <c r="Q45" s="1" t="s">
        <v>199</v>
      </c>
      <c r="AB45" s="1">
        <v>44</v>
      </c>
      <c r="AC45" s="1" t="s">
        <v>372</v>
      </c>
      <c r="AE45" s="1">
        <v>44</v>
      </c>
      <c r="AF45" s="1" t="s">
        <v>314</v>
      </c>
      <c r="AT45" s="1">
        <v>44</v>
      </c>
      <c r="AU45" s="1" t="s">
        <v>151</v>
      </c>
      <c r="AW45" s="1">
        <v>44</v>
      </c>
      <c r="AX45" s="1" t="s">
        <v>328</v>
      </c>
      <c r="BL45" s="1">
        <v>44</v>
      </c>
      <c r="BM45" s="1" t="s">
        <v>1114</v>
      </c>
    </row>
    <row r="46" spans="1:65" x14ac:dyDescent="0.25">
      <c r="A46" s="1">
        <v>13</v>
      </c>
      <c r="B46" s="1">
        <v>5</v>
      </c>
      <c r="D46" s="13">
        <f t="shared" ca="1" si="0"/>
        <v>10</v>
      </c>
      <c r="E46" s="12">
        <f t="shared" ca="1" si="1"/>
        <v>0.68089636167430467</v>
      </c>
      <c r="F46" s="1" t="s">
        <v>21</v>
      </c>
      <c r="J46" s="1">
        <v>13</v>
      </c>
      <c r="K46" s="1" t="s">
        <v>118</v>
      </c>
      <c r="P46" s="1">
        <v>5</v>
      </c>
      <c r="Q46" s="1" t="s">
        <v>200</v>
      </c>
      <c r="AB46" s="1">
        <v>45</v>
      </c>
      <c r="AC46" s="1" t="s">
        <v>292</v>
      </c>
      <c r="AE46" s="1">
        <v>45</v>
      </c>
      <c r="AF46" s="1" t="s">
        <v>379</v>
      </c>
      <c r="AT46" s="1">
        <v>45</v>
      </c>
      <c r="AU46" s="1" t="s">
        <v>306</v>
      </c>
      <c r="AW46" s="1">
        <v>45</v>
      </c>
      <c r="AX46" s="1" t="s">
        <v>179</v>
      </c>
      <c r="BL46" s="1">
        <v>45</v>
      </c>
      <c r="BM46" s="1" t="s">
        <v>1114</v>
      </c>
    </row>
    <row r="47" spans="1:65" x14ac:dyDescent="0.25">
      <c r="A47" s="1">
        <v>14</v>
      </c>
      <c r="B47" s="1">
        <v>5</v>
      </c>
      <c r="D47" s="13">
        <f t="shared" ca="1" si="0"/>
        <v>7</v>
      </c>
      <c r="E47" s="12">
        <f t="shared" ca="1" si="1"/>
        <v>0.82742183088742649</v>
      </c>
      <c r="F47" s="1" t="s">
        <v>22</v>
      </c>
      <c r="J47" s="1">
        <v>14</v>
      </c>
      <c r="K47" s="1" t="s">
        <v>119</v>
      </c>
      <c r="P47" s="1">
        <v>6</v>
      </c>
      <c r="Q47" s="1" t="s">
        <v>201</v>
      </c>
      <c r="AB47" s="1">
        <v>46</v>
      </c>
      <c r="AC47" s="1" t="s">
        <v>354</v>
      </c>
      <c r="AE47" s="1">
        <v>46</v>
      </c>
      <c r="AF47" s="1" t="s">
        <v>397</v>
      </c>
      <c r="AT47" s="1">
        <v>46</v>
      </c>
      <c r="AU47" s="1" t="s">
        <v>152</v>
      </c>
      <c r="AW47" s="1">
        <v>46</v>
      </c>
      <c r="AX47" s="1" t="s">
        <v>128</v>
      </c>
      <c r="BL47" s="1">
        <v>46</v>
      </c>
      <c r="BM47" s="1" t="s">
        <v>1114</v>
      </c>
    </row>
    <row r="48" spans="1:65" x14ac:dyDescent="0.25">
      <c r="A48" s="1">
        <v>15</v>
      </c>
      <c r="B48" s="1">
        <v>5</v>
      </c>
      <c r="D48" s="13">
        <f t="shared" ca="1" si="0"/>
        <v>11</v>
      </c>
      <c r="E48" s="12">
        <f t="shared" ca="1" si="1"/>
        <v>0.6309192124978853</v>
      </c>
      <c r="F48" s="1" t="s">
        <v>23</v>
      </c>
      <c r="J48" s="1">
        <v>15</v>
      </c>
      <c r="K48" s="1" t="s">
        <v>120</v>
      </c>
      <c r="P48" s="1">
        <v>7</v>
      </c>
      <c r="Q48" s="1" t="s">
        <v>202</v>
      </c>
      <c r="AB48" s="1">
        <v>47</v>
      </c>
      <c r="AC48" s="1" t="s">
        <v>373</v>
      </c>
      <c r="AE48" s="1">
        <v>47</v>
      </c>
      <c r="AF48" s="1" t="s">
        <v>301</v>
      </c>
      <c r="AT48" s="1">
        <v>47</v>
      </c>
      <c r="AU48" s="1" t="s">
        <v>127</v>
      </c>
      <c r="AW48" s="1">
        <v>47</v>
      </c>
      <c r="AX48" s="1" t="s">
        <v>378</v>
      </c>
      <c r="BL48" s="1">
        <v>47</v>
      </c>
      <c r="BM48" s="1" t="s">
        <v>1114</v>
      </c>
    </row>
    <row r="49" spans="1:65" x14ac:dyDescent="0.25">
      <c r="A49" s="1">
        <v>16</v>
      </c>
      <c r="B49" s="1">
        <v>5</v>
      </c>
      <c r="D49" s="13">
        <f t="shared" ca="1" si="0"/>
        <v>18</v>
      </c>
      <c r="E49" s="12">
        <f t="shared" ca="1" si="1"/>
        <v>2.5119122588569076E-2</v>
      </c>
      <c r="F49" s="1" t="s">
        <v>24</v>
      </c>
      <c r="P49" s="1">
        <v>8</v>
      </c>
      <c r="Q49" s="1" t="s">
        <v>203</v>
      </c>
      <c r="AB49" s="1">
        <v>48</v>
      </c>
      <c r="AC49" s="1" t="s">
        <v>308</v>
      </c>
      <c r="AE49" s="1">
        <v>48</v>
      </c>
      <c r="AF49" s="1" t="s">
        <v>343</v>
      </c>
      <c r="AT49" s="1">
        <v>48</v>
      </c>
      <c r="AU49" s="1" t="s">
        <v>153</v>
      </c>
      <c r="AW49" s="1">
        <v>48</v>
      </c>
      <c r="AX49" s="1" t="s">
        <v>180</v>
      </c>
      <c r="BL49" s="1">
        <v>48</v>
      </c>
      <c r="BM49" s="1" t="s">
        <v>1114</v>
      </c>
    </row>
    <row r="50" spans="1:65" x14ac:dyDescent="0.25">
      <c r="A50" s="1">
        <v>17</v>
      </c>
      <c r="B50" s="1">
        <v>6</v>
      </c>
      <c r="D50" s="13">
        <f t="shared" ca="1" si="0"/>
        <v>4</v>
      </c>
      <c r="E50" s="12">
        <f t="shared" ca="1" si="1"/>
        <v>0.86167845314254088</v>
      </c>
      <c r="F50" s="1" t="s">
        <v>25</v>
      </c>
      <c r="P50" s="1">
        <v>9</v>
      </c>
      <c r="Q50" s="1" t="s">
        <v>204</v>
      </c>
      <c r="AB50" s="1">
        <v>49</v>
      </c>
      <c r="AC50" s="1" t="s">
        <v>386</v>
      </c>
      <c r="AE50" s="1">
        <v>49</v>
      </c>
      <c r="AF50" s="1" t="s">
        <v>283</v>
      </c>
      <c r="AT50" s="1">
        <v>49</v>
      </c>
      <c r="AU50" s="1" t="s">
        <v>465</v>
      </c>
      <c r="AW50" s="1">
        <v>49</v>
      </c>
      <c r="AX50" s="1" t="s">
        <v>181</v>
      </c>
      <c r="BL50" s="1">
        <v>49</v>
      </c>
      <c r="BM50" s="1" t="s">
        <v>1114</v>
      </c>
    </row>
    <row r="51" spans="1:65" x14ac:dyDescent="0.25">
      <c r="A51" s="1">
        <v>18</v>
      </c>
      <c r="B51" s="1">
        <v>6</v>
      </c>
      <c r="D51" s="13">
        <f t="shared" ca="1" si="0"/>
        <v>9</v>
      </c>
      <c r="E51" s="12">
        <f t="shared" ca="1" si="1"/>
        <v>0.74845470430533012</v>
      </c>
      <c r="F51" s="1" t="s">
        <v>26</v>
      </c>
      <c r="P51" s="1">
        <v>10</v>
      </c>
      <c r="Q51" s="1" t="s">
        <v>205</v>
      </c>
      <c r="AB51" s="1">
        <v>50</v>
      </c>
      <c r="AC51" s="1" t="s">
        <v>351</v>
      </c>
      <c r="AE51" s="1">
        <v>50</v>
      </c>
      <c r="AF51" s="1" t="s">
        <v>398</v>
      </c>
      <c r="AT51" s="1">
        <v>50</v>
      </c>
      <c r="AU51" s="1" t="s">
        <v>348</v>
      </c>
      <c r="AW51" s="1">
        <v>50</v>
      </c>
      <c r="AX51" s="1" t="s">
        <v>395</v>
      </c>
      <c r="BL51" s="1">
        <v>50</v>
      </c>
      <c r="BM51" s="1" t="s">
        <v>1114</v>
      </c>
    </row>
    <row r="52" spans="1:65" x14ac:dyDescent="0.25">
      <c r="A52" s="1">
        <v>19</v>
      </c>
      <c r="B52" s="1">
        <v>6</v>
      </c>
      <c r="D52" s="13">
        <f t="shared" ca="1" si="0"/>
        <v>1</v>
      </c>
      <c r="E52" s="12">
        <f t="shared" ca="1" si="1"/>
        <v>0.9940816915695786</v>
      </c>
      <c r="F52" s="1" t="s">
        <v>27</v>
      </c>
      <c r="AB52" s="1">
        <v>51</v>
      </c>
      <c r="AC52" s="1" t="s">
        <v>355</v>
      </c>
      <c r="AE52" s="1">
        <v>51</v>
      </c>
      <c r="AF52" s="1" t="s">
        <v>302</v>
      </c>
      <c r="AT52" s="1">
        <v>51</v>
      </c>
      <c r="AU52" s="1" t="s">
        <v>368</v>
      </c>
      <c r="AW52" s="1">
        <v>51</v>
      </c>
      <c r="AX52" s="1" t="s">
        <v>299</v>
      </c>
      <c r="BL52" s="1">
        <v>51</v>
      </c>
      <c r="BM52" s="1" t="s">
        <v>1115</v>
      </c>
    </row>
    <row r="53" spans="1:65" x14ac:dyDescent="0.25">
      <c r="A53" s="1">
        <v>20</v>
      </c>
      <c r="B53" s="1">
        <v>6</v>
      </c>
      <c r="D53" s="13">
        <f t="shared" ca="1" si="0"/>
        <v>12</v>
      </c>
      <c r="E53" s="12">
        <f t="shared" ca="1" si="1"/>
        <v>0.60751420824500069</v>
      </c>
      <c r="F53" s="1" t="s">
        <v>28</v>
      </c>
      <c r="AB53" s="1">
        <v>52</v>
      </c>
      <c r="AC53" s="1" t="s">
        <v>293</v>
      </c>
      <c r="AE53" s="1">
        <v>52</v>
      </c>
      <c r="AF53" s="1" t="s">
        <v>362</v>
      </c>
      <c r="AT53" s="1">
        <v>52</v>
      </c>
      <c r="AU53" s="1" t="s">
        <v>369</v>
      </c>
      <c r="AW53" s="1">
        <v>52</v>
      </c>
      <c r="AX53" s="1" t="s">
        <v>312</v>
      </c>
      <c r="BL53" s="1">
        <v>52</v>
      </c>
      <c r="BM53" s="1" t="s">
        <v>1115</v>
      </c>
    </row>
    <row r="54" spans="1:65" x14ac:dyDescent="0.25">
      <c r="AB54" s="1">
        <v>53</v>
      </c>
      <c r="AC54" s="1" t="s">
        <v>387</v>
      </c>
      <c r="AE54" s="1">
        <v>53</v>
      </c>
      <c r="AF54" s="1" t="s">
        <v>374</v>
      </c>
      <c r="AT54" s="1">
        <v>53</v>
      </c>
      <c r="AU54" s="1" t="s">
        <v>349</v>
      </c>
      <c r="AW54" s="1">
        <v>53</v>
      </c>
      <c r="AX54" s="1" t="s">
        <v>312</v>
      </c>
      <c r="BL54" s="1">
        <v>53</v>
      </c>
      <c r="BM54" s="1" t="s">
        <v>1115</v>
      </c>
    </row>
    <row r="55" spans="1:65" x14ac:dyDescent="0.25">
      <c r="A55" s="2" t="s">
        <v>1805</v>
      </c>
      <c r="AB55" s="1">
        <v>54</v>
      </c>
      <c r="AC55" s="1" t="s">
        <v>388</v>
      </c>
      <c r="AE55" s="1">
        <v>54</v>
      </c>
      <c r="AF55" s="1" t="s">
        <v>330</v>
      </c>
      <c r="AT55" s="1">
        <v>54</v>
      </c>
      <c r="AU55" s="1" t="s">
        <v>334</v>
      </c>
      <c r="AW55" s="1">
        <v>54</v>
      </c>
      <c r="AX55" s="1" t="s">
        <v>396</v>
      </c>
      <c r="BL55" s="1">
        <v>54</v>
      </c>
      <c r="BM55" s="1" t="s">
        <v>1115</v>
      </c>
    </row>
    <row r="56" spans="1:65" x14ac:dyDescent="0.25">
      <c r="A56" s="1">
        <v>1</v>
      </c>
      <c r="B56" s="1" t="s">
        <v>1807</v>
      </c>
      <c r="AB56" s="1">
        <v>55</v>
      </c>
      <c r="AC56" s="1" t="s">
        <v>389</v>
      </c>
      <c r="AE56" s="1">
        <v>55</v>
      </c>
      <c r="AF56" s="1" t="s">
        <v>382</v>
      </c>
      <c r="AT56" s="1">
        <v>55</v>
      </c>
      <c r="AU56" s="1" t="s">
        <v>274</v>
      </c>
      <c r="AW56" s="1">
        <v>55</v>
      </c>
      <c r="AX56" s="1" t="s">
        <v>282</v>
      </c>
      <c r="BL56" s="1">
        <v>55</v>
      </c>
      <c r="BM56" s="1" t="s">
        <v>1115</v>
      </c>
    </row>
    <row r="57" spans="1:65" x14ac:dyDescent="0.25">
      <c r="A57" s="1">
        <v>2</v>
      </c>
      <c r="B57" s="1" t="s">
        <v>1807</v>
      </c>
      <c r="AB57" s="1">
        <v>56</v>
      </c>
      <c r="AC57" s="1" t="s">
        <v>309</v>
      </c>
      <c r="AE57" s="1">
        <v>56</v>
      </c>
      <c r="AF57" s="1" t="s">
        <v>363</v>
      </c>
      <c r="AT57" s="1">
        <v>56</v>
      </c>
      <c r="AU57" s="1" t="s">
        <v>307</v>
      </c>
      <c r="AW57" s="1">
        <v>56</v>
      </c>
      <c r="AX57" s="1" t="s">
        <v>282</v>
      </c>
      <c r="BL57" s="1">
        <v>56</v>
      </c>
      <c r="BM57" s="1" t="s">
        <v>1115</v>
      </c>
    </row>
    <row r="58" spans="1:65" x14ac:dyDescent="0.25">
      <c r="A58" s="1">
        <v>3</v>
      </c>
      <c r="B58" s="1" t="s">
        <v>1807</v>
      </c>
      <c r="AB58" s="1">
        <v>57</v>
      </c>
      <c r="AC58" s="1" t="s">
        <v>381</v>
      </c>
      <c r="AE58" s="1">
        <v>57</v>
      </c>
      <c r="AF58" s="1" t="s">
        <v>316</v>
      </c>
      <c r="AT58" s="1">
        <v>57</v>
      </c>
      <c r="AU58" s="1" t="s">
        <v>154</v>
      </c>
      <c r="AW58" s="1">
        <v>57</v>
      </c>
      <c r="AX58" s="1" t="s">
        <v>129</v>
      </c>
      <c r="BL58" s="1">
        <v>57</v>
      </c>
      <c r="BM58" s="1" t="s">
        <v>1115</v>
      </c>
    </row>
    <row r="59" spans="1:65" x14ac:dyDescent="0.25">
      <c r="A59" s="1">
        <v>4</v>
      </c>
      <c r="B59" s="1" t="s">
        <v>1807</v>
      </c>
      <c r="AB59" s="1">
        <v>58</v>
      </c>
      <c r="AC59" s="1" t="s">
        <v>352</v>
      </c>
      <c r="AE59" s="1">
        <v>58</v>
      </c>
      <c r="AF59" s="1" t="s">
        <v>303</v>
      </c>
      <c r="AT59" s="1">
        <v>58</v>
      </c>
      <c r="AU59" s="1" t="s">
        <v>370</v>
      </c>
      <c r="AW59" s="1">
        <v>58</v>
      </c>
      <c r="AX59" s="1" t="s">
        <v>182</v>
      </c>
      <c r="BL59" s="1">
        <v>58</v>
      </c>
      <c r="BM59" s="1" t="s">
        <v>1115</v>
      </c>
    </row>
    <row r="60" spans="1:65" x14ac:dyDescent="0.25">
      <c r="A60" s="1">
        <v>5</v>
      </c>
      <c r="B60" s="1" t="s">
        <v>1807</v>
      </c>
      <c r="AB60" s="1">
        <v>59</v>
      </c>
      <c r="AC60" s="1" t="s">
        <v>335</v>
      </c>
      <c r="AE60" s="1">
        <v>59</v>
      </c>
      <c r="AF60" s="1" t="s">
        <v>356</v>
      </c>
      <c r="AT60" s="1">
        <v>59</v>
      </c>
      <c r="AU60" s="1" t="s">
        <v>371</v>
      </c>
      <c r="AW60" s="1">
        <v>59</v>
      </c>
      <c r="AX60" s="1" t="s">
        <v>183</v>
      </c>
      <c r="BL60" s="1">
        <v>59</v>
      </c>
      <c r="BM60" s="1" t="s">
        <v>1115</v>
      </c>
    </row>
    <row r="61" spans="1:65" x14ac:dyDescent="0.25">
      <c r="A61" s="1">
        <v>6</v>
      </c>
      <c r="B61" s="1" t="s">
        <v>1807</v>
      </c>
      <c r="AB61" s="1">
        <v>60</v>
      </c>
      <c r="AC61" s="1" t="s">
        <v>294</v>
      </c>
      <c r="AE61" s="1">
        <v>60</v>
      </c>
      <c r="AF61" s="1" t="s">
        <v>344</v>
      </c>
      <c r="AT61" s="1">
        <v>60</v>
      </c>
      <c r="AU61" s="1" t="s">
        <v>350</v>
      </c>
      <c r="AW61" s="1">
        <v>60</v>
      </c>
      <c r="AX61" s="1" t="s">
        <v>300</v>
      </c>
      <c r="BL61" s="1">
        <v>60</v>
      </c>
      <c r="BM61" s="1" t="s">
        <v>1115</v>
      </c>
    </row>
    <row r="62" spans="1:65" x14ac:dyDescent="0.25">
      <c r="A62" s="1">
        <v>7</v>
      </c>
      <c r="B62" s="1" t="s">
        <v>1808</v>
      </c>
      <c r="AB62" s="1">
        <v>61</v>
      </c>
      <c r="AC62" s="1" t="s">
        <v>322</v>
      </c>
      <c r="AE62" s="1">
        <v>61</v>
      </c>
      <c r="AF62" s="1" t="s">
        <v>399</v>
      </c>
      <c r="AT62" s="1">
        <v>61</v>
      </c>
      <c r="AU62" s="1" t="s">
        <v>291</v>
      </c>
      <c r="AW62" s="1">
        <v>61</v>
      </c>
      <c r="AX62" s="1" t="s">
        <v>342</v>
      </c>
      <c r="BL62" s="1">
        <v>61</v>
      </c>
      <c r="BM62" s="1" t="s">
        <v>1115</v>
      </c>
    </row>
    <row r="63" spans="1:65" x14ac:dyDescent="0.25">
      <c r="A63" s="1">
        <v>8</v>
      </c>
      <c r="B63" s="1" t="s">
        <v>1808</v>
      </c>
      <c r="AB63" s="1">
        <v>62</v>
      </c>
      <c r="AC63" s="1" t="s">
        <v>276</v>
      </c>
      <c r="AE63" s="1">
        <v>62</v>
      </c>
      <c r="AF63" s="1" t="s">
        <v>331</v>
      </c>
      <c r="AT63" s="1">
        <v>62</v>
      </c>
      <c r="AU63" s="1" t="s">
        <v>321</v>
      </c>
      <c r="AW63" s="1">
        <v>62</v>
      </c>
      <c r="AX63" s="1" t="s">
        <v>184</v>
      </c>
      <c r="BL63" s="1">
        <v>62</v>
      </c>
      <c r="BM63" s="1" t="s">
        <v>1115</v>
      </c>
    </row>
    <row r="64" spans="1:65" x14ac:dyDescent="0.25">
      <c r="A64" s="1">
        <v>9</v>
      </c>
      <c r="B64" s="1" t="s">
        <v>1808</v>
      </c>
      <c r="AB64" s="1">
        <v>63</v>
      </c>
      <c r="AC64" s="1" t="s">
        <v>323</v>
      </c>
      <c r="AE64" s="1">
        <v>63</v>
      </c>
      <c r="AF64" s="1" t="s">
        <v>284</v>
      </c>
      <c r="AT64" s="1">
        <v>63</v>
      </c>
      <c r="AU64" s="1" t="s">
        <v>385</v>
      </c>
      <c r="AW64" s="1">
        <v>63</v>
      </c>
      <c r="AX64" s="1" t="s">
        <v>313</v>
      </c>
      <c r="BL64" s="1">
        <v>63</v>
      </c>
      <c r="BM64" s="1" t="s">
        <v>1115</v>
      </c>
    </row>
    <row r="65" spans="1:65" x14ac:dyDescent="0.25">
      <c r="A65" s="1">
        <v>10</v>
      </c>
      <c r="B65" s="1" t="s">
        <v>1808</v>
      </c>
      <c r="AB65" s="1">
        <v>64</v>
      </c>
      <c r="AC65" s="1" t="s">
        <v>336</v>
      </c>
      <c r="AE65" s="1">
        <v>64</v>
      </c>
      <c r="AF65" s="1" t="s">
        <v>364</v>
      </c>
      <c r="AT65" s="1">
        <v>64</v>
      </c>
      <c r="AU65" s="1" t="s">
        <v>275</v>
      </c>
      <c r="AW65" s="1">
        <v>64</v>
      </c>
      <c r="AX65" s="1" t="s">
        <v>361</v>
      </c>
      <c r="BL65" s="1">
        <v>64</v>
      </c>
      <c r="BM65" s="1" t="s">
        <v>1116</v>
      </c>
    </row>
    <row r="66" spans="1:65" x14ac:dyDescent="0.25">
      <c r="A66" s="1">
        <v>11</v>
      </c>
      <c r="B66" s="1" t="s">
        <v>1808</v>
      </c>
      <c r="AB66" s="1">
        <v>65</v>
      </c>
      <c r="AC66" s="1" t="s">
        <v>390</v>
      </c>
      <c r="AE66" s="1">
        <v>65</v>
      </c>
      <c r="AF66" s="1" t="s">
        <v>463</v>
      </c>
      <c r="AT66" s="1">
        <v>65</v>
      </c>
      <c r="AU66" s="1" t="s">
        <v>372</v>
      </c>
      <c r="AW66" s="1">
        <v>65</v>
      </c>
      <c r="AX66" s="1" t="s">
        <v>340</v>
      </c>
      <c r="BL66" s="1">
        <v>65</v>
      </c>
      <c r="BM66" s="1" t="s">
        <v>1116</v>
      </c>
    </row>
    <row r="67" spans="1:65" x14ac:dyDescent="0.25">
      <c r="A67" s="1">
        <v>12</v>
      </c>
      <c r="B67" s="1" t="s">
        <v>1808</v>
      </c>
      <c r="AB67" s="1">
        <v>66</v>
      </c>
      <c r="AC67" s="1" t="s">
        <v>337</v>
      </c>
      <c r="AE67" s="1">
        <v>66</v>
      </c>
      <c r="AF67" s="1" t="s">
        <v>345</v>
      </c>
      <c r="AT67" s="1">
        <v>66</v>
      </c>
      <c r="AU67" s="1" t="s">
        <v>155</v>
      </c>
      <c r="AW67" s="1">
        <v>66</v>
      </c>
      <c r="AX67" s="1" t="s">
        <v>341</v>
      </c>
      <c r="BL67" s="1">
        <v>66</v>
      </c>
      <c r="BM67" s="1" t="s">
        <v>1116</v>
      </c>
    </row>
    <row r="68" spans="1:65" x14ac:dyDescent="0.25">
      <c r="A68" s="1">
        <v>13</v>
      </c>
      <c r="B68" s="1" t="s">
        <v>1808</v>
      </c>
      <c r="AB68" s="1">
        <v>67</v>
      </c>
      <c r="AC68" s="1" t="s">
        <v>324</v>
      </c>
      <c r="AE68" s="1">
        <v>67</v>
      </c>
      <c r="AF68" s="1" t="s">
        <v>315</v>
      </c>
      <c r="AT68" s="1">
        <v>67</v>
      </c>
      <c r="AU68" s="1" t="s">
        <v>292</v>
      </c>
      <c r="AW68" s="1">
        <v>67</v>
      </c>
      <c r="AX68" s="1" t="s">
        <v>329</v>
      </c>
      <c r="BL68" s="1">
        <v>67</v>
      </c>
      <c r="BM68" s="1" t="s">
        <v>1116</v>
      </c>
    </row>
    <row r="69" spans="1:65" x14ac:dyDescent="0.25">
      <c r="A69" s="1">
        <v>14</v>
      </c>
      <c r="B69" s="1" t="s">
        <v>1808</v>
      </c>
      <c r="AB69" s="1">
        <v>68</v>
      </c>
      <c r="AC69" s="1" t="s">
        <v>353</v>
      </c>
      <c r="AT69" s="1">
        <v>68</v>
      </c>
      <c r="AU69" s="1" t="s">
        <v>354</v>
      </c>
      <c r="AW69" s="1">
        <v>68</v>
      </c>
      <c r="AX69" s="1" t="s">
        <v>314</v>
      </c>
      <c r="BL69" s="1">
        <v>68</v>
      </c>
      <c r="BM69" s="1" t="s">
        <v>1116</v>
      </c>
    </row>
    <row r="70" spans="1:65" x14ac:dyDescent="0.25">
      <c r="A70" s="1">
        <v>15</v>
      </c>
      <c r="B70" s="1" t="s">
        <v>1808</v>
      </c>
      <c r="AB70" s="1">
        <v>69</v>
      </c>
      <c r="AC70" s="1" t="s">
        <v>375</v>
      </c>
      <c r="AT70" s="1">
        <v>69</v>
      </c>
      <c r="AU70" s="1" t="s">
        <v>130</v>
      </c>
      <c r="AW70" s="1">
        <v>69</v>
      </c>
      <c r="AX70" s="1" t="s">
        <v>379</v>
      </c>
      <c r="BL70" s="1">
        <v>69</v>
      </c>
      <c r="BM70" s="1" t="s">
        <v>1116</v>
      </c>
    </row>
    <row r="71" spans="1:65" x14ac:dyDescent="0.25">
      <c r="A71" s="1">
        <v>16</v>
      </c>
      <c r="B71" s="1" t="s">
        <v>1808</v>
      </c>
      <c r="AB71" s="1">
        <v>70</v>
      </c>
      <c r="AC71" s="1" t="s">
        <v>277</v>
      </c>
      <c r="AT71" s="1">
        <v>70</v>
      </c>
      <c r="AU71" s="1" t="s">
        <v>131</v>
      </c>
      <c r="AW71" s="1">
        <v>70</v>
      </c>
      <c r="AX71" s="1" t="s">
        <v>397</v>
      </c>
      <c r="BL71" s="1">
        <v>70</v>
      </c>
      <c r="BM71" s="1" t="s">
        <v>1116</v>
      </c>
    </row>
    <row r="72" spans="1:65" x14ac:dyDescent="0.25">
      <c r="A72" s="1">
        <v>17</v>
      </c>
      <c r="B72" s="1" t="s">
        <v>1806</v>
      </c>
      <c r="AT72" s="1">
        <v>71</v>
      </c>
      <c r="AU72" s="1" t="s">
        <v>373</v>
      </c>
      <c r="AW72" s="1">
        <v>71</v>
      </c>
      <c r="AX72" s="1" t="s">
        <v>185</v>
      </c>
      <c r="BL72" s="1">
        <v>71</v>
      </c>
      <c r="BM72" s="1" t="s">
        <v>1116</v>
      </c>
    </row>
    <row r="73" spans="1:65" x14ac:dyDescent="0.25">
      <c r="A73" s="1">
        <v>18</v>
      </c>
      <c r="B73" s="1" t="s">
        <v>1806</v>
      </c>
      <c r="AB73" s="2" t="s">
        <v>466</v>
      </c>
      <c r="AT73" s="1">
        <v>72</v>
      </c>
      <c r="AU73" s="1" t="s">
        <v>156</v>
      </c>
      <c r="AW73" s="1">
        <v>72</v>
      </c>
      <c r="AX73" s="1" t="s">
        <v>186</v>
      </c>
      <c r="BL73" s="1">
        <v>72</v>
      </c>
      <c r="BM73" s="1" t="s">
        <v>1116</v>
      </c>
    </row>
    <row r="74" spans="1:65" x14ac:dyDescent="0.25">
      <c r="A74" s="1">
        <v>19</v>
      </c>
      <c r="B74" s="1" t="s">
        <v>1806</v>
      </c>
      <c r="AB74" s="1">
        <v>1</v>
      </c>
      <c r="AC74" s="1" t="s">
        <v>444</v>
      </c>
      <c r="AT74" s="1">
        <v>73</v>
      </c>
      <c r="AU74" s="1" t="s">
        <v>308</v>
      </c>
      <c r="AW74" s="1">
        <v>73</v>
      </c>
      <c r="AX74" s="1" t="s">
        <v>301</v>
      </c>
      <c r="BL74" s="1">
        <v>73</v>
      </c>
      <c r="BM74" s="1" t="s">
        <v>1116</v>
      </c>
    </row>
    <row r="75" spans="1:65" x14ac:dyDescent="0.25">
      <c r="A75" s="1">
        <v>20</v>
      </c>
      <c r="B75" s="1" t="s">
        <v>1806</v>
      </c>
      <c r="AB75" s="1">
        <v>2</v>
      </c>
      <c r="AC75" s="1" t="s">
        <v>419</v>
      </c>
      <c r="AT75" s="1">
        <v>74</v>
      </c>
      <c r="AU75" s="1" t="s">
        <v>157</v>
      </c>
      <c r="AW75" s="1">
        <v>74</v>
      </c>
      <c r="AX75" s="1" t="s">
        <v>187</v>
      </c>
      <c r="BL75" s="1">
        <v>74</v>
      </c>
      <c r="BM75" s="1" t="s">
        <v>1117</v>
      </c>
    </row>
    <row r="76" spans="1:65" x14ac:dyDescent="0.25">
      <c r="AB76" s="1">
        <v>3</v>
      </c>
      <c r="AC76" s="1" t="s">
        <v>420</v>
      </c>
      <c r="AT76" s="1">
        <v>75</v>
      </c>
      <c r="AU76" s="1" t="s">
        <v>386</v>
      </c>
      <c r="AW76" s="1">
        <v>75</v>
      </c>
      <c r="AX76" s="1" t="s">
        <v>343</v>
      </c>
      <c r="BL76" s="1">
        <v>75</v>
      </c>
      <c r="BM76" s="1" t="s">
        <v>1117</v>
      </c>
    </row>
    <row r="77" spans="1:65" x14ac:dyDescent="0.25">
      <c r="AB77" s="1">
        <v>4</v>
      </c>
      <c r="AC77" s="1" t="s">
        <v>445</v>
      </c>
      <c r="AT77" s="1">
        <v>76</v>
      </c>
      <c r="AU77" s="1" t="s">
        <v>158</v>
      </c>
      <c r="AW77" s="1">
        <v>76</v>
      </c>
      <c r="AX77" s="1" t="s">
        <v>283</v>
      </c>
      <c r="BL77" s="1">
        <v>76</v>
      </c>
      <c r="BM77" s="1" t="s">
        <v>1117</v>
      </c>
    </row>
    <row r="78" spans="1:65" x14ac:dyDescent="0.25">
      <c r="AB78" s="1">
        <v>5</v>
      </c>
      <c r="AC78" s="1" t="s">
        <v>405</v>
      </c>
      <c r="AT78" s="1">
        <v>77</v>
      </c>
      <c r="AU78" s="1" t="s">
        <v>351</v>
      </c>
      <c r="AW78" s="1">
        <v>77</v>
      </c>
      <c r="AX78" s="1" t="s">
        <v>398</v>
      </c>
      <c r="BL78" s="1">
        <v>77</v>
      </c>
      <c r="BM78" s="1" t="s">
        <v>1117</v>
      </c>
    </row>
    <row r="79" spans="1:65" x14ac:dyDescent="0.25">
      <c r="AB79" s="1">
        <v>6</v>
      </c>
      <c r="AC79" s="1" t="s">
        <v>413</v>
      </c>
      <c r="AT79" s="1">
        <v>78</v>
      </c>
      <c r="AU79" s="1" t="s">
        <v>355</v>
      </c>
      <c r="AW79" s="1">
        <v>78</v>
      </c>
      <c r="AX79" s="1" t="s">
        <v>188</v>
      </c>
      <c r="BL79" s="1">
        <v>78</v>
      </c>
      <c r="BM79" s="1" t="s">
        <v>1117</v>
      </c>
    </row>
    <row r="80" spans="1:65" x14ac:dyDescent="0.25">
      <c r="AB80" s="1">
        <v>7</v>
      </c>
      <c r="AC80" s="1" t="s">
        <v>446</v>
      </c>
      <c r="AT80" s="1">
        <v>79</v>
      </c>
      <c r="AU80" s="1" t="s">
        <v>293</v>
      </c>
      <c r="AW80" s="1">
        <v>79</v>
      </c>
      <c r="AX80" s="1" t="s">
        <v>302</v>
      </c>
      <c r="BL80" s="1">
        <v>79</v>
      </c>
      <c r="BM80" s="1" t="s">
        <v>1117</v>
      </c>
    </row>
    <row r="81" spans="28:65" x14ac:dyDescent="0.25">
      <c r="AB81" s="1">
        <v>8</v>
      </c>
      <c r="AC81" s="1" t="s">
        <v>426</v>
      </c>
      <c r="AT81" s="1">
        <v>80</v>
      </c>
      <c r="AU81" s="1" t="s">
        <v>159</v>
      </c>
      <c r="AW81" s="1">
        <v>80</v>
      </c>
      <c r="AX81" s="1" t="s">
        <v>189</v>
      </c>
      <c r="BL81" s="1">
        <v>80</v>
      </c>
      <c r="BM81" s="1" t="s">
        <v>1117</v>
      </c>
    </row>
    <row r="82" spans="28:65" x14ac:dyDescent="0.25">
      <c r="AB82" s="1">
        <v>9</v>
      </c>
      <c r="AC82" s="1" t="s">
        <v>406</v>
      </c>
      <c r="AT82" s="1">
        <v>81</v>
      </c>
      <c r="AU82" s="1" t="s">
        <v>387</v>
      </c>
      <c r="AW82" s="1">
        <v>81</v>
      </c>
      <c r="AX82" s="1" t="s">
        <v>362</v>
      </c>
      <c r="BL82" s="1">
        <v>81</v>
      </c>
      <c r="BM82" s="1" t="s">
        <v>1117</v>
      </c>
    </row>
    <row r="83" spans="28:65" x14ac:dyDescent="0.25">
      <c r="AB83" s="1">
        <v>10</v>
      </c>
      <c r="AC83" s="1" t="s">
        <v>432</v>
      </c>
      <c r="AT83" s="1">
        <v>82</v>
      </c>
      <c r="AU83" s="1" t="s">
        <v>132</v>
      </c>
      <c r="AW83" s="1">
        <v>82</v>
      </c>
      <c r="AX83" s="1" t="s">
        <v>374</v>
      </c>
      <c r="BL83" s="1">
        <v>82</v>
      </c>
      <c r="BM83" s="1" t="s">
        <v>1117</v>
      </c>
    </row>
    <row r="84" spans="28:65" x14ac:dyDescent="0.25">
      <c r="AB84" s="1">
        <v>11</v>
      </c>
      <c r="AC84" s="1" t="s">
        <v>447</v>
      </c>
      <c r="AT84" s="1">
        <v>83</v>
      </c>
      <c r="AU84" s="1" t="s">
        <v>160</v>
      </c>
      <c r="AW84" s="1">
        <v>83</v>
      </c>
      <c r="AX84" s="1" t="s">
        <v>190</v>
      </c>
      <c r="BL84" s="1">
        <v>83</v>
      </c>
      <c r="BM84" s="1" t="s">
        <v>1117</v>
      </c>
    </row>
    <row r="85" spans="28:65" x14ac:dyDescent="0.25">
      <c r="AB85" s="1">
        <v>12</v>
      </c>
      <c r="AC85" s="1" t="s">
        <v>407</v>
      </c>
      <c r="AT85" s="1">
        <v>84</v>
      </c>
      <c r="AU85" s="1" t="s">
        <v>388</v>
      </c>
      <c r="AW85" s="1">
        <v>84</v>
      </c>
      <c r="AX85" s="1" t="s">
        <v>330</v>
      </c>
      <c r="BL85" s="1">
        <v>84</v>
      </c>
      <c r="BM85" s="1" t="s">
        <v>1117</v>
      </c>
    </row>
    <row r="86" spans="28:65" x14ac:dyDescent="0.25">
      <c r="AB86" s="1">
        <v>13</v>
      </c>
      <c r="AC86" s="1" t="s">
        <v>427</v>
      </c>
      <c r="AT86" s="1">
        <v>85</v>
      </c>
      <c r="AU86" s="1" t="s">
        <v>133</v>
      </c>
      <c r="AW86" s="1">
        <v>85</v>
      </c>
      <c r="AX86" s="1" t="s">
        <v>382</v>
      </c>
      <c r="BL86" s="1">
        <v>85</v>
      </c>
      <c r="BM86" s="1" t="s">
        <v>1117</v>
      </c>
    </row>
    <row r="87" spans="28:65" x14ac:dyDescent="0.25">
      <c r="AB87" s="1">
        <v>14</v>
      </c>
      <c r="AC87" s="1" t="s">
        <v>448</v>
      </c>
      <c r="AT87" s="1">
        <v>86</v>
      </c>
      <c r="AU87" s="1" t="s">
        <v>389</v>
      </c>
      <c r="AW87" s="1">
        <v>86</v>
      </c>
      <c r="AX87" s="1" t="s">
        <v>363</v>
      </c>
      <c r="BL87" s="1">
        <v>86</v>
      </c>
      <c r="BM87" s="1" t="s">
        <v>1118</v>
      </c>
    </row>
    <row r="88" spans="28:65" x14ac:dyDescent="0.25">
      <c r="AB88" s="1">
        <v>15</v>
      </c>
      <c r="AC88" s="1" t="s">
        <v>421</v>
      </c>
      <c r="AT88" s="1">
        <v>87</v>
      </c>
      <c r="AU88" s="1" t="s">
        <v>309</v>
      </c>
      <c r="AW88" s="1">
        <v>87</v>
      </c>
      <c r="AX88" s="1" t="s">
        <v>316</v>
      </c>
      <c r="BL88" s="1">
        <v>87</v>
      </c>
      <c r="BM88" s="1" t="s">
        <v>1118</v>
      </c>
    </row>
    <row r="89" spans="28:65" x14ac:dyDescent="0.25">
      <c r="AB89" s="1">
        <v>16</v>
      </c>
      <c r="AC89" s="1" t="s">
        <v>422</v>
      </c>
      <c r="AT89" s="1">
        <v>88</v>
      </c>
      <c r="AU89" s="1" t="s">
        <v>381</v>
      </c>
      <c r="AW89" s="1">
        <v>88</v>
      </c>
      <c r="AX89" s="1" t="s">
        <v>303</v>
      </c>
      <c r="BL89" s="1">
        <v>88</v>
      </c>
      <c r="BM89" s="1" t="s">
        <v>1118</v>
      </c>
    </row>
    <row r="90" spans="28:65" x14ac:dyDescent="0.25">
      <c r="AB90" s="1">
        <v>17</v>
      </c>
      <c r="AC90" s="1" t="s">
        <v>414</v>
      </c>
      <c r="AT90" s="1">
        <v>89</v>
      </c>
      <c r="AU90" s="1" t="s">
        <v>352</v>
      </c>
      <c r="AW90" s="1">
        <v>89</v>
      </c>
      <c r="AX90" s="1" t="s">
        <v>191</v>
      </c>
      <c r="BL90" s="1">
        <v>89</v>
      </c>
      <c r="BM90" s="1" t="s">
        <v>1118</v>
      </c>
    </row>
    <row r="91" spans="28:65" x14ac:dyDescent="0.25">
      <c r="AB91" s="1">
        <v>18</v>
      </c>
      <c r="AC91" s="1" t="s">
        <v>415</v>
      </c>
      <c r="AT91" s="1">
        <v>90</v>
      </c>
      <c r="AU91" s="1" t="s">
        <v>335</v>
      </c>
      <c r="AW91" s="1">
        <v>90</v>
      </c>
      <c r="AX91" s="1" t="s">
        <v>135</v>
      </c>
      <c r="BL91" s="1">
        <v>90</v>
      </c>
      <c r="BM91" s="1" t="s">
        <v>1119</v>
      </c>
    </row>
    <row r="92" spans="28:65" x14ac:dyDescent="0.25">
      <c r="AB92" s="1">
        <v>19</v>
      </c>
      <c r="AC92" s="1" t="s">
        <v>433</v>
      </c>
      <c r="AT92" s="1">
        <v>91</v>
      </c>
      <c r="AU92" s="1" t="s">
        <v>161</v>
      </c>
      <c r="AW92" s="1">
        <v>91</v>
      </c>
      <c r="AX92" s="1" t="s">
        <v>135</v>
      </c>
      <c r="BL92" s="1">
        <v>91</v>
      </c>
      <c r="BM92" s="1" t="s">
        <v>1119</v>
      </c>
    </row>
    <row r="93" spans="28:65" x14ac:dyDescent="0.25">
      <c r="AB93" s="1">
        <v>20</v>
      </c>
      <c r="AC93" s="1" t="s">
        <v>428</v>
      </c>
      <c r="AT93" s="1">
        <v>92</v>
      </c>
      <c r="AU93" s="1" t="s">
        <v>294</v>
      </c>
      <c r="AW93" s="1">
        <v>92</v>
      </c>
      <c r="AX93" s="1" t="s">
        <v>356</v>
      </c>
      <c r="BL93" s="1">
        <v>92</v>
      </c>
      <c r="BM93" s="1" t="s">
        <v>1119</v>
      </c>
    </row>
    <row r="94" spans="28:65" x14ac:dyDescent="0.25">
      <c r="AB94" s="1">
        <v>21</v>
      </c>
      <c r="AC94" s="1" t="s">
        <v>400</v>
      </c>
      <c r="AT94" s="1">
        <v>93</v>
      </c>
      <c r="AU94" s="1" t="s">
        <v>322</v>
      </c>
      <c r="AW94" s="1">
        <v>93</v>
      </c>
      <c r="AX94" s="1" t="s">
        <v>344</v>
      </c>
      <c r="BL94" s="1">
        <v>93</v>
      </c>
      <c r="BM94" s="1" t="s">
        <v>1119</v>
      </c>
    </row>
    <row r="95" spans="28:65" x14ac:dyDescent="0.25">
      <c r="AB95" s="1">
        <v>22</v>
      </c>
      <c r="AC95" s="1" t="s">
        <v>434</v>
      </c>
      <c r="AT95" s="1">
        <v>94</v>
      </c>
      <c r="AU95" s="1" t="s">
        <v>276</v>
      </c>
      <c r="AW95" s="1">
        <v>94</v>
      </c>
      <c r="AX95" s="1" t="s">
        <v>192</v>
      </c>
      <c r="BL95" s="1">
        <v>94</v>
      </c>
      <c r="BM95" s="1" t="s">
        <v>1119</v>
      </c>
    </row>
    <row r="96" spans="28:65" x14ac:dyDescent="0.25">
      <c r="AB96" s="1">
        <v>23</v>
      </c>
      <c r="AC96" s="1" t="s">
        <v>401</v>
      </c>
      <c r="AT96" s="1">
        <v>95</v>
      </c>
      <c r="AU96" s="1" t="s">
        <v>134</v>
      </c>
      <c r="AW96" s="1">
        <v>95</v>
      </c>
      <c r="AX96" s="1" t="s">
        <v>193</v>
      </c>
      <c r="BL96" s="1">
        <v>95</v>
      </c>
      <c r="BM96" s="1" t="s">
        <v>1119</v>
      </c>
    </row>
    <row r="97" spans="28:65" x14ac:dyDescent="0.25">
      <c r="AB97" s="1">
        <v>24</v>
      </c>
      <c r="AC97" s="1" t="s">
        <v>408</v>
      </c>
      <c r="AT97" s="1">
        <v>96</v>
      </c>
      <c r="AU97" s="1" t="s">
        <v>323</v>
      </c>
      <c r="AW97" s="1">
        <v>96</v>
      </c>
      <c r="AX97" s="1" t="s">
        <v>399</v>
      </c>
      <c r="BL97" s="1">
        <v>96</v>
      </c>
      <c r="BM97" s="1" t="s">
        <v>1119</v>
      </c>
    </row>
    <row r="98" spans="28:65" x14ac:dyDescent="0.25">
      <c r="AB98" s="1">
        <v>25</v>
      </c>
      <c r="AC98" s="1" t="s">
        <v>435</v>
      </c>
      <c r="AT98" s="1">
        <v>97</v>
      </c>
      <c r="AU98" s="1" t="s">
        <v>162</v>
      </c>
      <c r="AW98" s="1">
        <v>97</v>
      </c>
      <c r="AX98" s="1" t="s">
        <v>331</v>
      </c>
      <c r="BL98" s="1">
        <v>97</v>
      </c>
      <c r="BM98" s="1" t="s">
        <v>1120</v>
      </c>
    </row>
    <row r="99" spans="28:65" x14ac:dyDescent="0.25">
      <c r="AB99" s="1">
        <v>26</v>
      </c>
      <c r="AC99" s="1" t="s">
        <v>416</v>
      </c>
      <c r="AT99" s="1">
        <v>98</v>
      </c>
      <c r="AU99" s="1" t="s">
        <v>163</v>
      </c>
      <c r="AW99" s="1">
        <v>98</v>
      </c>
      <c r="AX99" s="1" t="s">
        <v>194</v>
      </c>
      <c r="BL99" s="1">
        <v>98</v>
      </c>
      <c r="BM99" s="1" t="s">
        <v>1120</v>
      </c>
    </row>
    <row r="100" spans="28:65" x14ac:dyDescent="0.25">
      <c r="AB100" s="1">
        <v>27</v>
      </c>
      <c r="AC100" s="1" t="s">
        <v>436</v>
      </c>
      <c r="AT100" s="1">
        <v>99</v>
      </c>
      <c r="AU100" s="1" t="s">
        <v>336</v>
      </c>
      <c r="AW100" s="1">
        <v>99</v>
      </c>
      <c r="AX100" s="1" t="s">
        <v>284</v>
      </c>
      <c r="BL100" s="1">
        <v>99</v>
      </c>
      <c r="BM100" s="1" t="s">
        <v>1120</v>
      </c>
    </row>
    <row r="101" spans="28:65" x14ac:dyDescent="0.25">
      <c r="AB101" s="1">
        <v>28</v>
      </c>
      <c r="AC101" s="1" t="s">
        <v>437</v>
      </c>
      <c r="AT101" s="1">
        <v>100</v>
      </c>
      <c r="AU101" s="1" t="s">
        <v>164</v>
      </c>
      <c r="AW101" s="1">
        <v>100</v>
      </c>
      <c r="AX101" s="1" t="s">
        <v>364</v>
      </c>
      <c r="BL101" s="1">
        <v>100</v>
      </c>
      <c r="BM101" s="1" t="s">
        <v>1120</v>
      </c>
    </row>
    <row r="102" spans="28:65" x14ac:dyDescent="0.25">
      <c r="AB102" s="1">
        <v>29</v>
      </c>
      <c r="AC102" s="1" t="s">
        <v>449</v>
      </c>
      <c r="AT102" s="1">
        <v>101</v>
      </c>
      <c r="AU102" s="1" t="s">
        <v>390</v>
      </c>
      <c r="AW102" s="1">
        <v>101</v>
      </c>
      <c r="AX102" s="1" t="s">
        <v>463</v>
      </c>
    </row>
    <row r="103" spans="28:65" x14ac:dyDescent="0.25">
      <c r="AB103" s="1">
        <v>30</v>
      </c>
      <c r="AC103" s="1" t="s">
        <v>409</v>
      </c>
      <c r="AT103" s="1">
        <v>102</v>
      </c>
      <c r="AU103" s="1" t="s">
        <v>337</v>
      </c>
      <c r="AW103" s="1">
        <v>102</v>
      </c>
      <c r="AX103" s="1" t="s">
        <v>345</v>
      </c>
    </row>
    <row r="104" spans="28:65" x14ac:dyDescent="0.25">
      <c r="AB104" s="1">
        <v>31</v>
      </c>
      <c r="AC104" s="1" t="s">
        <v>438</v>
      </c>
      <c r="AT104" s="1">
        <v>103</v>
      </c>
      <c r="AU104" s="1" t="s">
        <v>324</v>
      </c>
      <c r="AW104" s="1">
        <v>103</v>
      </c>
      <c r="AX104" s="1" t="s">
        <v>315</v>
      </c>
    </row>
    <row r="105" spans="28:65" x14ac:dyDescent="0.25">
      <c r="AB105" s="1">
        <v>32</v>
      </c>
      <c r="AC105" s="1" t="s">
        <v>402</v>
      </c>
      <c r="AT105" s="1">
        <v>104</v>
      </c>
      <c r="AU105" s="1" t="s">
        <v>136</v>
      </c>
    </row>
    <row r="106" spans="28:65" x14ac:dyDescent="0.25">
      <c r="AB106" s="1">
        <v>33</v>
      </c>
      <c r="AC106" s="1" t="s">
        <v>429</v>
      </c>
      <c r="AT106" s="1">
        <v>105</v>
      </c>
      <c r="AU106" s="1" t="s">
        <v>165</v>
      </c>
    </row>
    <row r="107" spans="28:65" x14ac:dyDescent="0.25">
      <c r="AB107" s="1">
        <v>34</v>
      </c>
      <c r="AC107" s="1" t="s">
        <v>423</v>
      </c>
      <c r="AT107" s="1">
        <v>106</v>
      </c>
      <c r="AU107" s="1" t="s">
        <v>353</v>
      </c>
    </row>
    <row r="108" spans="28:65" x14ac:dyDescent="0.25">
      <c r="AB108" s="1">
        <v>35</v>
      </c>
      <c r="AC108" s="1" t="s">
        <v>410</v>
      </c>
      <c r="AT108" s="1">
        <v>107</v>
      </c>
      <c r="AU108" s="1" t="s">
        <v>375</v>
      </c>
    </row>
    <row r="109" spans="28:65" x14ac:dyDescent="0.25">
      <c r="AB109" s="1">
        <v>36</v>
      </c>
      <c r="AC109" s="1" t="s">
        <v>403</v>
      </c>
      <c r="AT109" s="1">
        <v>108</v>
      </c>
      <c r="AU109" s="1" t="s">
        <v>277</v>
      </c>
    </row>
    <row r="110" spans="28:65" x14ac:dyDescent="0.25">
      <c r="AB110" s="1">
        <v>37</v>
      </c>
      <c r="AC110" s="1" t="s">
        <v>440</v>
      </c>
    </row>
    <row r="111" spans="28:65" x14ac:dyDescent="0.25">
      <c r="AB111" s="1">
        <v>38</v>
      </c>
      <c r="AC111" s="1" t="s">
        <v>450</v>
      </c>
      <c r="AT111" s="2" t="s">
        <v>595</v>
      </c>
    </row>
    <row r="112" spans="28:65" x14ac:dyDescent="0.25">
      <c r="AB112" s="1">
        <v>39</v>
      </c>
      <c r="AC112" s="1" t="s">
        <v>451</v>
      </c>
      <c r="AT112" s="1">
        <v>1</v>
      </c>
      <c r="AU112" s="1" t="s">
        <v>444</v>
      </c>
    </row>
    <row r="113" spans="28:47" x14ac:dyDescent="0.25">
      <c r="AB113" s="1">
        <v>40</v>
      </c>
      <c r="AC113" s="1" t="s">
        <v>404</v>
      </c>
      <c r="AT113" s="1">
        <v>2</v>
      </c>
      <c r="AU113" s="1" t="s">
        <v>196</v>
      </c>
    </row>
    <row r="114" spans="28:47" x14ac:dyDescent="0.25">
      <c r="AB114" s="1">
        <v>41</v>
      </c>
      <c r="AC114" s="1" t="s">
        <v>424</v>
      </c>
      <c r="AT114" s="1">
        <v>3</v>
      </c>
      <c r="AU114" s="1" t="s">
        <v>197</v>
      </c>
    </row>
    <row r="115" spans="28:47" x14ac:dyDescent="0.25">
      <c r="AB115" s="1">
        <v>42</v>
      </c>
      <c r="AC115" s="1" t="s">
        <v>411</v>
      </c>
      <c r="AT115" s="1">
        <v>4</v>
      </c>
      <c r="AU115" s="1" t="s">
        <v>419</v>
      </c>
    </row>
    <row r="116" spans="28:47" x14ac:dyDescent="0.25">
      <c r="AB116" s="1">
        <v>43</v>
      </c>
      <c r="AC116" s="1" t="s">
        <v>439</v>
      </c>
      <c r="AT116" s="1">
        <v>5</v>
      </c>
      <c r="AU116" s="1" t="s">
        <v>420</v>
      </c>
    </row>
    <row r="117" spans="28:47" x14ac:dyDescent="0.25">
      <c r="AB117" s="1">
        <v>44</v>
      </c>
      <c r="AC117" s="1" t="s">
        <v>412</v>
      </c>
      <c r="AT117" s="1">
        <v>6</v>
      </c>
      <c r="AU117" s="1" t="s">
        <v>445</v>
      </c>
    </row>
    <row r="118" spans="28:47" x14ac:dyDescent="0.25">
      <c r="AB118" s="1">
        <v>45</v>
      </c>
      <c r="AC118" s="1" t="s">
        <v>430</v>
      </c>
      <c r="AT118" s="1">
        <v>7</v>
      </c>
      <c r="AU118" s="1" t="s">
        <v>405</v>
      </c>
    </row>
    <row r="119" spans="28:47" x14ac:dyDescent="0.25">
      <c r="AB119" s="1">
        <v>46</v>
      </c>
      <c r="AC119" s="1" t="s">
        <v>417</v>
      </c>
      <c r="AT119" s="1">
        <v>8</v>
      </c>
      <c r="AU119" s="1" t="s">
        <v>413</v>
      </c>
    </row>
    <row r="120" spans="28:47" x14ac:dyDescent="0.25">
      <c r="AB120" s="1">
        <v>47</v>
      </c>
      <c r="AC120" s="1" t="s">
        <v>441</v>
      </c>
      <c r="AT120" s="1">
        <v>9</v>
      </c>
      <c r="AU120" s="1" t="s">
        <v>446</v>
      </c>
    </row>
    <row r="121" spans="28:47" x14ac:dyDescent="0.25">
      <c r="AB121" s="1">
        <v>48</v>
      </c>
      <c r="AC121" s="1" t="s">
        <v>442</v>
      </c>
      <c r="AT121" s="1">
        <v>10</v>
      </c>
      <c r="AU121" s="1" t="s">
        <v>426</v>
      </c>
    </row>
    <row r="122" spans="28:47" x14ac:dyDescent="0.25">
      <c r="AB122" s="1">
        <v>49</v>
      </c>
      <c r="AC122" s="1" t="s">
        <v>431</v>
      </c>
      <c r="AT122" s="1">
        <v>11</v>
      </c>
      <c r="AU122" s="1" t="s">
        <v>406</v>
      </c>
    </row>
    <row r="123" spans="28:47" x14ac:dyDescent="0.25">
      <c r="AB123" s="1">
        <v>50</v>
      </c>
      <c r="AC123" s="1" t="s">
        <v>425</v>
      </c>
      <c r="AT123" s="1">
        <v>12</v>
      </c>
      <c r="AU123" s="1" t="s">
        <v>432</v>
      </c>
    </row>
    <row r="124" spans="28:47" x14ac:dyDescent="0.25">
      <c r="AB124" s="1">
        <v>51</v>
      </c>
      <c r="AC124" s="1" t="s">
        <v>443</v>
      </c>
      <c r="AT124" s="1">
        <v>13</v>
      </c>
      <c r="AU124" s="1" t="s">
        <v>447</v>
      </c>
    </row>
    <row r="125" spans="28:47" x14ac:dyDescent="0.25">
      <c r="AB125" s="1">
        <v>52</v>
      </c>
      <c r="AC125" s="1" t="s">
        <v>418</v>
      </c>
      <c r="AT125" s="1">
        <v>14</v>
      </c>
      <c r="AU125" s="1" t="s">
        <v>407</v>
      </c>
    </row>
    <row r="126" spans="28:47" x14ac:dyDescent="0.25">
      <c r="AT126" s="1">
        <v>15</v>
      </c>
      <c r="AU126" s="1" t="s">
        <v>427</v>
      </c>
    </row>
    <row r="127" spans="28:47" x14ac:dyDescent="0.25">
      <c r="AT127" s="1">
        <v>16</v>
      </c>
      <c r="AU127" s="1" t="s">
        <v>448</v>
      </c>
    </row>
    <row r="128" spans="28:47" x14ac:dyDescent="0.25">
      <c r="AT128" s="1">
        <v>17</v>
      </c>
      <c r="AU128" s="1" t="s">
        <v>421</v>
      </c>
    </row>
    <row r="129" spans="46:47" x14ac:dyDescent="0.25">
      <c r="AT129" s="1">
        <v>18</v>
      </c>
      <c r="AU129" s="1" t="s">
        <v>198</v>
      </c>
    </row>
    <row r="130" spans="46:47" x14ac:dyDescent="0.25">
      <c r="AT130" s="1">
        <v>19</v>
      </c>
      <c r="AU130" s="1" t="s">
        <v>422</v>
      </c>
    </row>
    <row r="131" spans="46:47" x14ac:dyDescent="0.25">
      <c r="AT131" s="1">
        <v>20</v>
      </c>
      <c r="AU131" s="1" t="s">
        <v>414</v>
      </c>
    </row>
    <row r="132" spans="46:47" x14ac:dyDescent="0.25">
      <c r="AT132" s="1">
        <v>21</v>
      </c>
      <c r="AU132" s="1" t="s">
        <v>199</v>
      </c>
    </row>
    <row r="133" spans="46:47" x14ac:dyDescent="0.25">
      <c r="AT133" s="1">
        <v>22</v>
      </c>
      <c r="AU133" s="1" t="s">
        <v>415</v>
      </c>
    </row>
    <row r="134" spans="46:47" x14ac:dyDescent="0.25">
      <c r="AT134" s="1">
        <v>23</v>
      </c>
      <c r="AU134" s="1" t="s">
        <v>433</v>
      </c>
    </row>
    <row r="135" spans="46:47" x14ac:dyDescent="0.25">
      <c r="AT135" s="1">
        <v>24</v>
      </c>
      <c r="AU135" s="1" t="s">
        <v>200</v>
      </c>
    </row>
    <row r="136" spans="46:47" x14ac:dyDescent="0.25">
      <c r="AT136" s="1">
        <v>25</v>
      </c>
      <c r="AU136" s="1" t="s">
        <v>428</v>
      </c>
    </row>
    <row r="137" spans="46:47" x14ac:dyDescent="0.25">
      <c r="AT137" s="1">
        <v>26</v>
      </c>
      <c r="AU137" s="1" t="s">
        <v>400</v>
      </c>
    </row>
    <row r="138" spans="46:47" x14ac:dyDescent="0.25">
      <c r="AT138" s="1">
        <v>27</v>
      </c>
      <c r="AU138" s="1" t="s">
        <v>434</v>
      </c>
    </row>
    <row r="139" spans="46:47" x14ac:dyDescent="0.25">
      <c r="AT139" s="1">
        <v>28</v>
      </c>
      <c r="AU139" s="1" t="s">
        <v>401</v>
      </c>
    </row>
    <row r="140" spans="46:47" x14ac:dyDescent="0.25">
      <c r="AT140" s="1">
        <v>29</v>
      </c>
      <c r="AU140" s="1" t="s">
        <v>408</v>
      </c>
    </row>
    <row r="141" spans="46:47" x14ac:dyDescent="0.25">
      <c r="AT141" s="1">
        <v>30</v>
      </c>
      <c r="AU141" s="1" t="s">
        <v>435</v>
      </c>
    </row>
    <row r="142" spans="46:47" x14ac:dyDescent="0.25">
      <c r="AT142" s="1">
        <v>31</v>
      </c>
      <c r="AU142" s="1" t="s">
        <v>416</v>
      </c>
    </row>
    <row r="143" spans="46:47" x14ac:dyDescent="0.25">
      <c r="AT143" s="1">
        <v>32</v>
      </c>
      <c r="AU143" s="1" t="s">
        <v>436</v>
      </c>
    </row>
    <row r="144" spans="46:47" x14ac:dyDescent="0.25">
      <c r="AT144" s="1">
        <v>33</v>
      </c>
      <c r="AU144" s="1" t="s">
        <v>201</v>
      </c>
    </row>
    <row r="145" spans="46:47" x14ac:dyDescent="0.25">
      <c r="AT145" s="1">
        <v>34</v>
      </c>
      <c r="AU145" s="1" t="s">
        <v>437</v>
      </c>
    </row>
    <row r="146" spans="46:47" x14ac:dyDescent="0.25">
      <c r="AT146" s="1">
        <v>35</v>
      </c>
      <c r="AU146" s="1" t="s">
        <v>449</v>
      </c>
    </row>
    <row r="147" spans="46:47" x14ac:dyDescent="0.25">
      <c r="AT147" s="1">
        <v>36</v>
      </c>
      <c r="AU147" s="1" t="s">
        <v>409</v>
      </c>
    </row>
    <row r="148" spans="46:47" x14ac:dyDescent="0.25">
      <c r="AT148" s="1">
        <v>37</v>
      </c>
      <c r="AU148" s="1" t="s">
        <v>438</v>
      </c>
    </row>
    <row r="149" spans="46:47" x14ac:dyDescent="0.25">
      <c r="AT149" s="1">
        <v>38</v>
      </c>
      <c r="AU149" s="1" t="s">
        <v>202</v>
      </c>
    </row>
    <row r="150" spans="46:47" x14ac:dyDescent="0.25">
      <c r="AT150" s="1">
        <v>39</v>
      </c>
      <c r="AU150" s="1" t="s">
        <v>402</v>
      </c>
    </row>
    <row r="151" spans="46:47" x14ac:dyDescent="0.25">
      <c r="AT151" s="1">
        <v>40</v>
      </c>
      <c r="AU151" s="1" t="s">
        <v>429</v>
      </c>
    </row>
    <row r="152" spans="46:47" x14ac:dyDescent="0.25">
      <c r="AT152" s="1">
        <v>41</v>
      </c>
      <c r="AU152" s="1" t="s">
        <v>203</v>
      </c>
    </row>
    <row r="153" spans="46:47" x14ac:dyDescent="0.25">
      <c r="AT153" s="1">
        <v>42</v>
      </c>
      <c r="AU153" s="1" t="s">
        <v>423</v>
      </c>
    </row>
    <row r="154" spans="46:47" x14ac:dyDescent="0.25">
      <c r="AT154" s="1">
        <v>43</v>
      </c>
      <c r="AU154" s="1" t="s">
        <v>410</v>
      </c>
    </row>
    <row r="155" spans="46:47" x14ac:dyDescent="0.25">
      <c r="AT155" s="1">
        <v>44</v>
      </c>
      <c r="AU155" s="1" t="s">
        <v>403</v>
      </c>
    </row>
    <row r="156" spans="46:47" x14ac:dyDescent="0.25">
      <c r="AT156" s="1">
        <v>45</v>
      </c>
      <c r="AU156" s="1" t="s">
        <v>440</v>
      </c>
    </row>
    <row r="157" spans="46:47" x14ac:dyDescent="0.25">
      <c r="AT157" s="1">
        <v>46</v>
      </c>
      <c r="AU157" s="1" t="s">
        <v>450</v>
      </c>
    </row>
    <row r="158" spans="46:47" x14ac:dyDescent="0.25">
      <c r="AT158" s="1">
        <v>47</v>
      </c>
      <c r="AU158" s="1" t="s">
        <v>451</v>
      </c>
    </row>
    <row r="159" spans="46:47" x14ac:dyDescent="0.25">
      <c r="AT159" s="1">
        <v>48</v>
      </c>
      <c r="AU159" s="1" t="s">
        <v>404</v>
      </c>
    </row>
    <row r="160" spans="46:47" x14ac:dyDescent="0.25">
      <c r="AT160" s="1">
        <v>49</v>
      </c>
      <c r="AU160" s="1" t="s">
        <v>424</v>
      </c>
    </row>
    <row r="161" spans="46:47" x14ac:dyDescent="0.25">
      <c r="AT161" s="1">
        <v>50</v>
      </c>
      <c r="AU161" s="1" t="s">
        <v>411</v>
      </c>
    </row>
    <row r="162" spans="46:47" x14ac:dyDescent="0.25">
      <c r="AT162" s="1">
        <v>51</v>
      </c>
      <c r="AU162" s="1" t="s">
        <v>439</v>
      </c>
    </row>
    <row r="163" spans="46:47" x14ac:dyDescent="0.25">
      <c r="AT163" s="1">
        <v>52</v>
      </c>
      <c r="AU163" s="1" t="s">
        <v>204</v>
      </c>
    </row>
    <row r="164" spans="46:47" x14ac:dyDescent="0.25">
      <c r="AT164" s="1">
        <v>53</v>
      </c>
      <c r="AU164" s="1" t="s">
        <v>412</v>
      </c>
    </row>
    <row r="165" spans="46:47" x14ac:dyDescent="0.25">
      <c r="AT165" s="1">
        <v>54</v>
      </c>
      <c r="AU165" s="1" t="s">
        <v>430</v>
      </c>
    </row>
    <row r="166" spans="46:47" x14ac:dyDescent="0.25">
      <c r="AT166" s="1">
        <v>55</v>
      </c>
      <c r="AU166" s="1" t="s">
        <v>417</v>
      </c>
    </row>
    <row r="167" spans="46:47" x14ac:dyDescent="0.25">
      <c r="AT167" s="1">
        <v>56</v>
      </c>
      <c r="AU167" s="1" t="s">
        <v>441</v>
      </c>
    </row>
    <row r="168" spans="46:47" x14ac:dyDescent="0.25">
      <c r="AT168" s="1">
        <v>57</v>
      </c>
      <c r="AU168" s="1" t="s">
        <v>442</v>
      </c>
    </row>
    <row r="169" spans="46:47" x14ac:dyDescent="0.25">
      <c r="AT169" s="1">
        <v>58</v>
      </c>
      <c r="AU169" s="1" t="s">
        <v>431</v>
      </c>
    </row>
    <row r="170" spans="46:47" x14ac:dyDescent="0.25">
      <c r="AT170" s="1">
        <v>59</v>
      </c>
      <c r="AU170" s="1" t="s">
        <v>425</v>
      </c>
    </row>
    <row r="171" spans="46:47" x14ac:dyDescent="0.25">
      <c r="AT171" s="1">
        <v>60</v>
      </c>
      <c r="AU171" s="1" t="s">
        <v>443</v>
      </c>
    </row>
    <row r="172" spans="46:47" x14ac:dyDescent="0.25">
      <c r="AT172" s="1">
        <v>61</v>
      </c>
      <c r="AU172" s="1" t="s">
        <v>418</v>
      </c>
    </row>
    <row r="173" spans="46:47" x14ac:dyDescent="0.25">
      <c r="AT173" s="1">
        <v>62</v>
      </c>
      <c r="AU173" s="1" t="s">
        <v>205</v>
      </c>
    </row>
  </sheetData>
  <pageMargins left="0.7" right="0.7" top="0.75" bottom="0.75" header="0.3" footer="0.3"/>
  <pageSetup orientation="portrait" horizontalDpi="4294967293" r:id="rId1"/>
  <tableParts count="40">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 r:id="rId39"/>
    <tablePart r:id="rId40"/>
    <tablePart r:id="rId4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36000-653B-49B5-AF81-2BC5AB2405ED}">
  <sheetPr codeName="Аркуш16"/>
  <dimension ref="A1:Y237"/>
  <sheetViews>
    <sheetView topLeftCell="I91" workbookViewId="0">
      <selection activeCell="J98" sqref="J98"/>
    </sheetView>
  </sheetViews>
  <sheetFormatPr defaultColWidth="8.85546875" defaultRowHeight="15" x14ac:dyDescent="0.25"/>
  <cols>
    <col min="1" max="1" width="15.28515625" style="1" bestFit="1" customWidth="1"/>
    <col min="2" max="2" width="22.85546875" style="1" bestFit="1" customWidth="1"/>
    <col min="3" max="4" width="15.5703125" style="1" bestFit="1" customWidth="1"/>
    <col min="5" max="5" width="22.28515625" style="1" bestFit="1" customWidth="1"/>
    <col min="6" max="6" width="23" style="1" bestFit="1" customWidth="1"/>
    <col min="7" max="7" width="24.42578125" style="1" bestFit="1" customWidth="1"/>
    <col min="8" max="8" width="15.28515625" style="1" bestFit="1" customWidth="1"/>
    <col min="9" max="9" width="23.5703125" style="1" bestFit="1" customWidth="1"/>
    <col min="10" max="10" width="21.7109375" style="1" bestFit="1" customWidth="1"/>
    <col min="11" max="11" width="22.5703125" style="1" bestFit="1" customWidth="1"/>
    <col min="12" max="12" width="14" style="1" bestFit="1" customWidth="1"/>
    <col min="13" max="13" width="15.28515625" style="1" bestFit="1" customWidth="1"/>
    <col min="14" max="14" width="17.85546875" style="1" bestFit="1" customWidth="1"/>
    <col min="15" max="15" width="14.28515625" style="1" bestFit="1" customWidth="1"/>
    <col min="16" max="16" width="10.85546875" style="1" bestFit="1" customWidth="1"/>
    <col min="17" max="17" width="18.7109375" style="1" bestFit="1" customWidth="1"/>
    <col min="18" max="18" width="31.42578125" style="1" bestFit="1" customWidth="1"/>
    <col min="19" max="19" width="15.7109375" style="1" bestFit="1" customWidth="1"/>
    <col min="20" max="20" width="13.140625" style="1" bestFit="1" customWidth="1"/>
    <col min="21" max="21" width="19.7109375" style="1" bestFit="1" customWidth="1"/>
    <col min="22" max="22" width="19.140625" style="1" bestFit="1" customWidth="1"/>
    <col min="23" max="24" width="14.140625" style="1" bestFit="1" customWidth="1"/>
    <col min="25" max="25" width="18.5703125" style="1" bestFit="1" customWidth="1"/>
    <col min="26" max="26" width="13.28515625" style="1" bestFit="1" customWidth="1"/>
    <col min="27" max="16384" width="8.85546875" style="1"/>
  </cols>
  <sheetData>
    <row r="1" spans="1:22" x14ac:dyDescent="0.25">
      <c r="A1" s="2" t="s">
        <v>684</v>
      </c>
      <c r="P1" s="2" t="s">
        <v>1812</v>
      </c>
    </row>
    <row r="2" spans="1:22" x14ac:dyDescent="0.25">
      <c r="A2" s="1">
        <v>1</v>
      </c>
      <c r="B2" s="1" t="s">
        <v>685</v>
      </c>
      <c r="C2" s="1" t="s">
        <v>686</v>
      </c>
      <c r="D2" s="1" t="s">
        <v>685</v>
      </c>
      <c r="E2" s="1" t="s">
        <v>685</v>
      </c>
      <c r="F2" s="1" t="s">
        <v>685</v>
      </c>
      <c r="G2" s="1" t="s">
        <v>685</v>
      </c>
      <c r="H2" s="1" t="s">
        <v>685</v>
      </c>
      <c r="I2" s="1" t="s">
        <v>685</v>
      </c>
      <c r="J2" s="1" t="s">
        <v>685</v>
      </c>
      <c r="K2" s="1" t="s">
        <v>685</v>
      </c>
      <c r="L2" s="1" t="s">
        <v>685</v>
      </c>
      <c r="M2" s="1" t="s">
        <v>685</v>
      </c>
      <c r="N2" s="1" t="s">
        <v>685</v>
      </c>
      <c r="P2" s="1">
        <v>1</v>
      </c>
      <c r="Q2" s="1" t="s">
        <v>1827</v>
      </c>
    </row>
    <row r="3" spans="1:22" x14ac:dyDescent="0.25">
      <c r="A3" s="1">
        <v>2</v>
      </c>
      <c r="B3" s="1" t="s">
        <v>686</v>
      </c>
      <c r="C3" s="1" t="s">
        <v>687</v>
      </c>
      <c r="D3" s="1" t="s">
        <v>687</v>
      </c>
      <c r="E3" s="1" t="s">
        <v>686</v>
      </c>
      <c r="F3" s="1" t="s">
        <v>686</v>
      </c>
      <c r="G3" s="1" t="s">
        <v>686</v>
      </c>
      <c r="H3" s="1" t="s">
        <v>686</v>
      </c>
      <c r="I3" s="1" t="s">
        <v>686</v>
      </c>
      <c r="J3" s="1" t="s">
        <v>686</v>
      </c>
      <c r="K3" s="1" t="s">
        <v>686</v>
      </c>
      <c r="L3" s="1" t="s">
        <v>686</v>
      </c>
      <c r="M3" s="1" t="s">
        <v>686</v>
      </c>
      <c r="N3" s="1" t="s">
        <v>686</v>
      </c>
      <c r="P3" s="1">
        <v>2</v>
      </c>
      <c r="Q3" s="1" t="s">
        <v>1828</v>
      </c>
    </row>
    <row r="4" spans="1:22" x14ac:dyDescent="0.25">
      <c r="A4" s="1">
        <v>3</v>
      </c>
      <c r="B4" s="1" t="s">
        <v>687</v>
      </c>
      <c r="C4" s="1" t="s">
        <v>688</v>
      </c>
      <c r="D4" s="1" t="s">
        <v>688</v>
      </c>
      <c r="E4" s="1" t="s">
        <v>688</v>
      </c>
      <c r="F4" s="1" t="s">
        <v>687</v>
      </c>
      <c r="G4" s="1" t="s">
        <v>687</v>
      </c>
      <c r="H4" s="1" t="s">
        <v>687</v>
      </c>
      <c r="I4" s="1" t="s">
        <v>687</v>
      </c>
      <c r="J4" s="1" t="s">
        <v>687</v>
      </c>
      <c r="K4" s="1" t="s">
        <v>687</v>
      </c>
      <c r="L4" s="1" t="s">
        <v>687</v>
      </c>
      <c r="M4" s="1" t="s">
        <v>687</v>
      </c>
      <c r="N4" s="1" t="s">
        <v>687</v>
      </c>
      <c r="P4" s="1">
        <v>3</v>
      </c>
      <c r="Q4" s="1" t="s">
        <v>1829</v>
      </c>
    </row>
    <row r="5" spans="1:22" x14ac:dyDescent="0.25">
      <c r="A5" s="1">
        <v>4</v>
      </c>
      <c r="B5" s="1" t="s">
        <v>688</v>
      </c>
      <c r="C5" s="1" t="s">
        <v>689</v>
      </c>
      <c r="D5" s="1" t="s">
        <v>689</v>
      </c>
      <c r="E5" s="1" t="s">
        <v>689</v>
      </c>
      <c r="F5" s="1" t="s">
        <v>689</v>
      </c>
      <c r="G5" s="1" t="s">
        <v>688</v>
      </c>
      <c r="H5" s="1" t="s">
        <v>688</v>
      </c>
      <c r="I5" s="1" t="s">
        <v>688</v>
      </c>
      <c r="J5" s="1" t="s">
        <v>688</v>
      </c>
      <c r="K5" s="1" t="s">
        <v>688</v>
      </c>
      <c r="L5" s="1" t="s">
        <v>688</v>
      </c>
      <c r="M5" s="1" t="s">
        <v>688</v>
      </c>
      <c r="N5" s="1" t="s">
        <v>688</v>
      </c>
      <c r="P5" s="1">
        <v>4</v>
      </c>
      <c r="Q5" s="1" t="s">
        <v>1830</v>
      </c>
    </row>
    <row r="6" spans="1:22" x14ac:dyDescent="0.25">
      <c r="A6" s="1">
        <v>5</v>
      </c>
      <c r="B6" s="1" t="s">
        <v>689</v>
      </c>
      <c r="C6" s="1" t="s">
        <v>694</v>
      </c>
      <c r="D6" s="1" t="s">
        <v>694</v>
      </c>
      <c r="E6" s="1" t="s">
        <v>694</v>
      </c>
      <c r="F6" s="1" t="s">
        <v>694</v>
      </c>
      <c r="G6" s="1" t="s">
        <v>694</v>
      </c>
      <c r="H6" s="1" t="s">
        <v>689</v>
      </c>
      <c r="I6" s="1" t="s">
        <v>689</v>
      </c>
      <c r="J6" s="1" t="s">
        <v>689</v>
      </c>
      <c r="K6" s="1" t="s">
        <v>689</v>
      </c>
      <c r="L6" s="1" t="s">
        <v>689</v>
      </c>
      <c r="M6" s="1" t="s">
        <v>689</v>
      </c>
      <c r="N6" s="1" t="s">
        <v>689</v>
      </c>
      <c r="P6" s="1">
        <v>5</v>
      </c>
      <c r="Q6" s="1" t="s">
        <v>1831</v>
      </c>
      <c r="V6" s="2"/>
    </row>
    <row r="7" spans="1:22" x14ac:dyDescent="0.25">
      <c r="A7" s="1">
        <v>6</v>
      </c>
      <c r="B7" s="1" t="s">
        <v>694</v>
      </c>
      <c r="C7" s="1" t="s">
        <v>695</v>
      </c>
      <c r="D7" s="1" t="s">
        <v>695</v>
      </c>
      <c r="E7" s="1" t="s">
        <v>695</v>
      </c>
      <c r="F7" s="1" t="s">
        <v>695</v>
      </c>
      <c r="G7" s="1" t="s">
        <v>695</v>
      </c>
      <c r="H7" s="1" t="s">
        <v>695</v>
      </c>
      <c r="I7" s="1" t="s">
        <v>694</v>
      </c>
      <c r="J7" s="1" t="s">
        <v>694</v>
      </c>
      <c r="K7" s="1" t="s">
        <v>694</v>
      </c>
      <c r="L7" s="1" t="s">
        <v>694</v>
      </c>
      <c r="M7" s="1" t="s">
        <v>694</v>
      </c>
      <c r="N7" s="1" t="s">
        <v>694</v>
      </c>
      <c r="P7" s="1">
        <v>6</v>
      </c>
      <c r="Q7" s="1" t="s">
        <v>1834</v>
      </c>
    </row>
    <row r="8" spans="1:22" x14ac:dyDescent="0.25">
      <c r="A8" s="1">
        <v>7</v>
      </c>
      <c r="B8" s="1" t="s">
        <v>695</v>
      </c>
      <c r="C8" s="1" t="s">
        <v>690</v>
      </c>
      <c r="D8" s="1" t="s">
        <v>690</v>
      </c>
      <c r="E8" s="1" t="s">
        <v>690</v>
      </c>
      <c r="F8" s="1" t="s">
        <v>690</v>
      </c>
      <c r="G8" s="1" t="s">
        <v>690</v>
      </c>
      <c r="H8" s="1" t="s">
        <v>690</v>
      </c>
      <c r="I8" s="1" t="s">
        <v>690</v>
      </c>
      <c r="J8" s="1" t="s">
        <v>695</v>
      </c>
      <c r="K8" s="1" t="s">
        <v>695</v>
      </c>
      <c r="L8" s="1" t="s">
        <v>695</v>
      </c>
      <c r="M8" s="1" t="s">
        <v>695</v>
      </c>
      <c r="N8" s="1" t="s">
        <v>695</v>
      </c>
      <c r="P8" s="1">
        <v>7</v>
      </c>
      <c r="Q8" s="1" t="s">
        <v>1832</v>
      </c>
    </row>
    <row r="9" spans="1:22" x14ac:dyDescent="0.25">
      <c r="A9" s="1">
        <v>8</v>
      </c>
      <c r="B9" s="1" t="s">
        <v>690</v>
      </c>
      <c r="C9" s="1" t="s">
        <v>691</v>
      </c>
      <c r="D9" s="1" t="s">
        <v>691</v>
      </c>
      <c r="E9" s="1" t="s">
        <v>691</v>
      </c>
      <c r="F9" s="1" t="s">
        <v>691</v>
      </c>
      <c r="G9" s="1" t="s">
        <v>691</v>
      </c>
      <c r="H9" s="1" t="s">
        <v>691</v>
      </c>
      <c r="I9" s="1" t="s">
        <v>691</v>
      </c>
      <c r="J9" s="1" t="s">
        <v>691</v>
      </c>
      <c r="K9" s="1" t="s">
        <v>690</v>
      </c>
      <c r="L9" s="1" t="s">
        <v>690</v>
      </c>
      <c r="M9" s="1" t="s">
        <v>690</v>
      </c>
      <c r="N9" s="1" t="s">
        <v>690</v>
      </c>
      <c r="P9" s="1">
        <v>8</v>
      </c>
      <c r="Q9" s="1" t="s">
        <v>1833</v>
      </c>
    </row>
    <row r="10" spans="1:22" x14ac:dyDescent="0.25">
      <c r="A10" s="1">
        <v>9</v>
      </c>
      <c r="B10" s="1" t="s">
        <v>691</v>
      </c>
      <c r="C10" s="1" t="s">
        <v>692</v>
      </c>
      <c r="D10" s="1" t="s">
        <v>692</v>
      </c>
      <c r="E10" s="1" t="s">
        <v>692</v>
      </c>
      <c r="F10" s="1" t="s">
        <v>692</v>
      </c>
      <c r="G10" s="1" t="s">
        <v>692</v>
      </c>
      <c r="H10" s="1" t="s">
        <v>692</v>
      </c>
      <c r="I10" s="1" t="s">
        <v>692</v>
      </c>
      <c r="J10" s="1" t="s">
        <v>692</v>
      </c>
      <c r="K10" s="1" t="s">
        <v>692</v>
      </c>
      <c r="L10" s="1" t="s">
        <v>691</v>
      </c>
      <c r="M10" s="1" t="s">
        <v>691</v>
      </c>
      <c r="N10" s="1" t="s">
        <v>691</v>
      </c>
    </row>
    <row r="11" spans="1:22" x14ac:dyDescent="0.25">
      <c r="A11" s="1">
        <v>10</v>
      </c>
      <c r="B11" s="1" t="s">
        <v>692</v>
      </c>
      <c r="C11" s="1" t="s">
        <v>693</v>
      </c>
      <c r="D11" s="1" t="s">
        <v>693</v>
      </c>
      <c r="E11" s="1" t="s">
        <v>693</v>
      </c>
      <c r="F11" s="1" t="s">
        <v>693</v>
      </c>
      <c r="G11" s="1" t="s">
        <v>693</v>
      </c>
      <c r="H11" s="1" t="s">
        <v>693</v>
      </c>
      <c r="I11" s="1" t="s">
        <v>693</v>
      </c>
      <c r="J11" s="1" t="s">
        <v>693</v>
      </c>
      <c r="K11" s="1" t="s">
        <v>693</v>
      </c>
      <c r="L11" s="1" t="s">
        <v>693</v>
      </c>
      <c r="M11" s="1" t="s">
        <v>692</v>
      </c>
      <c r="N11" s="1" t="s">
        <v>692</v>
      </c>
      <c r="P11" s="2" t="s">
        <v>1835</v>
      </c>
    </row>
    <row r="12" spans="1:22" x14ac:dyDescent="0.25">
      <c r="A12" s="1">
        <v>11</v>
      </c>
      <c r="B12" s="1" t="s">
        <v>693</v>
      </c>
      <c r="C12" s="1" t="s">
        <v>696</v>
      </c>
      <c r="D12" s="1" t="s">
        <v>696</v>
      </c>
      <c r="E12" s="1" t="s">
        <v>696</v>
      </c>
      <c r="F12" s="1" t="s">
        <v>696</v>
      </c>
      <c r="G12" s="1" t="s">
        <v>696</v>
      </c>
      <c r="H12" s="1" t="s">
        <v>696</v>
      </c>
      <c r="I12" s="1" t="s">
        <v>696</v>
      </c>
      <c r="J12" s="1" t="s">
        <v>696</v>
      </c>
      <c r="K12" s="1" t="s">
        <v>696</v>
      </c>
      <c r="L12" s="1" t="s">
        <v>696</v>
      </c>
      <c r="M12" s="1" t="s">
        <v>696</v>
      </c>
      <c r="N12" s="1" t="s">
        <v>693</v>
      </c>
      <c r="P12" s="1">
        <v>1</v>
      </c>
      <c r="Q12" s="1" t="s">
        <v>1836</v>
      </c>
    </row>
    <row r="13" spans="1:22" x14ac:dyDescent="0.25">
      <c r="A13" s="1">
        <v>12</v>
      </c>
      <c r="B13" s="1" t="s">
        <v>696</v>
      </c>
      <c r="P13" s="1">
        <v>2</v>
      </c>
      <c r="Q13" s="1" t="s">
        <v>1838</v>
      </c>
    </row>
    <row r="14" spans="1:22" x14ac:dyDescent="0.25">
      <c r="A14" s="1">
        <v>13</v>
      </c>
      <c r="B14" s="1" t="s">
        <v>697</v>
      </c>
      <c r="P14" s="1">
        <v>3</v>
      </c>
      <c r="Q14" s="1" t="s">
        <v>1837</v>
      </c>
    </row>
    <row r="15" spans="1:22" x14ac:dyDescent="0.25">
      <c r="A15" s="1">
        <v>14</v>
      </c>
      <c r="B15" s="1" t="s">
        <v>697</v>
      </c>
      <c r="P15" s="1">
        <v>4</v>
      </c>
      <c r="Q15" s="1" t="s">
        <v>1839</v>
      </c>
    </row>
    <row r="16" spans="1:22" x14ac:dyDescent="0.25">
      <c r="A16" s="1">
        <v>15</v>
      </c>
      <c r="B16" s="1" t="s">
        <v>697</v>
      </c>
    </row>
    <row r="17" spans="1:17" x14ac:dyDescent="0.25">
      <c r="A17" s="1">
        <v>16</v>
      </c>
      <c r="B17" s="1" t="s">
        <v>697</v>
      </c>
      <c r="P17" s="2" t="s">
        <v>1813</v>
      </c>
    </row>
    <row r="18" spans="1:17" x14ac:dyDescent="0.25">
      <c r="D18" s="15"/>
      <c r="E18" s="7"/>
      <c r="P18" s="1">
        <v>1</v>
      </c>
      <c r="Q18" s="1" t="s">
        <v>1840</v>
      </c>
    </row>
    <row r="19" spans="1:17" x14ac:dyDescent="0.25">
      <c r="A19" s="2" t="s">
        <v>671</v>
      </c>
      <c r="D19" s="2" t="s">
        <v>699</v>
      </c>
      <c r="I19" s="2" t="s">
        <v>674</v>
      </c>
      <c r="P19" s="1">
        <v>2</v>
      </c>
      <c r="Q19" s="1" t="s">
        <v>1841</v>
      </c>
    </row>
    <row r="20" spans="1:17" x14ac:dyDescent="0.25">
      <c r="A20" s="1">
        <v>1</v>
      </c>
      <c r="B20" s="1" t="s">
        <v>672</v>
      </c>
      <c r="D20" s="1">
        <v>1</v>
      </c>
      <c r="E20" s="1" t="s">
        <v>708</v>
      </c>
      <c r="F20" s="1" t="s">
        <v>702</v>
      </c>
      <c r="G20" s="1" t="s">
        <v>705</v>
      </c>
      <c r="I20" s="1">
        <v>1</v>
      </c>
      <c r="J20" s="1" t="s">
        <v>1</v>
      </c>
      <c r="P20" s="1">
        <v>3</v>
      </c>
      <c r="Q20" s="1" t="s">
        <v>1842</v>
      </c>
    </row>
    <row r="21" spans="1:17" x14ac:dyDescent="0.25">
      <c r="A21" s="1">
        <v>2</v>
      </c>
      <c r="B21" s="1" t="s">
        <v>673</v>
      </c>
      <c r="D21" s="1">
        <v>2</v>
      </c>
      <c r="E21" s="1" t="s">
        <v>700</v>
      </c>
      <c r="F21" s="1" t="s">
        <v>703</v>
      </c>
      <c r="G21" s="1" t="s">
        <v>706</v>
      </c>
      <c r="I21" s="1">
        <v>2</v>
      </c>
      <c r="J21" s="1" t="s">
        <v>2</v>
      </c>
      <c r="P21" s="1">
        <v>4</v>
      </c>
      <c r="Q21" s="1" t="s">
        <v>1752</v>
      </c>
    </row>
    <row r="22" spans="1:17" x14ac:dyDescent="0.25">
      <c r="D22" s="1">
        <v>3</v>
      </c>
      <c r="E22" s="1" t="s">
        <v>701</v>
      </c>
      <c r="F22" s="1" t="s">
        <v>704</v>
      </c>
      <c r="G22" s="1" t="s">
        <v>707</v>
      </c>
      <c r="I22" s="1">
        <v>3</v>
      </c>
      <c r="J22" s="1" t="s">
        <v>3</v>
      </c>
      <c r="P22" s="1">
        <v>5</v>
      </c>
      <c r="Q22" s="1" t="s">
        <v>1843</v>
      </c>
    </row>
    <row r="23" spans="1:17" x14ac:dyDescent="0.25">
      <c r="I23" s="1">
        <v>4</v>
      </c>
      <c r="J23" s="1" t="s">
        <v>4</v>
      </c>
      <c r="P23" s="1">
        <v>6</v>
      </c>
      <c r="Q23" s="1" t="s">
        <v>1844</v>
      </c>
    </row>
    <row r="24" spans="1:17" x14ac:dyDescent="0.25">
      <c r="A24" s="2" t="s">
        <v>725</v>
      </c>
      <c r="D24" s="2" t="s">
        <v>741</v>
      </c>
      <c r="I24" s="1">
        <v>5</v>
      </c>
      <c r="J24" s="1" t="s">
        <v>39</v>
      </c>
      <c r="P24" s="1">
        <v>7</v>
      </c>
      <c r="Q24" s="1" t="s">
        <v>1845</v>
      </c>
    </row>
    <row r="25" spans="1:17" x14ac:dyDescent="0.25">
      <c r="A25" s="1">
        <v>1</v>
      </c>
      <c r="B25" s="1" t="s">
        <v>726</v>
      </c>
      <c r="D25" s="13">
        <f t="shared" ref="D25:D34" ca="1" si="0">_xlfn.RANK.EQ(E25,$E$25:$E$34)</f>
        <v>2</v>
      </c>
      <c r="E25" s="12">
        <f t="shared" ref="E25:E34" ca="1" si="1">RAND()</f>
        <v>0.78806250309764514</v>
      </c>
      <c r="F25" s="3" t="s">
        <v>715</v>
      </c>
      <c r="I25" s="1">
        <v>6</v>
      </c>
      <c r="J25" s="1" t="s">
        <v>6</v>
      </c>
      <c r="P25" s="1">
        <v>8</v>
      </c>
      <c r="Q25" s="1" t="s">
        <v>1846</v>
      </c>
    </row>
    <row r="26" spans="1:17" x14ac:dyDescent="0.25">
      <c r="A26" s="1">
        <v>2</v>
      </c>
      <c r="B26" s="1" t="s">
        <v>727</v>
      </c>
      <c r="D26" s="13">
        <f t="shared" ca="1" si="0"/>
        <v>10</v>
      </c>
      <c r="E26" s="12">
        <f t="shared" ca="1" si="1"/>
        <v>3.428750665510194E-2</v>
      </c>
      <c r="F26" s="4" t="s">
        <v>716</v>
      </c>
      <c r="P26" s="1">
        <v>9</v>
      </c>
      <c r="Q26" s="1" t="s">
        <v>1847</v>
      </c>
    </row>
    <row r="27" spans="1:17" x14ac:dyDescent="0.25">
      <c r="D27" s="13">
        <f t="shared" ca="1" si="0"/>
        <v>5</v>
      </c>
      <c r="E27" s="12">
        <f t="shared" ca="1" si="1"/>
        <v>0.40047822530923682</v>
      </c>
      <c r="F27" s="3" t="s">
        <v>717</v>
      </c>
      <c r="I27" s="2" t="s">
        <v>683</v>
      </c>
      <c r="P27" s="1">
        <v>10</v>
      </c>
      <c r="Q27" s="1" t="s">
        <v>1848</v>
      </c>
    </row>
    <row r="28" spans="1:17" x14ac:dyDescent="0.25">
      <c r="A28" s="2" t="s">
        <v>1328</v>
      </c>
      <c r="D28" s="13">
        <f t="shared" ca="1" si="0"/>
        <v>1</v>
      </c>
      <c r="E28" s="12">
        <f t="shared" ca="1" si="1"/>
        <v>0.88764087828729255</v>
      </c>
      <c r="F28" s="4" t="s">
        <v>718</v>
      </c>
      <c r="I28" s="1">
        <v>1</v>
      </c>
      <c r="J28" s="1">
        <v>1</v>
      </c>
    </row>
    <row r="29" spans="1:17" x14ac:dyDescent="0.25">
      <c r="A29" s="1">
        <v>1</v>
      </c>
      <c r="B29" s="1" t="s">
        <v>1329</v>
      </c>
      <c r="D29" s="13">
        <f t="shared" ca="1" si="0"/>
        <v>6</v>
      </c>
      <c r="E29" s="12">
        <f t="shared" ca="1" si="1"/>
        <v>0.40003832022097729</v>
      </c>
      <c r="F29" s="1" t="s">
        <v>719</v>
      </c>
      <c r="I29" s="1">
        <v>2</v>
      </c>
      <c r="J29" s="1">
        <v>1</v>
      </c>
      <c r="P29" s="2" t="s">
        <v>1849</v>
      </c>
    </row>
    <row r="30" spans="1:17" x14ac:dyDescent="0.25">
      <c r="A30" s="1">
        <v>2</v>
      </c>
      <c r="B30" s="1" t="s">
        <v>1330</v>
      </c>
      <c r="D30" s="13">
        <f t="shared" ca="1" si="0"/>
        <v>7</v>
      </c>
      <c r="E30" s="12">
        <f t="shared" ca="1" si="1"/>
        <v>0.22179219406363271</v>
      </c>
      <c r="F30" s="1" t="s">
        <v>720</v>
      </c>
      <c r="I30" s="1">
        <v>3</v>
      </c>
      <c r="J30" s="1">
        <v>1</v>
      </c>
      <c r="P30" s="1">
        <v>1</v>
      </c>
      <c r="Q30" s="1" t="s">
        <v>1682</v>
      </c>
    </row>
    <row r="31" spans="1:17" x14ac:dyDescent="0.25">
      <c r="A31" s="1">
        <v>3</v>
      </c>
      <c r="B31" s="1" t="s">
        <v>882</v>
      </c>
      <c r="D31" s="13">
        <f t="shared" ca="1" si="0"/>
        <v>3</v>
      </c>
      <c r="E31" s="12">
        <f t="shared" ca="1" si="1"/>
        <v>0.75570923892575281</v>
      </c>
      <c r="F31" s="1" t="s">
        <v>721</v>
      </c>
      <c r="I31" s="1">
        <v>4</v>
      </c>
      <c r="J31" s="1">
        <v>1</v>
      </c>
      <c r="P31" s="1">
        <v>2</v>
      </c>
      <c r="Q31" s="1" t="s">
        <v>1798</v>
      </c>
    </row>
    <row r="32" spans="1:17" x14ac:dyDescent="0.25">
      <c r="A32" s="1">
        <v>4</v>
      </c>
      <c r="B32" s="1" t="s">
        <v>21</v>
      </c>
      <c r="D32" s="13">
        <f t="shared" ca="1" si="0"/>
        <v>8</v>
      </c>
      <c r="E32" s="12">
        <f t="shared" ca="1" si="1"/>
        <v>0.18410289561027116</v>
      </c>
      <c r="F32" s="1" t="s">
        <v>722</v>
      </c>
      <c r="I32" s="1">
        <v>5</v>
      </c>
      <c r="J32" s="1">
        <v>1</v>
      </c>
      <c r="P32" s="1">
        <v>3</v>
      </c>
      <c r="Q32" s="1" t="s">
        <v>1789</v>
      </c>
    </row>
    <row r="33" spans="1:25" x14ac:dyDescent="0.25">
      <c r="A33" s="1">
        <v>5</v>
      </c>
      <c r="B33" s="1" t="s">
        <v>1331</v>
      </c>
      <c r="D33" s="13">
        <f t="shared" ca="1" si="0"/>
        <v>9</v>
      </c>
      <c r="E33" s="12">
        <f t="shared" ca="1" si="1"/>
        <v>0.15542955331659669</v>
      </c>
      <c r="F33" s="1" t="s">
        <v>724</v>
      </c>
      <c r="I33" s="1">
        <v>6</v>
      </c>
      <c r="J33" s="1">
        <v>1</v>
      </c>
      <c r="P33" s="1">
        <v>4</v>
      </c>
      <c r="Q33" s="1" t="s">
        <v>1850</v>
      </c>
    </row>
    <row r="34" spans="1:25" x14ac:dyDescent="0.25">
      <c r="A34" s="1">
        <v>6</v>
      </c>
      <c r="B34" s="1" t="s">
        <v>1332</v>
      </c>
      <c r="D34" s="13">
        <f t="shared" ca="1" si="0"/>
        <v>4</v>
      </c>
      <c r="E34" s="12">
        <f t="shared" ca="1" si="1"/>
        <v>0.44399096334207688</v>
      </c>
      <c r="F34" s="1" t="s">
        <v>723</v>
      </c>
      <c r="I34" s="1">
        <v>7</v>
      </c>
      <c r="J34" s="1">
        <v>1</v>
      </c>
      <c r="P34" s="1">
        <v>5</v>
      </c>
      <c r="Q34" s="1" t="s">
        <v>1785</v>
      </c>
    </row>
    <row r="35" spans="1:25" x14ac:dyDescent="0.25">
      <c r="A35" s="1">
        <v>7</v>
      </c>
      <c r="B35" s="1" t="s">
        <v>1333</v>
      </c>
      <c r="I35" s="1">
        <v>8</v>
      </c>
      <c r="J35" s="1">
        <v>2</v>
      </c>
      <c r="P35" s="1">
        <v>6</v>
      </c>
      <c r="Q35" s="1" t="s">
        <v>1851</v>
      </c>
    </row>
    <row r="36" spans="1:25" x14ac:dyDescent="0.25">
      <c r="I36" s="1">
        <v>9</v>
      </c>
      <c r="J36" s="1">
        <v>2</v>
      </c>
      <c r="P36" s="1">
        <v>7</v>
      </c>
      <c r="Q36" s="1" t="s">
        <v>1783</v>
      </c>
    </row>
    <row r="37" spans="1:25" x14ac:dyDescent="0.25">
      <c r="A37" s="2" t="s">
        <v>1345</v>
      </c>
      <c r="D37" s="2" t="s">
        <v>1348</v>
      </c>
      <c r="I37" s="1">
        <v>10</v>
      </c>
      <c r="J37" s="1">
        <v>2</v>
      </c>
      <c r="P37" s="1">
        <v>8</v>
      </c>
      <c r="Q37" s="1" t="s">
        <v>1782</v>
      </c>
    </row>
    <row r="38" spans="1:25" x14ac:dyDescent="0.25">
      <c r="A38" s="1">
        <v>1</v>
      </c>
      <c r="B38" s="1" t="s">
        <v>1346</v>
      </c>
      <c r="D38" s="1">
        <v>1</v>
      </c>
      <c r="E38" s="1" t="s">
        <v>1349</v>
      </c>
      <c r="P38" s="1">
        <v>9</v>
      </c>
      <c r="Q38" s="1" t="s">
        <v>1852</v>
      </c>
    </row>
    <row r="39" spans="1:25" x14ac:dyDescent="0.25">
      <c r="A39" s="1">
        <v>2</v>
      </c>
      <c r="B39" s="1" t="s">
        <v>1347</v>
      </c>
      <c r="D39" s="1">
        <v>2</v>
      </c>
      <c r="E39" s="1" t="s">
        <v>1350</v>
      </c>
      <c r="I39" s="2" t="s">
        <v>1362</v>
      </c>
      <c r="P39" s="1">
        <v>10</v>
      </c>
      <c r="Q39" s="1" t="s">
        <v>1751</v>
      </c>
    </row>
    <row r="40" spans="1:25" x14ac:dyDescent="0.25">
      <c r="D40" s="1">
        <v>3</v>
      </c>
      <c r="E40" s="1" t="s">
        <v>1351</v>
      </c>
      <c r="I40" s="14">
        <f t="shared" ref="I40:I55" ca="1" si="2">_xlfn.RANK.EQ(J40,$J$40:$J$55)</f>
        <v>12</v>
      </c>
      <c r="J40" s="11">
        <f t="shared" ref="J40:J55" ca="1" si="3">RAND()</f>
        <v>0.19643838653925316</v>
      </c>
      <c r="K40" s="1" t="s">
        <v>1363</v>
      </c>
      <c r="P40" s="1">
        <v>11</v>
      </c>
      <c r="Q40" s="1" t="s">
        <v>1746</v>
      </c>
    </row>
    <row r="41" spans="1:25" x14ac:dyDescent="0.25">
      <c r="A41" s="2" t="s">
        <v>1223</v>
      </c>
      <c r="D41" s="1">
        <v>4</v>
      </c>
      <c r="E41" s="1" t="s">
        <v>591</v>
      </c>
      <c r="I41" s="14">
        <f t="shared" ca="1" si="2"/>
        <v>15</v>
      </c>
      <c r="J41" s="11">
        <f t="shared" ca="1" si="3"/>
        <v>0.15908262879523782</v>
      </c>
      <c r="K41" s="1" t="s">
        <v>1364</v>
      </c>
      <c r="P41" s="1">
        <v>12</v>
      </c>
      <c r="Q41" s="1" t="s">
        <v>1742</v>
      </c>
      <c r="V41" s="2"/>
    </row>
    <row r="42" spans="1:25" x14ac:dyDescent="0.25">
      <c r="A42" s="1">
        <v>1</v>
      </c>
      <c r="B42" s="1" t="s">
        <v>1224</v>
      </c>
      <c r="D42" s="1">
        <v>5</v>
      </c>
      <c r="E42" s="1" t="s">
        <v>1352</v>
      </c>
      <c r="I42" s="14">
        <f t="shared" ca="1" si="2"/>
        <v>14</v>
      </c>
      <c r="J42" s="11">
        <f t="shared" ca="1" si="3"/>
        <v>0.16526468157315699</v>
      </c>
      <c r="K42" s="1" t="s">
        <v>1365</v>
      </c>
      <c r="P42" s="1">
        <v>13</v>
      </c>
      <c r="Q42" s="1" t="s">
        <v>1732</v>
      </c>
    </row>
    <row r="43" spans="1:25" x14ac:dyDescent="0.25">
      <c r="A43" s="1">
        <v>2</v>
      </c>
      <c r="B43" s="1" t="s">
        <v>1225</v>
      </c>
      <c r="D43" s="1">
        <v>6</v>
      </c>
      <c r="E43" s="1" t="s">
        <v>215</v>
      </c>
      <c r="I43" s="14">
        <f t="shared" ca="1" si="2"/>
        <v>4</v>
      </c>
      <c r="J43" s="11">
        <f t="shared" ca="1" si="3"/>
        <v>0.80277225972620203</v>
      </c>
      <c r="K43" s="1" t="s">
        <v>1366</v>
      </c>
      <c r="P43" s="1">
        <v>14</v>
      </c>
      <c r="Q43" s="1" t="s">
        <v>1727</v>
      </c>
    </row>
    <row r="44" spans="1:25" x14ac:dyDescent="0.25">
      <c r="A44" s="1">
        <v>3</v>
      </c>
      <c r="B44" s="1" t="s">
        <v>1221</v>
      </c>
      <c r="D44" s="1">
        <v>7</v>
      </c>
      <c r="E44" s="1" t="s">
        <v>1353</v>
      </c>
      <c r="I44" s="14">
        <f t="shared" ca="1" si="2"/>
        <v>7</v>
      </c>
      <c r="J44" s="11">
        <f t="shared" ca="1" si="3"/>
        <v>0.5653249952974172</v>
      </c>
      <c r="K44" s="1" t="s">
        <v>1367</v>
      </c>
      <c r="P44" s="1">
        <v>15</v>
      </c>
      <c r="Q44" s="1" t="s">
        <v>1853</v>
      </c>
    </row>
    <row r="45" spans="1:25" x14ac:dyDescent="0.25">
      <c r="D45" s="1">
        <v>8</v>
      </c>
      <c r="E45" s="1" t="s">
        <v>1354</v>
      </c>
      <c r="I45" s="14">
        <f t="shared" ca="1" si="2"/>
        <v>2</v>
      </c>
      <c r="J45" s="11">
        <f t="shared" ca="1" si="3"/>
        <v>0.84784311080551322</v>
      </c>
      <c r="K45" s="1" t="s">
        <v>1368</v>
      </c>
      <c r="P45" s="1">
        <v>16</v>
      </c>
      <c r="Q45" s="1" t="s">
        <v>1854</v>
      </c>
    </row>
    <row r="46" spans="1:25" x14ac:dyDescent="0.25">
      <c r="A46" s="2" t="s">
        <v>1408</v>
      </c>
      <c r="I46" s="14">
        <f t="shared" ca="1" si="2"/>
        <v>8</v>
      </c>
      <c r="J46" s="11">
        <f t="shared" ca="1" si="3"/>
        <v>0.55140490319641955</v>
      </c>
      <c r="K46" s="1" t="s">
        <v>1369</v>
      </c>
      <c r="P46" s="1">
        <v>17</v>
      </c>
      <c r="Q46" s="1" t="s">
        <v>1701</v>
      </c>
      <c r="V46" s="2"/>
      <c r="Y46" s="2"/>
    </row>
    <row r="47" spans="1:25" x14ac:dyDescent="0.25">
      <c r="A47" s="1">
        <v>1</v>
      </c>
      <c r="B47" s="1" t="s">
        <v>1409</v>
      </c>
      <c r="D47" s="2" t="s">
        <v>1355</v>
      </c>
      <c r="I47" s="14">
        <f t="shared" ca="1" si="2"/>
        <v>3</v>
      </c>
      <c r="J47" s="11">
        <f t="shared" ca="1" si="3"/>
        <v>0.82612697922058198</v>
      </c>
      <c r="K47" s="1" t="s">
        <v>1370</v>
      </c>
      <c r="P47" s="1">
        <v>18</v>
      </c>
      <c r="Q47" s="1" t="s">
        <v>1695</v>
      </c>
    </row>
    <row r="48" spans="1:25" x14ac:dyDescent="0.25">
      <c r="A48" s="1">
        <v>2</v>
      </c>
      <c r="B48" s="1" t="s">
        <v>1411</v>
      </c>
      <c r="D48" s="13">
        <f t="shared" ref="D48:D53" ca="1" si="4">_xlfn.RANK.EQ(E48,$E$48:$E$53)</f>
        <v>2</v>
      </c>
      <c r="E48" s="1">
        <f t="shared" ref="E48:E53" ca="1" si="5">RAND()</f>
        <v>0.80496773035459701</v>
      </c>
      <c r="F48" s="1" t="s">
        <v>1356</v>
      </c>
      <c r="I48" s="14">
        <f t="shared" ca="1" si="2"/>
        <v>13</v>
      </c>
      <c r="J48" s="11">
        <f t="shared" ca="1" si="3"/>
        <v>0.17230953247815772</v>
      </c>
      <c r="K48" s="1" t="s">
        <v>1371</v>
      </c>
      <c r="P48" s="1">
        <v>19</v>
      </c>
      <c r="Q48" s="1" t="s">
        <v>1697</v>
      </c>
    </row>
    <row r="49" spans="1:17" x14ac:dyDescent="0.25">
      <c r="A49" s="1">
        <v>3</v>
      </c>
      <c r="B49" s="1" t="s">
        <v>1410</v>
      </c>
      <c r="D49" s="13">
        <f t="shared" ca="1" si="4"/>
        <v>3</v>
      </c>
      <c r="E49" s="1">
        <f t="shared" ca="1" si="5"/>
        <v>0.71364967220537245</v>
      </c>
      <c r="F49" s="1" t="s">
        <v>1357</v>
      </c>
      <c r="I49" s="14">
        <f t="shared" ca="1" si="2"/>
        <v>5</v>
      </c>
      <c r="J49" s="11">
        <f t="shared" ca="1" si="3"/>
        <v>0.70710059262078562</v>
      </c>
      <c r="K49" s="1" t="s">
        <v>1372</v>
      </c>
      <c r="P49" s="1">
        <v>20</v>
      </c>
      <c r="Q49" s="1" t="s">
        <v>1693</v>
      </c>
    </row>
    <row r="50" spans="1:17" x14ac:dyDescent="0.25">
      <c r="D50" s="13">
        <f t="shared" ca="1" si="4"/>
        <v>1</v>
      </c>
      <c r="E50" s="1">
        <f t="shared" ca="1" si="5"/>
        <v>0.97679295698725377</v>
      </c>
      <c r="F50" s="1" t="s">
        <v>1358</v>
      </c>
      <c r="I50" s="14">
        <f t="shared" ca="1" si="2"/>
        <v>9</v>
      </c>
      <c r="J50" s="11">
        <f t="shared" ca="1" si="3"/>
        <v>0.51164680252625883</v>
      </c>
      <c r="K50" s="1" t="s">
        <v>1373</v>
      </c>
    </row>
    <row r="51" spans="1:17" x14ac:dyDescent="0.25">
      <c r="A51" s="2" t="s">
        <v>1453</v>
      </c>
      <c r="D51" s="13">
        <f t="shared" ca="1" si="4"/>
        <v>5</v>
      </c>
      <c r="E51" s="1">
        <f t="shared" ca="1" si="5"/>
        <v>0.63239198902472016</v>
      </c>
      <c r="F51" s="1" t="s">
        <v>1359</v>
      </c>
      <c r="I51" s="14">
        <f t="shared" ca="1" si="2"/>
        <v>1</v>
      </c>
      <c r="J51" s="11">
        <f t="shared" ca="1" si="3"/>
        <v>0.91073348519592257</v>
      </c>
      <c r="K51" s="1" t="s">
        <v>1374</v>
      </c>
      <c r="P51" s="2" t="s">
        <v>1855</v>
      </c>
    </row>
    <row r="52" spans="1:17" x14ac:dyDescent="0.25">
      <c r="A52" s="1">
        <v>1</v>
      </c>
      <c r="B52" s="1" t="s">
        <v>1357</v>
      </c>
      <c r="D52" s="13">
        <f t="shared" ca="1" si="4"/>
        <v>4</v>
      </c>
      <c r="E52" s="1">
        <f t="shared" ca="1" si="5"/>
        <v>0.69241478653451838</v>
      </c>
      <c r="F52" s="1" t="s">
        <v>1360</v>
      </c>
      <c r="I52" s="14">
        <f t="shared" ca="1" si="2"/>
        <v>16</v>
      </c>
      <c r="J52" s="11">
        <f t="shared" ca="1" si="3"/>
        <v>9.0717951997058788E-2</v>
      </c>
      <c r="K52" s="1" t="s">
        <v>1375</v>
      </c>
      <c r="P52" s="1">
        <v>1</v>
      </c>
      <c r="Q52" s="1" t="s">
        <v>1856</v>
      </c>
    </row>
    <row r="53" spans="1:17" x14ac:dyDescent="0.25">
      <c r="A53" s="1">
        <v>2</v>
      </c>
      <c r="B53" s="1" t="s">
        <v>1358</v>
      </c>
      <c r="D53" s="13">
        <f t="shared" ca="1" si="4"/>
        <v>6</v>
      </c>
      <c r="E53" s="1">
        <f t="shared" ca="1" si="5"/>
        <v>0.36741659273983829</v>
      </c>
      <c r="F53" s="1" t="s">
        <v>1361</v>
      </c>
      <c r="I53" s="14">
        <f t="shared" ca="1" si="2"/>
        <v>6</v>
      </c>
      <c r="J53" s="11">
        <f t="shared" ca="1" si="3"/>
        <v>0.64570887289469214</v>
      </c>
      <c r="K53" s="1" t="s">
        <v>1376</v>
      </c>
      <c r="P53" s="1">
        <v>2</v>
      </c>
      <c r="Q53" s="1" t="s">
        <v>1857</v>
      </c>
    </row>
    <row r="54" spans="1:17" x14ac:dyDescent="0.25">
      <c r="A54" s="1">
        <v>3</v>
      </c>
      <c r="B54" s="1" t="s">
        <v>1359</v>
      </c>
      <c r="I54" s="14">
        <f t="shared" ca="1" si="2"/>
        <v>11</v>
      </c>
      <c r="J54" s="11">
        <f t="shared" ca="1" si="3"/>
        <v>0.24195260146546693</v>
      </c>
      <c r="K54" s="1" t="s">
        <v>1377</v>
      </c>
      <c r="P54" s="1">
        <v>3</v>
      </c>
      <c r="Q54" s="1" t="s">
        <v>1858</v>
      </c>
    </row>
    <row r="55" spans="1:17" x14ac:dyDescent="0.25">
      <c r="A55" s="1">
        <v>4</v>
      </c>
      <c r="B55" s="1" t="s">
        <v>1360</v>
      </c>
      <c r="D55" s="2" t="s">
        <v>1570</v>
      </c>
      <c r="I55" s="14">
        <f t="shared" ca="1" si="2"/>
        <v>10</v>
      </c>
      <c r="J55" s="11">
        <f t="shared" ca="1" si="3"/>
        <v>0.44735562855709865</v>
      </c>
      <c r="K55" s="1" t="s">
        <v>1378</v>
      </c>
      <c r="P55" s="1">
        <v>4</v>
      </c>
      <c r="Q55" s="1" t="s">
        <v>1761</v>
      </c>
    </row>
    <row r="56" spans="1:17" x14ac:dyDescent="0.25">
      <c r="D56" s="1">
        <v>1</v>
      </c>
      <c r="E56" s="1" t="s">
        <v>1405</v>
      </c>
      <c r="P56" s="1">
        <v>5</v>
      </c>
      <c r="Q56" s="1" t="s">
        <v>1859</v>
      </c>
    </row>
    <row r="57" spans="1:17" x14ac:dyDescent="0.25">
      <c r="A57" s="2" t="s">
        <v>1454</v>
      </c>
      <c r="D57" s="1">
        <v>2</v>
      </c>
      <c r="E57" s="1" t="s">
        <v>1405</v>
      </c>
      <c r="I57" s="2" t="s">
        <v>1379</v>
      </c>
      <c r="L57" s="2" t="s">
        <v>1432</v>
      </c>
      <c r="M57" s="1" t="s">
        <v>1436</v>
      </c>
      <c r="N57" s="1" t="s">
        <v>1437</v>
      </c>
      <c r="P57" s="1">
        <v>6</v>
      </c>
      <c r="Q57" s="1" t="s">
        <v>1860</v>
      </c>
    </row>
    <row r="58" spans="1:17" x14ac:dyDescent="0.25">
      <c r="A58" s="1">
        <v>1</v>
      </c>
      <c r="B58" s="1" t="s">
        <v>1455</v>
      </c>
      <c r="D58" s="1">
        <v>3</v>
      </c>
      <c r="E58" s="1" t="s">
        <v>1571</v>
      </c>
      <c r="I58" s="1">
        <v>1</v>
      </c>
      <c r="J58" s="1">
        <v>0</v>
      </c>
      <c r="L58" s="1">
        <v>1</v>
      </c>
      <c r="M58" s="1" t="s">
        <v>1430</v>
      </c>
      <c r="N58" s="1" t="s">
        <v>1405</v>
      </c>
      <c r="P58" s="1">
        <v>7</v>
      </c>
      <c r="Q58" s="1" t="s">
        <v>1861</v>
      </c>
    </row>
    <row r="59" spans="1:17" x14ac:dyDescent="0.25">
      <c r="A59" s="1">
        <v>2</v>
      </c>
      <c r="B59" s="1" t="s">
        <v>1456</v>
      </c>
      <c r="D59" s="1">
        <v>4</v>
      </c>
      <c r="E59" s="1" t="s">
        <v>1571</v>
      </c>
      <c r="I59" s="1">
        <v>2</v>
      </c>
      <c r="J59" s="1">
        <v>0</v>
      </c>
      <c r="L59" s="1">
        <v>2</v>
      </c>
      <c r="M59" s="1" t="s">
        <v>1430</v>
      </c>
      <c r="N59" s="1" t="s">
        <v>1405</v>
      </c>
      <c r="P59" s="1">
        <v>8</v>
      </c>
      <c r="Q59" s="1" t="s">
        <v>1862</v>
      </c>
    </row>
    <row r="60" spans="1:17" x14ac:dyDescent="0.25">
      <c r="A60" s="1">
        <v>3</v>
      </c>
      <c r="B60" s="1" t="s">
        <v>1457</v>
      </c>
      <c r="D60" s="1">
        <v>5</v>
      </c>
      <c r="E60" s="1" t="s">
        <v>1572</v>
      </c>
      <c r="I60" s="1">
        <v>3</v>
      </c>
      <c r="J60" s="1" t="s">
        <v>1380</v>
      </c>
      <c r="L60" s="1">
        <v>3</v>
      </c>
      <c r="M60" s="1" t="s">
        <v>1430</v>
      </c>
      <c r="N60" s="1" t="s">
        <v>1405</v>
      </c>
      <c r="P60" s="1">
        <v>9</v>
      </c>
      <c r="Q60" s="1" t="s">
        <v>1863</v>
      </c>
    </row>
    <row r="61" spans="1:17" x14ac:dyDescent="0.25">
      <c r="D61" s="1">
        <v>6</v>
      </c>
      <c r="E61" s="1" t="s">
        <v>1572</v>
      </c>
      <c r="I61" s="1">
        <v>4</v>
      </c>
      <c r="J61" s="1" t="s">
        <v>1380</v>
      </c>
      <c r="L61" s="1">
        <v>4</v>
      </c>
      <c r="M61" s="1" t="s">
        <v>1430</v>
      </c>
      <c r="N61" s="1" t="s">
        <v>1405</v>
      </c>
      <c r="P61" s="1">
        <v>10</v>
      </c>
      <c r="Q61" s="1" t="s">
        <v>1864</v>
      </c>
    </row>
    <row r="62" spans="1:17" x14ac:dyDescent="0.25">
      <c r="A62" s="2" t="s">
        <v>1510</v>
      </c>
      <c r="D62" s="1">
        <v>7</v>
      </c>
      <c r="E62" s="1" t="s">
        <v>1573</v>
      </c>
      <c r="I62" s="1">
        <v>5</v>
      </c>
      <c r="J62" s="1" t="s">
        <v>1380</v>
      </c>
      <c r="L62" s="1">
        <v>5</v>
      </c>
      <c r="M62" s="1" t="s">
        <v>1431</v>
      </c>
      <c r="N62" s="1" t="s">
        <v>1405</v>
      </c>
    </row>
    <row r="63" spans="1:17" x14ac:dyDescent="0.25">
      <c r="A63" s="1">
        <v>1</v>
      </c>
      <c r="B63" s="1" t="s">
        <v>1356</v>
      </c>
      <c r="D63" s="1">
        <v>8</v>
      </c>
      <c r="E63" s="1" t="s">
        <v>1573</v>
      </c>
      <c r="I63" s="1">
        <v>6</v>
      </c>
      <c r="J63" s="1" t="s">
        <v>1380</v>
      </c>
      <c r="L63" s="1">
        <v>6</v>
      </c>
      <c r="M63" s="1" t="s">
        <v>1431</v>
      </c>
      <c r="N63" s="1" t="s">
        <v>1405</v>
      </c>
      <c r="P63" s="2" t="s">
        <v>1865</v>
      </c>
    </row>
    <row r="64" spans="1:17" x14ac:dyDescent="0.25">
      <c r="A64" s="1">
        <v>2</v>
      </c>
      <c r="B64" s="1" t="s">
        <v>1357</v>
      </c>
      <c r="D64" s="1">
        <v>9</v>
      </c>
      <c r="E64" s="1" t="s">
        <v>1574</v>
      </c>
      <c r="I64" s="1">
        <v>7</v>
      </c>
      <c r="J64" s="1" t="s">
        <v>1381</v>
      </c>
      <c r="L64" s="1">
        <v>7</v>
      </c>
      <c r="M64" s="1" t="s">
        <v>1431</v>
      </c>
      <c r="N64" s="1" t="s">
        <v>1405</v>
      </c>
      <c r="P64" s="1">
        <v>1</v>
      </c>
      <c r="Q64" s="1" t="s">
        <v>1682</v>
      </c>
    </row>
    <row r="65" spans="1:17" x14ac:dyDescent="0.25">
      <c r="A65" s="1">
        <v>3</v>
      </c>
      <c r="B65" s="1" t="s">
        <v>1358</v>
      </c>
      <c r="D65" s="1">
        <v>10</v>
      </c>
      <c r="E65" s="1" t="s">
        <v>1574</v>
      </c>
      <c r="I65" s="1">
        <v>8</v>
      </c>
      <c r="J65" s="1" t="s">
        <v>1381</v>
      </c>
      <c r="L65" s="1">
        <v>8</v>
      </c>
      <c r="M65" s="1" t="s">
        <v>1431</v>
      </c>
      <c r="N65" s="1" t="s">
        <v>1405</v>
      </c>
      <c r="P65" s="1">
        <v>2</v>
      </c>
      <c r="Q65" s="1" t="s">
        <v>1866</v>
      </c>
    </row>
    <row r="66" spans="1:17" x14ac:dyDescent="0.25">
      <c r="A66" s="1">
        <v>4</v>
      </c>
      <c r="B66" s="1" t="s">
        <v>1361</v>
      </c>
      <c r="D66" s="1">
        <v>11</v>
      </c>
      <c r="E66" s="1" t="s">
        <v>1575</v>
      </c>
      <c r="I66" s="1">
        <v>9</v>
      </c>
      <c r="J66" s="1" t="s">
        <v>1381</v>
      </c>
      <c r="L66" s="1">
        <v>9</v>
      </c>
      <c r="M66" s="1" t="s">
        <v>1431</v>
      </c>
      <c r="N66" s="1" t="s">
        <v>1406</v>
      </c>
      <c r="P66" s="1">
        <v>3</v>
      </c>
      <c r="Q66" s="1" t="s">
        <v>1867</v>
      </c>
    </row>
    <row r="67" spans="1:17" x14ac:dyDescent="0.25">
      <c r="D67" s="1">
        <v>12</v>
      </c>
      <c r="E67" s="1" t="s">
        <v>1575</v>
      </c>
      <c r="I67" s="1">
        <v>10</v>
      </c>
      <c r="J67" s="1" t="s">
        <v>1384</v>
      </c>
      <c r="L67" s="1">
        <v>10</v>
      </c>
      <c r="M67" s="1" t="s">
        <v>1382</v>
      </c>
      <c r="N67" s="1" t="s">
        <v>1406</v>
      </c>
      <c r="P67" s="1">
        <v>4</v>
      </c>
      <c r="Q67" s="1" t="s">
        <v>1745</v>
      </c>
    </row>
    <row r="68" spans="1:17" x14ac:dyDescent="0.25">
      <c r="A68" s="2" t="s">
        <v>1511</v>
      </c>
      <c r="D68" s="1">
        <v>13</v>
      </c>
      <c r="E68" s="1" t="s">
        <v>1576</v>
      </c>
      <c r="I68" s="1">
        <v>11</v>
      </c>
      <c r="J68" s="1" t="s">
        <v>1384</v>
      </c>
      <c r="L68" s="1">
        <v>11</v>
      </c>
      <c r="M68" s="1" t="s">
        <v>1382</v>
      </c>
      <c r="N68" s="1" t="s">
        <v>1406</v>
      </c>
      <c r="P68" s="1">
        <v>5</v>
      </c>
      <c r="Q68" s="1" t="s">
        <v>1868</v>
      </c>
    </row>
    <row r="69" spans="1:17" x14ac:dyDescent="0.25">
      <c r="A69" s="1">
        <v>1</v>
      </c>
      <c r="B69" s="1" t="s">
        <v>1512</v>
      </c>
      <c r="D69" s="1">
        <v>14</v>
      </c>
      <c r="E69" s="1" t="s">
        <v>1576</v>
      </c>
      <c r="I69" s="1">
        <v>12</v>
      </c>
      <c r="J69" s="1" t="s">
        <v>1384</v>
      </c>
      <c r="L69" s="1">
        <v>12</v>
      </c>
      <c r="M69" s="1" t="s">
        <v>1382</v>
      </c>
      <c r="N69" s="1" t="s">
        <v>1406</v>
      </c>
      <c r="P69" s="1">
        <v>6</v>
      </c>
      <c r="Q69" s="1" t="s">
        <v>1869</v>
      </c>
    </row>
    <row r="70" spans="1:17" x14ac:dyDescent="0.25">
      <c r="A70" s="1">
        <v>2</v>
      </c>
      <c r="B70" s="1" t="s">
        <v>1513</v>
      </c>
      <c r="D70" s="1">
        <v>15</v>
      </c>
      <c r="E70" s="1" t="s">
        <v>1577</v>
      </c>
      <c r="I70" s="1">
        <v>13</v>
      </c>
      <c r="J70" s="1" t="s">
        <v>1384</v>
      </c>
      <c r="L70" s="1">
        <v>13</v>
      </c>
      <c r="M70" s="1" t="s">
        <v>1382</v>
      </c>
      <c r="N70" s="1" t="s">
        <v>1407</v>
      </c>
      <c r="P70" s="1">
        <v>7</v>
      </c>
      <c r="Q70" s="1" t="s">
        <v>1870</v>
      </c>
    </row>
    <row r="71" spans="1:17" x14ac:dyDescent="0.25">
      <c r="D71" s="1">
        <v>16</v>
      </c>
      <c r="E71" s="1" t="s">
        <v>1577</v>
      </c>
      <c r="I71" s="1">
        <v>14</v>
      </c>
      <c r="J71" s="1" t="s">
        <v>1384</v>
      </c>
      <c r="L71" s="1">
        <v>14</v>
      </c>
      <c r="M71" s="1" t="s">
        <v>1382</v>
      </c>
      <c r="N71" s="1" t="s">
        <v>1407</v>
      </c>
      <c r="P71" s="1">
        <v>8</v>
      </c>
      <c r="Q71" s="1" t="s">
        <v>1871</v>
      </c>
    </row>
    <row r="72" spans="1:17" x14ac:dyDescent="0.25">
      <c r="A72" s="2" t="s">
        <v>1249</v>
      </c>
      <c r="D72" s="1">
        <v>17</v>
      </c>
      <c r="E72" s="1" t="s">
        <v>1578</v>
      </c>
      <c r="I72" s="1">
        <v>15</v>
      </c>
      <c r="J72" s="1" t="s">
        <v>1385</v>
      </c>
      <c r="L72" s="1">
        <v>15</v>
      </c>
      <c r="M72" s="1" t="s">
        <v>1383</v>
      </c>
      <c r="N72" s="1" t="s">
        <v>1407</v>
      </c>
    </row>
    <row r="73" spans="1:17" x14ac:dyDescent="0.25">
      <c r="A73" s="1">
        <v>1</v>
      </c>
      <c r="B73" s="1" t="s">
        <v>1250</v>
      </c>
      <c r="D73" s="1">
        <v>18</v>
      </c>
      <c r="E73" s="1" t="s">
        <v>1578</v>
      </c>
      <c r="I73" s="1">
        <v>16</v>
      </c>
      <c r="J73" s="1" t="s">
        <v>1385</v>
      </c>
      <c r="L73" s="1">
        <v>16</v>
      </c>
      <c r="M73" s="1" t="s">
        <v>1383</v>
      </c>
      <c r="N73" s="1" t="s">
        <v>1407</v>
      </c>
      <c r="P73" s="2" t="s">
        <v>1872</v>
      </c>
    </row>
    <row r="74" spans="1:17" x14ac:dyDescent="0.25">
      <c r="A74" s="1">
        <v>2</v>
      </c>
      <c r="B74" s="1" t="s">
        <v>1251</v>
      </c>
      <c r="D74" s="1">
        <v>19</v>
      </c>
      <c r="E74" s="1" t="s">
        <v>1579</v>
      </c>
      <c r="I74" s="1">
        <v>17</v>
      </c>
      <c r="J74" s="1" t="s">
        <v>1385</v>
      </c>
      <c r="L74" s="1">
        <v>17</v>
      </c>
      <c r="M74" s="1" t="s">
        <v>1383</v>
      </c>
      <c r="N74" s="1" t="s">
        <v>1407</v>
      </c>
      <c r="P74" s="1">
        <v>1</v>
      </c>
      <c r="Q74" s="1" t="s">
        <v>1873</v>
      </c>
    </row>
    <row r="75" spans="1:17" x14ac:dyDescent="0.25">
      <c r="A75" s="1">
        <v>3</v>
      </c>
      <c r="B75" s="1" t="s">
        <v>1252</v>
      </c>
      <c r="D75" s="1">
        <v>20</v>
      </c>
      <c r="E75" s="1" t="s">
        <v>1579</v>
      </c>
      <c r="I75" s="1">
        <v>18</v>
      </c>
      <c r="J75" s="1" t="s">
        <v>1386</v>
      </c>
      <c r="L75" s="1">
        <v>18</v>
      </c>
      <c r="M75" s="1" t="s">
        <v>1383</v>
      </c>
      <c r="N75" s="1" t="s">
        <v>1407</v>
      </c>
      <c r="P75" s="1">
        <v>2</v>
      </c>
      <c r="Q75" s="1" t="s">
        <v>1874</v>
      </c>
    </row>
    <row r="76" spans="1:17" x14ac:dyDescent="0.25">
      <c r="I76" s="1">
        <v>19</v>
      </c>
      <c r="J76" s="1" t="s">
        <v>1386</v>
      </c>
      <c r="L76" s="1">
        <v>19</v>
      </c>
      <c r="M76" s="1" t="s">
        <v>1383</v>
      </c>
      <c r="N76" s="1" t="s">
        <v>1407</v>
      </c>
      <c r="P76" s="1">
        <v>3</v>
      </c>
      <c r="Q76" s="1" t="s">
        <v>1875</v>
      </c>
    </row>
    <row r="77" spans="1:17" x14ac:dyDescent="0.25">
      <c r="A77" s="2" t="s">
        <v>1589</v>
      </c>
      <c r="D77" s="2" t="s">
        <v>1580</v>
      </c>
      <c r="I77" s="1">
        <v>20</v>
      </c>
      <c r="J77" s="1" t="s">
        <v>1386</v>
      </c>
      <c r="L77" s="1">
        <v>20</v>
      </c>
      <c r="M77" s="1" t="s">
        <v>1383</v>
      </c>
      <c r="N77" s="1" t="s">
        <v>1407</v>
      </c>
      <c r="P77" s="1">
        <v>4</v>
      </c>
      <c r="Q77" s="1" t="s">
        <v>1876</v>
      </c>
    </row>
    <row r="78" spans="1:17" x14ac:dyDescent="0.25">
      <c r="A78" s="1">
        <v>1</v>
      </c>
      <c r="B78" s="1" t="s">
        <v>1590</v>
      </c>
      <c r="D78" s="14">
        <f t="shared" ref="D78:D85" ca="1" si="6">_xlfn.RANK.EQ(E78,$E$78:$E$85)</f>
        <v>7</v>
      </c>
      <c r="E78" s="1">
        <f t="shared" ref="E78:E85" ca="1" si="7">RAND()</f>
        <v>0.14888942432779229</v>
      </c>
      <c r="F78" s="1" t="s">
        <v>1581</v>
      </c>
      <c r="P78" s="1">
        <v>5</v>
      </c>
      <c r="Q78" s="1" t="s">
        <v>1877</v>
      </c>
    </row>
    <row r="79" spans="1:17" x14ac:dyDescent="0.25">
      <c r="A79" s="1">
        <v>2</v>
      </c>
      <c r="B79" s="1" t="s">
        <v>1591</v>
      </c>
      <c r="D79" s="14">
        <f t="shared" ca="1" si="6"/>
        <v>1</v>
      </c>
      <c r="E79" s="1">
        <f t="shared" ca="1" si="7"/>
        <v>0.75360505516073661</v>
      </c>
      <c r="F79" s="1" t="s">
        <v>1582</v>
      </c>
      <c r="I79" s="2" t="s">
        <v>1388</v>
      </c>
      <c r="P79" s="1">
        <v>6</v>
      </c>
      <c r="Q79" s="1" t="s">
        <v>1878</v>
      </c>
    </row>
    <row r="80" spans="1:17" x14ac:dyDescent="0.25">
      <c r="D80" s="14">
        <f t="shared" ca="1" si="6"/>
        <v>3</v>
      </c>
      <c r="E80" s="1">
        <f t="shared" ca="1" si="7"/>
        <v>0.29997541816849027</v>
      </c>
      <c r="F80" s="1" t="s">
        <v>1583</v>
      </c>
      <c r="I80" s="1">
        <v>1</v>
      </c>
      <c r="J80" s="1" t="s">
        <v>1389</v>
      </c>
      <c r="P80" s="1">
        <v>7</v>
      </c>
      <c r="Q80" s="1" t="s">
        <v>1879</v>
      </c>
    </row>
    <row r="81" spans="1:17" x14ac:dyDescent="0.25">
      <c r="A81" s="2" t="s">
        <v>1603</v>
      </c>
      <c r="D81" s="14">
        <f t="shared" ca="1" si="6"/>
        <v>5</v>
      </c>
      <c r="E81" s="1">
        <f t="shared" ca="1" si="7"/>
        <v>0.23557871630828819</v>
      </c>
      <c r="F81" s="1" t="s">
        <v>1584</v>
      </c>
      <c r="I81" s="1">
        <v>2</v>
      </c>
      <c r="J81" s="1" t="s">
        <v>49</v>
      </c>
      <c r="P81" s="1">
        <v>8</v>
      </c>
      <c r="Q81" s="1" t="s">
        <v>1880</v>
      </c>
    </row>
    <row r="82" spans="1:17" x14ac:dyDescent="0.25">
      <c r="A82" s="1">
        <v>1</v>
      </c>
      <c r="B82" s="1" t="s">
        <v>1604</v>
      </c>
      <c r="D82" s="14">
        <f t="shared" ca="1" si="6"/>
        <v>6</v>
      </c>
      <c r="E82" s="1">
        <f t="shared" ca="1" si="7"/>
        <v>0.21950394727299083</v>
      </c>
      <c r="F82" s="1" t="s">
        <v>1585</v>
      </c>
      <c r="I82" s="1">
        <v>3</v>
      </c>
      <c r="J82" s="1" t="s">
        <v>1390</v>
      </c>
    </row>
    <row r="83" spans="1:17" x14ac:dyDescent="0.25">
      <c r="A83" s="1">
        <v>2</v>
      </c>
      <c r="B83" s="1" t="s">
        <v>1605</v>
      </c>
      <c r="D83" s="14">
        <f t="shared" ca="1" si="6"/>
        <v>2</v>
      </c>
      <c r="E83" s="1">
        <f t="shared" ca="1" si="7"/>
        <v>0.6281626616924384</v>
      </c>
      <c r="F83" s="1" t="s">
        <v>1586</v>
      </c>
      <c r="I83" s="1">
        <v>4</v>
      </c>
      <c r="J83" s="1" t="s">
        <v>1392</v>
      </c>
    </row>
    <row r="84" spans="1:17" x14ac:dyDescent="0.25">
      <c r="A84" s="1">
        <v>3</v>
      </c>
      <c r="B84" s="1" t="s">
        <v>1606</v>
      </c>
      <c r="D84" s="14">
        <f t="shared" ca="1" si="6"/>
        <v>4</v>
      </c>
      <c r="E84" s="1">
        <f t="shared" ca="1" si="7"/>
        <v>0.26463347790726532</v>
      </c>
      <c r="F84" s="1" t="s">
        <v>1587</v>
      </c>
      <c r="I84" s="1">
        <v>5</v>
      </c>
      <c r="J84" s="1" t="s">
        <v>1393</v>
      </c>
    </row>
    <row r="85" spans="1:17" x14ac:dyDescent="0.25">
      <c r="D85" s="14">
        <f t="shared" ca="1" si="6"/>
        <v>8</v>
      </c>
      <c r="E85" s="1">
        <f t="shared" ca="1" si="7"/>
        <v>5.2120264900962554E-2</v>
      </c>
      <c r="F85" s="1" t="s">
        <v>1588</v>
      </c>
      <c r="I85" s="1">
        <v>6</v>
      </c>
      <c r="J85" s="1" t="s">
        <v>1401</v>
      </c>
    </row>
    <row r="86" spans="1:17" x14ac:dyDescent="0.25">
      <c r="A86" s="2" t="s">
        <v>1672</v>
      </c>
      <c r="I86" s="1">
        <v>7</v>
      </c>
      <c r="J86" s="1" t="s">
        <v>1394</v>
      </c>
    </row>
    <row r="87" spans="1:17" x14ac:dyDescent="0.25">
      <c r="A87" s="1">
        <v>1</v>
      </c>
      <c r="B87" s="1" t="s">
        <v>1673</v>
      </c>
      <c r="D87" s="2" t="s">
        <v>1607</v>
      </c>
      <c r="I87" s="1">
        <v>8</v>
      </c>
      <c r="J87" s="1" t="s">
        <v>1395</v>
      </c>
    </row>
    <row r="88" spans="1:17" x14ac:dyDescent="0.25">
      <c r="A88" s="1">
        <v>2</v>
      </c>
      <c r="B88" s="1" t="s">
        <v>1674</v>
      </c>
      <c r="D88" s="1">
        <v>1</v>
      </c>
      <c r="E88" s="1" t="s">
        <v>1608</v>
      </c>
      <c r="I88" s="1">
        <v>9</v>
      </c>
      <c r="J88" s="1" t="s">
        <v>1396</v>
      </c>
    </row>
    <row r="89" spans="1:17" x14ac:dyDescent="0.25">
      <c r="A89" s="1">
        <v>3</v>
      </c>
      <c r="B89" s="1" t="s">
        <v>1675</v>
      </c>
      <c r="D89" s="1">
        <v>2</v>
      </c>
      <c r="E89" s="1" t="s">
        <v>1609</v>
      </c>
      <c r="I89" s="1">
        <v>10</v>
      </c>
      <c r="J89" s="1" t="s">
        <v>50</v>
      </c>
    </row>
    <row r="90" spans="1:17" x14ac:dyDescent="0.25">
      <c r="A90" s="1">
        <v>4</v>
      </c>
      <c r="B90" s="1" t="s">
        <v>1676</v>
      </c>
      <c r="D90" s="1">
        <v>3</v>
      </c>
      <c r="E90" s="1" t="s">
        <v>1610</v>
      </c>
      <c r="I90" s="1">
        <v>11</v>
      </c>
      <c r="J90" s="1" t="s">
        <v>1391</v>
      </c>
    </row>
    <row r="91" spans="1:17" x14ac:dyDescent="0.25">
      <c r="A91" s="1">
        <v>5</v>
      </c>
      <c r="B91" s="1" t="s">
        <v>1677</v>
      </c>
      <c r="D91"/>
      <c r="E91"/>
      <c r="F91"/>
      <c r="I91" s="1">
        <v>12</v>
      </c>
      <c r="J91" s="1" t="s">
        <v>1397</v>
      </c>
    </row>
    <row r="92" spans="1:17" x14ac:dyDescent="0.25">
      <c r="A92" s="1">
        <v>6</v>
      </c>
      <c r="B92" s="1" t="s">
        <v>1678</v>
      </c>
      <c r="D92" s="2" t="s">
        <v>1624</v>
      </c>
      <c r="I92" s="1">
        <v>13</v>
      </c>
      <c r="J92" s="1" t="s">
        <v>48</v>
      </c>
    </row>
    <row r="93" spans="1:17" x14ac:dyDescent="0.25">
      <c r="A93" s="1">
        <v>7</v>
      </c>
      <c r="B93" s="1" t="s">
        <v>1679</v>
      </c>
      <c r="D93" s="14">
        <f t="shared" ref="D93:D103" ca="1" si="8">_xlfn.RANK.EQ(E93,$E$93:$E$103)</f>
        <v>6</v>
      </c>
      <c r="E93" s="1">
        <f t="shared" ref="E93:E103" ca="1" si="9">RAND()</f>
        <v>0.26051723931774429</v>
      </c>
      <c r="F93" s="1" t="s">
        <v>1611</v>
      </c>
      <c r="I93" s="1">
        <v>14</v>
      </c>
      <c r="J93" s="1" t="s">
        <v>1398</v>
      </c>
    </row>
    <row r="94" spans="1:17" x14ac:dyDescent="0.25">
      <c r="A94" s="1">
        <v>8</v>
      </c>
      <c r="B94" s="1" t="s">
        <v>1680</v>
      </c>
      <c r="D94" s="14">
        <f t="shared" ca="1" si="8"/>
        <v>7</v>
      </c>
      <c r="E94" s="1">
        <f t="shared" ca="1" si="9"/>
        <v>0.25062081630846589</v>
      </c>
      <c r="F94" s="1" t="s">
        <v>1612</v>
      </c>
      <c r="I94" s="1">
        <v>15</v>
      </c>
      <c r="J94" s="1" t="s">
        <v>1399</v>
      </c>
    </row>
    <row r="95" spans="1:17" x14ac:dyDescent="0.25">
      <c r="A95"/>
      <c r="B95"/>
      <c r="D95" s="14">
        <f t="shared" ca="1" si="8"/>
        <v>5</v>
      </c>
      <c r="E95" s="1">
        <f t="shared" ca="1" si="9"/>
        <v>0.28373365984193077</v>
      </c>
      <c r="F95" s="1" t="s">
        <v>1613</v>
      </c>
      <c r="I95" s="1">
        <v>16</v>
      </c>
      <c r="J95" s="1" t="s">
        <v>1400</v>
      </c>
    </row>
    <row r="96" spans="1:17" x14ac:dyDescent="0.25">
      <c r="A96" s="2" t="s">
        <v>697</v>
      </c>
      <c r="D96" s="14">
        <f t="shared" ca="1" si="8"/>
        <v>2</v>
      </c>
      <c r="E96" s="1">
        <f t="shared" ca="1" si="9"/>
        <v>0.60753523761891692</v>
      </c>
      <c r="F96" s="1" t="s">
        <v>1614</v>
      </c>
    </row>
    <row r="97" spans="1:12" x14ac:dyDescent="0.25">
      <c r="A97" s="1">
        <v>1</v>
      </c>
      <c r="B97" s="1" t="s">
        <v>1681</v>
      </c>
      <c r="D97" s="14">
        <f t="shared" ca="1" si="8"/>
        <v>3</v>
      </c>
      <c r="E97" s="1">
        <f t="shared" ca="1" si="9"/>
        <v>0.49749924839955217</v>
      </c>
      <c r="F97" s="1" t="s">
        <v>1615</v>
      </c>
      <c r="I97" s="2" t="s">
        <v>1403</v>
      </c>
    </row>
    <row r="98" spans="1:12" x14ac:dyDescent="0.25">
      <c r="A98" s="1">
        <v>2</v>
      </c>
      <c r="B98" s="1" t="s">
        <v>1802</v>
      </c>
      <c r="D98" s="14">
        <f t="shared" ca="1" si="8"/>
        <v>11</v>
      </c>
      <c r="E98" s="1">
        <f t="shared" ca="1" si="9"/>
        <v>8.025467117674967E-2</v>
      </c>
      <c r="F98" s="1" t="s">
        <v>1616</v>
      </c>
      <c r="I98" s="1">
        <v>1</v>
      </c>
      <c r="J98" s="1" t="s">
        <v>1404</v>
      </c>
      <c r="K98" s="1">
        <v>0</v>
      </c>
      <c r="L98" s="1">
        <v>0</v>
      </c>
    </row>
    <row r="99" spans="1:12" x14ac:dyDescent="0.25">
      <c r="A99" s="1">
        <v>3</v>
      </c>
      <c r="B99" s="1" t="s">
        <v>1682</v>
      </c>
      <c r="D99" s="14">
        <f t="shared" ca="1" si="8"/>
        <v>8</v>
      </c>
      <c r="E99" s="1">
        <f t="shared" ca="1" si="9"/>
        <v>0.23377534178077652</v>
      </c>
      <c r="F99" s="1" t="s">
        <v>1617</v>
      </c>
      <c r="I99" s="1">
        <v>2</v>
      </c>
      <c r="J99" s="1" t="s">
        <v>1404</v>
      </c>
      <c r="K99" s="1">
        <v>2</v>
      </c>
      <c r="L99" s="1">
        <v>10</v>
      </c>
    </row>
    <row r="100" spans="1:12" x14ac:dyDescent="0.25">
      <c r="A100" s="1">
        <v>4</v>
      </c>
      <c r="B100" s="1" t="s">
        <v>1796</v>
      </c>
      <c r="D100" s="14">
        <f t="shared" ca="1" si="8"/>
        <v>4</v>
      </c>
      <c r="E100" s="1">
        <f t="shared" ca="1" si="9"/>
        <v>0.34655505733110081</v>
      </c>
      <c r="F100" s="1" t="s">
        <v>1618</v>
      </c>
      <c r="I100" s="1">
        <v>3</v>
      </c>
      <c r="J100" s="1" t="s">
        <v>1404</v>
      </c>
      <c r="K100" s="1">
        <v>3</v>
      </c>
      <c r="L100" s="1">
        <v>10</v>
      </c>
    </row>
    <row r="101" spans="1:12" x14ac:dyDescent="0.25">
      <c r="A101" s="1">
        <v>5</v>
      </c>
      <c r="B101" s="1" t="s">
        <v>1797</v>
      </c>
      <c r="D101" s="14">
        <f t="shared" ca="1" si="8"/>
        <v>9</v>
      </c>
      <c r="E101" s="1">
        <f t="shared" ca="1" si="9"/>
        <v>0.2134068233482046</v>
      </c>
      <c r="F101" s="1" t="s">
        <v>1619</v>
      </c>
      <c r="I101" s="1">
        <v>4</v>
      </c>
      <c r="J101" s="1" t="s">
        <v>1404</v>
      </c>
      <c r="K101" s="1">
        <v>4</v>
      </c>
      <c r="L101" s="1">
        <v>10</v>
      </c>
    </row>
    <row r="102" spans="1:12" x14ac:dyDescent="0.25">
      <c r="A102" s="1">
        <v>6</v>
      </c>
      <c r="B102" s="1" t="s">
        <v>1798</v>
      </c>
      <c r="D102" s="14">
        <f t="shared" ca="1" si="8"/>
        <v>10</v>
      </c>
      <c r="E102" s="1">
        <f t="shared" ca="1" si="9"/>
        <v>0.20757202057141155</v>
      </c>
      <c r="F102" s="1" t="s">
        <v>1620</v>
      </c>
      <c r="I102" s="1">
        <v>5</v>
      </c>
      <c r="J102" s="1" t="s">
        <v>1405</v>
      </c>
      <c r="K102" s="1">
        <v>5</v>
      </c>
      <c r="L102" s="1">
        <v>10</v>
      </c>
    </row>
    <row r="103" spans="1:12" x14ac:dyDescent="0.25">
      <c r="A103" s="1">
        <v>7</v>
      </c>
      <c r="B103" s="1" t="s">
        <v>1683</v>
      </c>
      <c r="D103" s="14">
        <f t="shared" ca="1" si="8"/>
        <v>1</v>
      </c>
      <c r="E103" s="1">
        <f t="shared" ca="1" si="9"/>
        <v>0.93012394683621236</v>
      </c>
      <c r="F103" s="1" t="s">
        <v>1621</v>
      </c>
      <c r="I103" s="1">
        <v>6</v>
      </c>
      <c r="J103" s="1" t="s">
        <v>1405</v>
      </c>
      <c r="K103" s="1">
        <v>6</v>
      </c>
      <c r="L103" s="1">
        <v>15</v>
      </c>
    </row>
    <row r="104" spans="1:12" x14ac:dyDescent="0.25">
      <c r="A104" s="1">
        <v>8</v>
      </c>
      <c r="B104" s="1" t="s">
        <v>1799</v>
      </c>
      <c r="D104"/>
      <c r="E104"/>
      <c r="F104"/>
      <c r="I104" s="1">
        <v>7</v>
      </c>
      <c r="J104" s="1" t="s">
        <v>1405</v>
      </c>
      <c r="K104" s="1">
        <v>7</v>
      </c>
      <c r="L104" s="1">
        <v>15</v>
      </c>
    </row>
    <row r="105" spans="1:12" x14ac:dyDescent="0.25">
      <c r="A105" s="1">
        <v>9</v>
      </c>
      <c r="B105" s="1" t="s">
        <v>1684</v>
      </c>
      <c r="D105" s="2" t="s">
        <v>1623</v>
      </c>
      <c r="I105" s="1">
        <v>8</v>
      </c>
      <c r="J105" s="1" t="s">
        <v>1405</v>
      </c>
      <c r="K105" s="1">
        <v>8</v>
      </c>
      <c r="L105" s="1">
        <v>15</v>
      </c>
    </row>
    <row r="106" spans="1:12" x14ac:dyDescent="0.25">
      <c r="A106" s="1">
        <v>10</v>
      </c>
      <c r="B106" s="1" t="s">
        <v>1685</v>
      </c>
      <c r="D106" s="14">
        <f t="shared" ref="D106:D119" ca="1" si="10">_xlfn.RANK.EQ(E106,$E$106:$E$119)</f>
        <v>12</v>
      </c>
      <c r="E106" s="1">
        <f t="shared" ref="E106:E119" ca="1" si="11">RAND()</f>
        <v>7.4759042352068206E-2</v>
      </c>
      <c r="F106" s="1" t="s">
        <v>1611</v>
      </c>
      <c r="I106" s="1">
        <v>9</v>
      </c>
      <c r="J106" s="1" t="s">
        <v>1405</v>
      </c>
      <c r="K106" s="1">
        <v>9</v>
      </c>
      <c r="L106" s="1">
        <v>15</v>
      </c>
    </row>
    <row r="107" spans="1:12" x14ac:dyDescent="0.25">
      <c r="A107" s="1">
        <v>11</v>
      </c>
      <c r="B107" s="1" t="s">
        <v>1795</v>
      </c>
      <c r="D107" s="14">
        <f t="shared" ca="1" si="10"/>
        <v>3</v>
      </c>
      <c r="E107" s="1">
        <f t="shared" ca="1" si="11"/>
        <v>0.74079291128781144</v>
      </c>
      <c r="F107" s="1" t="s">
        <v>1612</v>
      </c>
      <c r="I107" s="1">
        <v>10</v>
      </c>
      <c r="J107" s="1" t="s">
        <v>1405</v>
      </c>
      <c r="K107" s="1">
        <v>10</v>
      </c>
      <c r="L107" s="1">
        <v>20</v>
      </c>
    </row>
    <row r="108" spans="1:12" x14ac:dyDescent="0.25">
      <c r="A108" s="1">
        <v>12</v>
      </c>
      <c r="B108" s="1" t="s">
        <v>1686</v>
      </c>
      <c r="D108" s="14">
        <f t="shared" ca="1" si="10"/>
        <v>5</v>
      </c>
      <c r="E108" s="1">
        <f t="shared" ca="1" si="11"/>
        <v>0.62659551646103506</v>
      </c>
      <c r="F108" s="1" t="s">
        <v>1613</v>
      </c>
      <c r="I108" s="1">
        <v>11</v>
      </c>
      <c r="J108" s="1" t="s">
        <v>1406</v>
      </c>
      <c r="K108" s="1">
        <v>11</v>
      </c>
      <c r="L108" s="1">
        <v>20</v>
      </c>
    </row>
    <row r="109" spans="1:12" x14ac:dyDescent="0.25">
      <c r="A109" s="1">
        <v>13</v>
      </c>
      <c r="B109" s="1" t="s">
        <v>1794</v>
      </c>
      <c r="D109" s="14">
        <f t="shared" ca="1" si="10"/>
        <v>1</v>
      </c>
      <c r="E109" s="1">
        <f t="shared" ca="1" si="11"/>
        <v>0.95834556261423487</v>
      </c>
      <c r="F109" s="1" t="s">
        <v>1614</v>
      </c>
      <c r="I109" s="1">
        <v>12</v>
      </c>
      <c r="J109" s="1" t="s">
        <v>1406</v>
      </c>
      <c r="K109" s="1">
        <v>12</v>
      </c>
      <c r="L109" s="1">
        <v>20</v>
      </c>
    </row>
    <row r="110" spans="1:12" x14ac:dyDescent="0.25">
      <c r="A110" s="1">
        <v>14</v>
      </c>
      <c r="B110" s="1" t="s">
        <v>1793</v>
      </c>
      <c r="D110" s="14">
        <f t="shared" ca="1" si="10"/>
        <v>14</v>
      </c>
      <c r="E110" s="1">
        <f t="shared" ca="1" si="11"/>
        <v>2.3010636719265953E-2</v>
      </c>
      <c r="F110" s="1" t="s">
        <v>1615</v>
      </c>
      <c r="I110" s="1">
        <v>13</v>
      </c>
      <c r="J110" s="1" t="s">
        <v>1406</v>
      </c>
      <c r="K110" s="1">
        <v>13</v>
      </c>
      <c r="L110" s="1">
        <v>20</v>
      </c>
    </row>
    <row r="111" spans="1:12" x14ac:dyDescent="0.25">
      <c r="A111" s="1">
        <v>15</v>
      </c>
      <c r="B111" s="1" t="s">
        <v>1687</v>
      </c>
      <c r="D111" s="14">
        <f t="shared" ca="1" si="10"/>
        <v>8</v>
      </c>
      <c r="E111" s="1">
        <f t="shared" ca="1" si="11"/>
        <v>0.53513778675329948</v>
      </c>
      <c r="F111" s="1" t="s">
        <v>1616</v>
      </c>
      <c r="I111" s="1">
        <v>14</v>
      </c>
      <c r="J111" s="1" t="s">
        <v>1406</v>
      </c>
      <c r="K111" s="1">
        <v>14</v>
      </c>
      <c r="L111" s="1">
        <v>25</v>
      </c>
    </row>
    <row r="112" spans="1:12" x14ac:dyDescent="0.25">
      <c r="A112" s="1">
        <v>16</v>
      </c>
      <c r="B112" s="1" t="s">
        <v>1688</v>
      </c>
      <c r="D112" s="14">
        <f t="shared" ca="1" si="10"/>
        <v>4</v>
      </c>
      <c r="E112" s="1">
        <f t="shared" ca="1" si="11"/>
        <v>0.65887231240462729</v>
      </c>
      <c r="F112" s="1" t="s">
        <v>1617</v>
      </c>
      <c r="I112" s="1">
        <v>15</v>
      </c>
      <c r="J112" s="1" t="s">
        <v>1406</v>
      </c>
      <c r="K112" s="1">
        <v>15</v>
      </c>
      <c r="L112" s="1">
        <v>25</v>
      </c>
    </row>
    <row r="113" spans="1:14" x14ac:dyDescent="0.25">
      <c r="A113" s="1">
        <v>17</v>
      </c>
      <c r="B113" s="1" t="s">
        <v>1689</v>
      </c>
      <c r="D113" s="14">
        <f t="shared" ca="1" si="10"/>
        <v>13</v>
      </c>
      <c r="E113" s="1">
        <f t="shared" ca="1" si="11"/>
        <v>3.2893665770830194E-2</v>
      </c>
      <c r="F113" s="1" t="s">
        <v>1618</v>
      </c>
      <c r="I113" s="1">
        <v>16</v>
      </c>
      <c r="J113" s="1" t="s">
        <v>1406</v>
      </c>
      <c r="K113" s="1">
        <v>16</v>
      </c>
      <c r="L113" s="1">
        <v>25</v>
      </c>
    </row>
    <row r="114" spans="1:14" x14ac:dyDescent="0.25">
      <c r="A114" s="1">
        <v>18</v>
      </c>
      <c r="B114" s="1" t="s">
        <v>1792</v>
      </c>
      <c r="D114" s="14">
        <f t="shared" ca="1" si="10"/>
        <v>6</v>
      </c>
      <c r="E114" s="1">
        <f t="shared" ca="1" si="11"/>
        <v>0.57485720880594549</v>
      </c>
      <c r="F114" s="1" t="s">
        <v>1619</v>
      </c>
      <c r="I114" s="1">
        <v>17</v>
      </c>
      <c r="J114" s="1" t="s">
        <v>1407</v>
      </c>
      <c r="K114" s="1">
        <v>17</v>
      </c>
      <c r="L114" s="1">
        <v>25</v>
      </c>
    </row>
    <row r="115" spans="1:14" x14ac:dyDescent="0.25">
      <c r="A115" s="1">
        <v>19</v>
      </c>
      <c r="B115" s="1" t="s">
        <v>1791</v>
      </c>
      <c r="D115" s="14">
        <f t="shared" ca="1" si="10"/>
        <v>7</v>
      </c>
      <c r="E115" s="1">
        <f t="shared" ca="1" si="11"/>
        <v>0.57340227938349686</v>
      </c>
      <c r="F115" s="1" t="s">
        <v>1622</v>
      </c>
      <c r="I115" s="1">
        <v>18</v>
      </c>
      <c r="J115" s="1" t="s">
        <v>1407</v>
      </c>
      <c r="K115" s="1">
        <v>18</v>
      </c>
      <c r="L115" s="1">
        <v>30</v>
      </c>
    </row>
    <row r="116" spans="1:14" x14ac:dyDescent="0.25">
      <c r="A116" s="1">
        <v>20</v>
      </c>
      <c r="B116" s="1" t="s">
        <v>1790</v>
      </c>
      <c r="D116" s="14">
        <f t="shared" ca="1" si="10"/>
        <v>10</v>
      </c>
      <c r="E116" s="1">
        <f t="shared" ca="1" si="11"/>
        <v>0.2869696424448549</v>
      </c>
      <c r="F116" s="1" t="s">
        <v>1620</v>
      </c>
      <c r="I116" s="1">
        <v>19</v>
      </c>
      <c r="J116" s="1" t="s">
        <v>1407</v>
      </c>
      <c r="K116" s="1">
        <v>19</v>
      </c>
      <c r="L116" s="1">
        <v>30</v>
      </c>
    </row>
    <row r="117" spans="1:14" x14ac:dyDescent="0.25">
      <c r="A117" s="1">
        <v>21</v>
      </c>
      <c r="B117" s="1" t="s">
        <v>1789</v>
      </c>
      <c r="D117" s="14">
        <f t="shared" ca="1" si="10"/>
        <v>2</v>
      </c>
      <c r="E117" s="1">
        <f t="shared" ca="1" si="11"/>
        <v>0.7652779359800651</v>
      </c>
      <c r="F117" s="1" t="s">
        <v>1625</v>
      </c>
      <c r="I117" s="1">
        <v>20</v>
      </c>
      <c r="J117" s="1" t="s">
        <v>1407</v>
      </c>
      <c r="K117" s="1">
        <v>20</v>
      </c>
      <c r="L117" s="1">
        <v>30</v>
      </c>
    </row>
    <row r="118" spans="1:14" x14ac:dyDescent="0.25">
      <c r="A118" s="1">
        <v>22</v>
      </c>
      <c r="B118" s="1" t="s">
        <v>1788</v>
      </c>
      <c r="D118" s="14">
        <f t="shared" ca="1" si="10"/>
        <v>11</v>
      </c>
      <c r="E118" s="1">
        <f t="shared" ca="1" si="11"/>
        <v>0.18986573556881559</v>
      </c>
      <c r="F118" s="1" t="s">
        <v>1626</v>
      </c>
    </row>
    <row r="119" spans="1:14" x14ac:dyDescent="0.25">
      <c r="A119" s="1">
        <v>23</v>
      </c>
      <c r="B119" s="1" t="s">
        <v>1787</v>
      </c>
      <c r="D119" s="14">
        <f t="shared" ca="1" si="10"/>
        <v>9</v>
      </c>
      <c r="E119" s="1">
        <f t="shared" ca="1" si="11"/>
        <v>0.49367227102729161</v>
      </c>
      <c r="F119" s="1" t="s">
        <v>1621</v>
      </c>
      <c r="I119" s="2" t="s">
        <v>1424</v>
      </c>
      <c r="M119" s="2" t="s">
        <v>1429</v>
      </c>
    </row>
    <row r="120" spans="1:14" x14ac:dyDescent="0.25">
      <c r="A120" s="1">
        <v>24</v>
      </c>
      <c r="B120" s="1" t="s">
        <v>1786</v>
      </c>
      <c r="D120"/>
      <c r="E120"/>
      <c r="F120"/>
      <c r="I120" s="14">
        <f t="shared" ref="I120:I126" ca="1" si="12">_xlfn.RANK.EQ(J120,$J$120:$J$126)</f>
        <v>6</v>
      </c>
      <c r="J120" s="1">
        <f t="shared" ref="J120:J126" ca="1" si="13">RAND()</f>
        <v>0.42615727027665251</v>
      </c>
      <c r="K120" s="1" t="s">
        <v>1412</v>
      </c>
      <c r="M120" s="1">
        <v>3</v>
      </c>
      <c r="N120" s="1">
        <v>0</v>
      </c>
    </row>
    <row r="121" spans="1:14" x14ac:dyDescent="0.25">
      <c r="A121" s="1">
        <v>25</v>
      </c>
      <c r="B121" s="1" t="s">
        <v>1785</v>
      </c>
      <c r="D121" s="2" t="s">
        <v>1627</v>
      </c>
      <c r="I121" s="14">
        <f t="shared" ca="1" si="12"/>
        <v>3</v>
      </c>
      <c r="J121" s="1">
        <f t="shared" ca="1" si="13"/>
        <v>0.49655857499475231</v>
      </c>
      <c r="K121" s="1" t="s">
        <v>1413</v>
      </c>
      <c r="M121" s="1">
        <v>4</v>
      </c>
      <c r="N121" s="1">
        <v>0</v>
      </c>
    </row>
    <row r="122" spans="1:14" x14ac:dyDescent="0.25">
      <c r="A122" s="1">
        <v>26</v>
      </c>
      <c r="B122" s="1" t="s">
        <v>1800</v>
      </c>
      <c r="D122" s="14">
        <f t="shared" ref="D122:D138" ca="1" si="14">_xlfn.RANK.EQ(E122,$E$122:$E$138)</f>
        <v>11</v>
      </c>
      <c r="E122" s="1">
        <f t="shared" ref="E122:E138" ca="1" si="15">RAND()</f>
        <v>0.23985013429053226</v>
      </c>
      <c r="F122" s="1" t="s">
        <v>1611</v>
      </c>
      <c r="I122" s="14">
        <f t="shared" ca="1" si="12"/>
        <v>7</v>
      </c>
      <c r="J122" s="1">
        <f t="shared" ca="1" si="13"/>
        <v>0.10667720472959297</v>
      </c>
      <c r="K122" s="1" t="s">
        <v>1414</v>
      </c>
      <c r="M122" s="1">
        <v>5</v>
      </c>
      <c r="N122" s="1">
        <v>3</v>
      </c>
    </row>
    <row r="123" spans="1:14" x14ac:dyDescent="0.25">
      <c r="A123" s="1">
        <v>27</v>
      </c>
      <c r="B123" s="1" t="s">
        <v>1801</v>
      </c>
      <c r="D123" s="14">
        <f t="shared" ca="1" si="14"/>
        <v>4</v>
      </c>
      <c r="E123" s="1">
        <f t="shared" ca="1" si="15"/>
        <v>0.82667888789568111</v>
      </c>
      <c r="F123" s="1" t="s">
        <v>1612</v>
      </c>
      <c r="I123" s="14">
        <f t="shared" ca="1" si="12"/>
        <v>5</v>
      </c>
      <c r="J123" s="1">
        <f t="shared" ca="1" si="13"/>
        <v>0.44503761798246999</v>
      </c>
      <c r="K123" s="1" t="s">
        <v>1415</v>
      </c>
      <c r="M123" s="1">
        <v>6</v>
      </c>
      <c r="N123" s="1">
        <v>3</v>
      </c>
    </row>
    <row r="124" spans="1:14" x14ac:dyDescent="0.25">
      <c r="A124" s="1">
        <v>28</v>
      </c>
      <c r="B124" s="1" t="s">
        <v>1784</v>
      </c>
      <c r="D124" s="14">
        <f t="shared" ca="1" si="14"/>
        <v>16</v>
      </c>
      <c r="E124" s="1">
        <f t="shared" ca="1" si="15"/>
        <v>8.1414246210889885E-2</v>
      </c>
      <c r="F124" s="1" t="s">
        <v>1613</v>
      </c>
      <c r="I124" s="14">
        <f t="shared" ca="1" si="12"/>
        <v>2</v>
      </c>
      <c r="J124" s="1">
        <f t="shared" ca="1" si="13"/>
        <v>0.5235144169511845</v>
      </c>
      <c r="K124" s="1" t="s">
        <v>1416</v>
      </c>
      <c r="M124" s="1">
        <v>7</v>
      </c>
      <c r="N124" s="1">
        <v>3</v>
      </c>
    </row>
    <row r="125" spans="1:14" x14ac:dyDescent="0.25">
      <c r="A125" s="1">
        <v>29</v>
      </c>
      <c r="B125" s="1" t="s">
        <v>1783</v>
      </c>
      <c r="D125" s="14">
        <f t="shared" ca="1" si="14"/>
        <v>10</v>
      </c>
      <c r="E125" s="1">
        <f t="shared" ca="1" si="15"/>
        <v>0.2949889408708839</v>
      </c>
      <c r="F125" s="1" t="s">
        <v>1629</v>
      </c>
      <c r="I125" s="14">
        <f t="shared" ca="1" si="12"/>
        <v>1</v>
      </c>
      <c r="J125" s="1">
        <f t="shared" ca="1" si="13"/>
        <v>0.5568975644352151</v>
      </c>
      <c r="K125" s="1" t="s">
        <v>1417</v>
      </c>
      <c r="M125" s="1">
        <v>8</v>
      </c>
      <c r="N125" s="1">
        <v>3</v>
      </c>
    </row>
    <row r="126" spans="1:14" x14ac:dyDescent="0.25">
      <c r="A126" s="1">
        <v>30</v>
      </c>
      <c r="B126" s="1" t="s">
        <v>1782</v>
      </c>
      <c r="D126" s="14">
        <f t="shared" ca="1" si="14"/>
        <v>1</v>
      </c>
      <c r="E126" s="1">
        <f t="shared" ca="1" si="15"/>
        <v>0.88660526353849489</v>
      </c>
      <c r="F126" s="1" t="s">
        <v>1614</v>
      </c>
      <c r="I126" s="14">
        <f t="shared" ca="1" si="12"/>
        <v>4</v>
      </c>
      <c r="J126" s="1">
        <f t="shared" ca="1" si="13"/>
        <v>0.4738551241102209</v>
      </c>
      <c r="K126" s="1" t="s">
        <v>1418</v>
      </c>
      <c r="M126" s="1">
        <v>9</v>
      </c>
      <c r="N126" s="1">
        <v>4</v>
      </c>
    </row>
    <row r="127" spans="1:14" x14ac:dyDescent="0.25">
      <c r="A127" s="1">
        <v>31</v>
      </c>
      <c r="B127" s="1" t="s">
        <v>1781</v>
      </c>
      <c r="D127" s="14">
        <f t="shared" ca="1" si="14"/>
        <v>13</v>
      </c>
      <c r="E127" s="1">
        <f t="shared" ca="1" si="15"/>
        <v>0.18514780385179563</v>
      </c>
      <c r="F127" s="1" t="s">
        <v>1628</v>
      </c>
      <c r="M127" s="1">
        <v>10</v>
      </c>
      <c r="N127" s="1">
        <v>4</v>
      </c>
    </row>
    <row r="128" spans="1:14" x14ac:dyDescent="0.25">
      <c r="A128" s="1">
        <v>32</v>
      </c>
      <c r="B128" s="1" t="s">
        <v>1780</v>
      </c>
      <c r="D128" s="14">
        <f t="shared" ca="1" si="14"/>
        <v>8</v>
      </c>
      <c r="E128" s="1">
        <f t="shared" ca="1" si="15"/>
        <v>0.37682676815533311</v>
      </c>
      <c r="F128" s="1" t="s">
        <v>1615</v>
      </c>
      <c r="I128" s="14">
        <f ca="1">_xlfn.RANK.EQ(J128,$J$128:$J$129)</f>
        <v>1</v>
      </c>
      <c r="J128" s="1">
        <f ca="1">RAND()</f>
        <v>0.95210270346624903</v>
      </c>
      <c r="K128" s="1" t="s">
        <v>1427</v>
      </c>
      <c r="M128" s="1">
        <v>11</v>
      </c>
      <c r="N128" s="1">
        <v>4</v>
      </c>
    </row>
    <row r="129" spans="1:21" x14ac:dyDescent="0.25">
      <c r="A129" s="1">
        <v>33</v>
      </c>
      <c r="B129" s="1" t="s">
        <v>1779</v>
      </c>
      <c r="D129" s="14">
        <f t="shared" ca="1" si="14"/>
        <v>17</v>
      </c>
      <c r="E129" s="1">
        <f t="shared" ca="1" si="15"/>
        <v>6.7241036799817189E-2</v>
      </c>
      <c r="F129" s="1" t="s">
        <v>1616</v>
      </c>
      <c r="I129" s="14">
        <f ca="1">_xlfn.RANK.EQ(J129,$J$128:$J$129)</f>
        <v>2</v>
      </c>
      <c r="J129" s="1">
        <f ca="1">RAND()</f>
        <v>0.41100386895368468</v>
      </c>
      <c r="K129" s="1" t="s">
        <v>1428</v>
      </c>
      <c r="M129" s="1">
        <v>12</v>
      </c>
      <c r="N129" s="1">
        <v>4</v>
      </c>
    </row>
    <row r="130" spans="1:21" x14ac:dyDescent="0.25">
      <c r="A130" s="1">
        <v>34</v>
      </c>
      <c r="B130" s="1" t="s">
        <v>1778</v>
      </c>
      <c r="D130" s="14">
        <f t="shared" ca="1" si="14"/>
        <v>9</v>
      </c>
      <c r="E130" s="1">
        <f t="shared" ca="1" si="15"/>
        <v>0.33631361600542509</v>
      </c>
      <c r="F130" s="1" t="s">
        <v>1617</v>
      </c>
      <c r="M130" s="1">
        <v>13</v>
      </c>
      <c r="N130" s="1">
        <v>5</v>
      </c>
    </row>
    <row r="131" spans="1:21" x14ac:dyDescent="0.25">
      <c r="A131" s="1">
        <v>35</v>
      </c>
      <c r="B131" s="1" t="s">
        <v>1777</v>
      </c>
      <c r="D131" s="14">
        <f t="shared" ca="1" si="14"/>
        <v>14</v>
      </c>
      <c r="E131" s="1">
        <f t="shared" ca="1" si="15"/>
        <v>0.1799209231071609</v>
      </c>
      <c r="F131" s="1" t="s">
        <v>1618</v>
      </c>
      <c r="I131" s="14">
        <f ca="1">_xlfn.RANK.EQ(J131,$J$131:$J$134)</f>
        <v>1</v>
      </c>
      <c r="J131" s="1">
        <f ca="1">RAND()</f>
        <v>0.92238396453579818</v>
      </c>
      <c r="K131" s="1" t="s">
        <v>1419</v>
      </c>
      <c r="M131" s="1">
        <v>14</v>
      </c>
      <c r="N131" s="1">
        <v>5</v>
      </c>
    </row>
    <row r="132" spans="1:21" x14ac:dyDescent="0.25">
      <c r="A132" s="1">
        <v>36</v>
      </c>
      <c r="B132" s="1" t="s">
        <v>1776</v>
      </c>
      <c r="D132" s="14">
        <f t="shared" ca="1" si="14"/>
        <v>7</v>
      </c>
      <c r="E132" s="1">
        <f t="shared" ca="1" si="15"/>
        <v>0.6654098842889038</v>
      </c>
      <c r="F132" s="1" t="s">
        <v>1619</v>
      </c>
      <c r="I132" s="14">
        <f ca="1">_xlfn.RANK.EQ(J132,$J$131:$J$134)</f>
        <v>3</v>
      </c>
      <c r="J132" s="1">
        <f ca="1">RAND()</f>
        <v>0.66043978628103583</v>
      </c>
      <c r="K132" s="1" t="s">
        <v>1420</v>
      </c>
      <c r="M132" s="1">
        <v>15</v>
      </c>
      <c r="N132" s="1">
        <v>5</v>
      </c>
    </row>
    <row r="133" spans="1:21" x14ac:dyDescent="0.25">
      <c r="A133" s="1">
        <v>37</v>
      </c>
      <c r="B133" s="1" t="s">
        <v>1775</v>
      </c>
      <c r="D133" s="14">
        <f t="shared" ca="1" si="14"/>
        <v>2</v>
      </c>
      <c r="E133" s="1">
        <f t="shared" ca="1" si="15"/>
        <v>0.86904883347852324</v>
      </c>
      <c r="F133" s="1" t="s">
        <v>1622</v>
      </c>
      <c r="I133" s="14">
        <f ca="1">_xlfn.RANK.EQ(J133,$J$131:$J$134)</f>
        <v>4</v>
      </c>
      <c r="J133" s="1">
        <f ca="1">RAND()</f>
        <v>0.36141461029302702</v>
      </c>
      <c r="K133" s="1" t="s">
        <v>1421</v>
      </c>
      <c r="M133" s="1">
        <v>16</v>
      </c>
      <c r="N133" s="1">
        <v>5</v>
      </c>
    </row>
    <row r="134" spans="1:21" x14ac:dyDescent="0.25">
      <c r="A134" s="1">
        <v>38</v>
      </c>
      <c r="B134" s="1" t="s">
        <v>1774</v>
      </c>
      <c r="D134" s="14">
        <f t="shared" ca="1" si="14"/>
        <v>5</v>
      </c>
      <c r="E134" s="1">
        <f t="shared" ca="1" si="15"/>
        <v>0.78419079161871208</v>
      </c>
      <c r="F134" s="1" t="s">
        <v>1620</v>
      </c>
      <c r="I134" s="14">
        <f ca="1">_xlfn.RANK.EQ(J134,$J$131:$J$134)</f>
        <v>2</v>
      </c>
      <c r="J134" s="1">
        <f ca="1">RAND()</f>
        <v>0.83924425604253816</v>
      </c>
      <c r="K134" s="1" t="s">
        <v>1422</v>
      </c>
      <c r="M134" s="1">
        <v>17</v>
      </c>
      <c r="N134" s="1">
        <v>6</v>
      </c>
    </row>
    <row r="135" spans="1:21" x14ac:dyDescent="0.25">
      <c r="A135" s="1">
        <v>39</v>
      </c>
      <c r="B135" s="1" t="s">
        <v>1773</v>
      </c>
      <c r="D135" s="14">
        <f t="shared" ca="1" si="14"/>
        <v>6</v>
      </c>
      <c r="E135" s="1">
        <f t="shared" ca="1" si="15"/>
        <v>0.68755023074099186</v>
      </c>
      <c r="F135" s="1" t="s">
        <v>1625</v>
      </c>
      <c r="I135" s="23"/>
      <c r="J135" s="22"/>
      <c r="K135" s="22"/>
      <c r="M135" s="1">
        <v>18</v>
      </c>
      <c r="N135" s="1">
        <v>6</v>
      </c>
    </row>
    <row r="136" spans="1:21" x14ac:dyDescent="0.25">
      <c r="A136" s="1">
        <v>40</v>
      </c>
      <c r="B136" s="1" t="s">
        <v>1772</v>
      </c>
      <c r="D136" s="14">
        <f t="shared" ca="1" si="14"/>
        <v>15</v>
      </c>
      <c r="E136" s="1">
        <f t="shared" ca="1" si="15"/>
        <v>8.2275215184509864E-2</v>
      </c>
      <c r="F136" s="1" t="s">
        <v>1635</v>
      </c>
      <c r="I136" s="14">
        <f ca="1">_xlfn.RANK.EQ(J136,$J$136:$J$138)</f>
        <v>3</v>
      </c>
      <c r="J136" s="1">
        <f ca="1">RAND()</f>
        <v>0.30411308332227083</v>
      </c>
      <c r="K136" s="1" t="s">
        <v>1423</v>
      </c>
      <c r="M136" s="1">
        <v>19</v>
      </c>
      <c r="N136" s="1">
        <v>6</v>
      </c>
    </row>
    <row r="137" spans="1:21" x14ac:dyDescent="0.25">
      <c r="A137" s="1">
        <v>41</v>
      </c>
      <c r="B137" s="1" t="s">
        <v>1771</v>
      </c>
      <c r="D137" s="14">
        <f t="shared" ca="1" si="14"/>
        <v>12</v>
      </c>
      <c r="E137" s="1">
        <f t="shared" ca="1" si="15"/>
        <v>0.20273384043439058</v>
      </c>
      <c r="F137" s="1" t="s">
        <v>1626</v>
      </c>
      <c r="I137" s="14">
        <f ca="1">_xlfn.RANK.EQ(J137,$J$136:$J$138)</f>
        <v>2</v>
      </c>
      <c r="J137" s="1">
        <f ca="1">RAND()</f>
        <v>0.30927110851816209</v>
      </c>
      <c r="K137" s="1" t="s">
        <v>1425</v>
      </c>
      <c r="M137" s="1">
        <v>20</v>
      </c>
      <c r="N137" s="1">
        <v>6</v>
      </c>
    </row>
    <row r="138" spans="1:21" x14ac:dyDescent="0.25">
      <c r="A138" s="1">
        <v>42</v>
      </c>
      <c r="B138" s="1" t="s">
        <v>1770</v>
      </c>
      <c r="D138" s="14">
        <f t="shared" ca="1" si="14"/>
        <v>3</v>
      </c>
      <c r="E138" s="1">
        <f t="shared" ca="1" si="15"/>
        <v>0.84605284731294639</v>
      </c>
      <c r="F138" s="1" t="s">
        <v>1621</v>
      </c>
      <c r="I138" s="14">
        <f ca="1">_xlfn.RANK.EQ(J138,$J$136:$J$138)</f>
        <v>1</v>
      </c>
      <c r="J138" s="1">
        <f ca="1">RAND()</f>
        <v>0.73391466084412882</v>
      </c>
      <c r="K138" s="1" t="s">
        <v>1426</v>
      </c>
    </row>
    <row r="139" spans="1:21" x14ac:dyDescent="0.25">
      <c r="A139" s="1">
        <v>43</v>
      </c>
      <c r="B139" s="1" t="s">
        <v>1769</v>
      </c>
      <c r="D139"/>
      <c r="E139"/>
      <c r="F139"/>
      <c r="I139" s="14"/>
      <c r="M139" s="2" t="s">
        <v>1433</v>
      </c>
      <c r="N139" s="1" t="s">
        <v>1434</v>
      </c>
      <c r="O139" s="1" t="s">
        <v>1435</v>
      </c>
      <c r="Q139" s="2" t="s">
        <v>1444</v>
      </c>
      <c r="T139" s="2" t="s">
        <v>1448</v>
      </c>
    </row>
    <row r="140" spans="1:21" x14ac:dyDescent="0.25">
      <c r="A140" s="1">
        <v>44</v>
      </c>
      <c r="B140" s="1" t="s">
        <v>1768</v>
      </c>
      <c r="D140" s="2" t="s">
        <v>1630</v>
      </c>
      <c r="I140" s="25" t="s">
        <v>1984</v>
      </c>
      <c r="M140" s="1">
        <v>1</v>
      </c>
      <c r="N140" s="1">
        <v>1</v>
      </c>
      <c r="O140" s="1">
        <v>0</v>
      </c>
      <c r="Q140" s="1">
        <v>1</v>
      </c>
      <c r="R140" s="1">
        <v>0</v>
      </c>
      <c r="T140" s="1">
        <v>1</v>
      </c>
      <c r="U140" s="1" t="s">
        <v>1449</v>
      </c>
    </row>
    <row r="141" spans="1:21" x14ac:dyDescent="0.25">
      <c r="A141" s="1">
        <v>45</v>
      </c>
      <c r="B141" s="1" t="s">
        <v>1767</v>
      </c>
      <c r="D141" s="14">
        <f t="shared" ref="D141:D161" ca="1" si="16">_xlfn.RANK.EQ(E141,$E$141:$E$161)</f>
        <v>16</v>
      </c>
      <c r="E141" s="1">
        <f t="shared" ref="E141:E161" ca="1" si="17">RAND()</f>
        <v>0.31896759328260937</v>
      </c>
      <c r="F141" s="1" t="s">
        <v>1611</v>
      </c>
      <c r="I141" s="1">
        <v>1</v>
      </c>
      <c r="J141" s="1">
        <v>2</v>
      </c>
      <c r="K141" s="1" t="str">
        <f>"+2 damage"</f>
        <v>+2 damage</v>
      </c>
      <c r="M141" s="1">
        <v>2</v>
      </c>
      <c r="N141" s="1">
        <v>1</v>
      </c>
      <c r="O141" s="1">
        <v>0</v>
      </c>
      <c r="Q141" s="1">
        <v>2</v>
      </c>
      <c r="R141" s="1" t="s">
        <v>1447</v>
      </c>
      <c r="T141" s="1">
        <v>2</v>
      </c>
      <c r="U141" s="1" t="s">
        <v>1449</v>
      </c>
    </row>
    <row r="142" spans="1:21" x14ac:dyDescent="0.25">
      <c r="A142" s="1">
        <v>46</v>
      </c>
      <c r="B142" s="1" t="s">
        <v>1766</v>
      </c>
      <c r="D142" s="14">
        <f t="shared" ca="1" si="16"/>
        <v>6</v>
      </c>
      <c r="E142" s="1">
        <f t="shared" ca="1" si="17"/>
        <v>0.72242528684863383</v>
      </c>
      <c r="F142" s="1" t="s">
        <v>1631</v>
      </c>
      <c r="I142" s="1">
        <v>2</v>
      </c>
      <c r="J142" s="1">
        <v>2</v>
      </c>
      <c r="K142" s="1" t="str">
        <f t="shared" ref="K142:K148" si="18">"+2 damage"</f>
        <v>+2 damage</v>
      </c>
      <c r="M142" s="1">
        <v>3</v>
      </c>
      <c r="N142" s="1">
        <v>1</v>
      </c>
      <c r="O142" s="1">
        <v>0</v>
      </c>
      <c r="Q142" s="1">
        <v>3</v>
      </c>
      <c r="R142" s="1" t="s">
        <v>1447</v>
      </c>
      <c r="T142" s="1">
        <v>3</v>
      </c>
      <c r="U142" s="1" t="s">
        <v>1449</v>
      </c>
    </row>
    <row r="143" spans="1:21" x14ac:dyDescent="0.25">
      <c r="A143" s="1">
        <v>47</v>
      </c>
      <c r="B143" s="1" t="s">
        <v>1765</v>
      </c>
      <c r="D143" s="14">
        <f t="shared" ca="1" si="16"/>
        <v>7</v>
      </c>
      <c r="E143" s="1">
        <f t="shared" ca="1" si="17"/>
        <v>0.66987449914718866</v>
      </c>
      <c r="F143" s="1" t="s">
        <v>1612</v>
      </c>
      <c r="I143" s="1">
        <v>3</v>
      </c>
      <c r="J143" s="1">
        <v>3</v>
      </c>
      <c r="K143" s="1" t="str">
        <f t="shared" si="18"/>
        <v>+2 damage</v>
      </c>
      <c r="M143" s="1">
        <v>4</v>
      </c>
      <c r="N143" s="1">
        <v>1</v>
      </c>
      <c r="O143" s="1">
        <v>0</v>
      </c>
      <c r="Q143" s="1">
        <v>4</v>
      </c>
      <c r="R143" s="1" t="s">
        <v>1446</v>
      </c>
      <c r="T143" s="1">
        <v>4</v>
      </c>
      <c r="U143" s="1" t="s">
        <v>1449</v>
      </c>
    </row>
    <row r="144" spans="1:21" x14ac:dyDescent="0.25">
      <c r="A144" s="1">
        <v>48</v>
      </c>
      <c r="B144" s="1" t="s">
        <v>1764</v>
      </c>
      <c r="D144" s="14">
        <f t="shared" ca="1" si="16"/>
        <v>13</v>
      </c>
      <c r="E144" s="1">
        <f t="shared" ca="1" si="17"/>
        <v>0.54824650616421067</v>
      </c>
      <c r="F144" s="1" t="s">
        <v>1613</v>
      </c>
      <c r="I144" s="1">
        <v>4</v>
      </c>
      <c r="J144" s="1">
        <v>3</v>
      </c>
      <c r="K144" s="1" t="str">
        <f t="shared" si="18"/>
        <v>+2 damage</v>
      </c>
      <c r="M144" s="1">
        <v>5</v>
      </c>
      <c r="N144" s="1">
        <v>1</v>
      </c>
      <c r="O144" s="1" t="s">
        <v>1438</v>
      </c>
      <c r="Q144" s="1">
        <v>5</v>
      </c>
      <c r="R144" s="1" t="s">
        <v>1446</v>
      </c>
      <c r="T144" s="1">
        <v>5</v>
      </c>
      <c r="U144" s="1" t="s">
        <v>1450</v>
      </c>
    </row>
    <row r="145" spans="1:21" x14ac:dyDescent="0.25">
      <c r="A145" s="1">
        <v>49</v>
      </c>
      <c r="B145" s="1" t="s">
        <v>1763</v>
      </c>
      <c r="D145" s="14">
        <f t="shared" ca="1" si="16"/>
        <v>14</v>
      </c>
      <c r="E145" s="1">
        <f t="shared" ca="1" si="17"/>
        <v>0.52752190806601118</v>
      </c>
      <c r="F145" s="1" t="s">
        <v>1629</v>
      </c>
      <c r="I145" s="1">
        <v>5</v>
      </c>
      <c r="J145" s="1">
        <v>3</v>
      </c>
      <c r="K145" s="1" t="str">
        <f t="shared" si="18"/>
        <v>+2 damage</v>
      </c>
      <c r="M145" s="1">
        <v>6</v>
      </c>
      <c r="N145" s="1">
        <v>2</v>
      </c>
      <c r="O145" s="1" t="s">
        <v>1439</v>
      </c>
      <c r="Q145" s="1">
        <v>6</v>
      </c>
      <c r="R145" s="1" t="s">
        <v>1446</v>
      </c>
      <c r="T145" s="1">
        <v>6</v>
      </c>
      <c r="U145" s="1" t="s">
        <v>1450</v>
      </c>
    </row>
    <row r="146" spans="1:21" x14ac:dyDescent="0.25">
      <c r="A146" s="1">
        <v>50</v>
      </c>
      <c r="B146" s="1" t="s">
        <v>1762</v>
      </c>
      <c r="D146" s="14">
        <f t="shared" ca="1" si="16"/>
        <v>15</v>
      </c>
      <c r="E146" s="1">
        <f t="shared" ca="1" si="17"/>
        <v>0.43844603573942509</v>
      </c>
      <c r="F146" s="1" t="s">
        <v>1614</v>
      </c>
      <c r="I146" s="1">
        <v>6</v>
      </c>
      <c r="J146" s="1">
        <v>4</v>
      </c>
      <c r="K146" s="1" t="str">
        <f t="shared" si="18"/>
        <v>+2 damage</v>
      </c>
      <c r="M146" s="1">
        <v>7</v>
      </c>
      <c r="N146" s="1">
        <v>2</v>
      </c>
      <c r="O146" s="1" t="s">
        <v>1439</v>
      </c>
      <c r="Q146" s="1">
        <v>7</v>
      </c>
      <c r="R146" s="1" t="s">
        <v>1446</v>
      </c>
      <c r="T146" s="1">
        <v>7</v>
      </c>
      <c r="U146" s="1" t="s">
        <v>1450</v>
      </c>
    </row>
    <row r="147" spans="1:21" x14ac:dyDescent="0.25">
      <c r="A147" s="1">
        <v>51</v>
      </c>
      <c r="B147" s="1" t="s">
        <v>1761</v>
      </c>
      <c r="D147" s="14">
        <f t="shared" ca="1" si="16"/>
        <v>2</v>
      </c>
      <c r="E147" s="1">
        <f t="shared" ca="1" si="17"/>
        <v>0.8991749931225782</v>
      </c>
      <c r="F147" s="1" t="s">
        <v>1628</v>
      </c>
      <c r="I147" s="1">
        <v>7</v>
      </c>
      <c r="J147" s="1">
        <v>4</v>
      </c>
      <c r="K147" s="1" t="str">
        <f t="shared" si="18"/>
        <v>+2 damage</v>
      </c>
      <c r="M147" s="1">
        <v>8</v>
      </c>
      <c r="N147" s="1">
        <v>2</v>
      </c>
      <c r="O147" s="1" t="s">
        <v>1440</v>
      </c>
      <c r="Q147" s="1">
        <v>8</v>
      </c>
      <c r="R147" s="1" t="s">
        <v>1445</v>
      </c>
      <c r="T147" s="1">
        <v>8</v>
      </c>
      <c r="U147" s="1" t="s">
        <v>1450</v>
      </c>
    </row>
    <row r="148" spans="1:21" x14ac:dyDescent="0.25">
      <c r="A148" s="1">
        <v>52</v>
      </c>
      <c r="B148" s="1" t="s">
        <v>1760</v>
      </c>
      <c r="D148" s="14">
        <f t="shared" ca="1" si="16"/>
        <v>1</v>
      </c>
      <c r="E148" s="1">
        <f t="shared" ca="1" si="17"/>
        <v>0.96879343567587317</v>
      </c>
      <c r="F148" s="1" t="s">
        <v>1615</v>
      </c>
      <c r="I148" s="1">
        <v>8</v>
      </c>
      <c r="J148" s="1">
        <v>4</v>
      </c>
      <c r="K148" s="1" t="str">
        <f t="shared" si="18"/>
        <v>+2 damage</v>
      </c>
      <c r="M148" s="1">
        <v>9</v>
      </c>
      <c r="N148" s="1">
        <v>2</v>
      </c>
      <c r="O148" s="1" t="s">
        <v>1440</v>
      </c>
      <c r="Q148" s="1">
        <v>9</v>
      </c>
      <c r="R148" s="1" t="s">
        <v>1445</v>
      </c>
      <c r="T148" s="1">
        <v>9</v>
      </c>
      <c r="U148" s="1" t="s">
        <v>1450</v>
      </c>
    </row>
    <row r="149" spans="1:21" x14ac:dyDescent="0.25">
      <c r="A149" s="1">
        <v>53</v>
      </c>
      <c r="B149" s="1" t="s">
        <v>1759</v>
      </c>
      <c r="D149" s="14">
        <f t="shared" ca="1" si="16"/>
        <v>3</v>
      </c>
      <c r="E149" s="1">
        <f t="shared" ca="1" si="17"/>
        <v>0.88040261794226948</v>
      </c>
      <c r="F149" s="1" t="s">
        <v>1616</v>
      </c>
      <c r="I149" s="1">
        <v>9</v>
      </c>
      <c r="J149" s="1">
        <v>4</v>
      </c>
      <c r="K149" s="1" t="str">
        <f>"+3 damage"</f>
        <v>+3 damage</v>
      </c>
      <c r="M149" s="1">
        <v>10</v>
      </c>
      <c r="N149" s="1">
        <v>2</v>
      </c>
      <c r="O149" s="1" t="s">
        <v>1440</v>
      </c>
      <c r="Q149" s="1">
        <v>10</v>
      </c>
      <c r="R149" s="1" t="s">
        <v>1445</v>
      </c>
      <c r="T149" s="1">
        <v>10</v>
      </c>
      <c r="U149" s="1" t="s">
        <v>1450</v>
      </c>
    </row>
    <row r="150" spans="1:21" x14ac:dyDescent="0.25">
      <c r="A150" s="1">
        <v>54</v>
      </c>
      <c r="B150" s="1" t="s">
        <v>1758</v>
      </c>
      <c r="D150" s="14">
        <f t="shared" ca="1" si="16"/>
        <v>21</v>
      </c>
      <c r="E150" s="1">
        <f t="shared" ca="1" si="17"/>
        <v>0.10155750248361606</v>
      </c>
      <c r="F150" s="1" t="s">
        <v>1617</v>
      </c>
      <c r="I150" s="1">
        <v>10</v>
      </c>
      <c r="J150" s="1">
        <v>4</v>
      </c>
      <c r="K150" s="1" t="str">
        <f t="shared" ref="K150:K155" si="19">"+3 damage"</f>
        <v>+3 damage</v>
      </c>
      <c r="M150" s="1">
        <v>11</v>
      </c>
      <c r="N150" s="1">
        <v>2</v>
      </c>
      <c r="O150" s="1" t="s">
        <v>1441</v>
      </c>
      <c r="Q150" s="1">
        <v>11</v>
      </c>
      <c r="R150" s="1" t="s">
        <v>1445</v>
      </c>
      <c r="T150" s="1">
        <v>11</v>
      </c>
      <c r="U150" s="1" t="s">
        <v>1451</v>
      </c>
    </row>
    <row r="151" spans="1:21" x14ac:dyDescent="0.25">
      <c r="A151" s="1">
        <v>55</v>
      </c>
      <c r="B151" s="1" t="s">
        <v>1757</v>
      </c>
      <c r="D151" s="14">
        <f t="shared" ca="1" si="16"/>
        <v>11</v>
      </c>
      <c r="E151" s="1">
        <f t="shared" ca="1" si="17"/>
        <v>0.58768820865279459</v>
      </c>
      <c r="F151" s="1" t="s">
        <v>1618</v>
      </c>
      <c r="I151" s="1">
        <v>11</v>
      </c>
      <c r="J151" s="1">
        <v>4</v>
      </c>
      <c r="K151" s="1" t="str">
        <f t="shared" si="19"/>
        <v>+3 damage</v>
      </c>
      <c r="M151" s="1">
        <v>12</v>
      </c>
      <c r="N151" s="1">
        <v>2</v>
      </c>
      <c r="O151" s="1" t="s">
        <v>1441</v>
      </c>
      <c r="Q151" s="1">
        <v>12</v>
      </c>
      <c r="R151" s="1" t="s">
        <v>1445</v>
      </c>
      <c r="T151" s="1">
        <v>12</v>
      </c>
      <c r="U151" s="1" t="s">
        <v>1451</v>
      </c>
    </row>
    <row r="152" spans="1:21" x14ac:dyDescent="0.25">
      <c r="A152" s="1">
        <v>56</v>
      </c>
      <c r="B152" s="1" t="s">
        <v>1756</v>
      </c>
      <c r="D152" s="14">
        <f t="shared" ca="1" si="16"/>
        <v>17</v>
      </c>
      <c r="E152" s="1">
        <f t="shared" ca="1" si="17"/>
        <v>0.26688109095465495</v>
      </c>
      <c r="F152" s="1" t="s">
        <v>1619</v>
      </c>
      <c r="I152" s="1">
        <v>12</v>
      </c>
      <c r="J152" s="1">
        <v>5</v>
      </c>
      <c r="K152" s="1" t="str">
        <f t="shared" si="19"/>
        <v>+3 damage</v>
      </c>
      <c r="M152" s="1">
        <v>13</v>
      </c>
      <c r="N152" s="1">
        <v>2</v>
      </c>
      <c r="O152" s="1" t="s">
        <v>1441</v>
      </c>
      <c r="Q152" s="1">
        <v>13</v>
      </c>
      <c r="R152" s="1" t="s">
        <v>1445</v>
      </c>
      <c r="T152" s="1">
        <v>13</v>
      </c>
      <c r="U152" s="1" t="s">
        <v>1451</v>
      </c>
    </row>
    <row r="153" spans="1:21" x14ac:dyDescent="0.25">
      <c r="A153" s="1">
        <v>57</v>
      </c>
      <c r="B153" s="1" t="s">
        <v>1755</v>
      </c>
      <c r="D153" s="14">
        <f t="shared" ca="1" si="16"/>
        <v>10</v>
      </c>
      <c r="E153" s="1">
        <f t="shared" ca="1" si="17"/>
        <v>0.58776525679588587</v>
      </c>
      <c r="F153" s="1" t="s">
        <v>1632</v>
      </c>
      <c r="I153" s="1">
        <v>13</v>
      </c>
      <c r="J153" s="1">
        <v>5</v>
      </c>
      <c r="K153" s="1" t="str">
        <f t="shared" si="19"/>
        <v>+3 damage</v>
      </c>
      <c r="M153" s="1">
        <v>14</v>
      </c>
      <c r="N153" s="1">
        <v>2</v>
      </c>
      <c r="O153" s="1" t="s">
        <v>1442</v>
      </c>
      <c r="Q153" s="1">
        <v>14</v>
      </c>
      <c r="R153" s="1" t="s">
        <v>1445</v>
      </c>
      <c r="T153" s="1">
        <v>14</v>
      </c>
      <c r="U153" s="1" t="s">
        <v>1451</v>
      </c>
    </row>
    <row r="154" spans="1:21" x14ac:dyDescent="0.25">
      <c r="A154" s="1">
        <v>58</v>
      </c>
      <c r="B154" s="1" t="s">
        <v>1754</v>
      </c>
      <c r="D154" s="14">
        <f t="shared" ca="1" si="16"/>
        <v>12</v>
      </c>
      <c r="E154" s="1">
        <f t="shared" ca="1" si="17"/>
        <v>0.58301723801780769</v>
      </c>
      <c r="F154" s="1" t="s">
        <v>1622</v>
      </c>
      <c r="I154" s="1">
        <v>14</v>
      </c>
      <c r="J154" s="1">
        <v>5</v>
      </c>
      <c r="K154" s="1" t="str">
        <f t="shared" si="19"/>
        <v>+3 damage</v>
      </c>
      <c r="M154" s="1">
        <v>15</v>
      </c>
      <c r="N154" s="1">
        <v>2</v>
      </c>
      <c r="O154" s="1" t="s">
        <v>1442</v>
      </c>
      <c r="Q154" s="1">
        <v>15</v>
      </c>
      <c r="R154" s="1" t="s">
        <v>1445</v>
      </c>
      <c r="T154" s="1">
        <v>15</v>
      </c>
      <c r="U154" s="1" t="s">
        <v>1451</v>
      </c>
    </row>
    <row r="155" spans="1:21" x14ac:dyDescent="0.25">
      <c r="A155" s="1">
        <v>59</v>
      </c>
      <c r="B155" s="1" t="s">
        <v>1753</v>
      </c>
      <c r="D155" s="14">
        <f t="shared" ca="1" si="16"/>
        <v>9</v>
      </c>
      <c r="E155" s="1">
        <f t="shared" ca="1" si="17"/>
        <v>0.63992788662712918</v>
      </c>
      <c r="F155" s="1" t="s">
        <v>1620</v>
      </c>
      <c r="I155" s="1">
        <v>15</v>
      </c>
      <c r="J155" s="1">
        <v>5</v>
      </c>
      <c r="K155" s="1" t="str">
        <f t="shared" si="19"/>
        <v>+3 damage</v>
      </c>
      <c r="M155" s="1">
        <v>16</v>
      </c>
      <c r="N155" s="1">
        <v>2</v>
      </c>
      <c r="O155" s="1" t="s">
        <v>1442</v>
      </c>
      <c r="Q155" s="1">
        <v>16</v>
      </c>
      <c r="R155" s="1" t="s">
        <v>1445</v>
      </c>
      <c r="T155" s="1">
        <v>16</v>
      </c>
      <c r="U155" s="1" t="s">
        <v>1451</v>
      </c>
    </row>
    <row r="156" spans="1:21" x14ac:dyDescent="0.25">
      <c r="A156" s="1">
        <v>60</v>
      </c>
      <c r="B156" s="1" t="s">
        <v>1752</v>
      </c>
      <c r="D156" s="14">
        <f t="shared" ca="1" si="16"/>
        <v>5</v>
      </c>
      <c r="E156" s="1">
        <f t="shared" ca="1" si="17"/>
        <v>0.81236963970441312</v>
      </c>
      <c r="F156" s="1" t="s">
        <v>1625</v>
      </c>
      <c r="I156" s="1">
        <v>16</v>
      </c>
      <c r="J156" s="1">
        <v>5</v>
      </c>
      <c r="K156" s="1" t="str">
        <f>"+4 damage"</f>
        <v>+4 damage</v>
      </c>
      <c r="M156" s="1">
        <v>17</v>
      </c>
      <c r="N156" s="1">
        <v>2</v>
      </c>
      <c r="O156" s="1" t="s">
        <v>1443</v>
      </c>
      <c r="Q156" s="1">
        <v>17</v>
      </c>
      <c r="R156" s="1" t="s">
        <v>1445</v>
      </c>
      <c r="T156" s="1">
        <v>17</v>
      </c>
      <c r="U156" s="1" t="s">
        <v>1451</v>
      </c>
    </row>
    <row r="157" spans="1:21" x14ac:dyDescent="0.25">
      <c r="A157" s="1">
        <v>61</v>
      </c>
      <c r="B157" s="1" t="s">
        <v>1751</v>
      </c>
      <c r="D157" s="14">
        <f t="shared" ca="1" si="16"/>
        <v>20</v>
      </c>
      <c r="E157" s="1">
        <f t="shared" ca="1" si="17"/>
        <v>0.13815436636623823</v>
      </c>
      <c r="F157" s="1" t="s">
        <v>1633</v>
      </c>
      <c r="I157" s="1">
        <v>17</v>
      </c>
      <c r="J157" s="1">
        <v>6</v>
      </c>
      <c r="K157" s="1" t="str">
        <f>"+4 damage"</f>
        <v>+4 damage</v>
      </c>
      <c r="M157" s="1">
        <v>18</v>
      </c>
      <c r="N157" s="1">
        <v>3</v>
      </c>
      <c r="O157" s="1" t="s">
        <v>1443</v>
      </c>
      <c r="Q157" s="1">
        <v>18</v>
      </c>
      <c r="R157" s="1" t="s">
        <v>1445</v>
      </c>
      <c r="T157" s="1">
        <v>18</v>
      </c>
      <c r="U157" s="1" t="s">
        <v>1451</v>
      </c>
    </row>
    <row r="158" spans="1:21" x14ac:dyDescent="0.25">
      <c r="A158" s="1">
        <v>62</v>
      </c>
      <c r="B158" s="1" t="s">
        <v>1750</v>
      </c>
      <c r="D158" s="14">
        <f t="shared" ca="1" si="16"/>
        <v>19</v>
      </c>
      <c r="E158" s="1">
        <f t="shared" ca="1" si="17"/>
        <v>0.19806523565736189</v>
      </c>
      <c r="F158" s="1" t="s">
        <v>1635</v>
      </c>
      <c r="I158" s="1">
        <v>18</v>
      </c>
      <c r="J158" s="1">
        <v>6</v>
      </c>
      <c r="K158" s="1" t="str">
        <f>"+4 damage"</f>
        <v>+4 damage</v>
      </c>
      <c r="M158" s="1">
        <v>19</v>
      </c>
      <c r="N158" s="1">
        <v>3</v>
      </c>
      <c r="O158" s="1" t="s">
        <v>1443</v>
      </c>
      <c r="Q158" s="1">
        <v>19</v>
      </c>
      <c r="R158" s="1" t="s">
        <v>1445</v>
      </c>
      <c r="T158" s="1">
        <v>19</v>
      </c>
      <c r="U158" s="1" t="s">
        <v>1451</v>
      </c>
    </row>
    <row r="159" spans="1:21" x14ac:dyDescent="0.25">
      <c r="A159" s="1">
        <v>63</v>
      </c>
      <c r="B159" s="1" t="s">
        <v>1749</v>
      </c>
      <c r="D159" s="14">
        <f t="shared" ca="1" si="16"/>
        <v>18</v>
      </c>
      <c r="E159" s="1">
        <f t="shared" ca="1" si="17"/>
        <v>0.23235260509989741</v>
      </c>
      <c r="F159" s="1" t="s">
        <v>1626</v>
      </c>
      <c r="I159" s="1">
        <v>19</v>
      </c>
      <c r="J159" s="1">
        <v>6</v>
      </c>
      <c r="K159" s="1" t="str">
        <f>"+4 damage"</f>
        <v>+4 damage</v>
      </c>
      <c r="M159" s="1">
        <v>20</v>
      </c>
      <c r="N159" s="1">
        <v>3</v>
      </c>
      <c r="O159" s="1" t="s">
        <v>1443</v>
      </c>
      <c r="Q159" s="1">
        <v>20</v>
      </c>
      <c r="R159" s="1" t="s">
        <v>1445</v>
      </c>
      <c r="T159" s="1">
        <v>20</v>
      </c>
      <c r="U159" s="1" t="s">
        <v>1452</v>
      </c>
    </row>
    <row r="160" spans="1:21" x14ac:dyDescent="0.25">
      <c r="A160" s="1">
        <v>64</v>
      </c>
      <c r="B160" s="1" t="s">
        <v>1748</v>
      </c>
      <c r="D160" s="14">
        <f t="shared" ca="1" si="16"/>
        <v>4</v>
      </c>
      <c r="E160" s="1">
        <f t="shared" ca="1" si="17"/>
        <v>0.84215867955737644</v>
      </c>
      <c r="F160" s="1" t="s">
        <v>1621</v>
      </c>
      <c r="I160" s="1">
        <v>20</v>
      </c>
      <c r="J160" s="1" t="s">
        <v>1985</v>
      </c>
      <c r="K160" s="1" t="str">
        <f>"+4 damage"</f>
        <v>+4 damage</v>
      </c>
    </row>
    <row r="161" spans="1:21" x14ac:dyDescent="0.25">
      <c r="A161" s="1">
        <v>65</v>
      </c>
      <c r="B161" s="1" t="s">
        <v>1747</v>
      </c>
      <c r="D161" s="14">
        <f t="shared" ca="1" si="16"/>
        <v>8</v>
      </c>
      <c r="E161" s="1">
        <f t="shared" ca="1" si="17"/>
        <v>0.64140314289373868</v>
      </c>
      <c r="F161" s="1" t="s">
        <v>1634</v>
      </c>
      <c r="Q161" s="2" t="s">
        <v>1458</v>
      </c>
    </row>
    <row r="162" spans="1:21" x14ac:dyDescent="0.25">
      <c r="A162" s="1">
        <v>66</v>
      </c>
      <c r="B162" s="1" t="s">
        <v>1746</v>
      </c>
      <c r="D162"/>
      <c r="E162"/>
      <c r="F162"/>
      <c r="Q162" s="1">
        <v>1</v>
      </c>
      <c r="R162" s="1" t="s">
        <v>1459</v>
      </c>
    </row>
    <row r="163" spans="1:21" x14ac:dyDescent="0.25">
      <c r="A163" s="1">
        <v>67</v>
      </c>
      <c r="B163" s="1" t="s">
        <v>1745</v>
      </c>
      <c r="D163" s="2" t="s">
        <v>1636</v>
      </c>
      <c r="Q163" s="1">
        <v>2</v>
      </c>
      <c r="R163" s="1" t="s">
        <v>1460</v>
      </c>
    </row>
    <row r="164" spans="1:21" x14ac:dyDescent="0.25">
      <c r="A164" s="1">
        <v>68</v>
      </c>
      <c r="B164" s="1" t="s">
        <v>1744</v>
      </c>
      <c r="D164" s="14">
        <f t="shared" ref="D164:D187" ca="1" si="20">_xlfn.RANK.EQ(E164,$E$164:$E$187)</f>
        <v>11</v>
      </c>
      <c r="E164" s="1">
        <f t="shared" ref="E164:E187" ca="1" si="21">RAND()</f>
        <v>0.58118839392286425</v>
      </c>
      <c r="F164" s="1" t="s">
        <v>1611</v>
      </c>
      <c r="Q164" s="1">
        <v>3</v>
      </c>
      <c r="R164" s="1" t="s">
        <v>1461</v>
      </c>
    </row>
    <row r="165" spans="1:21" x14ac:dyDescent="0.25">
      <c r="A165" s="1">
        <v>69</v>
      </c>
      <c r="B165" s="1" t="s">
        <v>1743</v>
      </c>
      <c r="D165" s="14">
        <f t="shared" ca="1" si="20"/>
        <v>13</v>
      </c>
      <c r="E165" s="1">
        <f t="shared" ca="1" si="21"/>
        <v>0.45329860951429313</v>
      </c>
      <c r="F165" s="1" t="s">
        <v>1631</v>
      </c>
      <c r="Q165" s="1">
        <v>4</v>
      </c>
      <c r="R165" s="1" t="s">
        <v>1462</v>
      </c>
    </row>
    <row r="166" spans="1:21" x14ac:dyDescent="0.25">
      <c r="A166" s="1">
        <v>70</v>
      </c>
      <c r="B166" s="1" t="s">
        <v>1742</v>
      </c>
      <c r="D166" s="14">
        <f t="shared" ca="1" si="20"/>
        <v>16</v>
      </c>
      <c r="E166" s="1">
        <f t="shared" ca="1" si="21"/>
        <v>0.32997266226382271</v>
      </c>
      <c r="F166" s="1" t="s">
        <v>1612</v>
      </c>
      <c r="Q166" s="1">
        <v>5</v>
      </c>
      <c r="R166" s="1" t="s">
        <v>1463</v>
      </c>
    </row>
    <row r="167" spans="1:21" x14ac:dyDescent="0.25">
      <c r="A167" s="1">
        <v>71</v>
      </c>
      <c r="B167" s="1" t="s">
        <v>1741</v>
      </c>
      <c r="D167" s="14">
        <f t="shared" ca="1" si="20"/>
        <v>12</v>
      </c>
      <c r="E167" s="1">
        <f t="shared" ca="1" si="21"/>
        <v>0.49021313395149457</v>
      </c>
      <c r="F167" s="1" t="s">
        <v>1613</v>
      </c>
      <c r="Q167" s="1">
        <v>6</v>
      </c>
      <c r="R167" s="1" t="s">
        <v>1464</v>
      </c>
    </row>
    <row r="168" spans="1:21" x14ac:dyDescent="0.25">
      <c r="A168" s="1">
        <v>72</v>
      </c>
      <c r="B168" s="1" t="s">
        <v>1740</v>
      </c>
      <c r="D168" s="14">
        <f t="shared" ca="1" si="20"/>
        <v>15</v>
      </c>
      <c r="E168" s="1">
        <f t="shared" ca="1" si="21"/>
        <v>0.37892638727755812</v>
      </c>
      <c r="F168" s="1" t="s">
        <v>1629</v>
      </c>
      <c r="Q168" s="1">
        <v>7</v>
      </c>
      <c r="R168" s="1" t="s">
        <v>1465</v>
      </c>
    </row>
    <row r="169" spans="1:21" x14ac:dyDescent="0.25">
      <c r="A169" s="1">
        <v>73</v>
      </c>
      <c r="B169" s="1" t="s">
        <v>1739</v>
      </c>
      <c r="D169" s="14">
        <f t="shared" ca="1" si="20"/>
        <v>22</v>
      </c>
      <c r="E169" s="1">
        <f t="shared" ca="1" si="21"/>
        <v>0.21754277385528131</v>
      </c>
      <c r="F169" s="1" t="s">
        <v>1614</v>
      </c>
      <c r="Q169" s="1">
        <v>8</v>
      </c>
      <c r="R169" s="1" t="s">
        <v>1466</v>
      </c>
    </row>
    <row r="170" spans="1:21" x14ac:dyDescent="0.25">
      <c r="A170" s="1">
        <v>74</v>
      </c>
      <c r="B170" s="1" t="s">
        <v>1738</v>
      </c>
      <c r="D170" s="14">
        <f t="shared" ca="1" si="20"/>
        <v>6</v>
      </c>
      <c r="E170" s="1">
        <f t="shared" ca="1" si="21"/>
        <v>0.86516575626041026</v>
      </c>
      <c r="F170" s="1" t="s">
        <v>1628</v>
      </c>
      <c r="Q170" s="1">
        <v>9</v>
      </c>
      <c r="R170" s="1" t="s">
        <v>1467</v>
      </c>
    </row>
    <row r="171" spans="1:21" x14ac:dyDescent="0.25">
      <c r="A171" s="1">
        <v>75</v>
      </c>
      <c r="B171" s="1" t="s">
        <v>1737</v>
      </c>
      <c r="D171" s="14">
        <f t="shared" ca="1" si="20"/>
        <v>2</v>
      </c>
      <c r="E171" s="1">
        <f t="shared" ca="1" si="21"/>
        <v>0.9581867709186781</v>
      </c>
      <c r="F171" s="1" t="s">
        <v>1615</v>
      </c>
      <c r="Q171" s="1">
        <v>10</v>
      </c>
      <c r="R171" s="1" t="s">
        <v>1468</v>
      </c>
    </row>
    <row r="172" spans="1:21" x14ac:dyDescent="0.25">
      <c r="A172" s="1">
        <v>76</v>
      </c>
      <c r="B172" s="1" t="s">
        <v>1736</v>
      </c>
      <c r="D172" s="14">
        <f t="shared" ca="1" si="20"/>
        <v>4</v>
      </c>
      <c r="E172" s="1">
        <f t="shared" ca="1" si="21"/>
        <v>0.93911148827615876</v>
      </c>
      <c r="F172" s="1" t="s">
        <v>1616</v>
      </c>
      <c r="Q172" s="1">
        <v>11</v>
      </c>
      <c r="R172" s="1" t="s">
        <v>1469</v>
      </c>
    </row>
    <row r="173" spans="1:21" x14ac:dyDescent="0.25">
      <c r="A173" s="1">
        <v>77</v>
      </c>
      <c r="B173" s="1" t="s">
        <v>1735</v>
      </c>
      <c r="D173" s="14">
        <f t="shared" ca="1" si="20"/>
        <v>5</v>
      </c>
      <c r="E173" s="1">
        <f t="shared" ca="1" si="21"/>
        <v>0.92395578154272051</v>
      </c>
      <c r="F173" s="1" t="s">
        <v>1617</v>
      </c>
      <c r="Q173" s="1">
        <v>12</v>
      </c>
      <c r="R173" s="1" t="s">
        <v>1470</v>
      </c>
    </row>
    <row r="174" spans="1:21" x14ac:dyDescent="0.25">
      <c r="A174" s="1">
        <v>78</v>
      </c>
      <c r="B174" s="1" t="s">
        <v>1734</v>
      </c>
      <c r="D174" s="14">
        <f t="shared" ca="1" si="20"/>
        <v>9</v>
      </c>
      <c r="E174" s="1">
        <f t="shared" ca="1" si="21"/>
        <v>0.75551676617632768</v>
      </c>
      <c r="F174" s="1" t="s">
        <v>1618</v>
      </c>
      <c r="Q174" s="1">
        <v>13</v>
      </c>
      <c r="R174" s="1" t="s">
        <v>1471</v>
      </c>
    </row>
    <row r="175" spans="1:21" x14ac:dyDescent="0.25">
      <c r="A175" s="1">
        <v>79</v>
      </c>
      <c r="B175" s="1" t="s">
        <v>1733</v>
      </c>
      <c r="D175" s="14">
        <f t="shared" ca="1" si="20"/>
        <v>7</v>
      </c>
      <c r="E175" s="1">
        <f t="shared" ca="1" si="21"/>
        <v>0.81917556981813577</v>
      </c>
      <c r="F175" s="1" t="s">
        <v>1619</v>
      </c>
    </row>
    <row r="176" spans="1:21" x14ac:dyDescent="0.25">
      <c r="A176" s="1">
        <v>80</v>
      </c>
      <c r="B176" s="1" t="s">
        <v>1732</v>
      </c>
      <c r="D176" s="14">
        <f t="shared" ca="1" si="20"/>
        <v>20</v>
      </c>
      <c r="E176" s="1">
        <f t="shared" ca="1" si="21"/>
        <v>0.26324184898299774</v>
      </c>
      <c r="F176" s="1" t="s">
        <v>1637</v>
      </c>
      <c r="Q176" s="2" t="s">
        <v>1458</v>
      </c>
      <c r="U176" s="2" t="s">
        <v>1514</v>
      </c>
    </row>
    <row r="177" spans="1:22" x14ac:dyDescent="0.25">
      <c r="A177" s="1">
        <v>81</v>
      </c>
      <c r="B177" s="1" t="s">
        <v>1731</v>
      </c>
      <c r="D177" s="14">
        <f t="shared" ca="1" si="20"/>
        <v>10</v>
      </c>
      <c r="E177" s="1">
        <f t="shared" ca="1" si="21"/>
        <v>0.64273649042238534</v>
      </c>
      <c r="F177" s="1" t="s">
        <v>1632</v>
      </c>
      <c r="Q177" s="13">
        <f t="shared" ref="Q177:Q220" ca="1" si="22">_xlfn.RANK.EQ(R177,$R$177:$R$220)</f>
        <v>6</v>
      </c>
      <c r="R177" s="1">
        <f t="shared" ref="R177:R220" ca="1" si="23">RAND()</f>
        <v>0.85390889109822898</v>
      </c>
      <c r="S177" s="1" t="s">
        <v>1472</v>
      </c>
      <c r="U177" s="1">
        <v>1</v>
      </c>
      <c r="V177" s="1" t="s">
        <v>1515</v>
      </c>
    </row>
    <row r="178" spans="1:22" x14ac:dyDescent="0.25">
      <c r="A178" s="1">
        <v>82</v>
      </c>
      <c r="B178" s="1" t="s">
        <v>1730</v>
      </c>
      <c r="D178" s="14">
        <f t="shared" ca="1" si="20"/>
        <v>3</v>
      </c>
      <c r="E178" s="1">
        <f t="shared" ca="1" si="21"/>
        <v>0.94695101521429692</v>
      </c>
      <c r="F178" s="1" t="s">
        <v>1622</v>
      </c>
      <c r="Q178" s="13">
        <f t="shared" ca="1" si="22"/>
        <v>28</v>
      </c>
      <c r="R178" s="1">
        <f t="shared" ca="1" si="23"/>
        <v>0.3818642946809111</v>
      </c>
      <c r="S178" s="1" t="s">
        <v>1473</v>
      </c>
      <c r="U178" s="1">
        <v>2</v>
      </c>
      <c r="V178" s="1" t="s">
        <v>1516</v>
      </c>
    </row>
    <row r="179" spans="1:22" x14ac:dyDescent="0.25">
      <c r="A179" s="1">
        <v>83</v>
      </c>
      <c r="B179" s="1" t="s">
        <v>1729</v>
      </c>
      <c r="D179" s="14">
        <f t="shared" ca="1" si="20"/>
        <v>14</v>
      </c>
      <c r="E179" s="1">
        <f t="shared" ca="1" si="21"/>
        <v>0.38267027690702338</v>
      </c>
      <c r="F179" s="1" t="s">
        <v>1620</v>
      </c>
      <c r="Q179" s="13">
        <f t="shared" ca="1" si="22"/>
        <v>17</v>
      </c>
      <c r="R179" s="1">
        <f t="shared" ca="1" si="23"/>
        <v>0.49235728026831815</v>
      </c>
      <c r="S179" s="1" t="s">
        <v>1475</v>
      </c>
      <c r="U179" s="1">
        <v>3</v>
      </c>
      <c r="V179" s="1" t="s">
        <v>1517</v>
      </c>
    </row>
    <row r="180" spans="1:22" x14ac:dyDescent="0.25">
      <c r="A180" s="1">
        <v>84</v>
      </c>
      <c r="B180" s="1" t="s">
        <v>1728</v>
      </c>
      <c r="D180" s="14">
        <f t="shared" ca="1" si="20"/>
        <v>19</v>
      </c>
      <c r="E180" s="1">
        <f t="shared" ca="1" si="21"/>
        <v>0.28181085158795416</v>
      </c>
      <c r="F180" s="1" t="s">
        <v>1625</v>
      </c>
      <c r="Q180" s="13">
        <f t="shared" ca="1" si="22"/>
        <v>7</v>
      </c>
      <c r="R180" s="1">
        <f t="shared" ca="1" si="23"/>
        <v>0.80347084141235769</v>
      </c>
      <c r="S180" s="1" t="s">
        <v>1476</v>
      </c>
    </row>
    <row r="181" spans="1:22" x14ac:dyDescent="0.25">
      <c r="A181" s="1">
        <v>85</v>
      </c>
      <c r="B181" s="1" t="s">
        <v>1727</v>
      </c>
      <c r="D181" s="14">
        <f t="shared" ca="1" si="20"/>
        <v>17</v>
      </c>
      <c r="E181" s="1">
        <f t="shared" ca="1" si="21"/>
        <v>0.30075506523473394</v>
      </c>
      <c r="F181" s="1" t="s">
        <v>1633</v>
      </c>
      <c r="Q181" s="13">
        <f t="shared" ca="1" si="22"/>
        <v>10</v>
      </c>
      <c r="R181" s="1">
        <f t="shared" ca="1" si="23"/>
        <v>0.71558909174715024</v>
      </c>
      <c r="S181" s="1" t="s">
        <v>1477</v>
      </c>
      <c r="U181" s="2" t="s">
        <v>1526</v>
      </c>
    </row>
    <row r="182" spans="1:22" x14ac:dyDescent="0.25">
      <c r="A182" s="1">
        <v>86</v>
      </c>
      <c r="B182" s="1" t="s">
        <v>1726</v>
      </c>
      <c r="D182" s="14">
        <f t="shared" ca="1" si="20"/>
        <v>24</v>
      </c>
      <c r="E182" s="1">
        <f t="shared" ca="1" si="21"/>
        <v>0.12513046355906154</v>
      </c>
      <c r="F182" s="1" t="s">
        <v>1635</v>
      </c>
      <c r="Q182" s="13">
        <f t="shared" ca="1" si="22"/>
        <v>27</v>
      </c>
      <c r="R182" s="1">
        <f t="shared" ca="1" si="23"/>
        <v>0.38633480568046141</v>
      </c>
      <c r="S182" s="1" t="s">
        <v>209</v>
      </c>
      <c r="U182" s="1">
        <v>1</v>
      </c>
      <c r="V182" s="1" t="s">
        <v>1518</v>
      </c>
    </row>
    <row r="183" spans="1:22" x14ac:dyDescent="0.25">
      <c r="A183" s="1">
        <v>87</v>
      </c>
      <c r="B183" s="1" t="s">
        <v>1725</v>
      </c>
      <c r="D183" s="14">
        <f t="shared" ca="1" si="20"/>
        <v>23</v>
      </c>
      <c r="E183" s="1">
        <f t="shared" ca="1" si="21"/>
        <v>0.15042423178700992</v>
      </c>
      <c r="F183" s="1" t="s">
        <v>1626</v>
      </c>
      <c r="Q183" s="13">
        <f t="shared" ca="1" si="22"/>
        <v>20</v>
      </c>
      <c r="R183" s="1">
        <f t="shared" ca="1" si="23"/>
        <v>0.46343000735869921</v>
      </c>
      <c r="S183" s="1" t="s">
        <v>1478</v>
      </c>
      <c r="U183" s="1">
        <v>2</v>
      </c>
      <c r="V183" s="1" t="s">
        <v>1519</v>
      </c>
    </row>
    <row r="184" spans="1:22" x14ac:dyDescent="0.25">
      <c r="A184" s="1">
        <v>88</v>
      </c>
      <c r="B184" s="1" t="s">
        <v>1724</v>
      </c>
      <c r="D184" s="14">
        <f t="shared" ca="1" si="20"/>
        <v>18</v>
      </c>
      <c r="E184" s="1">
        <f t="shared" ca="1" si="21"/>
        <v>0.28797943780951907</v>
      </c>
      <c r="F184" s="1" t="s">
        <v>1621</v>
      </c>
      <c r="Q184" s="13">
        <f t="shared" ca="1" si="22"/>
        <v>37</v>
      </c>
      <c r="R184" s="1">
        <f t="shared" ca="1" si="23"/>
        <v>8.4003350142775601E-2</v>
      </c>
      <c r="S184" s="1" t="s">
        <v>1479</v>
      </c>
      <c r="U184" s="1">
        <v>3</v>
      </c>
      <c r="V184" s="1" t="s">
        <v>1520</v>
      </c>
    </row>
    <row r="185" spans="1:22" x14ac:dyDescent="0.25">
      <c r="A185" s="1">
        <v>89</v>
      </c>
      <c r="B185" s="1" t="s">
        <v>1723</v>
      </c>
      <c r="D185" s="14">
        <f t="shared" ca="1" si="20"/>
        <v>8</v>
      </c>
      <c r="E185" s="1">
        <f t="shared" ca="1" si="21"/>
        <v>0.81877916326225353</v>
      </c>
      <c r="F185" s="1" t="s">
        <v>1639</v>
      </c>
      <c r="Q185" s="13">
        <f t="shared" ca="1" si="22"/>
        <v>34</v>
      </c>
      <c r="R185" s="1">
        <f t="shared" ca="1" si="23"/>
        <v>0.1535277097957144</v>
      </c>
      <c r="S185" s="1" t="s">
        <v>43</v>
      </c>
    </row>
    <row r="186" spans="1:22" x14ac:dyDescent="0.25">
      <c r="A186" s="1">
        <v>90</v>
      </c>
      <c r="B186" s="1" t="s">
        <v>1722</v>
      </c>
      <c r="D186" s="14">
        <f t="shared" ca="1" si="20"/>
        <v>1</v>
      </c>
      <c r="E186" s="1">
        <f t="shared" ca="1" si="21"/>
        <v>0.99357341286741574</v>
      </c>
      <c r="F186" s="1" t="s">
        <v>1634</v>
      </c>
      <c r="Q186" s="13">
        <f t="shared" ca="1" si="22"/>
        <v>44</v>
      </c>
      <c r="R186" s="1">
        <f t="shared" ca="1" si="23"/>
        <v>2.380508029621653E-2</v>
      </c>
      <c r="S186" s="1" t="s">
        <v>206</v>
      </c>
      <c r="U186" s="2" t="s">
        <v>1527</v>
      </c>
    </row>
    <row r="187" spans="1:22" x14ac:dyDescent="0.25">
      <c r="A187" s="1">
        <v>91</v>
      </c>
      <c r="B187" s="1" t="s">
        <v>1721</v>
      </c>
      <c r="D187" s="14">
        <f t="shared" ca="1" si="20"/>
        <v>21</v>
      </c>
      <c r="E187" s="1">
        <f t="shared" ca="1" si="21"/>
        <v>0.2369812486728502</v>
      </c>
      <c r="F187" s="1" t="s">
        <v>1638</v>
      </c>
      <c r="Q187" s="13">
        <f t="shared" ca="1" si="22"/>
        <v>11</v>
      </c>
      <c r="R187" s="1">
        <f t="shared" ca="1" si="23"/>
        <v>0.6636509352594071</v>
      </c>
      <c r="S187" s="1" t="s">
        <v>1480</v>
      </c>
      <c r="U187" s="1">
        <v>1</v>
      </c>
      <c r="V187" s="1" t="s">
        <v>1521</v>
      </c>
    </row>
    <row r="188" spans="1:22" x14ac:dyDescent="0.25">
      <c r="A188" s="1">
        <v>92</v>
      </c>
      <c r="B188" s="1" t="s">
        <v>1720</v>
      </c>
      <c r="Q188" s="13">
        <f t="shared" ca="1" si="22"/>
        <v>32</v>
      </c>
      <c r="R188" s="1">
        <f t="shared" ca="1" si="23"/>
        <v>0.26687729662994297</v>
      </c>
      <c r="S188" s="1" t="s">
        <v>1481</v>
      </c>
      <c r="U188" s="1">
        <v>2</v>
      </c>
      <c r="V188" s="1" t="s">
        <v>1522</v>
      </c>
    </row>
    <row r="189" spans="1:22" x14ac:dyDescent="0.25">
      <c r="A189" s="1">
        <v>93</v>
      </c>
      <c r="B189" s="1" t="s">
        <v>1803</v>
      </c>
      <c r="D189" s="2" t="s">
        <v>1640</v>
      </c>
      <c r="Q189" s="13">
        <f t="shared" ca="1" si="22"/>
        <v>18</v>
      </c>
      <c r="R189" s="1">
        <f t="shared" ca="1" si="23"/>
        <v>0.48178600690128492</v>
      </c>
      <c r="S189" s="1" t="s">
        <v>1474</v>
      </c>
    </row>
    <row r="190" spans="1:22" x14ac:dyDescent="0.25">
      <c r="A190" s="1">
        <v>94</v>
      </c>
      <c r="B190" s="1" t="s">
        <v>1719</v>
      </c>
      <c r="D190" s="1">
        <v>1</v>
      </c>
      <c r="E190" s="1">
        <v>0</v>
      </c>
      <c r="Q190" s="13">
        <f t="shared" ca="1" si="22"/>
        <v>30</v>
      </c>
      <c r="R190" s="1">
        <f t="shared" ca="1" si="23"/>
        <v>0.32319212818783316</v>
      </c>
      <c r="S190" s="1" t="s">
        <v>1482</v>
      </c>
      <c r="U190" s="2" t="s">
        <v>1528</v>
      </c>
    </row>
    <row r="191" spans="1:22" x14ac:dyDescent="0.25">
      <c r="A191" s="1">
        <v>95</v>
      </c>
      <c r="B191" s="1" t="s">
        <v>1718</v>
      </c>
      <c r="D191" s="1">
        <v>2</v>
      </c>
      <c r="E191" s="1">
        <v>2</v>
      </c>
      <c r="Q191" s="13">
        <f t="shared" ca="1" si="22"/>
        <v>33</v>
      </c>
      <c r="R191" s="1">
        <f t="shared" ca="1" si="23"/>
        <v>0.25396877638846294</v>
      </c>
      <c r="S191" s="1" t="s">
        <v>1483</v>
      </c>
      <c r="U191" s="1">
        <v>1</v>
      </c>
      <c r="V191" s="1" t="s">
        <v>1523</v>
      </c>
    </row>
    <row r="192" spans="1:22" x14ac:dyDescent="0.25">
      <c r="A192" s="1">
        <v>96</v>
      </c>
      <c r="B192" s="1" t="s">
        <v>1717</v>
      </c>
      <c r="D192" s="1">
        <v>3</v>
      </c>
      <c r="E192" s="1">
        <v>2</v>
      </c>
      <c r="Q192" s="13">
        <f t="shared" ca="1" si="22"/>
        <v>13</v>
      </c>
      <c r="R192" s="1">
        <f t="shared" ca="1" si="23"/>
        <v>0.60751655918492686</v>
      </c>
      <c r="S192" s="1" t="s">
        <v>1484</v>
      </c>
      <c r="U192" s="1">
        <v>2</v>
      </c>
      <c r="V192" s="1" t="s">
        <v>1524</v>
      </c>
    </row>
    <row r="193" spans="1:22" x14ac:dyDescent="0.25">
      <c r="A193" s="1">
        <v>97</v>
      </c>
      <c r="B193" s="1" t="s">
        <v>1716</v>
      </c>
      <c r="D193" s="1">
        <v>4</v>
      </c>
      <c r="E193" s="1">
        <v>2</v>
      </c>
      <c r="Q193" s="13">
        <f t="shared" ca="1" si="22"/>
        <v>19</v>
      </c>
      <c r="R193" s="1">
        <f t="shared" ca="1" si="23"/>
        <v>0.46986042894612789</v>
      </c>
      <c r="S193" s="1" t="s">
        <v>1485</v>
      </c>
      <c r="U193" s="1">
        <v>3</v>
      </c>
      <c r="V193" s="1" t="s">
        <v>1525</v>
      </c>
    </row>
    <row r="194" spans="1:22" x14ac:dyDescent="0.25">
      <c r="A194" s="1">
        <v>98</v>
      </c>
      <c r="B194" s="1" t="s">
        <v>1715</v>
      </c>
      <c r="D194" s="1">
        <v>5</v>
      </c>
      <c r="E194" s="1">
        <v>3</v>
      </c>
      <c r="Q194" s="13">
        <f t="shared" ca="1" si="22"/>
        <v>21</v>
      </c>
      <c r="R194" s="1">
        <f t="shared" ca="1" si="23"/>
        <v>0.46120220096530862</v>
      </c>
      <c r="S194" s="1" t="s">
        <v>210</v>
      </c>
    </row>
    <row r="195" spans="1:22" x14ac:dyDescent="0.25">
      <c r="A195" s="1">
        <v>99</v>
      </c>
      <c r="B195" s="1" t="s">
        <v>1714</v>
      </c>
      <c r="D195" s="1">
        <v>6</v>
      </c>
      <c r="E195" s="1">
        <v>3</v>
      </c>
      <c r="Q195" s="13">
        <f t="shared" ca="1" si="22"/>
        <v>24</v>
      </c>
      <c r="R195" s="1">
        <f t="shared" ca="1" si="23"/>
        <v>0.42465258633437342</v>
      </c>
      <c r="S195" s="1" t="s">
        <v>1486</v>
      </c>
      <c r="U195" s="2" t="s">
        <v>1529</v>
      </c>
    </row>
    <row r="196" spans="1:22" x14ac:dyDescent="0.25">
      <c r="A196" s="1">
        <v>100</v>
      </c>
      <c r="B196" s="1" t="s">
        <v>1713</v>
      </c>
      <c r="D196" s="1">
        <v>7</v>
      </c>
      <c r="E196" s="1">
        <v>4</v>
      </c>
      <c r="Q196" s="13">
        <f t="shared" ca="1" si="22"/>
        <v>39</v>
      </c>
      <c r="R196" s="1">
        <f t="shared" ca="1" si="23"/>
        <v>7.4809061685080169E-2</v>
      </c>
      <c r="S196" s="1" t="s">
        <v>1487</v>
      </c>
      <c r="U196" s="1">
        <v>1</v>
      </c>
      <c r="V196" s="1" t="s">
        <v>1530</v>
      </c>
    </row>
    <row r="197" spans="1:22" x14ac:dyDescent="0.25">
      <c r="A197" s="1">
        <v>101</v>
      </c>
      <c r="B197" s="1" t="s">
        <v>1712</v>
      </c>
      <c r="D197" s="1">
        <v>8</v>
      </c>
      <c r="E197" s="1">
        <v>4</v>
      </c>
      <c r="Q197" s="13">
        <f t="shared" ca="1" si="22"/>
        <v>43</v>
      </c>
      <c r="R197" s="1">
        <f t="shared" ca="1" si="23"/>
        <v>4.9037060906599095E-2</v>
      </c>
      <c r="S197" s="1" t="s">
        <v>1488</v>
      </c>
      <c r="U197" s="1">
        <v>2</v>
      </c>
      <c r="V197" s="1" t="s">
        <v>557</v>
      </c>
    </row>
    <row r="198" spans="1:22" x14ac:dyDescent="0.25">
      <c r="A198" s="1">
        <v>102</v>
      </c>
      <c r="B198" s="1" t="s">
        <v>1711</v>
      </c>
      <c r="D198" s="1">
        <v>9</v>
      </c>
      <c r="E198" s="1">
        <v>5</v>
      </c>
      <c r="Q198" s="13">
        <f t="shared" ca="1" si="22"/>
        <v>15</v>
      </c>
      <c r="R198" s="1">
        <f t="shared" ca="1" si="23"/>
        <v>0.5903651628506329</v>
      </c>
      <c r="S198" s="1" t="s">
        <v>207</v>
      </c>
      <c r="U198" s="1">
        <v>3</v>
      </c>
      <c r="V198" s="1" t="s">
        <v>1531</v>
      </c>
    </row>
    <row r="199" spans="1:22" x14ac:dyDescent="0.25">
      <c r="A199" s="1">
        <v>103</v>
      </c>
      <c r="B199" s="1" t="s">
        <v>1710</v>
      </c>
      <c r="D199" s="1">
        <v>10</v>
      </c>
      <c r="E199" s="1">
        <v>5</v>
      </c>
      <c r="Q199" s="13">
        <f t="shared" ca="1" si="22"/>
        <v>25</v>
      </c>
      <c r="R199" s="1">
        <f t="shared" ca="1" si="23"/>
        <v>0.42460977750167916</v>
      </c>
      <c r="S199" s="1" t="s">
        <v>1489</v>
      </c>
      <c r="U199" s="1">
        <v>4</v>
      </c>
      <c r="V199" s="1" t="s">
        <v>1532</v>
      </c>
    </row>
    <row r="200" spans="1:22" x14ac:dyDescent="0.25">
      <c r="A200" s="1">
        <v>104</v>
      </c>
      <c r="B200" s="1" t="s">
        <v>1709</v>
      </c>
      <c r="D200" s="1">
        <v>11</v>
      </c>
      <c r="E200" s="1">
        <v>5</v>
      </c>
      <c r="Q200" s="13">
        <f t="shared" ca="1" si="22"/>
        <v>26</v>
      </c>
      <c r="R200" s="1">
        <f t="shared" ca="1" si="23"/>
        <v>0.42280708954160429</v>
      </c>
      <c r="S200" s="1" t="s">
        <v>208</v>
      </c>
      <c r="U200" s="1">
        <v>5</v>
      </c>
      <c r="V200" s="1" t="s">
        <v>1533</v>
      </c>
    </row>
    <row r="201" spans="1:22" x14ac:dyDescent="0.25">
      <c r="A201" s="1">
        <v>105</v>
      </c>
      <c r="B201" s="1" t="s">
        <v>1708</v>
      </c>
      <c r="D201" s="1">
        <v>12</v>
      </c>
      <c r="E201" s="1">
        <v>6</v>
      </c>
      <c r="Q201" s="13">
        <f t="shared" ca="1" si="22"/>
        <v>9</v>
      </c>
      <c r="R201" s="1">
        <f t="shared" ca="1" si="23"/>
        <v>0.77765510993235953</v>
      </c>
      <c r="S201" s="1" t="s">
        <v>1490</v>
      </c>
      <c r="U201" s="1">
        <v>6</v>
      </c>
      <c r="V201" s="1" t="s">
        <v>1534</v>
      </c>
    </row>
    <row r="202" spans="1:22" x14ac:dyDescent="0.25">
      <c r="A202" s="1">
        <v>106</v>
      </c>
      <c r="B202" s="1" t="s">
        <v>1707</v>
      </c>
      <c r="D202" s="1">
        <v>13</v>
      </c>
      <c r="E202" s="1">
        <v>6</v>
      </c>
      <c r="Q202" s="13">
        <f t="shared" ca="1" si="22"/>
        <v>31</v>
      </c>
      <c r="R202" s="1">
        <f t="shared" ca="1" si="23"/>
        <v>0.3089426419636192</v>
      </c>
      <c r="S202" s="1" t="s">
        <v>1491</v>
      </c>
      <c r="U202" s="1">
        <v>7</v>
      </c>
      <c r="V202" s="1" t="s">
        <v>1535</v>
      </c>
    </row>
    <row r="203" spans="1:22" x14ac:dyDescent="0.25">
      <c r="A203" s="1">
        <v>107</v>
      </c>
      <c r="B203" s="1" t="s">
        <v>1706</v>
      </c>
      <c r="D203" s="1">
        <v>14</v>
      </c>
      <c r="E203" s="1">
        <v>6</v>
      </c>
      <c r="Q203" s="13">
        <f t="shared" ca="1" si="22"/>
        <v>5</v>
      </c>
      <c r="R203" s="1">
        <f t="shared" ca="1" si="23"/>
        <v>0.86389106685962269</v>
      </c>
      <c r="S203" s="1" t="s">
        <v>1492</v>
      </c>
      <c r="U203" s="1">
        <v>8</v>
      </c>
      <c r="V203" s="1" t="s">
        <v>1536</v>
      </c>
    </row>
    <row r="204" spans="1:22" x14ac:dyDescent="0.25">
      <c r="A204" s="1">
        <v>108</v>
      </c>
      <c r="B204" s="1" t="s">
        <v>1250</v>
      </c>
      <c r="D204" s="1">
        <v>15</v>
      </c>
      <c r="E204" s="1">
        <v>7</v>
      </c>
      <c r="Q204" s="13">
        <f t="shared" ca="1" si="22"/>
        <v>16</v>
      </c>
      <c r="R204" s="1">
        <f t="shared" ca="1" si="23"/>
        <v>0.54571622998446501</v>
      </c>
      <c r="S204" s="1" t="s">
        <v>1493</v>
      </c>
      <c r="U204" s="1">
        <v>9</v>
      </c>
      <c r="V204" s="1" t="s">
        <v>1537</v>
      </c>
    </row>
    <row r="205" spans="1:22" x14ac:dyDescent="0.25">
      <c r="A205" s="1">
        <v>109</v>
      </c>
      <c r="B205" s="1" t="s">
        <v>1701</v>
      </c>
      <c r="D205" s="1">
        <v>16</v>
      </c>
      <c r="E205" s="1">
        <v>7</v>
      </c>
      <c r="Q205" s="13">
        <f t="shared" ca="1" si="22"/>
        <v>1</v>
      </c>
      <c r="R205" s="1">
        <f t="shared" ca="1" si="23"/>
        <v>0.97200323563022883</v>
      </c>
      <c r="S205" s="1" t="s">
        <v>1494</v>
      </c>
      <c r="U205" s="1">
        <v>10</v>
      </c>
      <c r="V205" s="1" t="s">
        <v>1538</v>
      </c>
    </row>
    <row r="206" spans="1:22" x14ac:dyDescent="0.25">
      <c r="A206" s="1">
        <v>110</v>
      </c>
      <c r="B206" s="1" t="s">
        <v>1705</v>
      </c>
      <c r="D206" s="1">
        <v>17</v>
      </c>
      <c r="E206" s="1">
        <v>7</v>
      </c>
      <c r="Q206" s="13">
        <f t="shared" ca="1" si="22"/>
        <v>8</v>
      </c>
      <c r="R206" s="1">
        <f t="shared" ca="1" si="23"/>
        <v>0.79857658728677783</v>
      </c>
      <c r="S206" s="1" t="s">
        <v>1495</v>
      </c>
      <c r="U206" s="1">
        <v>11</v>
      </c>
      <c r="V206" s="1" t="s">
        <v>1539</v>
      </c>
    </row>
    <row r="207" spans="1:22" x14ac:dyDescent="0.25">
      <c r="A207" s="1">
        <v>111</v>
      </c>
      <c r="B207" s="1" t="s">
        <v>1704</v>
      </c>
      <c r="D207" s="1">
        <v>18</v>
      </c>
      <c r="E207" s="1">
        <v>8</v>
      </c>
      <c r="Q207" s="13">
        <f t="shared" ca="1" si="22"/>
        <v>38</v>
      </c>
      <c r="R207" s="1">
        <f t="shared" ca="1" si="23"/>
        <v>7.6929821773586315E-2</v>
      </c>
      <c r="S207" s="1" t="s">
        <v>1496</v>
      </c>
      <c r="U207" s="1">
        <v>12</v>
      </c>
      <c r="V207" s="1" t="s">
        <v>1540</v>
      </c>
    </row>
    <row r="208" spans="1:22" x14ac:dyDescent="0.25">
      <c r="A208" s="1">
        <v>112</v>
      </c>
      <c r="B208" s="1" t="s">
        <v>1703</v>
      </c>
      <c r="D208" s="1">
        <v>19</v>
      </c>
      <c r="E208" s="1">
        <v>8</v>
      </c>
      <c r="Q208" s="13">
        <f t="shared" ca="1" si="22"/>
        <v>12</v>
      </c>
      <c r="R208" s="1">
        <f t="shared" ca="1" si="23"/>
        <v>0.63856197406222004</v>
      </c>
      <c r="S208" s="1" t="s">
        <v>213</v>
      </c>
      <c r="U208" s="1">
        <v>13</v>
      </c>
      <c r="V208" s="1" t="s">
        <v>1541</v>
      </c>
    </row>
    <row r="209" spans="1:22" x14ac:dyDescent="0.25">
      <c r="A209" s="1">
        <v>113</v>
      </c>
      <c r="B209" s="1" t="s">
        <v>1702</v>
      </c>
      <c r="D209" s="1">
        <v>20</v>
      </c>
      <c r="E209" s="1">
        <v>8</v>
      </c>
      <c r="Q209" s="13">
        <f t="shared" ca="1" si="22"/>
        <v>23</v>
      </c>
      <c r="R209" s="1">
        <f t="shared" ca="1" si="23"/>
        <v>0.44009678424080834</v>
      </c>
      <c r="S209" s="1" t="s">
        <v>1497</v>
      </c>
      <c r="U209" s="1">
        <v>14</v>
      </c>
      <c r="V209" s="1" t="s">
        <v>1542</v>
      </c>
    </row>
    <row r="210" spans="1:22" x14ac:dyDescent="0.25">
      <c r="A210" s="1">
        <v>114</v>
      </c>
      <c r="B210" s="1" t="s">
        <v>1700</v>
      </c>
      <c r="Q210" s="13">
        <f t="shared" ca="1" si="22"/>
        <v>36</v>
      </c>
      <c r="R210" s="1">
        <f t="shared" ca="1" si="23"/>
        <v>0.11519104771892386</v>
      </c>
      <c r="S210" s="1" t="s">
        <v>1498</v>
      </c>
      <c r="U210" s="1">
        <v>15</v>
      </c>
      <c r="V210" s="1" t="s">
        <v>1543</v>
      </c>
    </row>
    <row r="211" spans="1:22" x14ac:dyDescent="0.25">
      <c r="A211" s="1">
        <v>115</v>
      </c>
      <c r="B211" s="1" t="s">
        <v>1699</v>
      </c>
      <c r="D211" s="2" t="s">
        <v>1987</v>
      </c>
      <c r="Q211" s="13">
        <f t="shared" ca="1" si="22"/>
        <v>29</v>
      </c>
      <c r="R211" s="1">
        <f t="shared" ca="1" si="23"/>
        <v>0.34666414608387031</v>
      </c>
      <c r="S211" s="1" t="s">
        <v>1499</v>
      </c>
      <c r="U211" s="1">
        <v>16</v>
      </c>
      <c r="V211" s="1" t="s">
        <v>1544</v>
      </c>
    </row>
    <row r="212" spans="1:22" x14ac:dyDescent="0.25">
      <c r="A212" s="1">
        <v>116</v>
      </c>
      <c r="B212" s="1" t="s">
        <v>1698</v>
      </c>
      <c r="D212" s="14">
        <f t="shared" ref="D212:D219" ca="1" si="24">_xlfn.RANK.EQ(E212,$E$212:$E$219)</f>
        <v>7</v>
      </c>
      <c r="E212" s="11">
        <f ca="1">RAND()</f>
        <v>0.33300440461106662</v>
      </c>
      <c r="F212" s="1" t="s">
        <v>1349</v>
      </c>
      <c r="Q212" s="13">
        <f t="shared" ca="1" si="22"/>
        <v>40</v>
      </c>
      <c r="R212" s="1">
        <f t="shared" ca="1" si="23"/>
        <v>7.3188098928211875E-2</v>
      </c>
      <c r="S212" s="1" t="s">
        <v>1500</v>
      </c>
      <c r="U212" s="1">
        <v>17</v>
      </c>
      <c r="V212" s="1" t="s">
        <v>1545</v>
      </c>
    </row>
    <row r="213" spans="1:22" x14ac:dyDescent="0.25">
      <c r="A213" s="1">
        <v>117</v>
      </c>
      <c r="B213" s="1" t="s">
        <v>1697</v>
      </c>
      <c r="D213" s="14">
        <f t="shared" ca="1" si="24"/>
        <v>3</v>
      </c>
      <c r="E213" s="11">
        <f t="shared" ref="E213:E219" ca="1" si="25">RAND()</f>
        <v>0.6195804382973894</v>
      </c>
      <c r="F213" s="1" t="s">
        <v>1350</v>
      </c>
      <c r="Q213" s="13">
        <f t="shared" ca="1" si="22"/>
        <v>14</v>
      </c>
      <c r="R213" s="1">
        <f t="shared" ca="1" si="23"/>
        <v>0.59841431945146317</v>
      </c>
      <c r="S213" s="1" t="s">
        <v>1501</v>
      </c>
      <c r="U213" s="1">
        <v>18</v>
      </c>
      <c r="V213" s="1" t="s">
        <v>1546</v>
      </c>
    </row>
    <row r="214" spans="1:22" x14ac:dyDescent="0.25">
      <c r="A214" s="1">
        <v>118</v>
      </c>
      <c r="B214" s="1" t="s">
        <v>1696</v>
      </c>
      <c r="D214" s="14">
        <f t="shared" ca="1" si="24"/>
        <v>8</v>
      </c>
      <c r="E214" s="11">
        <f t="shared" ca="1" si="25"/>
        <v>0.30301288980246921</v>
      </c>
      <c r="F214" s="1" t="s">
        <v>1351</v>
      </c>
      <c r="Q214" s="13">
        <f t="shared" ca="1" si="22"/>
        <v>22</v>
      </c>
      <c r="R214" s="1">
        <f t="shared" ca="1" si="23"/>
        <v>0.46061663499721894</v>
      </c>
      <c r="S214" s="1" t="s">
        <v>1502</v>
      </c>
      <c r="U214" s="1">
        <v>19</v>
      </c>
      <c r="V214" s="1" t="s">
        <v>1547</v>
      </c>
    </row>
    <row r="215" spans="1:22" x14ac:dyDescent="0.25">
      <c r="A215" s="1">
        <v>119</v>
      </c>
      <c r="B215" s="1" t="s">
        <v>1695</v>
      </c>
      <c r="D215" s="14">
        <f t="shared" ca="1" si="24"/>
        <v>1</v>
      </c>
      <c r="E215" s="11">
        <f t="shared" ca="1" si="25"/>
        <v>0.83064485709222624</v>
      </c>
      <c r="F215" s="1" t="s">
        <v>591</v>
      </c>
      <c r="Q215" s="13">
        <f t="shared" ca="1" si="22"/>
        <v>4</v>
      </c>
      <c r="R215" s="1">
        <f t="shared" ca="1" si="23"/>
        <v>0.88222168004187662</v>
      </c>
      <c r="S215" s="1" t="s">
        <v>1503</v>
      </c>
      <c r="U215" s="1">
        <v>20</v>
      </c>
      <c r="V215" s="1" t="s">
        <v>1548</v>
      </c>
    </row>
    <row r="216" spans="1:22" x14ac:dyDescent="0.25">
      <c r="A216" s="1">
        <v>120</v>
      </c>
      <c r="B216" s="1" t="s">
        <v>1694</v>
      </c>
      <c r="D216" s="14">
        <f t="shared" ca="1" si="24"/>
        <v>6</v>
      </c>
      <c r="E216" s="11">
        <f t="shared" ca="1" si="25"/>
        <v>0.34262058127933781</v>
      </c>
      <c r="F216" s="1" t="s">
        <v>1352</v>
      </c>
      <c r="Q216" s="13">
        <f t="shared" ca="1" si="22"/>
        <v>2</v>
      </c>
      <c r="R216" s="1">
        <f t="shared" ca="1" si="23"/>
        <v>0.94320894470458672</v>
      </c>
      <c r="S216" s="1" t="s">
        <v>1504</v>
      </c>
      <c r="U216" s="1">
        <v>21</v>
      </c>
      <c r="V216" s="1" t="s">
        <v>1549</v>
      </c>
    </row>
    <row r="217" spans="1:22" x14ac:dyDescent="0.25">
      <c r="A217" s="1">
        <v>121</v>
      </c>
      <c r="B217" s="1" t="s">
        <v>1692</v>
      </c>
      <c r="D217" s="14">
        <f t="shared" ca="1" si="24"/>
        <v>2</v>
      </c>
      <c r="E217" s="11">
        <f t="shared" ca="1" si="25"/>
        <v>0.78388063792904261</v>
      </c>
      <c r="F217" s="1" t="s">
        <v>215</v>
      </c>
      <c r="Q217" s="13">
        <f t="shared" ca="1" si="22"/>
        <v>42</v>
      </c>
      <c r="R217" s="1">
        <f t="shared" ca="1" si="23"/>
        <v>5.656474678179102E-2</v>
      </c>
      <c r="S217" s="1" t="s">
        <v>1505</v>
      </c>
      <c r="U217" s="1">
        <v>22</v>
      </c>
      <c r="V217" s="1" t="s">
        <v>1550</v>
      </c>
    </row>
    <row r="218" spans="1:22" x14ac:dyDescent="0.25">
      <c r="A218" s="1">
        <v>122</v>
      </c>
      <c r="B218" s="1" t="s">
        <v>1693</v>
      </c>
      <c r="D218" s="14">
        <f t="shared" ca="1" si="24"/>
        <v>5</v>
      </c>
      <c r="E218" s="11">
        <f t="shared" ca="1" si="25"/>
        <v>0.50672955852778556</v>
      </c>
      <c r="F218" s="1" t="s">
        <v>1353</v>
      </c>
      <c r="Q218" s="13">
        <f t="shared" ca="1" si="22"/>
        <v>3</v>
      </c>
      <c r="R218" s="1">
        <f t="shared" ca="1" si="23"/>
        <v>0.92326525585368879</v>
      </c>
      <c r="S218" s="1" t="s">
        <v>1506</v>
      </c>
      <c r="U218" s="1">
        <v>23</v>
      </c>
      <c r="V218" s="1" t="s">
        <v>1551</v>
      </c>
    </row>
    <row r="219" spans="1:22" x14ac:dyDescent="0.25">
      <c r="A219" s="1">
        <v>123</v>
      </c>
      <c r="B219" s="1" t="s">
        <v>1691</v>
      </c>
      <c r="D219" s="14">
        <f t="shared" ca="1" si="24"/>
        <v>4</v>
      </c>
      <c r="E219" s="11">
        <f t="shared" ca="1" si="25"/>
        <v>0.58297404829294341</v>
      </c>
      <c r="F219" s="1" t="s">
        <v>1354</v>
      </c>
      <c r="Q219" s="13">
        <f t="shared" ca="1" si="22"/>
        <v>35</v>
      </c>
      <c r="R219" s="1">
        <f t="shared" ca="1" si="23"/>
        <v>0.15244074468229774</v>
      </c>
      <c r="S219" s="1" t="s">
        <v>1507</v>
      </c>
      <c r="U219" s="1">
        <v>24</v>
      </c>
      <c r="V219" s="1" t="s">
        <v>1552</v>
      </c>
    </row>
    <row r="220" spans="1:22" x14ac:dyDescent="0.25">
      <c r="A220" s="1">
        <v>124</v>
      </c>
      <c r="B220" s="1" t="s">
        <v>1690</v>
      </c>
      <c r="Q220" s="13">
        <f t="shared" ca="1" si="22"/>
        <v>41</v>
      </c>
      <c r="R220" s="1">
        <f t="shared" ca="1" si="23"/>
        <v>6.3810567128534057E-2</v>
      </c>
      <c r="S220" s="1" t="s">
        <v>1508</v>
      </c>
      <c r="U220" s="1">
        <v>25</v>
      </c>
      <c r="V220" s="1" t="s">
        <v>1553</v>
      </c>
    </row>
    <row r="221" spans="1:22" x14ac:dyDescent="0.25">
      <c r="U221" s="1">
        <v>26</v>
      </c>
      <c r="V221" s="1" t="s">
        <v>1554</v>
      </c>
    </row>
    <row r="222" spans="1:22" x14ac:dyDescent="0.25">
      <c r="A222" s="2" t="s">
        <v>1809</v>
      </c>
      <c r="U222" s="1">
        <v>27</v>
      </c>
      <c r="V222" s="1" t="s">
        <v>1555</v>
      </c>
    </row>
    <row r="223" spans="1:22" x14ac:dyDescent="0.25">
      <c r="A223" s="1">
        <v>1</v>
      </c>
      <c r="B223" s="1" t="s">
        <v>1810</v>
      </c>
      <c r="U223" s="1">
        <v>28</v>
      </c>
      <c r="V223" s="1" t="s">
        <v>1556</v>
      </c>
    </row>
    <row r="224" spans="1:22" x14ac:dyDescent="0.25">
      <c r="A224" s="1">
        <v>2</v>
      </c>
      <c r="B224" s="1" t="s">
        <v>1811</v>
      </c>
      <c r="U224" s="1">
        <v>29</v>
      </c>
      <c r="V224" s="1" t="s">
        <v>1557</v>
      </c>
    </row>
    <row r="225" spans="1:22" x14ac:dyDescent="0.25">
      <c r="A225" s="1">
        <v>3</v>
      </c>
      <c r="B225" s="1" t="s">
        <v>1812</v>
      </c>
      <c r="U225" s="1">
        <v>30</v>
      </c>
      <c r="V225" s="1" t="s">
        <v>1558</v>
      </c>
    </row>
    <row r="226" spans="1:22" x14ac:dyDescent="0.25">
      <c r="A226" s="1">
        <v>4</v>
      </c>
      <c r="B226" s="1" t="s">
        <v>1813</v>
      </c>
      <c r="U226" s="1">
        <v>31</v>
      </c>
      <c r="V226" s="1" t="s">
        <v>1559</v>
      </c>
    </row>
    <row r="227" spans="1:22" x14ac:dyDescent="0.25">
      <c r="A227" s="1">
        <v>5</v>
      </c>
      <c r="B227" s="1" t="s">
        <v>1814</v>
      </c>
      <c r="U227" s="1">
        <v>32</v>
      </c>
      <c r="V227" s="1" t="s">
        <v>1560</v>
      </c>
    </row>
    <row r="228" spans="1:22" x14ac:dyDescent="0.25">
      <c r="A228" s="1">
        <v>6</v>
      </c>
      <c r="B228" s="1" t="s">
        <v>1815</v>
      </c>
      <c r="U228" s="1">
        <v>33</v>
      </c>
      <c r="V228" s="1" t="s">
        <v>1561</v>
      </c>
    </row>
    <row r="229" spans="1:22" x14ac:dyDescent="0.25">
      <c r="A229" s="1">
        <v>7</v>
      </c>
      <c r="B229" s="1" t="s">
        <v>1816</v>
      </c>
      <c r="U229" s="1">
        <v>34</v>
      </c>
      <c r="V229" s="1" t="s">
        <v>1562</v>
      </c>
    </row>
    <row r="230" spans="1:22" x14ac:dyDescent="0.25">
      <c r="A230" s="1">
        <v>8</v>
      </c>
      <c r="B230" s="1" t="s">
        <v>1823</v>
      </c>
      <c r="U230" s="1">
        <v>35</v>
      </c>
      <c r="V230" s="1" t="s">
        <v>1563</v>
      </c>
    </row>
    <row r="231" spans="1:22" x14ac:dyDescent="0.25">
      <c r="A231" s="1">
        <v>9</v>
      </c>
      <c r="B231" s="1" t="s">
        <v>1821</v>
      </c>
      <c r="U231" s="1">
        <v>36</v>
      </c>
      <c r="V231" s="1" t="s">
        <v>1564</v>
      </c>
    </row>
    <row r="232" spans="1:22" x14ac:dyDescent="0.25">
      <c r="A232" s="1">
        <v>10</v>
      </c>
      <c r="B232" s="1" t="s">
        <v>1817</v>
      </c>
      <c r="U232" s="1">
        <v>37</v>
      </c>
      <c r="V232" s="1" t="s">
        <v>1565</v>
      </c>
    </row>
    <row r="233" spans="1:22" x14ac:dyDescent="0.25">
      <c r="A233" s="1">
        <v>11</v>
      </c>
      <c r="B233" s="1" t="s">
        <v>1822</v>
      </c>
      <c r="U233" s="1">
        <v>38</v>
      </c>
      <c r="V233" s="1" t="s">
        <v>1566</v>
      </c>
    </row>
    <row r="234" spans="1:22" x14ac:dyDescent="0.25">
      <c r="A234" s="1">
        <v>12</v>
      </c>
      <c r="B234" s="1" t="s">
        <v>1818</v>
      </c>
      <c r="U234" s="1">
        <v>39</v>
      </c>
      <c r="V234" s="1" t="s">
        <v>1567</v>
      </c>
    </row>
    <row r="235" spans="1:22" x14ac:dyDescent="0.25">
      <c r="A235" s="1">
        <v>13</v>
      </c>
      <c r="B235" s="1" t="s">
        <v>1720</v>
      </c>
    </row>
    <row r="236" spans="1:22" x14ac:dyDescent="0.25">
      <c r="A236" s="1">
        <v>14</v>
      </c>
      <c r="B236" s="1" t="s">
        <v>1819</v>
      </c>
    </row>
    <row r="237" spans="1:22" x14ac:dyDescent="0.25">
      <c r="A237" s="1">
        <v>15</v>
      </c>
      <c r="B237" s="1" t="s">
        <v>1820</v>
      </c>
    </row>
  </sheetData>
  <phoneticPr fontId="4" type="noConversion"/>
  <pageMargins left="0.7" right="0.7" top="0.75" bottom="0.75" header="0.3" footer="0.3"/>
  <pageSetup orientation="portrait" r:id="rId1"/>
  <tableParts count="58">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 r:id="rId50"/>
    <tablePart r:id="rId51"/>
    <tablePart r:id="rId52"/>
    <tablePart r:id="rId53"/>
    <tablePart r:id="rId54"/>
    <tablePart r:id="rId55"/>
    <tablePart r:id="rId56"/>
    <tablePart r:id="rId57"/>
    <tablePart r:id="rId58"/>
    <tablePart r:id="rId59"/>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DE7A7-E126-4181-8597-C75ADD1A754C}">
  <sheetPr codeName="Аркуш17"/>
  <dimension ref="A1:DD307"/>
  <sheetViews>
    <sheetView topLeftCell="AL1" zoomScale="80" zoomScaleNormal="80" workbookViewId="0">
      <selection activeCell="AP3" sqref="AP3"/>
    </sheetView>
  </sheetViews>
  <sheetFormatPr defaultColWidth="8.85546875" defaultRowHeight="15" x14ac:dyDescent="0.25"/>
  <cols>
    <col min="1" max="1" width="25.140625" style="1" bestFit="1" customWidth="1"/>
    <col min="2" max="2" width="17.140625" style="1" bestFit="1" customWidth="1"/>
    <col min="3" max="3" width="17.42578125" style="16" customWidth="1"/>
    <col min="4" max="4" width="9.85546875" style="1" bestFit="1" customWidth="1"/>
    <col min="5" max="5" width="9.28515625" style="1" bestFit="1" customWidth="1"/>
    <col min="6" max="6" width="17.42578125" style="1" bestFit="1" customWidth="1"/>
    <col min="7" max="12" width="2" style="1" bestFit="1" customWidth="1"/>
    <col min="13" max="13" width="3" style="1" customWidth="1"/>
    <col min="14" max="14" width="21.28515625" style="1" bestFit="1" customWidth="1"/>
    <col min="15" max="15" width="12" style="1" bestFit="1" customWidth="1"/>
    <col min="16" max="16" width="27.28515625" style="1" bestFit="1" customWidth="1"/>
    <col min="17" max="17" width="3" style="1" customWidth="1"/>
    <col min="18" max="18" width="17.42578125" style="1" bestFit="1" customWidth="1"/>
    <col min="19" max="19" width="12" style="1" bestFit="1" customWidth="1"/>
    <col min="20" max="20" width="27.28515625" style="1" bestFit="1" customWidth="1"/>
    <col min="21" max="21" width="3" style="1" customWidth="1"/>
    <col min="22" max="22" width="17.28515625" style="1" bestFit="1" customWidth="1"/>
    <col min="23" max="23" width="12" style="1" bestFit="1" customWidth="1"/>
    <col min="24" max="24" width="27.28515625" style="1" bestFit="1" customWidth="1"/>
    <col min="25" max="25" width="3" style="1" bestFit="1" customWidth="1"/>
    <col min="26" max="26" width="16.85546875" style="1" bestFit="1" customWidth="1"/>
    <col min="27" max="27" width="12" style="1" bestFit="1" customWidth="1"/>
    <col min="28" max="28" width="23.5703125" style="1" customWidth="1"/>
    <col min="29" max="29" width="3" style="1" customWidth="1"/>
    <col min="30" max="30" width="16.85546875" style="1" bestFit="1" customWidth="1"/>
    <col min="31" max="31" width="12" style="1" bestFit="1" customWidth="1"/>
    <col min="32" max="32" width="28.5703125" style="1" bestFit="1" customWidth="1"/>
    <col min="33" max="33" width="3" style="1" customWidth="1"/>
    <col min="34" max="34" width="15.7109375" style="1" bestFit="1" customWidth="1"/>
    <col min="35" max="35" width="12" style="1" bestFit="1" customWidth="1"/>
    <col min="36" max="36" width="21.28515625" style="1" bestFit="1" customWidth="1"/>
    <col min="37" max="37" width="3" style="1" customWidth="1"/>
    <col min="38" max="38" width="12.85546875" style="1" bestFit="1" customWidth="1"/>
    <col min="39" max="39" width="12" style="1" bestFit="1" customWidth="1"/>
    <col min="40" max="40" width="23.28515625" style="1" bestFit="1" customWidth="1"/>
    <col min="41" max="41" width="3" style="1" customWidth="1"/>
    <col min="42" max="42" width="12.28515625" style="1" bestFit="1" customWidth="1"/>
    <col min="43" max="43" width="12" style="1" bestFit="1" customWidth="1"/>
    <col min="44" max="44" width="34.140625" style="1" customWidth="1"/>
    <col min="45" max="45" width="3" style="1" customWidth="1"/>
    <col min="46" max="46" width="12.85546875" style="1" bestFit="1" customWidth="1"/>
    <col min="47" max="47" width="12" style="1" bestFit="1" customWidth="1"/>
    <col min="48" max="48" width="29.85546875" style="1" bestFit="1" customWidth="1"/>
    <col min="49" max="49" width="3" style="1" customWidth="1"/>
    <col min="50" max="50" width="11.28515625" style="1" bestFit="1" customWidth="1"/>
    <col min="51" max="51" width="12" style="1" bestFit="1" customWidth="1"/>
    <col min="52" max="52" width="18.5703125" style="1" customWidth="1"/>
    <col min="53" max="53" width="8.85546875" style="1"/>
    <col min="54" max="54" width="19.85546875" style="1" bestFit="1" customWidth="1"/>
    <col min="55" max="55" width="10.5703125" style="1" customWidth="1"/>
    <col min="56" max="56" width="27.7109375" style="1" bestFit="1" customWidth="1"/>
    <col min="57" max="57" width="8.85546875" style="1"/>
    <col min="58" max="58" width="14.42578125" style="1" bestFit="1" customWidth="1"/>
    <col min="59" max="59" width="10.5703125" style="1" customWidth="1"/>
    <col min="60" max="60" width="24.85546875" style="1" bestFit="1" customWidth="1"/>
    <col min="61" max="61" width="8.85546875" style="1"/>
    <col min="62" max="62" width="14.140625" style="1" bestFit="1" customWidth="1"/>
    <col min="63" max="63" width="10.5703125" style="1" customWidth="1"/>
    <col min="64" max="64" width="21.5703125" style="1" bestFit="1" customWidth="1"/>
    <col min="65" max="65" width="8.85546875" style="1"/>
    <col min="66" max="66" width="14.42578125" style="1" bestFit="1" customWidth="1"/>
    <col min="67" max="67" width="10.5703125" style="1" customWidth="1"/>
    <col min="68" max="68" width="29.85546875" style="1" bestFit="1" customWidth="1"/>
    <col min="69" max="69" width="8.85546875" style="1"/>
    <col min="70" max="70" width="14" style="1" customWidth="1"/>
    <col min="71" max="71" width="12" style="1" bestFit="1" customWidth="1"/>
    <col min="72" max="72" width="21.28515625" style="1" bestFit="1" customWidth="1"/>
    <col min="73" max="73" width="8.85546875" style="1"/>
    <col min="74" max="74" width="14" style="1" bestFit="1" customWidth="1"/>
    <col min="75" max="75" width="10.5703125" style="1" customWidth="1"/>
    <col min="76" max="76" width="25.28515625" style="1" bestFit="1" customWidth="1"/>
    <col min="77" max="77" width="8.85546875" style="1"/>
    <col min="78" max="78" width="14" style="1" bestFit="1" customWidth="1"/>
    <col min="79" max="79" width="10.5703125" style="1" customWidth="1"/>
    <col min="80" max="80" width="19.85546875" style="1" bestFit="1" customWidth="1"/>
    <col min="81" max="81" width="8.85546875" style="1"/>
    <col min="82" max="82" width="14" style="1" bestFit="1" customWidth="1"/>
    <col min="83" max="83" width="10.5703125" style="1" customWidth="1"/>
    <col min="84" max="84" width="19" style="1" bestFit="1" customWidth="1"/>
    <col min="85" max="85" width="8.85546875" style="1"/>
    <col min="86" max="86" width="14" style="1" bestFit="1" customWidth="1"/>
    <col min="87" max="87" width="10.5703125" style="1" customWidth="1"/>
    <col min="88" max="88" width="18.85546875" style="1" bestFit="1" customWidth="1"/>
    <col min="89" max="16384" width="8.85546875" style="1"/>
  </cols>
  <sheetData>
    <row r="1" spans="1:92" x14ac:dyDescent="0.25">
      <c r="A1" s="2" t="s">
        <v>1128</v>
      </c>
      <c r="B1" s="2" t="s">
        <v>1130</v>
      </c>
      <c r="C1" s="2" t="s">
        <v>1129</v>
      </c>
      <c r="D1" s="2">
        <v>1</v>
      </c>
      <c r="E1" s="2">
        <v>2</v>
      </c>
      <c r="F1" s="2">
        <v>3</v>
      </c>
      <c r="G1" s="2">
        <v>4</v>
      </c>
      <c r="H1" s="2">
        <v>5</v>
      </c>
      <c r="I1" s="2">
        <v>6</v>
      </c>
      <c r="J1" s="2">
        <v>7</v>
      </c>
      <c r="K1" s="2">
        <v>8</v>
      </c>
      <c r="L1" s="2">
        <v>9</v>
      </c>
      <c r="N1" s="2" t="s">
        <v>1121</v>
      </c>
      <c r="R1" s="2" t="s">
        <v>1131</v>
      </c>
      <c r="V1" s="2" t="s">
        <v>1132</v>
      </c>
      <c r="Z1" s="2" t="s">
        <v>1133</v>
      </c>
      <c r="AD1" s="2" t="s">
        <v>1134</v>
      </c>
      <c r="AH1" s="2" t="s">
        <v>1135</v>
      </c>
      <c r="AL1" s="2" t="s">
        <v>1136</v>
      </c>
      <c r="AP1" s="2" t="s">
        <v>1137</v>
      </c>
      <c r="AT1" s="2" t="s">
        <v>1138</v>
      </c>
      <c r="AX1" s="2" t="s">
        <v>1139</v>
      </c>
      <c r="BB1" s="2" t="s">
        <v>1121</v>
      </c>
      <c r="BF1" s="2" t="s">
        <v>1314</v>
      </c>
      <c r="BJ1" s="2" t="s">
        <v>1315</v>
      </c>
      <c r="BN1" s="2" t="s">
        <v>1316</v>
      </c>
      <c r="BR1" s="2" t="s">
        <v>1317</v>
      </c>
      <c r="BV1" s="2" t="s">
        <v>1318</v>
      </c>
      <c r="BZ1" s="2" t="s">
        <v>1319</v>
      </c>
      <c r="CD1" s="2" t="s">
        <v>1320</v>
      </c>
      <c r="CH1" s="2" t="s">
        <v>1321</v>
      </c>
      <c r="CL1" s="2" t="s">
        <v>1322</v>
      </c>
    </row>
    <row r="2" spans="1:92" x14ac:dyDescent="0.25">
      <c r="A2" s="1">
        <v>1</v>
      </c>
      <c r="B2" s="1">
        <v>2</v>
      </c>
      <c r="C2" s="16">
        <v>4</v>
      </c>
      <c r="D2" s="1">
        <v>2</v>
      </c>
      <c r="E2" s="1">
        <v>0</v>
      </c>
      <c r="F2" s="1">
        <v>0</v>
      </c>
      <c r="G2" s="1">
        <v>0</v>
      </c>
      <c r="H2" s="1">
        <v>0</v>
      </c>
      <c r="I2" s="1">
        <v>0</v>
      </c>
      <c r="J2" s="1">
        <v>0</v>
      </c>
      <c r="K2" s="1">
        <v>0</v>
      </c>
      <c r="L2" s="1">
        <v>0</v>
      </c>
      <c r="N2" s="13">
        <f t="shared" ref="N2:N12" ca="1" si="0">_xlfn.RANK.EQ(O2,$O$2:$O$12)</f>
        <v>7</v>
      </c>
      <c r="O2" s="12">
        <f t="shared" ref="O2:O12" ca="1" si="1">RAND()</f>
        <v>0.48276493164734779</v>
      </c>
      <c r="P2" s="1" t="s">
        <v>759</v>
      </c>
      <c r="R2" s="13">
        <f ca="1">_xlfn.RANK.EQ(S2,$S$2:$S$22)</f>
        <v>7</v>
      </c>
      <c r="S2" s="12">
        <f t="shared" ref="S2:S22" ca="1" si="2">RAND()</f>
        <v>0.62798611343158339</v>
      </c>
      <c r="T2" s="1" t="s">
        <v>768</v>
      </c>
      <c r="V2" s="13">
        <f t="shared" ref="V2:V23" ca="1" si="3">_xlfn.RANK.EQ(W2,$W$2:$W$23)</f>
        <v>15</v>
      </c>
      <c r="W2" s="12">
        <f t="shared" ref="W2:W23" ca="1" si="4">RAND()</f>
        <v>0.30424128817763607</v>
      </c>
      <c r="X2" s="1" t="s">
        <v>777</v>
      </c>
      <c r="Z2" s="13">
        <f t="shared" ref="Z2:Z17" ca="1" si="5">_xlfn.RANK.EQ(AA2,$AA$2:$AA$17)</f>
        <v>12</v>
      </c>
      <c r="AA2" s="12">
        <f t="shared" ref="AA2:AA17" ca="1" si="6">RAND()</f>
        <v>0.32070030883819645</v>
      </c>
      <c r="AB2" s="1" t="s">
        <v>778</v>
      </c>
      <c r="AD2" s="13">
        <f ca="1">_xlfn.RANK.EQ(AE2,AE$2:AE$9)</f>
        <v>4</v>
      </c>
      <c r="AE2" s="12">
        <f t="shared" ref="AE2:AE9" ca="1" si="7">RAND()</f>
        <v>0.57731516964449847</v>
      </c>
      <c r="AF2" s="1" t="s">
        <v>805</v>
      </c>
      <c r="AH2" s="13">
        <f ca="1">_xlfn.RANK.EQ(AI2,AI$2:AI$17)</f>
        <v>1</v>
      </c>
      <c r="AI2" s="12">
        <f t="shared" ref="AI2:AI17" ca="1" si="8">RAND()</f>
        <v>0.88934326595002677</v>
      </c>
      <c r="AJ2" s="1" t="s">
        <v>755</v>
      </c>
      <c r="AL2" s="13">
        <f ca="1">_xlfn.RANK.EQ(AM2,AM$2:AM$8)</f>
        <v>6</v>
      </c>
      <c r="AM2" s="12">
        <f t="shared" ref="AM2:AM8" ca="1" si="9">RAND()</f>
        <v>0.29488175366966696</v>
      </c>
      <c r="AN2" s="1" t="s">
        <v>856</v>
      </c>
      <c r="AP2" s="13">
        <f ca="1">_xlfn.RANK.EQ(AQ2,AQ$2:AQ$11)</f>
        <v>2</v>
      </c>
      <c r="AQ2" s="12">
        <f t="shared" ref="AQ2:AQ11" ca="1" si="10">RAND()</f>
        <v>0.84067039783971909</v>
      </c>
      <c r="AR2" s="1" t="s">
        <v>791</v>
      </c>
      <c r="AT2" s="13">
        <f ca="1">_xlfn.RANK.EQ(AU2,AU$2:AU$6)</f>
        <v>2</v>
      </c>
      <c r="AU2" s="12">
        <f ca="1">RAND()</f>
        <v>0.58465328728604204</v>
      </c>
      <c r="AV2" s="1" t="s">
        <v>815</v>
      </c>
      <c r="AX2" s="13">
        <f ca="1">_xlfn.RANK.EQ(AY2,AY$2:AY$5)</f>
        <v>3</v>
      </c>
      <c r="AY2" s="12">
        <f ca="1">RAND()</f>
        <v>0.1351502585670239</v>
      </c>
      <c r="AZ2" s="1" t="s">
        <v>767</v>
      </c>
      <c r="BB2" s="13">
        <f ca="1">_xlfn.RANK.EQ(BC2,BC$2:BC$16)</f>
        <v>13</v>
      </c>
      <c r="BC2" s="12">
        <f t="shared" ref="BC2:BC16" ca="1" si="11">RAND()</f>
        <v>0.26969444459903569</v>
      </c>
      <c r="BD2" s="1" t="s">
        <v>752</v>
      </c>
      <c r="BF2" s="13">
        <f t="shared" ref="BF2:BF41" ca="1" si="12">_xlfn.RANK.EQ(BG2,BG$2:BG$41)</f>
        <v>15</v>
      </c>
      <c r="BG2" s="12">
        <f t="shared" ref="BG2:BG41" ca="1" si="13">RAND()</f>
        <v>0.69453676372684103</v>
      </c>
      <c r="BH2" s="1" t="s">
        <v>760</v>
      </c>
      <c r="BJ2" s="13">
        <f t="shared" ref="BJ2:BJ37" ca="1" si="14">_xlfn.RANK.EQ(BK2,BK$2:BK$37)</f>
        <v>6</v>
      </c>
      <c r="BK2" s="12">
        <f t="shared" ref="BK2:BK37" ca="1" si="15">RAND()</f>
        <v>0.94045584607342581</v>
      </c>
      <c r="BL2" s="1" t="s">
        <v>761</v>
      </c>
      <c r="BN2" s="13">
        <f t="shared" ref="BN2:BN35" ca="1" si="16">_xlfn.RANK.EQ(BO2,BO$2:BO$35)</f>
        <v>19</v>
      </c>
      <c r="BO2" s="12">
        <f t="shared" ref="BO2:BO35" ca="1" si="17">RAND()</f>
        <v>0.49059521598082523</v>
      </c>
      <c r="BP2" s="1" t="s">
        <v>753</v>
      </c>
      <c r="BR2" s="13">
        <f t="shared" ref="BR2:BR29" ca="1" si="18">_xlfn.RANK.EQ(BS2,BS$2:BS$29)</f>
        <v>6</v>
      </c>
      <c r="BS2" s="12">
        <f t="shared" ref="BS2:BS29" ca="1" si="19">RAND()</f>
        <v>0.9018778811640773</v>
      </c>
      <c r="BT2" s="1" t="s">
        <v>754</v>
      </c>
      <c r="BV2" s="13">
        <f t="shared" ref="BV2:BV24" ca="1" si="20">_xlfn.RANK.EQ(BW2,BW$2:BW$24)</f>
        <v>9</v>
      </c>
      <c r="BW2" s="12">
        <f t="shared" ref="BW2:BW24" ca="1" si="21">RAND()</f>
        <v>0.79556094207219619</v>
      </c>
      <c r="BX2" s="1" t="s">
        <v>780</v>
      </c>
      <c r="BZ2" s="13">
        <f t="shared" ref="BZ2:BZ27" ca="1" si="22">_xlfn.RANK.EQ(CA2,CA$2:CA$27)</f>
        <v>14</v>
      </c>
      <c r="CA2" s="12">
        <f t="shared" ref="CA2:CA27" ca="1" si="23">RAND()</f>
        <v>0.45286050998877869</v>
      </c>
      <c r="CB2" s="1" t="s">
        <v>764</v>
      </c>
      <c r="CD2" s="13">
        <f t="shared" ref="CD2:CD11" ca="1" si="24">_xlfn.RANK.EQ(CE2,CE$2:CE$11)</f>
        <v>6</v>
      </c>
      <c r="CE2" s="12">
        <f t="shared" ref="CE2:CE11" ca="1" si="25">RAND()</f>
        <v>0.33641946581503412</v>
      </c>
      <c r="CF2" s="1" t="s">
        <v>757</v>
      </c>
      <c r="CH2" s="13">
        <f t="shared" ref="CH2:CH14" ca="1" si="26">_xlfn.RANK.EQ(CI2,CI$2:CI$14)</f>
        <v>7</v>
      </c>
      <c r="CI2" s="12">
        <f t="shared" ref="CI2:CI14" ca="1" si="27">RAND()</f>
        <v>0.7565351965699354</v>
      </c>
      <c r="CJ2" s="1" t="s">
        <v>766</v>
      </c>
      <c r="CL2" s="13">
        <f t="shared" ref="CL2:CL11" ca="1" si="28">_xlfn.RANK.EQ(CM2,CM$2:CM$11)</f>
        <v>7</v>
      </c>
      <c r="CM2" s="12">
        <f t="shared" ref="CM2:CM11" ca="1" si="29">RAND()</f>
        <v>0.21417444220730719</v>
      </c>
      <c r="CN2" s="1" t="s">
        <v>758</v>
      </c>
    </row>
    <row r="3" spans="1:92" x14ac:dyDescent="0.25">
      <c r="A3" s="1">
        <v>2</v>
      </c>
      <c r="B3" s="1">
        <v>2</v>
      </c>
      <c r="C3" s="16">
        <v>5</v>
      </c>
      <c r="D3" s="1">
        <v>3</v>
      </c>
      <c r="E3" s="1">
        <v>0</v>
      </c>
      <c r="F3" s="1">
        <v>0</v>
      </c>
      <c r="G3" s="1">
        <v>0</v>
      </c>
      <c r="H3" s="1">
        <v>0</v>
      </c>
      <c r="I3" s="1">
        <v>0</v>
      </c>
      <c r="J3" s="1">
        <v>0</v>
      </c>
      <c r="K3" s="1">
        <v>0</v>
      </c>
      <c r="L3" s="1">
        <v>0</v>
      </c>
      <c r="N3" s="13">
        <f t="shared" ca="1" si="0"/>
        <v>1</v>
      </c>
      <c r="O3" s="12">
        <f t="shared" ca="1" si="1"/>
        <v>0.94754670277826214</v>
      </c>
      <c r="P3" s="1" t="s">
        <v>801</v>
      </c>
      <c r="R3" s="13">
        <f t="shared" ref="R3:R22" ca="1" si="30">_xlfn.RANK.EQ(S3,$S$2:$S$22)</f>
        <v>13</v>
      </c>
      <c r="S3" s="12">
        <f t="shared" ca="1" si="2"/>
        <v>0.34147205249133239</v>
      </c>
      <c r="T3" s="1" t="s">
        <v>802</v>
      </c>
      <c r="V3" s="13">
        <f t="shared" ca="1" si="3"/>
        <v>9</v>
      </c>
      <c r="W3" s="12">
        <f t="shared" ca="1" si="4"/>
        <v>0.69026288802292513</v>
      </c>
      <c r="X3" s="1" t="s">
        <v>819</v>
      </c>
      <c r="Z3" s="13">
        <f t="shared" ca="1" si="5"/>
        <v>6</v>
      </c>
      <c r="AA3" s="12">
        <f t="shared" ca="1" si="6"/>
        <v>0.85078118268991898</v>
      </c>
      <c r="AB3" s="1" t="s">
        <v>820</v>
      </c>
      <c r="AD3" s="13">
        <f ca="1">_xlfn.RANK.EQ(AE3,$AE$2:AE$9)</f>
        <v>6</v>
      </c>
      <c r="AE3" s="12">
        <f t="shared" ca="1" si="7"/>
        <v>0.44222703469015334</v>
      </c>
      <c r="AF3" s="1" t="s">
        <v>812</v>
      </c>
      <c r="AH3" s="13">
        <f t="shared" ref="AH3:AH17" ca="1" si="31">_xlfn.RANK.EQ(AI3,AI$2:AI$17)</f>
        <v>14</v>
      </c>
      <c r="AI3" s="12">
        <f t="shared" ca="1" si="8"/>
        <v>0.22735240967215886</v>
      </c>
      <c r="AJ3" s="1" t="s">
        <v>772</v>
      </c>
      <c r="AL3" s="13">
        <f t="shared" ref="AL3:AL8" ca="1" si="32">_xlfn.RANK.EQ(AM3,AM$2:AM$8)</f>
        <v>7</v>
      </c>
      <c r="AM3" s="12">
        <f t="shared" ca="1" si="9"/>
        <v>0.11790776127902247</v>
      </c>
      <c r="AN3" s="1" t="s">
        <v>863</v>
      </c>
      <c r="AP3" s="13">
        <f t="shared" ref="AP3:AP11" ca="1" si="33">_xlfn.RANK.EQ(AQ3,AQ$2:AQ$11)</f>
        <v>6</v>
      </c>
      <c r="AQ3" s="12">
        <f t="shared" ca="1" si="10"/>
        <v>0.58331664856205268</v>
      </c>
      <c r="AR3" s="1" t="s">
        <v>814</v>
      </c>
      <c r="AT3" s="13">
        <f ca="1">_xlfn.RANK.EQ(AU3,AU$2:AU$6)</f>
        <v>1</v>
      </c>
      <c r="AU3" s="12">
        <f ca="1">RAND()</f>
        <v>0.95925082663642802</v>
      </c>
      <c r="AV3" s="1" t="s">
        <v>835</v>
      </c>
      <c r="AX3" s="13">
        <f ca="1">_xlfn.RANK.EQ(AY3,AY$2:AY$5)</f>
        <v>1</v>
      </c>
      <c r="AY3" s="12">
        <f ca="1">RAND()</f>
        <v>0.55825993447284206</v>
      </c>
      <c r="AZ3" s="1" t="s">
        <v>826</v>
      </c>
      <c r="BB3" s="13">
        <f t="shared" ref="BB3:BB16" ca="1" si="34">_xlfn.RANK.EQ(BC3,BC$2:BC$16)</f>
        <v>7</v>
      </c>
      <c r="BC3" s="12">
        <f t="shared" ca="1" si="11"/>
        <v>0.58930161995582753</v>
      </c>
      <c r="BD3" s="1" t="s">
        <v>776</v>
      </c>
      <c r="BF3" s="13">
        <f t="shared" ca="1" si="12"/>
        <v>40</v>
      </c>
      <c r="BG3" s="12">
        <f t="shared" ca="1" si="13"/>
        <v>5.4700949313150282E-2</v>
      </c>
      <c r="BH3" s="1" t="s">
        <v>1273</v>
      </c>
      <c r="BJ3" s="13">
        <f t="shared" ca="1" si="14"/>
        <v>7</v>
      </c>
      <c r="BK3" s="12">
        <f t="shared" ca="1" si="15"/>
        <v>0.9379938129557982</v>
      </c>
      <c r="BL3" s="1" t="s">
        <v>769</v>
      </c>
      <c r="BN3" s="13">
        <f t="shared" ca="1" si="16"/>
        <v>18</v>
      </c>
      <c r="BO3" s="12">
        <f t="shared" ca="1" si="17"/>
        <v>0.50165015402237723</v>
      </c>
      <c r="BP3" s="1" t="s">
        <v>1288</v>
      </c>
      <c r="BR3" s="13">
        <f t="shared" ca="1" si="18"/>
        <v>7</v>
      </c>
      <c r="BS3" s="12">
        <f t="shared" ca="1" si="19"/>
        <v>0.85870056605044542</v>
      </c>
      <c r="BT3" s="1" t="s">
        <v>1294</v>
      </c>
      <c r="BV3" s="13">
        <f t="shared" ca="1" si="20"/>
        <v>5</v>
      </c>
      <c r="BW3" s="12">
        <f t="shared" ca="1" si="21"/>
        <v>0.89146161017409997</v>
      </c>
      <c r="BX3" s="1" t="s">
        <v>1298</v>
      </c>
      <c r="BZ3" s="13">
        <f t="shared" ca="1" si="22"/>
        <v>10</v>
      </c>
      <c r="CA3" s="12">
        <f t="shared" ca="1" si="23"/>
        <v>0.60490200075256473</v>
      </c>
      <c r="CB3" s="1" t="s">
        <v>756</v>
      </c>
      <c r="CD3" s="13">
        <f t="shared" ca="1" si="24"/>
        <v>1</v>
      </c>
      <c r="CE3" s="12">
        <f t="shared" ca="1" si="25"/>
        <v>0.88507229543294741</v>
      </c>
      <c r="CF3" s="1" t="s">
        <v>773</v>
      </c>
      <c r="CH3" s="13">
        <f t="shared" ca="1" si="26"/>
        <v>12</v>
      </c>
      <c r="CI3" s="12">
        <f t="shared" ca="1" si="27"/>
        <v>0.33883004024577901</v>
      </c>
      <c r="CJ3" s="1" t="s">
        <v>774</v>
      </c>
      <c r="CL3" s="13">
        <f t="shared" ca="1" si="28"/>
        <v>8</v>
      </c>
      <c r="CM3" s="12">
        <f t="shared" ca="1" si="29"/>
        <v>8.6168665095617047E-2</v>
      </c>
      <c r="CN3" s="1" t="s">
        <v>775</v>
      </c>
    </row>
    <row r="4" spans="1:92" x14ac:dyDescent="0.25">
      <c r="A4" s="1">
        <v>3</v>
      </c>
      <c r="B4" s="1">
        <v>2</v>
      </c>
      <c r="C4" s="16">
        <v>6</v>
      </c>
      <c r="D4" s="1">
        <v>4</v>
      </c>
      <c r="E4" s="1">
        <v>2</v>
      </c>
      <c r="F4" s="1">
        <v>0</v>
      </c>
      <c r="G4" s="1">
        <v>0</v>
      </c>
      <c r="H4" s="1">
        <v>0</v>
      </c>
      <c r="I4" s="1">
        <v>0</v>
      </c>
      <c r="J4" s="1">
        <v>0</v>
      </c>
      <c r="K4" s="1">
        <v>0</v>
      </c>
      <c r="L4" s="1">
        <v>0</v>
      </c>
      <c r="N4" s="13">
        <f t="shared" ca="1" si="0"/>
        <v>5</v>
      </c>
      <c r="O4" s="12">
        <f t="shared" ca="1" si="1"/>
        <v>0.58198852382565058</v>
      </c>
      <c r="P4" s="1" t="s">
        <v>837</v>
      </c>
      <c r="R4" s="13">
        <f t="shared" ca="1" si="30"/>
        <v>18</v>
      </c>
      <c r="S4" s="12">
        <f t="shared" ca="1" si="2"/>
        <v>0.16978055934091318</v>
      </c>
      <c r="T4" s="1" t="s">
        <v>867</v>
      </c>
      <c r="V4" s="13">
        <f t="shared" ca="1" si="3"/>
        <v>14</v>
      </c>
      <c r="W4" s="12">
        <f t="shared" ca="1" si="4"/>
        <v>0.30844207180387595</v>
      </c>
      <c r="X4" s="1" t="s">
        <v>846</v>
      </c>
      <c r="Z4" s="13">
        <f t="shared" ca="1" si="5"/>
        <v>5</v>
      </c>
      <c r="AA4" s="12">
        <f t="shared" ca="1" si="6"/>
        <v>0.86688269568646692</v>
      </c>
      <c r="AB4" s="1" t="s">
        <v>876</v>
      </c>
      <c r="AD4" s="13">
        <f ca="1">_xlfn.RANK.EQ(AE4,$AE$2:AE$9)</f>
        <v>8</v>
      </c>
      <c r="AE4" s="12">
        <f t="shared" ca="1" si="7"/>
        <v>0.11770495081313448</v>
      </c>
      <c r="AF4" s="1" t="s">
        <v>854</v>
      </c>
      <c r="AH4" s="13">
        <f t="shared" ca="1" si="31"/>
        <v>13</v>
      </c>
      <c r="AI4" s="12">
        <f t="shared" ca="1" si="8"/>
        <v>0.2474009902669555</v>
      </c>
      <c r="AJ4" s="1" t="s">
        <v>915</v>
      </c>
      <c r="AL4" s="13">
        <f t="shared" ca="1" si="32"/>
        <v>5</v>
      </c>
      <c r="AM4" s="12">
        <f t="shared" ca="1" si="9"/>
        <v>0.57435578886929639</v>
      </c>
      <c r="AN4" s="1" t="s">
        <v>893</v>
      </c>
      <c r="AP4" s="13">
        <f t="shared" ca="1" si="33"/>
        <v>10</v>
      </c>
      <c r="AQ4" s="12">
        <f t="shared" ca="1" si="10"/>
        <v>0.4317171153254411</v>
      </c>
      <c r="AR4" s="1" t="s">
        <v>824</v>
      </c>
      <c r="AT4" s="13">
        <f ca="1">_xlfn.RANK.EQ(AU4,AU$2:AU$6)</f>
        <v>5</v>
      </c>
      <c r="AU4" s="12">
        <f ca="1">RAND()</f>
        <v>5.8863440436069614E-2</v>
      </c>
      <c r="AV4" s="1" t="s">
        <v>844</v>
      </c>
      <c r="AX4" s="13">
        <f ca="1">_xlfn.RANK.EQ(AY4,AY$2:AY$5)</f>
        <v>4</v>
      </c>
      <c r="AY4" s="12">
        <f ca="1">RAND()</f>
        <v>0.13176100514535072</v>
      </c>
      <c r="AZ4" s="1" t="s">
        <v>836</v>
      </c>
      <c r="BB4" s="13">
        <f t="shared" ca="1" si="34"/>
        <v>14</v>
      </c>
      <c r="BC4" s="12">
        <f t="shared" ca="1" si="11"/>
        <v>0.16578603519509938</v>
      </c>
      <c r="BD4" s="1" t="s">
        <v>810</v>
      </c>
      <c r="BF4" s="13">
        <f t="shared" ca="1" si="12"/>
        <v>16</v>
      </c>
      <c r="BG4" s="12">
        <f t="shared" ca="1" si="13"/>
        <v>0.69286171402434671</v>
      </c>
      <c r="BH4" s="1" t="s">
        <v>818</v>
      </c>
      <c r="BJ4" s="13">
        <f t="shared" ca="1" si="14"/>
        <v>8</v>
      </c>
      <c r="BK4" s="12">
        <f t="shared" ca="1" si="15"/>
        <v>0.93776677289419053</v>
      </c>
      <c r="BL4" s="1" t="s">
        <v>786</v>
      </c>
      <c r="BN4" s="13">
        <f t="shared" ca="1" si="16"/>
        <v>20</v>
      </c>
      <c r="BO4" s="12">
        <f t="shared" ca="1" si="17"/>
        <v>0.48700613901024048</v>
      </c>
      <c r="BP4" s="1" t="s">
        <v>1289</v>
      </c>
      <c r="BR4" s="13">
        <f t="shared" ca="1" si="18"/>
        <v>25</v>
      </c>
      <c r="BS4" s="12">
        <f t="shared" ca="1" si="19"/>
        <v>0.18244114977321124</v>
      </c>
      <c r="BT4" s="1" t="s">
        <v>1295</v>
      </c>
      <c r="BV4" s="13">
        <f t="shared" ca="1" si="20"/>
        <v>10</v>
      </c>
      <c r="BW4" s="12">
        <f t="shared" ca="1" si="21"/>
        <v>0.78547854252067173</v>
      </c>
      <c r="BX4" s="1" t="s">
        <v>806</v>
      </c>
      <c r="BZ4" s="13">
        <f t="shared" ca="1" si="22"/>
        <v>12</v>
      </c>
      <c r="CA4" s="12">
        <f t="shared" ca="1" si="23"/>
        <v>0.52047262058321087</v>
      </c>
      <c r="CB4" s="1" t="s">
        <v>765</v>
      </c>
      <c r="CD4" s="13">
        <f t="shared" ca="1" si="24"/>
        <v>3</v>
      </c>
      <c r="CE4" s="12">
        <f t="shared" ca="1" si="25"/>
        <v>0.51791817963189868</v>
      </c>
      <c r="CF4" s="1" t="s">
        <v>782</v>
      </c>
      <c r="CH4" s="13">
        <f t="shared" ca="1" si="26"/>
        <v>3</v>
      </c>
      <c r="CI4" s="12">
        <f t="shared" ca="1" si="27"/>
        <v>0.86916779118667564</v>
      </c>
      <c r="CJ4" s="1" t="s">
        <v>783</v>
      </c>
      <c r="CL4" s="13">
        <f t="shared" ca="1" si="28"/>
        <v>9</v>
      </c>
      <c r="CM4" s="12">
        <f t="shared" ca="1" si="29"/>
        <v>4.7567132125834632E-2</v>
      </c>
      <c r="CN4" s="1" t="s">
        <v>784</v>
      </c>
    </row>
    <row r="5" spans="1:92" x14ac:dyDescent="0.25">
      <c r="A5" s="1">
        <v>4</v>
      </c>
      <c r="B5" s="1">
        <v>3</v>
      </c>
      <c r="C5" s="16">
        <v>7</v>
      </c>
      <c r="D5" s="1">
        <v>4</v>
      </c>
      <c r="E5" s="1">
        <v>3</v>
      </c>
      <c r="F5" s="1">
        <v>0</v>
      </c>
      <c r="G5" s="1">
        <v>0</v>
      </c>
      <c r="H5" s="1">
        <v>0</v>
      </c>
      <c r="I5" s="1">
        <v>0</v>
      </c>
      <c r="J5" s="1">
        <v>0</v>
      </c>
      <c r="K5" s="1">
        <v>0</v>
      </c>
      <c r="L5" s="1">
        <v>0</v>
      </c>
      <c r="N5" s="13">
        <f t="shared" ca="1" si="0"/>
        <v>2</v>
      </c>
      <c r="O5" s="12">
        <f t="shared" ca="1" si="1"/>
        <v>0.87991124553781108</v>
      </c>
      <c r="P5" s="1" t="s">
        <v>882</v>
      </c>
      <c r="R5" s="13">
        <f t="shared" ca="1" si="30"/>
        <v>15</v>
      </c>
      <c r="S5" s="12">
        <f t="shared" ca="1" si="2"/>
        <v>0.26926270511088191</v>
      </c>
      <c r="T5" s="1" t="s">
        <v>905</v>
      </c>
      <c r="V5" s="13">
        <f t="shared" ca="1" si="3"/>
        <v>1</v>
      </c>
      <c r="W5" s="12">
        <f t="shared" ca="1" si="4"/>
        <v>0.99506614165763752</v>
      </c>
      <c r="X5" s="1" t="s">
        <v>852</v>
      </c>
      <c r="Z5" s="13">
        <f t="shared" ca="1" si="5"/>
        <v>11</v>
      </c>
      <c r="AA5" s="12">
        <f t="shared" ca="1" si="6"/>
        <v>0.39630267639972538</v>
      </c>
      <c r="AB5" s="1" t="s">
        <v>640</v>
      </c>
      <c r="AD5" s="13">
        <f ca="1">_xlfn.RANK.EQ(AE5,$AE$2:AE$9)</f>
        <v>7</v>
      </c>
      <c r="AE5" s="12">
        <f t="shared" ca="1" si="7"/>
        <v>0.42036582974434678</v>
      </c>
      <c r="AF5" s="1" t="s">
        <v>914</v>
      </c>
      <c r="AH5" s="13">
        <f t="shared" ca="1" si="31"/>
        <v>12</v>
      </c>
      <c r="AI5" s="12">
        <f t="shared" ca="1" si="8"/>
        <v>0.31256702479671017</v>
      </c>
      <c r="AJ5" s="1" t="s">
        <v>923</v>
      </c>
      <c r="AL5" s="13">
        <f t="shared" ca="1" si="32"/>
        <v>1</v>
      </c>
      <c r="AM5" s="12">
        <f t="shared" ca="1" si="9"/>
        <v>0.97181357186742046</v>
      </c>
      <c r="AN5" s="1" t="s">
        <v>951</v>
      </c>
      <c r="AP5" s="13">
        <f t="shared" ca="1" si="33"/>
        <v>7</v>
      </c>
      <c r="AQ5" s="12">
        <f t="shared" ca="1" si="10"/>
        <v>0.58293375956964522</v>
      </c>
      <c r="AR5" s="1" t="s">
        <v>834</v>
      </c>
      <c r="AT5" s="13">
        <f ca="1">_xlfn.RANK.EQ(AU5,AU$2:AU$6)</f>
        <v>3</v>
      </c>
      <c r="AU5" s="12">
        <f ca="1">RAND()</f>
        <v>0.37015943756289893</v>
      </c>
      <c r="AV5" s="1" t="s">
        <v>895</v>
      </c>
      <c r="AX5" s="13">
        <f ca="1">_xlfn.RANK.EQ(AY5,AY$2:AY$5)</f>
        <v>2</v>
      </c>
      <c r="AY5" s="12">
        <f ca="1">RAND()</f>
        <v>0.52624984799049757</v>
      </c>
      <c r="AZ5" s="1" t="s">
        <v>881</v>
      </c>
      <c r="BB5" s="13">
        <f t="shared" ca="1" si="34"/>
        <v>3</v>
      </c>
      <c r="BC5" s="12">
        <f t="shared" ca="1" si="11"/>
        <v>0.84564282221948117</v>
      </c>
      <c r="BD5" s="1" t="s">
        <v>817</v>
      </c>
      <c r="BF5" s="13">
        <f t="shared" ca="1" si="12"/>
        <v>27</v>
      </c>
      <c r="BG5" s="12">
        <f t="shared" ca="1" si="13"/>
        <v>0.38762762020884312</v>
      </c>
      <c r="BH5" s="1" t="s">
        <v>828</v>
      </c>
      <c r="BJ5" s="13">
        <f t="shared" ca="1" si="14"/>
        <v>1</v>
      </c>
      <c r="BK5" s="12">
        <f t="shared" ca="1" si="15"/>
        <v>0.99865736624131041</v>
      </c>
      <c r="BL5" s="1" t="s">
        <v>794</v>
      </c>
      <c r="BN5" s="13">
        <f t="shared" ca="1" si="16"/>
        <v>17</v>
      </c>
      <c r="BO5" s="12">
        <f t="shared" ca="1" si="17"/>
        <v>0.52552321911528665</v>
      </c>
      <c r="BP5" s="1" t="s">
        <v>787</v>
      </c>
      <c r="BR5" s="13">
        <f t="shared" ca="1" si="18"/>
        <v>9</v>
      </c>
      <c r="BS5" s="12">
        <f t="shared" ca="1" si="19"/>
        <v>0.79726147566206651</v>
      </c>
      <c r="BT5" s="1" t="s">
        <v>779</v>
      </c>
      <c r="BV5" s="13">
        <f t="shared" ca="1" si="20"/>
        <v>13</v>
      </c>
      <c r="BW5" s="12">
        <f t="shared" ca="1" si="21"/>
        <v>0.70029082328426184</v>
      </c>
      <c r="BX5" s="1" t="s">
        <v>813</v>
      </c>
      <c r="BZ5" s="13">
        <f t="shared" ca="1" si="22"/>
        <v>26</v>
      </c>
      <c r="CA5" s="12">
        <f t="shared" ca="1" si="23"/>
        <v>8.3498845336089533E-2</v>
      </c>
      <c r="CB5" s="1" t="s">
        <v>781</v>
      </c>
      <c r="CD5" s="13">
        <f t="shared" ca="1" si="24"/>
        <v>2</v>
      </c>
      <c r="CE5" s="12">
        <f t="shared" ca="1" si="25"/>
        <v>0.82627496083132168</v>
      </c>
      <c r="CF5" s="1" t="s">
        <v>1312</v>
      </c>
      <c r="CH5" s="13">
        <f t="shared" ca="1" si="26"/>
        <v>9</v>
      </c>
      <c r="CI5" s="12">
        <f t="shared" ca="1" si="27"/>
        <v>0.56646726825232652</v>
      </c>
      <c r="CJ5" s="1" t="s">
        <v>792</v>
      </c>
      <c r="CL5" s="13">
        <f t="shared" ca="1" si="28"/>
        <v>6</v>
      </c>
      <c r="CM5" s="12">
        <f t="shared" ca="1" si="29"/>
        <v>0.4531918947694813</v>
      </c>
      <c r="CN5" s="1" t="s">
        <v>800</v>
      </c>
    </row>
    <row r="6" spans="1:92" x14ac:dyDescent="0.25">
      <c r="A6" s="1">
        <v>5</v>
      </c>
      <c r="B6" s="1">
        <v>3</v>
      </c>
      <c r="C6" s="16">
        <v>8</v>
      </c>
      <c r="D6" s="1">
        <v>4</v>
      </c>
      <c r="E6" s="1">
        <v>3</v>
      </c>
      <c r="F6" s="1">
        <v>2</v>
      </c>
      <c r="G6" s="1">
        <v>0</v>
      </c>
      <c r="H6" s="1">
        <v>0</v>
      </c>
      <c r="I6" s="1">
        <v>0</v>
      </c>
      <c r="J6" s="1">
        <v>0</v>
      </c>
      <c r="K6" s="1">
        <v>0</v>
      </c>
      <c r="L6" s="1">
        <v>0</v>
      </c>
      <c r="N6" s="13">
        <f t="shared" ca="1" si="0"/>
        <v>3</v>
      </c>
      <c r="O6" s="12">
        <f t="shared" ca="1" si="1"/>
        <v>0.85267313176299375</v>
      </c>
      <c r="P6" s="1" t="s">
        <v>897</v>
      </c>
      <c r="R6" s="13">
        <f t="shared" ca="1" si="30"/>
        <v>6</v>
      </c>
      <c r="S6" s="12">
        <f t="shared" ca="1" si="2"/>
        <v>0.66645953849242889</v>
      </c>
      <c r="T6" s="1" t="s">
        <v>920</v>
      </c>
      <c r="V6" s="13">
        <f t="shared" ca="1" si="3"/>
        <v>20</v>
      </c>
      <c r="W6" s="12">
        <f t="shared" ca="1" si="4"/>
        <v>0.14101842365874995</v>
      </c>
      <c r="X6" s="1" t="s">
        <v>875</v>
      </c>
      <c r="Z6" s="13">
        <f t="shared" ca="1" si="5"/>
        <v>4</v>
      </c>
      <c r="AA6" s="12">
        <f t="shared" ca="1" si="6"/>
        <v>0.88610763212878874</v>
      </c>
      <c r="AB6" s="1" t="s">
        <v>913</v>
      </c>
      <c r="AD6" s="13">
        <f ca="1">_xlfn.RANK.EQ(AE6,$AE$2:AE$9)</f>
        <v>5</v>
      </c>
      <c r="AE6" s="12">
        <f t="shared" ca="1" si="7"/>
        <v>0.44327564989082957</v>
      </c>
      <c r="AF6" s="1" t="s">
        <v>933</v>
      </c>
      <c r="AH6" s="13">
        <f t="shared" ca="1" si="31"/>
        <v>4</v>
      </c>
      <c r="AI6" s="12">
        <f t="shared" ca="1" si="8"/>
        <v>0.71742689448435693</v>
      </c>
      <c r="AJ6" s="1" t="s">
        <v>944</v>
      </c>
      <c r="AL6" s="13">
        <f t="shared" ca="1" si="32"/>
        <v>3</v>
      </c>
      <c r="AM6" s="12">
        <f t="shared" ca="1" si="9"/>
        <v>0.64146134498680873</v>
      </c>
      <c r="AN6" s="1" t="s">
        <v>973</v>
      </c>
      <c r="AP6" s="13">
        <f t="shared" ca="1" si="33"/>
        <v>1</v>
      </c>
      <c r="AQ6" s="12">
        <f t="shared" ca="1" si="10"/>
        <v>0.99992708563615873</v>
      </c>
      <c r="AR6" s="1" t="s">
        <v>843</v>
      </c>
      <c r="AT6" s="13">
        <f ca="1">_xlfn.RANK.EQ(AU6,AU$2:AU$6)</f>
        <v>4</v>
      </c>
      <c r="AU6" s="12">
        <f ca="1">RAND()</f>
        <v>0.28936503097862842</v>
      </c>
      <c r="AV6" s="1" t="s">
        <v>903</v>
      </c>
      <c r="BB6" s="13">
        <f t="shared" ca="1" si="34"/>
        <v>5</v>
      </c>
      <c r="BC6" s="12">
        <f t="shared" ca="1" si="11"/>
        <v>0.77401938578465435</v>
      </c>
      <c r="BD6" s="1" t="s">
        <v>827</v>
      </c>
      <c r="BF6" s="13">
        <f t="shared" ca="1" si="12"/>
        <v>12</v>
      </c>
      <c r="BG6" s="12">
        <f t="shared" ca="1" si="13"/>
        <v>0.73373236516252638</v>
      </c>
      <c r="BH6" s="1" t="s">
        <v>874</v>
      </c>
      <c r="BJ6" s="13">
        <f t="shared" ca="1" si="14"/>
        <v>10</v>
      </c>
      <c r="BK6" s="12">
        <f t="shared" ca="1" si="15"/>
        <v>0.85605289974361265</v>
      </c>
      <c r="BL6" s="1" t="s">
        <v>803</v>
      </c>
      <c r="BN6" s="13">
        <f t="shared" ca="1" si="16"/>
        <v>28</v>
      </c>
      <c r="BO6" s="12">
        <f t="shared" ca="1" si="17"/>
        <v>0.19383886187049004</v>
      </c>
      <c r="BP6" s="1" t="s">
        <v>795</v>
      </c>
      <c r="BR6" s="13">
        <f t="shared" ca="1" si="18"/>
        <v>14</v>
      </c>
      <c r="BS6" s="12">
        <f t="shared" ca="1" si="19"/>
        <v>0.69459167901195296</v>
      </c>
      <c r="BT6" s="1" t="s">
        <v>788</v>
      </c>
      <c r="BV6" s="13">
        <f t="shared" ca="1" si="20"/>
        <v>21</v>
      </c>
      <c r="BW6" s="12">
        <f t="shared" ca="1" si="21"/>
        <v>0.18068587028321403</v>
      </c>
      <c r="BX6" s="1" t="s">
        <v>1299</v>
      </c>
      <c r="BZ6" s="13">
        <f t="shared" ca="1" si="22"/>
        <v>22</v>
      </c>
      <c r="CA6" s="12">
        <f t="shared" ca="1" si="23"/>
        <v>0.20150938194990087</v>
      </c>
      <c r="CB6" s="1" t="s">
        <v>1304</v>
      </c>
      <c r="CD6" s="13">
        <f t="shared" ca="1" si="24"/>
        <v>4</v>
      </c>
      <c r="CE6" s="12">
        <f t="shared" ca="1" si="25"/>
        <v>0.46245428488627582</v>
      </c>
      <c r="CF6" s="1" t="s">
        <v>808</v>
      </c>
      <c r="CH6" s="13">
        <f t="shared" ca="1" si="26"/>
        <v>1</v>
      </c>
      <c r="CI6" s="12">
        <f t="shared" ca="1" si="27"/>
        <v>0.96426433427913272</v>
      </c>
      <c r="CJ6" s="1" t="s">
        <v>799</v>
      </c>
      <c r="CL6" s="13">
        <f t="shared" ca="1" si="28"/>
        <v>1</v>
      </c>
      <c r="CM6" s="12">
        <f t="shared" ca="1" si="29"/>
        <v>0.95071066698177287</v>
      </c>
      <c r="CN6" s="1" t="s">
        <v>816</v>
      </c>
    </row>
    <row r="7" spans="1:92" x14ac:dyDescent="0.25">
      <c r="A7" s="1">
        <v>6</v>
      </c>
      <c r="B7" s="1">
        <v>3</v>
      </c>
      <c r="C7" s="16">
        <v>9</v>
      </c>
      <c r="D7" s="1">
        <v>4</v>
      </c>
      <c r="E7" s="1">
        <v>3</v>
      </c>
      <c r="F7" s="1">
        <v>3</v>
      </c>
      <c r="G7" s="1">
        <v>0</v>
      </c>
      <c r="H7" s="1">
        <v>0</v>
      </c>
      <c r="I7" s="1">
        <v>0</v>
      </c>
      <c r="J7" s="1">
        <v>0</v>
      </c>
      <c r="K7" s="1">
        <v>0</v>
      </c>
      <c r="L7" s="1">
        <v>0</v>
      </c>
      <c r="N7" s="13">
        <f t="shared" ca="1" si="0"/>
        <v>4</v>
      </c>
      <c r="O7" s="12">
        <f t="shared" ca="1" si="1"/>
        <v>0.78311270510123365</v>
      </c>
      <c r="P7" s="1" t="s">
        <v>911</v>
      </c>
      <c r="R7" s="13">
        <f t="shared" ca="1" si="30"/>
        <v>21</v>
      </c>
      <c r="S7" s="12">
        <f t="shared" ca="1" si="2"/>
        <v>9.119388114569571E-2</v>
      </c>
      <c r="T7" s="1" t="s">
        <v>930</v>
      </c>
      <c r="V7" s="13">
        <f t="shared" ca="1" si="3"/>
        <v>3</v>
      </c>
      <c r="W7" s="12">
        <f t="shared" ca="1" si="4"/>
        <v>0.9574619168356836</v>
      </c>
      <c r="X7" s="1" t="s">
        <v>899</v>
      </c>
      <c r="Z7" s="13">
        <f t="shared" ca="1" si="5"/>
        <v>16</v>
      </c>
      <c r="AA7" s="12">
        <f t="shared" ca="1" si="6"/>
        <v>8.9834754312632326E-2</v>
      </c>
      <c r="AB7" s="1" t="s">
        <v>943</v>
      </c>
      <c r="AD7" s="13">
        <f ca="1">_xlfn.RANK.EQ(AE7,$AE$2:AE$9)</f>
        <v>3</v>
      </c>
      <c r="AE7" s="12">
        <f t="shared" ca="1" si="7"/>
        <v>0.60507461703696375</v>
      </c>
      <c r="AF7" s="1" t="s">
        <v>949</v>
      </c>
      <c r="AH7" s="13">
        <f t="shared" ca="1" si="31"/>
        <v>6</v>
      </c>
      <c r="AI7" s="12">
        <f t="shared" ca="1" si="8"/>
        <v>0.63956939901968568</v>
      </c>
      <c r="AJ7" s="1" t="s">
        <v>950</v>
      </c>
      <c r="AL7" s="13">
        <f t="shared" ca="1" si="32"/>
        <v>2</v>
      </c>
      <c r="AM7" s="12">
        <f t="shared" ca="1" si="9"/>
        <v>0.94687948719403803</v>
      </c>
      <c r="AN7" s="1" t="s">
        <v>990</v>
      </c>
      <c r="AP7" s="13">
        <f t="shared" ca="1" si="33"/>
        <v>4</v>
      </c>
      <c r="AQ7" s="12">
        <f t="shared" ca="1" si="10"/>
        <v>0.69722496851050575</v>
      </c>
      <c r="AR7" s="1" t="s">
        <v>872</v>
      </c>
      <c r="BB7" s="13">
        <f t="shared" ca="1" si="34"/>
        <v>1</v>
      </c>
      <c r="BC7" s="12">
        <f t="shared" ca="1" si="11"/>
        <v>0.9682149441741682</v>
      </c>
      <c r="BD7" s="1" t="s">
        <v>858</v>
      </c>
      <c r="BF7" s="13">
        <f t="shared" ca="1" si="12"/>
        <v>11</v>
      </c>
      <c r="BG7" s="12">
        <f t="shared" ca="1" si="13"/>
        <v>0.73708233072744633</v>
      </c>
      <c r="BH7" s="1" t="s">
        <v>883</v>
      </c>
      <c r="BJ7" s="13">
        <f t="shared" ca="1" si="14"/>
        <v>13</v>
      </c>
      <c r="BK7" s="12">
        <f t="shared" ca="1" si="15"/>
        <v>0.71574947384156939</v>
      </c>
      <c r="BL7" s="1" t="s">
        <v>811</v>
      </c>
      <c r="BN7" s="13">
        <f t="shared" ca="1" si="16"/>
        <v>14</v>
      </c>
      <c r="BO7" s="12">
        <f t="shared" ca="1" si="17"/>
        <v>0.59321069001848536</v>
      </c>
      <c r="BP7" s="1" t="s">
        <v>804</v>
      </c>
      <c r="BR7" s="13">
        <f t="shared" ca="1" si="18"/>
        <v>13</v>
      </c>
      <c r="BS7" s="12">
        <f t="shared" ca="1" si="19"/>
        <v>0.74012307569304214</v>
      </c>
      <c r="BT7" s="1" t="s">
        <v>821</v>
      </c>
      <c r="BV7" s="13">
        <f t="shared" ca="1" si="20"/>
        <v>18</v>
      </c>
      <c r="BW7" s="12">
        <f t="shared" ca="1" si="21"/>
        <v>0.46729856171610651</v>
      </c>
      <c r="BX7" s="1" t="s">
        <v>1300</v>
      </c>
      <c r="BZ7" s="13">
        <f t="shared" ca="1" si="22"/>
        <v>13</v>
      </c>
      <c r="CA7" s="12">
        <f t="shared" ca="1" si="23"/>
        <v>0.48675771507433874</v>
      </c>
      <c r="CB7" s="1" t="s">
        <v>797</v>
      </c>
      <c r="CD7" s="13">
        <f t="shared" ca="1" si="24"/>
        <v>7</v>
      </c>
      <c r="CE7" s="12">
        <f t="shared" ca="1" si="25"/>
        <v>0.28574569433189112</v>
      </c>
      <c r="CF7" s="1" t="s">
        <v>850</v>
      </c>
      <c r="CH7" s="13">
        <f t="shared" ca="1" si="26"/>
        <v>4</v>
      </c>
      <c r="CI7" s="12">
        <f t="shared" ca="1" si="27"/>
        <v>0.85372953995709722</v>
      </c>
      <c r="CJ7" s="1" t="s">
        <v>809</v>
      </c>
      <c r="CL7" s="13">
        <f t="shared" ca="1" si="28"/>
        <v>5</v>
      </c>
      <c r="CM7" s="12">
        <f t="shared" ca="1" si="29"/>
        <v>0.46587984999161747</v>
      </c>
      <c r="CN7" s="1" t="s">
        <v>857</v>
      </c>
    </row>
    <row r="8" spans="1:92" x14ac:dyDescent="0.25">
      <c r="A8" s="1">
        <v>7</v>
      </c>
      <c r="B8" s="1">
        <v>3</v>
      </c>
      <c r="C8" s="16">
        <v>10</v>
      </c>
      <c r="D8" s="1">
        <v>4</v>
      </c>
      <c r="E8" s="1">
        <v>3</v>
      </c>
      <c r="F8" s="1">
        <v>3</v>
      </c>
      <c r="G8" s="1">
        <v>1</v>
      </c>
      <c r="H8" s="1">
        <v>0</v>
      </c>
      <c r="I8" s="1">
        <v>0</v>
      </c>
      <c r="J8" s="1">
        <v>0</v>
      </c>
      <c r="K8" s="1">
        <v>0</v>
      </c>
      <c r="L8" s="1">
        <v>0</v>
      </c>
      <c r="N8" s="13">
        <f t="shared" ca="1" si="0"/>
        <v>9</v>
      </c>
      <c r="O8" s="12">
        <f t="shared" ca="1" si="1"/>
        <v>0.2584853405132308</v>
      </c>
      <c r="P8" s="1" t="s">
        <v>919</v>
      </c>
      <c r="R8" s="13">
        <f t="shared" ca="1" si="30"/>
        <v>16</v>
      </c>
      <c r="S8" s="12">
        <f t="shared" ca="1" si="2"/>
        <v>0.21023729509464861</v>
      </c>
      <c r="T8" s="1" t="s">
        <v>941</v>
      </c>
      <c r="V8" s="13">
        <f t="shared" ca="1" si="3"/>
        <v>7</v>
      </c>
      <c r="W8" s="12">
        <f t="shared" ca="1" si="4"/>
        <v>0.72527502123924936</v>
      </c>
      <c r="X8" s="1" t="s">
        <v>928</v>
      </c>
      <c r="Z8" s="13">
        <f t="shared" ca="1" si="5"/>
        <v>13</v>
      </c>
      <c r="AA8" s="12">
        <f t="shared" ca="1" si="6"/>
        <v>0.31315047131616913</v>
      </c>
      <c r="AB8" s="1" t="s">
        <v>959</v>
      </c>
      <c r="AD8" s="13">
        <f ca="1">_xlfn.RANK.EQ(AE8,$AE$2:AE$9)</f>
        <v>2</v>
      </c>
      <c r="AE8" s="12">
        <f t="shared" ca="1" si="7"/>
        <v>0.75867609223007537</v>
      </c>
      <c r="AF8" s="1" t="s">
        <v>967</v>
      </c>
      <c r="AH8" s="13">
        <f t="shared" ca="1" si="31"/>
        <v>7</v>
      </c>
      <c r="AI8" s="12">
        <f t="shared" ca="1" si="8"/>
        <v>0.60145408919557775</v>
      </c>
      <c r="AJ8" s="1" t="s">
        <v>961</v>
      </c>
      <c r="AL8" s="13">
        <f t="shared" ca="1" si="32"/>
        <v>4</v>
      </c>
      <c r="AM8" s="12">
        <f t="shared" ca="1" si="9"/>
        <v>0.58695423741429364</v>
      </c>
      <c r="AN8" s="1" t="s">
        <v>1021</v>
      </c>
      <c r="AP8" s="13">
        <f t="shared" ca="1" si="33"/>
        <v>3</v>
      </c>
      <c r="AQ8" s="12">
        <f t="shared" ca="1" si="10"/>
        <v>0.72547232913308835</v>
      </c>
      <c r="AR8" s="1" t="s">
        <v>879</v>
      </c>
      <c r="BB8" s="13">
        <f t="shared" ca="1" si="34"/>
        <v>12</v>
      </c>
      <c r="BC8" s="12">
        <f t="shared" ca="1" si="11"/>
        <v>0.2967981159995936</v>
      </c>
      <c r="BD8" s="1" t="s">
        <v>934</v>
      </c>
      <c r="BF8" s="13">
        <f t="shared" ca="1" si="12"/>
        <v>28</v>
      </c>
      <c r="BG8" s="12">
        <f t="shared" ca="1" si="13"/>
        <v>0.38727344989669621</v>
      </c>
      <c r="BH8" s="1" t="s">
        <v>890</v>
      </c>
      <c r="BJ8" s="13">
        <f t="shared" ca="1" si="14"/>
        <v>21</v>
      </c>
      <c r="BK8" s="12">
        <f t="shared" ca="1" si="15"/>
        <v>0.42810455405690095</v>
      </c>
      <c r="BL8" s="1" t="s">
        <v>829</v>
      </c>
      <c r="BN8" s="13">
        <f t="shared" ca="1" si="16"/>
        <v>27</v>
      </c>
      <c r="BO8" s="12">
        <f t="shared" ca="1" si="17"/>
        <v>0.21648404330080706</v>
      </c>
      <c r="BP8" s="1" t="s">
        <v>830</v>
      </c>
      <c r="BR8" s="13">
        <f t="shared" ca="1" si="18"/>
        <v>16</v>
      </c>
      <c r="BS8" s="12">
        <f t="shared" ca="1" si="19"/>
        <v>0.57662149939534835</v>
      </c>
      <c r="BT8" s="1" t="s">
        <v>831</v>
      </c>
      <c r="BV8" s="13">
        <f t="shared" ca="1" si="20"/>
        <v>2</v>
      </c>
      <c r="BW8" s="12">
        <f t="shared" ca="1" si="21"/>
        <v>0.98410922444146554</v>
      </c>
      <c r="BX8" s="1" t="s">
        <v>841</v>
      </c>
      <c r="BZ8" s="13">
        <f t="shared" ca="1" si="22"/>
        <v>5</v>
      </c>
      <c r="CA8" s="12">
        <f t="shared" ca="1" si="23"/>
        <v>0.74628117389730875</v>
      </c>
      <c r="CB8" s="1" t="s">
        <v>807</v>
      </c>
      <c r="CD8" s="13">
        <f t="shared" ca="1" si="24"/>
        <v>8</v>
      </c>
      <c r="CE8" s="12">
        <f t="shared" ca="1" si="25"/>
        <v>0.27945306358625921</v>
      </c>
      <c r="CF8" s="1" t="s">
        <v>864</v>
      </c>
      <c r="CH8" s="13">
        <f t="shared" ca="1" si="26"/>
        <v>6</v>
      </c>
      <c r="CI8" s="12">
        <f t="shared" ca="1" si="27"/>
        <v>0.79204572746267188</v>
      </c>
      <c r="CJ8" s="1" t="s">
        <v>825</v>
      </c>
      <c r="CL8" s="13">
        <f t="shared" ca="1" si="28"/>
        <v>4</v>
      </c>
      <c r="CM8" s="12">
        <f t="shared" ca="1" si="29"/>
        <v>0.72516357471603754</v>
      </c>
      <c r="CN8" s="1" t="s">
        <v>1313</v>
      </c>
    </row>
    <row r="9" spans="1:92" x14ac:dyDescent="0.25">
      <c r="A9" s="1">
        <v>8</v>
      </c>
      <c r="B9" s="1">
        <v>3</v>
      </c>
      <c r="C9" s="16">
        <v>11</v>
      </c>
      <c r="D9" s="1">
        <v>4</v>
      </c>
      <c r="E9" s="1">
        <v>3</v>
      </c>
      <c r="F9" s="1">
        <v>3</v>
      </c>
      <c r="G9" s="1">
        <v>2</v>
      </c>
      <c r="H9" s="1">
        <v>0</v>
      </c>
      <c r="I9" s="1">
        <v>0</v>
      </c>
      <c r="J9" s="1">
        <v>0</v>
      </c>
      <c r="K9" s="1">
        <v>0</v>
      </c>
      <c r="L9" s="1">
        <v>0</v>
      </c>
      <c r="N9" s="13">
        <f t="shared" ca="1" si="0"/>
        <v>10</v>
      </c>
      <c r="O9" s="12">
        <f t="shared" ca="1" si="1"/>
        <v>0.15762054276309911</v>
      </c>
      <c r="P9" s="1" t="s">
        <v>926</v>
      </c>
      <c r="R9" s="13">
        <f t="shared" ca="1" si="30"/>
        <v>1</v>
      </c>
      <c r="S9" s="12">
        <f t="shared" ca="1" si="2"/>
        <v>0.9910453327503751</v>
      </c>
      <c r="T9" s="1" t="s">
        <v>946</v>
      </c>
      <c r="V9" s="13">
        <f t="shared" ca="1" si="3"/>
        <v>16</v>
      </c>
      <c r="W9" s="12">
        <f t="shared" ca="1" si="4"/>
        <v>0.27497546454905286</v>
      </c>
      <c r="X9" s="1" t="s">
        <v>936</v>
      </c>
      <c r="Z9" s="13">
        <f t="shared" ca="1" si="5"/>
        <v>10</v>
      </c>
      <c r="AA9" s="12">
        <f t="shared" ca="1" si="6"/>
        <v>0.43334972567622398</v>
      </c>
      <c r="AB9" s="1" t="s">
        <v>966</v>
      </c>
      <c r="AD9" s="13">
        <f ca="1">_xlfn.RANK.EQ(AE9,$AE$2:AE$9)</f>
        <v>1</v>
      </c>
      <c r="AE9" s="12">
        <f t="shared" ca="1" si="7"/>
        <v>0.87857005891240247</v>
      </c>
      <c r="AF9" s="1" t="s">
        <v>995</v>
      </c>
      <c r="AH9" s="13">
        <f t="shared" ca="1" si="31"/>
        <v>16</v>
      </c>
      <c r="AI9" s="12">
        <f t="shared" ca="1" si="8"/>
        <v>4.9007262194240786E-2</v>
      </c>
      <c r="AJ9" s="1" t="s">
        <v>989</v>
      </c>
      <c r="AP9" s="13">
        <f t="shared" ca="1" si="33"/>
        <v>5</v>
      </c>
      <c r="AQ9" s="12">
        <f t="shared" ca="1" si="10"/>
        <v>0.64946416852855349</v>
      </c>
      <c r="AR9" s="1" t="s">
        <v>888</v>
      </c>
      <c r="BB9" s="13">
        <f t="shared" ca="1" si="34"/>
        <v>8</v>
      </c>
      <c r="BC9" s="12">
        <f t="shared" ca="1" si="11"/>
        <v>0.54226291450374087</v>
      </c>
      <c r="BD9" s="1" t="s">
        <v>952</v>
      </c>
      <c r="BF9" s="13">
        <f t="shared" ca="1" si="12"/>
        <v>8</v>
      </c>
      <c r="BG9" s="12">
        <f t="shared" ca="1" si="13"/>
        <v>0.78898558591902768</v>
      </c>
      <c r="BH9" s="1" t="s">
        <v>898</v>
      </c>
      <c r="BJ9" s="13">
        <f t="shared" ca="1" si="14"/>
        <v>33</v>
      </c>
      <c r="BK9" s="12">
        <f t="shared" ca="1" si="15"/>
        <v>0.17805113448087351</v>
      </c>
      <c r="BL9" s="1" t="s">
        <v>838</v>
      </c>
      <c r="BN9" s="13">
        <f t="shared" ca="1" si="16"/>
        <v>7</v>
      </c>
      <c r="BO9" s="12">
        <f t="shared" ca="1" si="17"/>
        <v>0.73773164366018307</v>
      </c>
      <c r="BP9" s="1" t="s">
        <v>839</v>
      </c>
      <c r="BR9" s="13">
        <f t="shared" ca="1" si="18"/>
        <v>23</v>
      </c>
      <c r="BS9" s="12">
        <f t="shared" ca="1" si="19"/>
        <v>0.28850839698583486</v>
      </c>
      <c r="BT9" s="1" t="s">
        <v>840</v>
      </c>
      <c r="BV9" s="13">
        <f t="shared" ca="1" si="20"/>
        <v>17</v>
      </c>
      <c r="BW9" s="12">
        <f t="shared" ca="1" si="21"/>
        <v>0.52720686789071602</v>
      </c>
      <c r="BX9" s="1" t="s">
        <v>849</v>
      </c>
      <c r="BZ9" s="13">
        <f t="shared" ca="1" si="22"/>
        <v>1</v>
      </c>
      <c r="CA9" s="12">
        <f t="shared" ca="1" si="23"/>
        <v>0.95756588563316758</v>
      </c>
      <c r="CB9" s="1" t="s">
        <v>823</v>
      </c>
      <c r="CD9" s="13">
        <f t="shared" ca="1" si="24"/>
        <v>10</v>
      </c>
      <c r="CE9" s="12">
        <f t="shared" ca="1" si="25"/>
        <v>4.47561610796684E-2</v>
      </c>
      <c r="CF9" s="1" t="s">
        <v>894</v>
      </c>
      <c r="CH9" s="13">
        <f t="shared" ca="1" si="26"/>
        <v>13</v>
      </c>
      <c r="CI9" s="12">
        <f t="shared" ca="1" si="27"/>
        <v>0.25751564960893236</v>
      </c>
      <c r="CJ9" s="1" t="s">
        <v>851</v>
      </c>
      <c r="CL9" s="13">
        <f t="shared" ca="1" si="28"/>
        <v>2</v>
      </c>
      <c r="CM9" s="12">
        <f t="shared" ca="1" si="29"/>
        <v>0.74438245988565577</v>
      </c>
      <c r="CN9" s="1" t="s">
        <v>873</v>
      </c>
    </row>
    <row r="10" spans="1:92" x14ac:dyDescent="0.25">
      <c r="A10" s="1">
        <v>9</v>
      </c>
      <c r="B10" s="1">
        <v>3</v>
      </c>
      <c r="C10" s="16">
        <v>12</v>
      </c>
      <c r="D10" s="1">
        <v>4</v>
      </c>
      <c r="E10" s="1">
        <v>3</v>
      </c>
      <c r="F10" s="1">
        <v>3</v>
      </c>
      <c r="G10" s="1">
        <v>3</v>
      </c>
      <c r="H10" s="1">
        <v>1</v>
      </c>
      <c r="I10" s="1">
        <v>0</v>
      </c>
      <c r="J10" s="1">
        <v>0</v>
      </c>
      <c r="K10" s="1">
        <v>0</v>
      </c>
      <c r="L10" s="1">
        <v>0</v>
      </c>
      <c r="N10" s="13">
        <f t="shared" ca="1" si="0"/>
        <v>11</v>
      </c>
      <c r="O10" s="12">
        <f t="shared" ca="1" si="1"/>
        <v>1.5391426250451756E-2</v>
      </c>
      <c r="P10" s="1" t="s">
        <v>940</v>
      </c>
      <c r="R10" s="13">
        <f t="shared" ca="1" si="30"/>
        <v>9</v>
      </c>
      <c r="S10" s="12">
        <f t="shared" ca="1" si="2"/>
        <v>0.59657853617306644</v>
      </c>
      <c r="T10" s="1" t="s">
        <v>979</v>
      </c>
      <c r="V10" s="13">
        <f t="shared" ca="1" si="3"/>
        <v>6</v>
      </c>
      <c r="W10" s="12">
        <f t="shared" ca="1" si="4"/>
        <v>0.85317595805847579</v>
      </c>
      <c r="X10" s="1" t="s">
        <v>980</v>
      </c>
      <c r="Z10" s="13">
        <f t="shared" ca="1" si="5"/>
        <v>15</v>
      </c>
      <c r="AA10" s="12">
        <f t="shared" ca="1" si="6"/>
        <v>0.10720350538954515</v>
      </c>
      <c r="AB10" s="1" t="s">
        <v>994</v>
      </c>
      <c r="AH10" s="13">
        <f t="shared" ca="1" si="31"/>
        <v>9</v>
      </c>
      <c r="AI10" s="12">
        <f t="shared" ca="1" si="8"/>
        <v>0.54866942148239917</v>
      </c>
      <c r="AJ10" s="1" t="s">
        <v>999</v>
      </c>
      <c r="AP10" s="13">
        <f t="shared" ca="1" si="33"/>
        <v>8</v>
      </c>
      <c r="AQ10" s="12">
        <f t="shared" ca="1" si="10"/>
        <v>0.48186262258448886</v>
      </c>
      <c r="AR10" s="1" t="s">
        <v>917</v>
      </c>
      <c r="BB10" s="13">
        <f t="shared" ca="1" si="34"/>
        <v>2</v>
      </c>
      <c r="BC10" s="12">
        <f t="shared" ca="1" si="11"/>
        <v>0.93509321143593904</v>
      </c>
      <c r="BD10" s="1" t="s">
        <v>957</v>
      </c>
      <c r="BF10" s="13">
        <f t="shared" ca="1" si="12"/>
        <v>33</v>
      </c>
      <c r="BG10" s="12">
        <f t="shared" ca="1" si="13"/>
        <v>0.25952838145040114</v>
      </c>
      <c r="BH10" s="1" t="s">
        <v>1274</v>
      </c>
      <c r="BJ10" s="13">
        <f t="shared" ca="1" si="14"/>
        <v>20</v>
      </c>
      <c r="BK10" s="12">
        <f t="shared" ca="1" si="15"/>
        <v>0.44705601035010956</v>
      </c>
      <c r="BL10" s="1" t="s">
        <v>859</v>
      </c>
      <c r="BN10" s="13">
        <f t="shared" ca="1" si="16"/>
        <v>31</v>
      </c>
      <c r="BO10" s="12">
        <f t="shared" ca="1" si="17"/>
        <v>7.6707407449914999E-2</v>
      </c>
      <c r="BP10" s="1" t="s">
        <v>847</v>
      </c>
      <c r="BR10" s="13">
        <f t="shared" ca="1" si="18"/>
        <v>12</v>
      </c>
      <c r="BS10" s="12">
        <f t="shared" ca="1" si="19"/>
        <v>0.74879247069797816</v>
      </c>
      <c r="BT10" s="1" t="s">
        <v>848</v>
      </c>
      <c r="BV10" s="13">
        <f t="shared" ca="1" si="20"/>
        <v>14</v>
      </c>
      <c r="BW10" s="12">
        <f t="shared" ca="1" si="21"/>
        <v>0.66148195250320718</v>
      </c>
      <c r="BX10" s="1" t="s">
        <v>855</v>
      </c>
      <c r="BZ10" s="13">
        <f t="shared" ca="1" si="22"/>
        <v>21</v>
      </c>
      <c r="CA10" s="12">
        <f t="shared" ca="1" si="23"/>
        <v>0.2270499815754784</v>
      </c>
      <c r="CB10" s="1" t="s">
        <v>833</v>
      </c>
      <c r="CD10" s="13">
        <f t="shared" ca="1" si="24"/>
        <v>5</v>
      </c>
      <c r="CE10" s="12">
        <f t="shared" ca="1" si="25"/>
        <v>0.44252551731587886</v>
      </c>
      <c r="CF10" s="1" t="s">
        <v>902</v>
      </c>
      <c r="CH10" s="13">
        <f t="shared" ca="1" si="26"/>
        <v>11</v>
      </c>
      <c r="CI10" s="12">
        <f t="shared" ca="1" si="27"/>
        <v>0.3891479816700939</v>
      </c>
      <c r="CJ10" s="1" t="s">
        <v>865</v>
      </c>
      <c r="CL10" s="13">
        <f t="shared" ca="1" si="28"/>
        <v>3</v>
      </c>
      <c r="CM10" s="12">
        <f t="shared" ca="1" si="29"/>
        <v>0.74391742150396978</v>
      </c>
      <c r="CN10" s="1" t="s">
        <v>889</v>
      </c>
    </row>
    <row r="11" spans="1:92" x14ac:dyDescent="0.25">
      <c r="A11" s="1">
        <v>10</v>
      </c>
      <c r="B11" s="1">
        <v>4</v>
      </c>
      <c r="C11" s="16">
        <v>12</v>
      </c>
      <c r="D11" s="1">
        <v>4</v>
      </c>
      <c r="E11" s="1">
        <v>3</v>
      </c>
      <c r="F11" s="1">
        <v>3</v>
      </c>
      <c r="G11" s="1">
        <v>3</v>
      </c>
      <c r="H11" s="1">
        <v>2</v>
      </c>
      <c r="I11" s="1">
        <v>0</v>
      </c>
      <c r="J11" s="1">
        <v>0</v>
      </c>
      <c r="K11" s="1">
        <v>0</v>
      </c>
      <c r="L11" s="1">
        <v>0</v>
      </c>
      <c r="N11" s="13">
        <f t="shared" ca="1" si="0"/>
        <v>6</v>
      </c>
      <c r="O11" s="12">
        <f t="shared" ca="1" si="1"/>
        <v>0.56119881010911576</v>
      </c>
      <c r="P11" s="1" t="s">
        <v>1022</v>
      </c>
      <c r="R11" s="13">
        <f t="shared" ca="1" si="30"/>
        <v>20</v>
      </c>
      <c r="S11" s="12">
        <f t="shared" ca="1" si="2"/>
        <v>0.14081071663140177</v>
      </c>
      <c r="T11" s="1" t="s">
        <v>992</v>
      </c>
      <c r="V11" s="13">
        <f t="shared" ca="1" si="3"/>
        <v>11</v>
      </c>
      <c r="W11" s="12">
        <f t="shared" ca="1" si="4"/>
        <v>0.565874966849917</v>
      </c>
      <c r="X11" s="1" t="s">
        <v>986</v>
      </c>
      <c r="Z11" s="13">
        <f t="shared" ca="1" si="5"/>
        <v>3</v>
      </c>
      <c r="AA11" s="12">
        <f t="shared" ca="1" si="6"/>
        <v>0.93371404285594994</v>
      </c>
      <c r="AB11" s="1" t="s">
        <v>1013</v>
      </c>
      <c r="AH11" s="13">
        <f t="shared" ca="1" si="31"/>
        <v>15</v>
      </c>
      <c r="AI11" s="12">
        <f t="shared" ca="1" si="8"/>
        <v>0.22225113033676192</v>
      </c>
      <c r="AJ11" s="1" t="s">
        <v>1004</v>
      </c>
      <c r="AP11" s="13">
        <f t="shared" ca="1" si="33"/>
        <v>9</v>
      </c>
      <c r="AQ11" s="12">
        <f t="shared" ca="1" si="10"/>
        <v>0.47525866286423801</v>
      </c>
      <c r="AR11" s="1" t="s">
        <v>924</v>
      </c>
      <c r="BB11" s="13">
        <f t="shared" ca="1" si="34"/>
        <v>10</v>
      </c>
      <c r="BC11" s="12">
        <f t="shared" ca="1" si="11"/>
        <v>0.49472641312249577</v>
      </c>
      <c r="BD11" s="1" t="s">
        <v>963</v>
      </c>
      <c r="BF11" s="13">
        <f t="shared" ca="1" si="12"/>
        <v>34</v>
      </c>
      <c r="BG11" s="12">
        <f t="shared" ca="1" si="13"/>
        <v>0.22265468537945454</v>
      </c>
      <c r="BH11" s="1" t="s">
        <v>1275</v>
      </c>
      <c r="BJ11" s="13">
        <f t="shared" ca="1" si="14"/>
        <v>32</v>
      </c>
      <c r="BK11" s="12">
        <f t="shared" ca="1" si="15"/>
        <v>0.17820747882201804</v>
      </c>
      <c r="BL11" s="1" t="s">
        <v>1282</v>
      </c>
      <c r="BN11" s="13">
        <f t="shared" ca="1" si="16"/>
        <v>2</v>
      </c>
      <c r="BO11" s="12">
        <f t="shared" ca="1" si="17"/>
        <v>0.87798742703716481</v>
      </c>
      <c r="BP11" s="1" t="s">
        <v>1290</v>
      </c>
      <c r="BR11" s="13">
        <f t="shared" ca="1" si="18"/>
        <v>21</v>
      </c>
      <c r="BS11" s="12">
        <f t="shared" ca="1" si="19"/>
        <v>0.34693327410639363</v>
      </c>
      <c r="BT11" s="1" t="s">
        <v>861</v>
      </c>
      <c r="BV11" s="13">
        <f t="shared" ca="1" si="20"/>
        <v>20</v>
      </c>
      <c r="BW11" s="12">
        <f t="shared" ca="1" si="21"/>
        <v>0.2486997289248899</v>
      </c>
      <c r="BX11" s="1" t="s">
        <v>862</v>
      </c>
      <c r="BZ11" s="13">
        <f t="shared" ca="1" si="22"/>
        <v>6</v>
      </c>
      <c r="CA11" s="12">
        <f t="shared" ca="1" si="23"/>
        <v>0.71084070999163973</v>
      </c>
      <c r="CB11" s="1" t="s">
        <v>842</v>
      </c>
      <c r="CD11" s="13">
        <f t="shared" ca="1" si="24"/>
        <v>9</v>
      </c>
      <c r="CE11" s="12">
        <f t="shared" ca="1" si="25"/>
        <v>8.3746839460975275E-2</v>
      </c>
      <c r="CF11" s="1" t="s">
        <v>909</v>
      </c>
      <c r="CH11" s="13">
        <f t="shared" ca="1" si="26"/>
        <v>8</v>
      </c>
      <c r="CI11" s="12">
        <f t="shared" ca="1" si="27"/>
        <v>0.602029806357539</v>
      </c>
      <c r="CJ11" s="1" t="s">
        <v>880</v>
      </c>
      <c r="CL11" s="13">
        <f t="shared" ca="1" si="28"/>
        <v>10</v>
      </c>
      <c r="CM11" s="12">
        <f t="shared" ca="1" si="29"/>
        <v>2.0796527163762235E-3</v>
      </c>
      <c r="CN11" s="1" t="s">
        <v>896</v>
      </c>
    </row>
    <row r="12" spans="1:92" x14ac:dyDescent="0.25">
      <c r="A12" s="1">
        <v>11</v>
      </c>
      <c r="B12" s="1">
        <v>4</v>
      </c>
      <c r="C12" s="16">
        <v>13</v>
      </c>
      <c r="D12" s="1">
        <v>4</v>
      </c>
      <c r="E12" s="1">
        <v>3</v>
      </c>
      <c r="F12" s="1">
        <v>3</v>
      </c>
      <c r="G12" s="1">
        <v>3</v>
      </c>
      <c r="H12" s="1">
        <v>2</v>
      </c>
      <c r="I12" s="1">
        <v>1</v>
      </c>
      <c r="J12" s="1">
        <v>0</v>
      </c>
      <c r="K12" s="1">
        <v>0</v>
      </c>
      <c r="L12" s="1">
        <v>0</v>
      </c>
      <c r="N12" s="13">
        <f t="shared" ca="1" si="0"/>
        <v>8</v>
      </c>
      <c r="O12" s="12">
        <f t="shared" ca="1" si="1"/>
        <v>0.29390688144895638</v>
      </c>
      <c r="P12" s="1" t="s">
        <v>1029</v>
      </c>
      <c r="R12" s="13">
        <f t="shared" ca="1" si="30"/>
        <v>17</v>
      </c>
      <c r="S12" s="12">
        <f t="shared" ca="1" si="2"/>
        <v>0.1759191778362198</v>
      </c>
      <c r="T12" s="1" t="s">
        <v>1030</v>
      </c>
      <c r="V12" s="13">
        <f t="shared" ca="1" si="3"/>
        <v>10</v>
      </c>
      <c r="W12" s="12">
        <f t="shared" ca="1" si="4"/>
        <v>0.6375590975001475</v>
      </c>
      <c r="X12" s="1" t="s">
        <v>993</v>
      </c>
      <c r="Z12" s="13">
        <f t="shared" ca="1" si="5"/>
        <v>14</v>
      </c>
      <c r="AA12" s="12">
        <f t="shared" ca="1" si="6"/>
        <v>0.17821606936488599</v>
      </c>
      <c r="AB12" s="1" t="s">
        <v>1025</v>
      </c>
      <c r="AH12" s="13">
        <f t="shared" ca="1" si="31"/>
        <v>3</v>
      </c>
      <c r="AI12" s="12">
        <f t="shared" ca="1" si="8"/>
        <v>0.85845314725882838</v>
      </c>
      <c r="AJ12" s="1" t="s">
        <v>1010</v>
      </c>
      <c r="BB12" s="13">
        <f t="shared" ca="1" si="34"/>
        <v>11</v>
      </c>
      <c r="BC12" s="12">
        <f t="shared" ca="1" si="11"/>
        <v>0.4298652786605468</v>
      </c>
      <c r="BD12" s="1" t="s">
        <v>969</v>
      </c>
      <c r="BF12" s="13">
        <f t="shared" ca="1" si="12"/>
        <v>21</v>
      </c>
      <c r="BG12" s="12">
        <f t="shared" ca="1" si="13"/>
        <v>0.5754659629237836</v>
      </c>
      <c r="BH12" s="1" t="s">
        <v>1276</v>
      </c>
      <c r="BJ12" s="13">
        <f t="shared" ca="1" si="14"/>
        <v>22</v>
      </c>
      <c r="BK12" s="12">
        <f t="shared" ca="1" si="15"/>
        <v>0.39888513687905625</v>
      </c>
      <c r="BL12" s="1" t="s">
        <v>884</v>
      </c>
      <c r="BN12" s="13">
        <f t="shared" ca="1" si="16"/>
        <v>12</v>
      </c>
      <c r="BO12" s="12">
        <f t="shared" ca="1" si="17"/>
        <v>0.61788383461881458</v>
      </c>
      <c r="BP12" s="1" t="s">
        <v>860</v>
      </c>
      <c r="BR12" s="13">
        <f t="shared" ca="1" si="18"/>
        <v>24</v>
      </c>
      <c r="BS12" s="12">
        <f t="shared" ca="1" si="19"/>
        <v>0.20151938511594669</v>
      </c>
      <c r="BT12" s="1" t="s">
        <v>870</v>
      </c>
      <c r="BV12" s="13">
        <f t="shared" ca="1" si="20"/>
        <v>7</v>
      </c>
      <c r="BW12" s="12">
        <f t="shared" ca="1" si="21"/>
        <v>0.86692728429078114</v>
      </c>
      <c r="BX12" s="1" t="s">
        <v>900</v>
      </c>
      <c r="BZ12" s="13">
        <f t="shared" ca="1" si="22"/>
        <v>9</v>
      </c>
      <c r="CA12" s="12">
        <f t="shared" ca="1" si="23"/>
        <v>0.6375943624541065</v>
      </c>
      <c r="CB12" s="1" t="s">
        <v>1305</v>
      </c>
      <c r="CH12" s="13">
        <f t="shared" ca="1" si="26"/>
        <v>5</v>
      </c>
      <c r="CI12" s="12">
        <f t="shared" ca="1" si="27"/>
        <v>0.79845171230319412</v>
      </c>
      <c r="CJ12" s="1" t="s">
        <v>910</v>
      </c>
    </row>
    <row r="13" spans="1:92" x14ac:dyDescent="0.25">
      <c r="A13" s="1">
        <v>12</v>
      </c>
      <c r="B13" s="1">
        <v>4</v>
      </c>
      <c r="C13" s="16">
        <v>13</v>
      </c>
      <c r="D13" s="1">
        <v>4</v>
      </c>
      <c r="E13" s="1">
        <v>3</v>
      </c>
      <c r="F13" s="1">
        <v>3</v>
      </c>
      <c r="G13" s="1">
        <v>3</v>
      </c>
      <c r="H13" s="1">
        <v>2</v>
      </c>
      <c r="I13" s="1">
        <v>1</v>
      </c>
      <c r="J13" s="1">
        <v>0</v>
      </c>
      <c r="K13" s="1">
        <v>0</v>
      </c>
      <c r="L13" s="1">
        <v>0</v>
      </c>
      <c r="R13" s="13">
        <f t="shared" ca="1" si="30"/>
        <v>19</v>
      </c>
      <c r="S13" s="12">
        <f t="shared" ca="1" si="2"/>
        <v>0.15271569002862206</v>
      </c>
      <c r="T13" s="1" t="s">
        <v>1039</v>
      </c>
      <c r="V13" s="13">
        <f t="shared" ca="1" si="3"/>
        <v>12</v>
      </c>
      <c r="W13" s="12">
        <f t="shared" ca="1" si="4"/>
        <v>0.50521284727515925</v>
      </c>
      <c r="X13" s="1" t="s">
        <v>997</v>
      </c>
      <c r="Z13" s="13">
        <f t="shared" ca="1" si="5"/>
        <v>9</v>
      </c>
      <c r="AA13" s="12">
        <f t="shared" ca="1" si="6"/>
        <v>0.5591152466555086</v>
      </c>
      <c r="AB13" s="1" t="s">
        <v>1046</v>
      </c>
      <c r="AH13" s="13">
        <f t="shared" ca="1" si="31"/>
        <v>11</v>
      </c>
      <c r="AI13" s="12">
        <f t="shared" ca="1" si="8"/>
        <v>0.38195630729706898</v>
      </c>
      <c r="AJ13" s="1" t="s">
        <v>1027</v>
      </c>
      <c r="BB13" s="13">
        <f t="shared" ca="1" si="34"/>
        <v>6</v>
      </c>
      <c r="BC13" s="12">
        <f t="shared" ca="1" si="11"/>
        <v>0.67399521977627519</v>
      </c>
      <c r="BD13" s="1" t="s">
        <v>978</v>
      </c>
      <c r="BF13" s="13">
        <f t="shared" ca="1" si="12"/>
        <v>35</v>
      </c>
      <c r="BG13" s="12">
        <f t="shared" ca="1" si="13"/>
        <v>0.15298366107458328</v>
      </c>
      <c r="BH13" s="1" t="s">
        <v>953</v>
      </c>
      <c r="BJ13" s="13">
        <f t="shared" ca="1" si="14"/>
        <v>25</v>
      </c>
      <c r="BK13" s="12">
        <f t="shared" ca="1" si="15"/>
        <v>0.38330541605225443</v>
      </c>
      <c r="BL13" s="1" t="s">
        <v>891</v>
      </c>
      <c r="BN13" s="13">
        <f t="shared" ca="1" si="16"/>
        <v>29</v>
      </c>
      <c r="BO13" s="12">
        <f t="shared" ca="1" si="17"/>
        <v>0.15157523815573781</v>
      </c>
      <c r="BP13" s="1" t="s">
        <v>869</v>
      </c>
      <c r="BR13" s="13">
        <f t="shared" ca="1" si="18"/>
        <v>17</v>
      </c>
      <c r="BS13" s="12">
        <f t="shared" ca="1" si="19"/>
        <v>0.57071372527559594</v>
      </c>
      <c r="BT13" s="1" t="s">
        <v>886</v>
      </c>
      <c r="BV13" s="13">
        <f t="shared" ca="1" si="20"/>
        <v>22</v>
      </c>
      <c r="BW13" s="12">
        <f t="shared" ca="1" si="21"/>
        <v>0.14879618516401594</v>
      </c>
      <c r="BX13" s="1" t="s">
        <v>1301</v>
      </c>
      <c r="BZ13" s="13">
        <f t="shared" ca="1" si="22"/>
        <v>3</v>
      </c>
      <c r="CA13" s="12">
        <f t="shared" ca="1" si="23"/>
        <v>0.77212234708477057</v>
      </c>
      <c r="CB13" s="1" t="s">
        <v>878</v>
      </c>
      <c r="CH13" s="13">
        <f t="shared" ca="1" si="26"/>
        <v>10</v>
      </c>
      <c r="CI13" s="12">
        <f t="shared" ca="1" si="27"/>
        <v>0.43345277383964431</v>
      </c>
      <c r="CJ13" s="1" t="s">
        <v>918</v>
      </c>
    </row>
    <row r="14" spans="1:92" x14ac:dyDescent="0.25">
      <c r="A14" s="1">
        <v>13</v>
      </c>
      <c r="B14" s="1">
        <v>4</v>
      </c>
      <c r="C14" s="16">
        <v>14</v>
      </c>
      <c r="D14" s="1">
        <v>4</v>
      </c>
      <c r="E14" s="1">
        <v>3</v>
      </c>
      <c r="F14" s="1">
        <v>3</v>
      </c>
      <c r="G14" s="1">
        <v>3</v>
      </c>
      <c r="H14" s="1">
        <v>2</v>
      </c>
      <c r="I14" s="1">
        <v>1</v>
      </c>
      <c r="J14" s="1">
        <v>1</v>
      </c>
      <c r="K14" s="1">
        <v>0</v>
      </c>
      <c r="L14" s="1">
        <v>0</v>
      </c>
      <c r="R14" s="13">
        <f t="shared" ca="1" si="30"/>
        <v>10</v>
      </c>
      <c r="S14" s="12">
        <f t="shared" ca="1" si="2"/>
        <v>0.44422503537526503</v>
      </c>
      <c r="T14" s="1" t="s">
        <v>1054</v>
      </c>
      <c r="V14" s="13">
        <f t="shared" ca="1" si="3"/>
        <v>19</v>
      </c>
      <c r="W14" s="12">
        <f t="shared" ca="1" si="4"/>
        <v>0.14175651516676779</v>
      </c>
      <c r="X14" s="1" t="s">
        <v>1002</v>
      </c>
      <c r="Z14" s="13">
        <f t="shared" ca="1" si="5"/>
        <v>1</v>
      </c>
      <c r="AA14" s="12">
        <f t="shared" ca="1" si="6"/>
        <v>0.96615353980861285</v>
      </c>
      <c r="AB14" s="1" t="s">
        <v>1056</v>
      </c>
      <c r="AH14" s="13">
        <f t="shared" ca="1" si="31"/>
        <v>2</v>
      </c>
      <c r="AI14" s="12">
        <f t="shared" ca="1" si="8"/>
        <v>0.88378793875595896</v>
      </c>
      <c r="AJ14" s="1" t="s">
        <v>1033</v>
      </c>
      <c r="BB14" s="13">
        <f t="shared" ca="1" si="34"/>
        <v>4</v>
      </c>
      <c r="BC14" s="12">
        <f t="shared" ca="1" si="11"/>
        <v>0.79123445341422427</v>
      </c>
      <c r="BD14" s="1" t="s">
        <v>984</v>
      </c>
      <c r="BF14" s="13">
        <f t="shared" ca="1" si="12"/>
        <v>13</v>
      </c>
      <c r="BG14" s="12">
        <f t="shared" ca="1" si="13"/>
        <v>0.72884453969013718</v>
      </c>
      <c r="BH14" s="1" t="s">
        <v>964</v>
      </c>
      <c r="BJ14" s="13">
        <f t="shared" ca="1" si="14"/>
        <v>9</v>
      </c>
      <c r="BK14" s="12">
        <f t="shared" ca="1" si="15"/>
        <v>0.8592326858628706</v>
      </c>
      <c r="BL14" s="1" t="s">
        <v>931</v>
      </c>
      <c r="BN14" s="13">
        <f t="shared" ca="1" si="16"/>
        <v>5</v>
      </c>
      <c r="BO14" s="12">
        <f t="shared" ca="1" si="17"/>
        <v>0.75585669723264992</v>
      </c>
      <c r="BP14" s="1" t="s">
        <v>885</v>
      </c>
      <c r="BR14" s="13">
        <f t="shared" ca="1" si="18"/>
        <v>22</v>
      </c>
      <c r="BS14" s="12">
        <f t="shared" ca="1" si="19"/>
        <v>0.30445579789044896</v>
      </c>
      <c r="BT14" s="1" t="s">
        <v>892</v>
      </c>
      <c r="BV14" s="13">
        <f t="shared" ca="1" si="20"/>
        <v>1</v>
      </c>
      <c r="BW14" s="12">
        <f t="shared" ca="1" si="21"/>
        <v>0.99906026116819124</v>
      </c>
      <c r="BX14" s="1" t="s">
        <v>939</v>
      </c>
      <c r="BZ14" s="13">
        <f t="shared" ca="1" si="22"/>
        <v>15</v>
      </c>
      <c r="CA14" s="12">
        <f t="shared" ca="1" si="23"/>
        <v>0.28924717406851408</v>
      </c>
      <c r="CB14" s="1" t="s">
        <v>1306</v>
      </c>
      <c r="CH14" s="13">
        <f t="shared" ca="1" si="26"/>
        <v>2</v>
      </c>
      <c r="CI14" s="12">
        <f t="shared" ca="1" si="27"/>
        <v>0.88230386050079423</v>
      </c>
      <c r="CJ14" s="1" t="s">
        <v>925</v>
      </c>
    </row>
    <row r="15" spans="1:92" x14ac:dyDescent="0.25">
      <c r="A15" s="1">
        <v>14</v>
      </c>
      <c r="B15" s="1">
        <v>4</v>
      </c>
      <c r="C15" s="16">
        <v>14</v>
      </c>
      <c r="D15" s="1">
        <v>4</v>
      </c>
      <c r="E15" s="1">
        <v>3</v>
      </c>
      <c r="F15" s="1">
        <v>3</v>
      </c>
      <c r="G15" s="1">
        <v>3</v>
      </c>
      <c r="H15" s="1">
        <v>2</v>
      </c>
      <c r="I15" s="1">
        <v>1</v>
      </c>
      <c r="J15" s="1">
        <v>1</v>
      </c>
      <c r="K15" s="1">
        <v>0</v>
      </c>
      <c r="L15" s="1">
        <v>0</v>
      </c>
      <c r="R15" s="13">
        <f t="shared" ca="1" si="30"/>
        <v>3</v>
      </c>
      <c r="S15" s="12">
        <f t="shared" ca="1" si="2"/>
        <v>0.93134787707531286</v>
      </c>
      <c r="T15" s="1" t="s">
        <v>1057</v>
      </c>
      <c r="V15" s="13">
        <f t="shared" ca="1" si="3"/>
        <v>22</v>
      </c>
      <c r="W15" s="12">
        <f t="shared" ca="1" si="4"/>
        <v>5.8616564158302631E-2</v>
      </c>
      <c r="X15" s="1" t="s">
        <v>1012</v>
      </c>
      <c r="Z15" s="13">
        <f t="shared" ca="1" si="5"/>
        <v>8</v>
      </c>
      <c r="AA15" s="12">
        <f t="shared" ca="1" si="6"/>
        <v>0.56877208292195469</v>
      </c>
      <c r="AB15" s="1" t="s">
        <v>1059</v>
      </c>
      <c r="AH15" s="13">
        <f t="shared" ca="1" si="31"/>
        <v>10</v>
      </c>
      <c r="AI15" s="12">
        <f t="shared" ca="1" si="8"/>
        <v>0.48745925421627057</v>
      </c>
      <c r="AJ15" s="1" t="s">
        <v>1047</v>
      </c>
      <c r="BB15" s="13">
        <f t="shared" ca="1" si="34"/>
        <v>15</v>
      </c>
      <c r="BC15" s="12">
        <f t="shared" ca="1" si="11"/>
        <v>3.4295157672902588E-2</v>
      </c>
      <c r="BD15" s="1" t="s">
        <v>991</v>
      </c>
      <c r="BF15" s="13">
        <f t="shared" ca="1" si="12"/>
        <v>23</v>
      </c>
      <c r="BG15" s="12">
        <f t="shared" ca="1" si="13"/>
        <v>0.49097392750449431</v>
      </c>
      <c r="BH15" s="1" t="s">
        <v>970</v>
      </c>
      <c r="BJ15" s="13">
        <f t="shared" ca="1" si="14"/>
        <v>2</v>
      </c>
      <c r="BK15" s="12">
        <f t="shared" ca="1" si="15"/>
        <v>0.9955542571957664</v>
      </c>
      <c r="BL15" s="1" t="s">
        <v>942</v>
      </c>
      <c r="BN15" s="13">
        <f t="shared" ca="1" si="16"/>
        <v>4</v>
      </c>
      <c r="BO15" s="12">
        <f t="shared" ca="1" si="17"/>
        <v>0.86251524113301248</v>
      </c>
      <c r="BP15" s="1" t="s">
        <v>921</v>
      </c>
      <c r="BR15" s="13">
        <f t="shared" ca="1" si="18"/>
        <v>20</v>
      </c>
      <c r="BS15" s="12">
        <f t="shared" ca="1" si="19"/>
        <v>0.3813574779430382</v>
      </c>
      <c r="BT15" s="1" t="s">
        <v>906</v>
      </c>
      <c r="BV15" s="13">
        <f t="shared" ca="1" si="20"/>
        <v>6</v>
      </c>
      <c r="BW15" s="12">
        <f t="shared" ca="1" si="21"/>
        <v>0.87540618387707558</v>
      </c>
      <c r="BX15" s="1" t="s">
        <v>956</v>
      </c>
      <c r="BZ15" s="13">
        <f t="shared" ca="1" si="22"/>
        <v>11</v>
      </c>
      <c r="CA15" s="12">
        <f t="shared" ca="1" si="23"/>
        <v>0.57302920573391003</v>
      </c>
      <c r="CB15" s="1" t="s">
        <v>901</v>
      </c>
    </row>
    <row r="16" spans="1:92" x14ac:dyDescent="0.25">
      <c r="A16" s="1">
        <v>15</v>
      </c>
      <c r="B16" s="1">
        <v>4</v>
      </c>
      <c r="C16" s="16">
        <v>15</v>
      </c>
      <c r="D16" s="1">
        <v>4</v>
      </c>
      <c r="E16" s="1">
        <v>3</v>
      </c>
      <c r="F16" s="1">
        <v>3</v>
      </c>
      <c r="G16" s="1">
        <v>3</v>
      </c>
      <c r="H16" s="1">
        <v>2</v>
      </c>
      <c r="I16" s="1">
        <v>1</v>
      </c>
      <c r="J16" s="1">
        <v>1</v>
      </c>
      <c r="K16" s="1">
        <v>1</v>
      </c>
      <c r="L16" s="1">
        <v>0</v>
      </c>
      <c r="R16" s="13">
        <f t="shared" ca="1" si="30"/>
        <v>12</v>
      </c>
      <c r="S16" s="12">
        <f t="shared" ca="1" si="2"/>
        <v>0.36724877336667072</v>
      </c>
      <c r="T16" s="1" t="s">
        <v>1068</v>
      </c>
      <c r="V16" s="13">
        <f t="shared" ca="1" si="3"/>
        <v>18</v>
      </c>
      <c r="W16" s="12">
        <f t="shared" ca="1" si="4"/>
        <v>0.22005806011855245</v>
      </c>
      <c r="X16" s="1" t="s">
        <v>1017</v>
      </c>
      <c r="Z16" s="13">
        <f t="shared" ca="1" si="5"/>
        <v>7</v>
      </c>
      <c r="AA16" s="12">
        <f t="shared" ca="1" si="6"/>
        <v>0.72228743420524111</v>
      </c>
      <c r="AB16" s="1" t="s">
        <v>1066</v>
      </c>
      <c r="AH16" s="13">
        <f t="shared" ca="1" si="31"/>
        <v>5</v>
      </c>
      <c r="AI16" s="12">
        <f t="shared" ca="1" si="8"/>
        <v>0.71306411685025095</v>
      </c>
      <c r="AJ16" s="1" t="s">
        <v>1051</v>
      </c>
      <c r="BB16" s="13">
        <f t="shared" ca="1" si="34"/>
        <v>9</v>
      </c>
      <c r="BC16" s="12">
        <f t="shared" ca="1" si="11"/>
        <v>0.51409131579625988</v>
      </c>
      <c r="BD16" s="1" t="s">
        <v>1000</v>
      </c>
      <c r="BF16" s="13">
        <f t="shared" ca="1" si="12"/>
        <v>20</v>
      </c>
      <c r="BG16" s="12">
        <f t="shared" ca="1" si="13"/>
        <v>0.61254976929918703</v>
      </c>
      <c r="BH16" s="1" t="s">
        <v>974</v>
      </c>
      <c r="BJ16" s="13">
        <f t="shared" ca="1" si="14"/>
        <v>31</v>
      </c>
      <c r="BK16" s="12">
        <f t="shared" ca="1" si="15"/>
        <v>0.19660954405023068</v>
      </c>
      <c r="BL16" s="1" t="s">
        <v>947</v>
      </c>
      <c r="BN16" s="13">
        <f t="shared" ca="1" si="16"/>
        <v>23</v>
      </c>
      <c r="BO16" s="12">
        <f t="shared" ca="1" si="17"/>
        <v>0.34961766850690434</v>
      </c>
      <c r="BP16" s="1" t="s">
        <v>932</v>
      </c>
      <c r="BR16" s="13">
        <f t="shared" ca="1" si="18"/>
        <v>15</v>
      </c>
      <c r="BS16" s="12">
        <f t="shared" ca="1" si="19"/>
        <v>0.6174836474631723</v>
      </c>
      <c r="BT16" s="1" t="s">
        <v>922</v>
      </c>
      <c r="BV16" s="13">
        <f t="shared" ca="1" si="20"/>
        <v>12</v>
      </c>
      <c r="BW16" s="12">
        <f t="shared" ca="1" si="21"/>
        <v>0.72455295502347994</v>
      </c>
      <c r="BX16" s="1" t="s">
        <v>983</v>
      </c>
      <c r="BZ16" s="13">
        <f t="shared" ca="1" si="22"/>
        <v>24</v>
      </c>
      <c r="CA16" s="12">
        <f t="shared" ca="1" si="23"/>
        <v>0.12374317999422946</v>
      </c>
      <c r="CB16" s="1" t="s">
        <v>908</v>
      </c>
    </row>
    <row r="17" spans="1:80" x14ac:dyDescent="0.25">
      <c r="A17" s="1">
        <v>16</v>
      </c>
      <c r="B17" s="1">
        <v>4</v>
      </c>
      <c r="C17" s="16">
        <v>15</v>
      </c>
      <c r="D17" s="1">
        <v>4</v>
      </c>
      <c r="E17" s="1">
        <v>3</v>
      </c>
      <c r="F17" s="1">
        <v>3</v>
      </c>
      <c r="G17" s="1">
        <v>3</v>
      </c>
      <c r="H17" s="1">
        <v>2</v>
      </c>
      <c r="I17" s="1">
        <v>1</v>
      </c>
      <c r="J17" s="1">
        <v>1</v>
      </c>
      <c r="K17" s="1">
        <v>1</v>
      </c>
      <c r="L17" s="1">
        <v>0</v>
      </c>
      <c r="R17" s="13">
        <f t="shared" ca="1" si="30"/>
        <v>14</v>
      </c>
      <c r="S17" s="12">
        <f t="shared" ca="1" si="2"/>
        <v>0.32287176436810028</v>
      </c>
      <c r="T17" s="1" t="s">
        <v>1094</v>
      </c>
      <c r="V17" s="13">
        <f t="shared" ca="1" si="3"/>
        <v>4</v>
      </c>
      <c r="W17" s="12">
        <f t="shared" ca="1" si="4"/>
        <v>0.92095128528642223</v>
      </c>
      <c r="X17" s="1" t="s">
        <v>1024</v>
      </c>
      <c r="Z17" s="13">
        <f t="shared" ca="1" si="5"/>
        <v>2</v>
      </c>
      <c r="AA17" s="12">
        <f t="shared" ca="1" si="6"/>
        <v>0.95097396086771901</v>
      </c>
      <c r="AB17" s="1" t="s">
        <v>1080</v>
      </c>
      <c r="AH17" s="13">
        <f t="shared" ca="1" si="31"/>
        <v>8</v>
      </c>
      <c r="AI17" s="12">
        <f t="shared" ca="1" si="8"/>
        <v>0.5656450401115678</v>
      </c>
      <c r="AJ17" s="1" t="s">
        <v>1070</v>
      </c>
      <c r="BF17" s="13">
        <f t="shared" ca="1" si="12"/>
        <v>24</v>
      </c>
      <c r="BG17" s="12">
        <f t="shared" ca="1" si="13"/>
        <v>0.45315079916037448</v>
      </c>
      <c r="BH17" s="1" t="s">
        <v>985</v>
      </c>
      <c r="BJ17" s="13">
        <f t="shared" ca="1" si="14"/>
        <v>30</v>
      </c>
      <c r="BK17" s="12">
        <f t="shared" ca="1" si="15"/>
        <v>0.21553913075809861</v>
      </c>
      <c r="BL17" s="1" t="s">
        <v>954</v>
      </c>
      <c r="BN17" s="13">
        <f t="shared" ca="1" si="16"/>
        <v>34</v>
      </c>
      <c r="BO17" s="12">
        <f t="shared" ca="1" si="17"/>
        <v>4.1714800343123359E-2</v>
      </c>
      <c r="BP17" s="1" t="s">
        <v>937</v>
      </c>
      <c r="BR17" s="13">
        <f t="shared" ca="1" si="18"/>
        <v>27</v>
      </c>
      <c r="BS17" s="12">
        <f t="shared" ca="1" si="19"/>
        <v>5.9842815313206343E-2</v>
      </c>
      <c r="BT17" s="1" t="s">
        <v>929</v>
      </c>
      <c r="BV17" s="13">
        <f t="shared" ca="1" si="20"/>
        <v>3</v>
      </c>
      <c r="BW17" s="12">
        <f t="shared" ca="1" si="21"/>
        <v>0.9775591256997862</v>
      </c>
      <c r="BX17" s="1" t="s">
        <v>1020</v>
      </c>
      <c r="BZ17" s="13">
        <f t="shared" ca="1" si="22"/>
        <v>17</v>
      </c>
      <c r="CA17" s="12">
        <f t="shared" ca="1" si="23"/>
        <v>0.27115820312572658</v>
      </c>
      <c r="CB17" s="1" t="s">
        <v>1307</v>
      </c>
    </row>
    <row r="18" spans="1:80" x14ac:dyDescent="0.25">
      <c r="A18" s="1">
        <v>17</v>
      </c>
      <c r="B18" s="1">
        <v>4</v>
      </c>
      <c r="C18" s="16">
        <v>16</v>
      </c>
      <c r="D18" s="1">
        <v>4</v>
      </c>
      <c r="E18" s="1">
        <v>3</v>
      </c>
      <c r="F18" s="1">
        <v>3</v>
      </c>
      <c r="G18" s="1">
        <v>3</v>
      </c>
      <c r="H18" s="1">
        <v>2</v>
      </c>
      <c r="I18" s="1">
        <v>1</v>
      </c>
      <c r="J18" s="1">
        <v>1</v>
      </c>
      <c r="K18" s="1">
        <v>1</v>
      </c>
      <c r="L18" s="1">
        <v>1</v>
      </c>
      <c r="R18" s="13">
        <f t="shared" ca="1" si="30"/>
        <v>5</v>
      </c>
      <c r="S18" s="12">
        <f t="shared" ca="1" si="2"/>
        <v>0.72193351729378319</v>
      </c>
      <c r="T18" s="1" t="s">
        <v>1096</v>
      </c>
      <c r="V18" s="13">
        <f t="shared" ca="1" si="3"/>
        <v>17</v>
      </c>
      <c r="W18" s="12">
        <f t="shared" ca="1" si="4"/>
        <v>0.22272590678583482</v>
      </c>
      <c r="X18" s="1" t="s">
        <v>1065</v>
      </c>
      <c r="BB18" s="2" t="s">
        <v>1641</v>
      </c>
      <c r="BF18" s="13">
        <f t="shared" ca="1" si="12"/>
        <v>37</v>
      </c>
      <c r="BG18" s="12">
        <f t="shared" ca="1" si="13"/>
        <v>8.2142825432415911E-2</v>
      </c>
      <c r="BH18" s="1" t="s">
        <v>996</v>
      </c>
      <c r="BJ18" s="13">
        <f t="shared" ca="1" si="14"/>
        <v>11</v>
      </c>
      <c r="BK18" s="12">
        <f t="shared" ca="1" si="15"/>
        <v>0.73916907135137888</v>
      </c>
      <c r="BL18" s="1" t="s">
        <v>958</v>
      </c>
      <c r="BN18" s="13">
        <f t="shared" ca="1" si="16"/>
        <v>9</v>
      </c>
      <c r="BO18" s="12">
        <f t="shared" ca="1" si="17"/>
        <v>0.70150357347263126</v>
      </c>
      <c r="BP18" s="1" t="s">
        <v>948</v>
      </c>
      <c r="BR18" s="13">
        <f t="shared" ca="1" si="18"/>
        <v>28</v>
      </c>
      <c r="BS18" s="12">
        <f t="shared" ca="1" si="19"/>
        <v>8.7354530106398265E-3</v>
      </c>
      <c r="BT18" s="1" t="s">
        <v>1296</v>
      </c>
      <c r="BV18" s="13">
        <f t="shared" ca="1" si="20"/>
        <v>11</v>
      </c>
      <c r="BW18" s="12">
        <f t="shared" ca="1" si="21"/>
        <v>0.72574707820246165</v>
      </c>
      <c r="BX18" s="1" t="s">
        <v>1037</v>
      </c>
      <c r="BZ18" s="13">
        <f t="shared" ca="1" si="22"/>
        <v>18</v>
      </c>
      <c r="CA18" s="12">
        <f t="shared" ca="1" si="23"/>
        <v>0.26254480159184335</v>
      </c>
      <c r="CB18" s="1" t="s">
        <v>945</v>
      </c>
    </row>
    <row r="19" spans="1:80" x14ac:dyDescent="0.25">
      <c r="A19" s="1">
        <v>18</v>
      </c>
      <c r="B19" s="1">
        <v>4</v>
      </c>
      <c r="C19" s="16">
        <v>16</v>
      </c>
      <c r="D19" s="1">
        <v>4</v>
      </c>
      <c r="E19" s="1">
        <v>3</v>
      </c>
      <c r="F19" s="1">
        <v>3</v>
      </c>
      <c r="G19" s="1">
        <v>3</v>
      </c>
      <c r="H19" s="1">
        <v>3</v>
      </c>
      <c r="I19" s="1">
        <v>1</v>
      </c>
      <c r="J19" s="1">
        <v>1</v>
      </c>
      <c r="K19" s="1">
        <v>1</v>
      </c>
      <c r="L19" s="1">
        <v>1</v>
      </c>
      <c r="R19" s="13">
        <f t="shared" ca="1" si="30"/>
        <v>2</v>
      </c>
      <c r="S19" s="12">
        <f t="shared" ca="1" si="2"/>
        <v>0.98498452220540789</v>
      </c>
      <c r="T19" s="1" t="s">
        <v>1098</v>
      </c>
      <c r="V19" s="13">
        <f t="shared" ca="1" si="3"/>
        <v>13</v>
      </c>
      <c r="W19" s="12">
        <f t="shared" ca="1" si="4"/>
        <v>0.45299246523240944</v>
      </c>
      <c r="X19" s="1" t="s">
        <v>1086</v>
      </c>
      <c r="BB19" s="13">
        <f ca="1">_xlfn.RANK.EQ(BC19,BC$19:BC$37)</f>
        <v>10</v>
      </c>
      <c r="BC19" s="12">
        <f t="shared" ref="BC19:BC37" ca="1" si="35">RAND()</f>
        <v>0.35872869627134207</v>
      </c>
      <c r="BD19" s="1" t="s">
        <v>752</v>
      </c>
      <c r="BF19" s="13">
        <f t="shared" ca="1" si="12"/>
        <v>30</v>
      </c>
      <c r="BG19" s="12">
        <f t="shared" ca="1" si="13"/>
        <v>0.29585858266769949</v>
      </c>
      <c r="BH19" s="1" t="s">
        <v>1001</v>
      </c>
      <c r="BJ19" s="13">
        <f t="shared" ca="1" si="14"/>
        <v>12</v>
      </c>
      <c r="BK19" s="12">
        <f t="shared" ca="1" si="15"/>
        <v>0.72715796829471924</v>
      </c>
      <c r="BL19" s="1" t="s">
        <v>965</v>
      </c>
      <c r="BN19" s="13">
        <f t="shared" ca="1" si="16"/>
        <v>25</v>
      </c>
      <c r="BO19" s="12">
        <f t="shared" ca="1" si="17"/>
        <v>0.32925274878511346</v>
      </c>
      <c r="BP19" s="1" t="s">
        <v>1291</v>
      </c>
      <c r="BR19" s="13">
        <f t="shared" ca="1" si="18"/>
        <v>26</v>
      </c>
      <c r="BS19" s="12">
        <f t="shared" ca="1" si="19"/>
        <v>8.9071304534698137E-2</v>
      </c>
      <c r="BT19" s="1" t="s">
        <v>955</v>
      </c>
      <c r="BV19" s="13">
        <f t="shared" ca="1" si="20"/>
        <v>4</v>
      </c>
      <c r="BW19" s="12">
        <f t="shared" ca="1" si="21"/>
        <v>0.97444592781315165</v>
      </c>
      <c r="BX19" s="1" t="s">
        <v>1043</v>
      </c>
      <c r="BZ19" s="13">
        <f t="shared" ca="1" si="22"/>
        <v>8</v>
      </c>
      <c r="CA19" s="12">
        <f t="shared" ca="1" si="23"/>
        <v>0.67117010472815897</v>
      </c>
      <c r="CB19" s="1" t="s">
        <v>962</v>
      </c>
    </row>
    <row r="20" spans="1:80" x14ac:dyDescent="0.25">
      <c r="A20" s="1">
        <v>19</v>
      </c>
      <c r="B20" s="1">
        <v>4</v>
      </c>
      <c r="C20" s="16">
        <v>16</v>
      </c>
      <c r="D20" s="1">
        <v>4</v>
      </c>
      <c r="E20" s="1">
        <v>3</v>
      </c>
      <c r="F20" s="1">
        <v>3</v>
      </c>
      <c r="G20" s="1">
        <v>3</v>
      </c>
      <c r="H20" s="1">
        <v>3</v>
      </c>
      <c r="I20" s="1">
        <v>2</v>
      </c>
      <c r="J20" s="1">
        <v>1</v>
      </c>
      <c r="K20" s="1">
        <v>1</v>
      </c>
      <c r="L20" s="1">
        <v>1</v>
      </c>
      <c r="R20" s="13">
        <f t="shared" ca="1" si="30"/>
        <v>4</v>
      </c>
      <c r="S20" s="12">
        <f t="shared" ca="1" si="2"/>
        <v>0.72533002995855367</v>
      </c>
      <c r="T20" s="1" t="s">
        <v>1100</v>
      </c>
      <c r="V20" s="13">
        <f t="shared" ca="1" si="3"/>
        <v>8</v>
      </c>
      <c r="W20" s="12">
        <f t="shared" ca="1" si="4"/>
        <v>0.69608313800941723</v>
      </c>
      <c r="X20" s="1" t="s">
        <v>1089</v>
      </c>
      <c r="BB20" s="13">
        <f t="shared" ref="BB20:BB37" ca="1" si="36">_xlfn.RANK.EQ(BC20,BC$19:BC$37)</f>
        <v>18</v>
      </c>
      <c r="BC20" s="12">
        <f t="shared" ca="1" si="35"/>
        <v>0.15550133507791752</v>
      </c>
      <c r="BD20" s="1" t="s">
        <v>759</v>
      </c>
      <c r="BF20" s="13">
        <f t="shared" ca="1" si="12"/>
        <v>31</v>
      </c>
      <c r="BG20" s="12">
        <f t="shared" ca="1" si="13"/>
        <v>0.26958360325616881</v>
      </c>
      <c r="BH20" s="1" t="s">
        <v>1007</v>
      </c>
      <c r="BJ20" s="13">
        <f t="shared" ca="1" si="14"/>
        <v>36</v>
      </c>
      <c r="BK20" s="12">
        <f t="shared" ca="1" si="15"/>
        <v>1.8852625955486646E-3</v>
      </c>
      <c r="BL20" s="1" t="s">
        <v>1283</v>
      </c>
      <c r="BN20" s="13">
        <f t="shared" ca="1" si="16"/>
        <v>16</v>
      </c>
      <c r="BO20" s="12">
        <f t="shared" ca="1" si="17"/>
        <v>0.53969080499616617</v>
      </c>
      <c r="BP20" s="1" t="s">
        <v>975</v>
      </c>
      <c r="BR20" s="13">
        <f t="shared" ca="1" si="18"/>
        <v>11</v>
      </c>
      <c r="BS20" s="12">
        <f t="shared" ca="1" si="19"/>
        <v>0.75826865836712232</v>
      </c>
      <c r="BT20" s="1" t="s">
        <v>960</v>
      </c>
      <c r="BV20" s="13">
        <f t="shared" ca="1" si="20"/>
        <v>23</v>
      </c>
      <c r="BW20" s="12">
        <f t="shared" ca="1" si="21"/>
        <v>4.902941415925699E-2</v>
      </c>
      <c r="BX20" s="1" t="s">
        <v>1060</v>
      </c>
      <c r="BZ20" s="13">
        <f t="shared" ca="1" si="22"/>
        <v>7</v>
      </c>
      <c r="CA20" s="12">
        <f t="shared" ca="1" si="23"/>
        <v>0.69374305082788212</v>
      </c>
      <c r="CB20" s="1" t="s">
        <v>968</v>
      </c>
    </row>
    <row r="21" spans="1:80" x14ac:dyDescent="0.25">
      <c r="A21" s="1">
        <v>20</v>
      </c>
      <c r="B21" s="1">
        <v>4</v>
      </c>
      <c r="C21" s="16">
        <v>16</v>
      </c>
      <c r="D21" s="1">
        <v>4</v>
      </c>
      <c r="E21" s="1">
        <v>3</v>
      </c>
      <c r="F21" s="1">
        <v>3</v>
      </c>
      <c r="G21" s="1">
        <v>3</v>
      </c>
      <c r="H21" s="1">
        <v>3</v>
      </c>
      <c r="I21" s="1">
        <v>2</v>
      </c>
      <c r="J21" s="1">
        <v>2</v>
      </c>
      <c r="K21" s="1">
        <v>1</v>
      </c>
      <c r="L21" s="1">
        <v>1</v>
      </c>
      <c r="R21" s="13">
        <f t="shared" ca="1" si="30"/>
        <v>11</v>
      </c>
      <c r="S21" s="12">
        <f t="shared" ca="1" si="2"/>
        <v>0.40565242508294019</v>
      </c>
      <c r="T21" s="1" t="s">
        <v>1106</v>
      </c>
      <c r="V21" s="13">
        <f t="shared" ca="1" si="3"/>
        <v>2</v>
      </c>
      <c r="W21" s="12">
        <f t="shared" ca="1" si="4"/>
        <v>0.96908090451505402</v>
      </c>
      <c r="X21" s="1" t="s">
        <v>1092</v>
      </c>
      <c r="BB21" s="13">
        <f t="shared" ca="1" si="36"/>
        <v>8</v>
      </c>
      <c r="BC21" s="12">
        <f t="shared" ca="1" si="35"/>
        <v>0.53959892881565819</v>
      </c>
      <c r="BD21" s="1" t="s">
        <v>801</v>
      </c>
      <c r="BF21" s="13">
        <f t="shared" ca="1" si="12"/>
        <v>4</v>
      </c>
      <c r="BG21" s="12">
        <f t="shared" ca="1" si="13"/>
        <v>0.85916518299233946</v>
      </c>
      <c r="BH21" s="1" t="s">
        <v>1011</v>
      </c>
      <c r="BJ21" s="13">
        <f t="shared" ca="1" si="14"/>
        <v>17</v>
      </c>
      <c r="BK21" s="12">
        <f t="shared" ca="1" si="15"/>
        <v>0.5393670497417502</v>
      </c>
      <c r="BL21" s="1" t="s">
        <v>1008</v>
      </c>
      <c r="BN21" s="13">
        <f t="shared" ca="1" si="16"/>
        <v>1</v>
      </c>
      <c r="BO21" s="12">
        <f t="shared" ca="1" si="17"/>
        <v>0.90721573182746817</v>
      </c>
      <c r="BP21" s="1" t="s">
        <v>981</v>
      </c>
      <c r="BR21" s="13">
        <f t="shared" ca="1" si="18"/>
        <v>8</v>
      </c>
      <c r="BS21" s="12">
        <f t="shared" ca="1" si="19"/>
        <v>0.82632512966231231</v>
      </c>
      <c r="BT21" s="1" t="s">
        <v>972</v>
      </c>
      <c r="BV21" s="13">
        <f t="shared" ca="1" si="20"/>
        <v>15</v>
      </c>
      <c r="BW21" s="12">
        <f t="shared" ca="1" si="21"/>
        <v>0.64283403685264406</v>
      </c>
      <c r="BX21" s="1" t="s">
        <v>1067</v>
      </c>
      <c r="BZ21" s="13">
        <f t="shared" ca="1" si="22"/>
        <v>25</v>
      </c>
      <c r="CA21" s="12">
        <f t="shared" ca="1" si="23"/>
        <v>0.120059139052756</v>
      </c>
      <c r="CB21" s="1" t="s">
        <v>977</v>
      </c>
    </row>
    <row r="22" spans="1:80" x14ac:dyDescent="0.25">
      <c r="R22" s="13">
        <f t="shared" ca="1" si="30"/>
        <v>8</v>
      </c>
      <c r="S22" s="12">
        <f t="shared" ca="1" si="2"/>
        <v>0.59716812047547152</v>
      </c>
      <c r="T22" s="1" t="s">
        <v>1107</v>
      </c>
      <c r="V22" s="13">
        <f t="shared" ca="1" si="3"/>
        <v>21</v>
      </c>
      <c r="W22" s="12">
        <f t="shared" ca="1" si="4"/>
        <v>0.10185123098974014</v>
      </c>
      <c r="X22" s="1" t="s">
        <v>1103</v>
      </c>
      <c r="BB22" s="13">
        <f t="shared" ca="1" si="36"/>
        <v>13</v>
      </c>
      <c r="BC22" s="12">
        <f t="shared" ca="1" si="35"/>
        <v>0.2505614913489117</v>
      </c>
      <c r="BD22" s="1" t="s">
        <v>810</v>
      </c>
      <c r="BF22" s="13">
        <f t="shared" ca="1" si="12"/>
        <v>29</v>
      </c>
      <c r="BG22" s="12">
        <f t="shared" ca="1" si="13"/>
        <v>0.33190100812428891</v>
      </c>
      <c r="BH22" s="1" t="s">
        <v>1016</v>
      </c>
      <c r="BJ22" s="13">
        <f t="shared" ca="1" si="14"/>
        <v>5</v>
      </c>
      <c r="BK22" s="12">
        <f t="shared" ca="1" si="15"/>
        <v>0.94700013189718502</v>
      </c>
      <c r="BL22" s="1" t="s">
        <v>1031</v>
      </c>
      <c r="BN22" s="13">
        <f t="shared" ca="1" si="16"/>
        <v>15</v>
      </c>
      <c r="BO22" s="12">
        <f t="shared" ca="1" si="17"/>
        <v>0.57984558638839812</v>
      </c>
      <c r="BP22" s="1" t="s">
        <v>987</v>
      </c>
      <c r="BR22" s="13">
        <f t="shared" ca="1" si="18"/>
        <v>5</v>
      </c>
      <c r="BS22" s="12">
        <f t="shared" ca="1" si="19"/>
        <v>0.94118749885732977</v>
      </c>
      <c r="BT22" s="1" t="s">
        <v>976</v>
      </c>
      <c r="BV22" s="13">
        <f t="shared" ca="1" si="20"/>
        <v>8</v>
      </c>
      <c r="BW22" s="12">
        <f t="shared" ca="1" si="21"/>
        <v>0.85798735230930789</v>
      </c>
      <c r="BX22" s="1" t="s">
        <v>1074</v>
      </c>
      <c r="BZ22" s="13">
        <f t="shared" ca="1" si="22"/>
        <v>4</v>
      </c>
      <c r="CA22" s="12">
        <f t="shared" ca="1" si="23"/>
        <v>0.76307941952925529</v>
      </c>
      <c r="CB22" s="1" t="s">
        <v>1005</v>
      </c>
    </row>
    <row r="23" spans="1:80" x14ac:dyDescent="0.25">
      <c r="B23" s="2"/>
      <c r="C23" s="2"/>
      <c r="D23" s="2"/>
      <c r="E23" s="2"/>
      <c r="F23" s="2"/>
      <c r="G23" s="2"/>
      <c r="H23" s="2"/>
      <c r="I23" s="2"/>
      <c r="J23" s="2"/>
      <c r="K23" s="2"/>
      <c r="L23" s="2"/>
      <c r="V23" s="13">
        <f t="shared" ca="1" si="3"/>
        <v>5</v>
      </c>
      <c r="W23" s="12">
        <f t="shared" ca="1" si="4"/>
        <v>0.87067200272082956</v>
      </c>
      <c r="X23" s="1" t="s">
        <v>1110</v>
      </c>
      <c r="BB23" s="13">
        <f t="shared" ca="1" si="36"/>
        <v>9</v>
      </c>
      <c r="BC23" s="12">
        <f t="shared" ca="1" si="35"/>
        <v>0.40217661311002628</v>
      </c>
      <c r="BD23" s="1" t="s">
        <v>827</v>
      </c>
      <c r="BF23" s="13">
        <f t="shared" ca="1" si="12"/>
        <v>3</v>
      </c>
      <c r="BG23" s="12">
        <f t="shared" ca="1" si="13"/>
        <v>0.89050907963870429</v>
      </c>
      <c r="BH23" s="1" t="s">
        <v>1277</v>
      </c>
      <c r="BJ23" s="13">
        <f t="shared" ca="1" si="14"/>
        <v>35</v>
      </c>
      <c r="BK23" s="12">
        <f t="shared" ca="1" si="15"/>
        <v>0.13914344300737214</v>
      </c>
      <c r="BL23" s="1" t="s">
        <v>1049</v>
      </c>
      <c r="BN23" s="13">
        <f t="shared" ca="1" si="16"/>
        <v>30</v>
      </c>
      <c r="BO23" s="12">
        <f t="shared" ca="1" si="17"/>
        <v>0.10046275591681009</v>
      </c>
      <c r="BP23" s="1" t="s">
        <v>998</v>
      </c>
      <c r="BR23" s="13">
        <f t="shared" ca="1" si="18"/>
        <v>2</v>
      </c>
      <c r="BS23" s="12">
        <f t="shared" ca="1" si="19"/>
        <v>0.98559532032116559</v>
      </c>
      <c r="BT23" s="1" t="s">
        <v>982</v>
      </c>
      <c r="BV23" s="13">
        <f t="shared" ca="1" si="20"/>
        <v>16</v>
      </c>
      <c r="BW23" s="12">
        <f t="shared" ca="1" si="21"/>
        <v>0.55672695385078441</v>
      </c>
      <c r="BX23" s="1" t="s">
        <v>1302</v>
      </c>
      <c r="BZ23" s="13">
        <f t="shared" ca="1" si="22"/>
        <v>16</v>
      </c>
      <c r="CA23" s="12">
        <f t="shared" ca="1" si="23"/>
        <v>0.27413035228315263</v>
      </c>
      <c r="CB23" s="1" t="s">
        <v>1308</v>
      </c>
    </row>
    <row r="24" spans="1:80" x14ac:dyDescent="0.25">
      <c r="BB24" s="13">
        <f t="shared" ca="1" si="36"/>
        <v>7</v>
      </c>
      <c r="BC24" s="12">
        <f t="shared" ca="1" si="35"/>
        <v>0.54644715220404172</v>
      </c>
      <c r="BD24" s="1" t="s">
        <v>837</v>
      </c>
      <c r="BF24" s="13">
        <f t="shared" ca="1" si="12"/>
        <v>9</v>
      </c>
      <c r="BG24" s="12">
        <f t="shared" ca="1" si="13"/>
        <v>0.76921587127689217</v>
      </c>
      <c r="BH24" s="1" t="s">
        <v>1035</v>
      </c>
      <c r="BJ24" s="13">
        <f t="shared" ca="1" si="14"/>
        <v>15</v>
      </c>
      <c r="BK24" s="12">
        <f t="shared" ca="1" si="15"/>
        <v>0.67342440747305066</v>
      </c>
      <c r="BL24" s="1" t="s">
        <v>1052</v>
      </c>
      <c r="BN24" s="13">
        <f t="shared" ca="1" si="16"/>
        <v>21</v>
      </c>
      <c r="BO24" s="12">
        <f t="shared" ca="1" si="17"/>
        <v>0.45314505348974776</v>
      </c>
      <c r="BP24" s="1" t="s">
        <v>1292</v>
      </c>
      <c r="BR24" s="13">
        <f t="shared" ca="1" si="18"/>
        <v>19</v>
      </c>
      <c r="BS24" s="12">
        <f t="shared" ca="1" si="19"/>
        <v>0.41185787204744329</v>
      </c>
      <c r="BT24" s="1" t="s">
        <v>988</v>
      </c>
      <c r="BV24" s="13">
        <f t="shared" ca="1" si="20"/>
        <v>19</v>
      </c>
      <c r="BW24" s="12">
        <f t="shared" ca="1" si="21"/>
        <v>0.31242465190970414</v>
      </c>
      <c r="BX24" s="1" t="s">
        <v>1303</v>
      </c>
      <c r="BZ24" s="13">
        <f t="shared" ca="1" si="22"/>
        <v>23</v>
      </c>
      <c r="CA24" s="12">
        <f t="shared" ca="1" si="23"/>
        <v>0.14279224804608626</v>
      </c>
      <c r="CB24" s="1" t="s">
        <v>1309</v>
      </c>
    </row>
    <row r="25" spans="1:80" x14ac:dyDescent="0.25">
      <c r="B25" s="2" t="s">
        <v>1140</v>
      </c>
      <c r="C25" s="2" t="s">
        <v>1130</v>
      </c>
      <c r="D25" s="2">
        <v>1</v>
      </c>
      <c r="E25" s="2">
        <v>2</v>
      </c>
      <c r="F25" s="2">
        <v>3</v>
      </c>
      <c r="G25" s="2">
        <v>4</v>
      </c>
      <c r="H25" s="2">
        <v>5</v>
      </c>
      <c r="I25" s="2">
        <v>6</v>
      </c>
      <c r="J25" s="2">
        <v>7</v>
      </c>
      <c r="K25" s="2">
        <v>8</v>
      </c>
      <c r="L25" s="2">
        <v>9</v>
      </c>
      <c r="N25" s="2" t="s">
        <v>1144</v>
      </c>
      <c r="O25" s="2"/>
      <c r="P25" s="2"/>
      <c r="R25" s="2" t="s">
        <v>1145</v>
      </c>
      <c r="V25" s="2" t="s">
        <v>1146</v>
      </c>
      <c r="Z25" s="2" t="s">
        <v>1147</v>
      </c>
      <c r="AD25" s="2" t="s">
        <v>1148</v>
      </c>
      <c r="AH25" s="2" t="s">
        <v>1149</v>
      </c>
      <c r="AL25" s="2" t="s">
        <v>1150</v>
      </c>
      <c r="AP25" s="2" t="s">
        <v>1151</v>
      </c>
      <c r="AT25" s="2" t="s">
        <v>1152</v>
      </c>
      <c r="AX25" s="2" t="s">
        <v>1153</v>
      </c>
      <c r="BB25" s="13">
        <f t="shared" ca="1" si="36"/>
        <v>11</v>
      </c>
      <c r="BC25" s="12">
        <f t="shared" ca="1" si="35"/>
        <v>0.29198765090594758</v>
      </c>
      <c r="BD25" s="1" t="s">
        <v>858</v>
      </c>
      <c r="BF25" s="13">
        <f t="shared" ca="1" si="12"/>
        <v>36</v>
      </c>
      <c r="BG25" s="12">
        <f t="shared" ca="1" si="13"/>
        <v>9.4048591510419E-2</v>
      </c>
      <c r="BH25" s="1" t="s">
        <v>1045</v>
      </c>
      <c r="BJ25" s="13">
        <f t="shared" ca="1" si="14"/>
        <v>26</v>
      </c>
      <c r="BK25" s="12">
        <f t="shared" ca="1" si="15"/>
        <v>0.32681695616183182</v>
      </c>
      <c r="BL25" s="1" t="s">
        <v>1055</v>
      </c>
      <c r="BN25" s="13">
        <f t="shared" ca="1" si="16"/>
        <v>10</v>
      </c>
      <c r="BO25" s="12">
        <f t="shared" ca="1" si="17"/>
        <v>0.63661011085865404</v>
      </c>
      <c r="BP25" s="1" t="s">
        <v>1018</v>
      </c>
      <c r="BR25" s="13">
        <f t="shared" ca="1" si="18"/>
        <v>4</v>
      </c>
      <c r="BS25" s="12">
        <f t="shared" ca="1" si="19"/>
        <v>0.96451590260701525</v>
      </c>
      <c r="BT25" s="1" t="s">
        <v>1009</v>
      </c>
      <c r="BZ25" s="13">
        <f t="shared" ca="1" si="22"/>
        <v>20</v>
      </c>
      <c r="CA25" s="12">
        <f t="shared" ca="1" si="23"/>
        <v>0.2332206085101205</v>
      </c>
      <c r="CB25" s="1" t="s">
        <v>1310</v>
      </c>
    </row>
    <row r="26" spans="1:80" x14ac:dyDescent="0.25">
      <c r="B26" s="1">
        <v>1</v>
      </c>
      <c r="C26" s="16">
        <v>3</v>
      </c>
      <c r="D26" s="1">
        <v>2</v>
      </c>
      <c r="E26" s="1">
        <v>0</v>
      </c>
      <c r="F26" s="1">
        <v>0</v>
      </c>
      <c r="G26" s="1">
        <v>0</v>
      </c>
      <c r="H26" s="1">
        <v>0</v>
      </c>
      <c r="I26" s="1">
        <v>0</v>
      </c>
      <c r="J26" s="1">
        <v>0</v>
      </c>
      <c r="K26" s="1">
        <v>0</v>
      </c>
      <c r="L26" s="1">
        <v>0</v>
      </c>
      <c r="N26" s="14">
        <f t="shared" ref="N26:N32" ca="1" si="37">_xlfn.RANK.EQ(O26,$O$26:$O$36)</f>
        <v>3</v>
      </c>
      <c r="O26" s="13">
        <f t="shared" ref="O26:O32" ca="1" si="38">RAND()</f>
        <v>0.64311831414692089</v>
      </c>
      <c r="P26" s="1" t="s">
        <v>858</v>
      </c>
      <c r="R26" s="13">
        <f t="shared" ref="R26:R40" ca="1" si="39">_xlfn.RANK.EQ(S26,S$26:S$40)</f>
        <v>1</v>
      </c>
      <c r="S26" s="12">
        <f t="shared" ref="S26:S40" ca="1" si="40">RAND()</f>
        <v>0.99916596782362899</v>
      </c>
      <c r="T26" s="1" t="s">
        <v>802</v>
      </c>
      <c r="V26" s="13">
        <f t="shared" ref="V26:V42" ca="1" si="41">_xlfn.RANK.EQ(W26,W$26:W$42)</f>
        <v>6</v>
      </c>
      <c r="W26" s="12">
        <f t="shared" ref="W26:W42" ca="1" si="42">RAND()</f>
        <v>0.56537705872553656</v>
      </c>
      <c r="X26" s="1" t="s">
        <v>761</v>
      </c>
      <c r="Z26" s="13">
        <f t="shared" ref="Z26:Z45" ca="1" si="43">_xlfn.RANK.EQ(AA26,AA$26:AA$45)</f>
        <v>20</v>
      </c>
      <c r="AA26" s="12">
        <f t="shared" ref="AA26:AA45" ca="1" si="44">RAND()</f>
        <v>0.10052972205074706</v>
      </c>
      <c r="AB26" s="1" t="s">
        <v>753</v>
      </c>
      <c r="AD26" s="13">
        <f t="shared" ref="AD26:AD33" ca="1" si="45">_xlfn.RANK.EQ(AE26,AE$26:AE$33)</f>
        <v>8</v>
      </c>
      <c r="AE26" s="12">
        <f t="shared" ref="AE26:AE33" ca="1" si="46">RAND()</f>
        <v>1.6776035055282024E-2</v>
      </c>
      <c r="AF26" s="1" t="s">
        <v>779</v>
      </c>
      <c r="AH26" s="13">
        <f t="shared" ref="AH26:AH38" ca="1" si="47">_xlfn.RANK.EQ(AI26,AI$26:AI$38)</f>
        <v>1</v>
      </c>
      <c r="AI26" s="12">
        <f t="shared" ref="AI26:AI38" ca="1" si="48">RAND()</f>
        <v>0.98785893119105062</v>
      </c>
      <c r="AJ26" s="1" t="s">
        <v>813</v>
      </c>
      <c r="AL26" s="13">
        <f t="shared" ref="AL26:AL35" ca="1" si="49">_xlfn.RANK.EQ(AM26,AM$26:AM$35)</f>
        <v>6</v>
      </c>
      <c r="AM26" s="12">
        <f t="shared" ref="AM26:AM35" ca="1" si="50">RAND()</f>
        <v>0.36236695806009644</v>
      </c>
      <c r="AN26" s="1" t="s">
        <v>765</v>
      </c>
      <c r="AP26" s="13">
        <f t="shared" ref="AP26:AP33" ca="1" si="51">_xlfn.RANK.EQ(AQ26,AQ$26:AQ$33)</f>
        <v>2</v>
      </c>
      <c r="AQ26" s="12">
        <f t="shared" ref="AQ26:AQ33" ca="1" si="52">RAND()</f>
        <v>0.88524455910877164</v>
      </c>
      <c r="AR26" s="1" t="s">
        <v>757</v>
      </c>
      <c r="AT26" s="13">
        <f ca="1">_xlfn.RANK.EQ(AU26,AU$26:AU$29)</f>
        <v>4</v>
      </c>
      <c r="AU26" s="12">
        <f ca="1">RAND()</f>
        <v>0.18783295390420129</v>
      </c>
      <c r="AV26" s="1" t="s">
        <v>774</v>
      </c>
      <c r="AX26" s="13">
        <f ca="1">_xlfn.RANK.EQ(AY26,AY$26:AY$29)</f>
        <v>4</v>
      </c>
      <c r="AY26" s="12">
        <f ca="1">RAND()</f>
        <v>0.59688171567198267</v>
      </c>
      <c r="AZ26" s="1" t="s">
        <v>758</v>
      </c>
      <c r="BB26" s="13">
        <f t="shared" ca="1" si="36"/>
        <v>6</v>
      </c>
      <c r="BC26" s="12">
        <f t="shared" ca="1" si="35"/>
        <v>0.72432929165575399</v>
      </c>
      <c r="BD26" s="1" t="s">
        <v>882</v>
      </c>
      <c r="BF26" s="13">
        <f t="shared" ca="1" si="12"/>
        <v>22</v>
      </c>
      <c r="BG26" s="12">
        <f t="shared" ca="1" si="13"/>
        <v>0.55480883814134652</v>
      </c>
      <c r="BH26" s="1" t="s">
        <v>1048</v>
      </c>
      <c r="BJ26" s="13">
        <f t="shared" ca="1" si="14"/>
        <v>23</v>
      </c>
      <c r="BK26" s="12">
        <f t="shared" ca="1" si="15"/>
        <v>0.39034251665144404</v>
      </c>
      <c r="BL26" s="1" t="s">
        <v>1058</v>
      </c>
      <c r="BN26" s="13">
        <f t="shared" ca="1" si="16"/>
        <v>33</v>
      </c>
      <c r="BO26" s="12">
        <f t="shared" ca="1" si="17"/>
        <v>4.8157199316471777E-2</v>
      </c>
      <c r="BP26" s="1" t="s">
        <v>1293</v>
      </c>
      <c r="BR26" s="13">
        <f t="shared" ca="1" si="18"/>
        <v>1</v>
      </c>
      <c r="BS26" s="12">
        <f t="shared" ca="1" si="19"/>
        <v>0.98775415683649836</v>
      </c>
      <c r="BT26" s="1" t="s">
        <v>1014</v>
      </c>
      <c r="BZ26" s="13">
        <f t="shared" ca="1" si="22"/>
        <v>19</v>
      </c>
      <c r="CA26" s="12">
        <f t="shared" ca="1" si="23"/>
        <v>0.23945356770360315</v>
      </c>
      <c r="CB26" s="1" t="s">
        <v>1038</v>
      </c>
    </row>
    <row r="27" spans="1:80" x14ac:dyDescent="0.25">
      <c r="B27" s="1">
        <v>2</v>
      </c>
      <c r="C27" s="16">
        <v>3</v>
      </c>
      <c r="D27" s="1">
        <v>3</v>
      </c>
      <c r="E27" s="1">
        <v>0</v>
      </c>
      <c r="F27" s="1">
        <v>0</v>
      </c>
      <c r="G27" s="1">
        <v>0</v>
      </c>
      <c r="H27" s="1">
        <v>0</v>
      </c>
      <c r="I27" s="1">
        <v>0</v>
      </c>
      <c r="J27" s="1">
        <v>0</v>
      </c>
      <c r="K27" s="1">
        <v>0</v>
      </c>
      <c r="L27" s="1">
        <v>0</v>
      </c>
      <c r="N27" s="14">
        <f t="shared" ca="1" si="37"/>
        <v>5</v>
      </c>
      <c r="O27" s="13">
        <f t="shared" ca="1" si="38"/>
        <v>0.20770696697170654</v>
      </c>
      <c r="P27" s="1" t="s">
        <v>882</v>
      </c>
      <c r="R27" s="13">
        <f t="shared" ca="1" si="39"/>
        <v>13</v>
      </c>
      <c r="S27" s="12">
        <f t="shared" ca="1" si="40"/>
        <v>0.15462742024840981</v>
      </c>
      <c r="T27" s="1" t="s">
        <v>818</v>
      </c>
      <c r="V27" s="13">
        <f t="shared" ca="1" si="41"/>
        <v>5</v>
      </c>
      <c r="W27" s="12">
        <f t="shared" ca="1" si="42"/>
        <v>0.56806351137299005</v>
      </c>
      <c r="X27" s="1" t="s">
        <v>794</v>
      </c>
      <c r="Z27" s="13">
        <f t="shared" ca="1" si="43"/>
        <v>8</v>
      </c>
      <c r="AA27" s="12">
        <f t="shared" ca="1" si="44"/>
        <v>0.70329734959469692</v>
      </c>
      <c r="AB27" s="1" t="s">
        <v>770</v>
      </c>
      <c r="AD27" s="13">
        <f t="shared" ca="1" si="45"/>
        <v>2</v>
      </c>
      <c r="AE27" s="12">
        <f t="shared" ca="1" si="46"/>
        <v>0.94575621317438485</v>
      </c>
      <c r="AF27" s="1" t="s">
        <v>840</v>
      </c>
      <c r="AH27" s="13">
        <f t="shared" ca="1" si="47"/>
        <v>12</v>
      </c>
      <c r="AI27" s="12">
        <f t="shared" ca="1" si="48"/>
        <v>0.21936375121589746</v>
      </c>
      <c r="AJ27" s="1" t="s">
        <v>862</v>
      </c>
      <c r="AL27" s="13">
        <f t="shared" ca="1" si="49"/>
        <v>2</v>
      </c>
      <c r="AM27" s="12">
        <f t="shared" ca="1" si="50"/>
        <v>0.86621872654597232</v>
      </c>
      <c r="AN27" s="1" t="s">
        <v>823</v>
      </c>
      <c r="AP27" s="13">
        <f t="shared" ca="1" si="51"/>
        <v>8</v>
      </c>
      <c r="AQ27" s="12">
        <f t="shared" ca="1" si="52"/>
        <v>7.3206660961333547E-3</v>
      </c>
      <c r="AR27" s="1" t="s">
        <v>782</v>
      </c>
      <c r="AT27" s="13">
        <f ca="1">_xlfn.RANK.EQ(AU27,AU$26:AU$29)</f>
        <v>2</v>
      </c>
      <c r="AU27" s="12">
        <f ca="1">RAND()</f>
        <v>0.85860515548128513</v>
      </c>
      <c r="AV27" s="1" t="s">
        <v>799</v>
      </c>
      <c r="AX27" s="13">
        <f ca="1">_xlfn.RANK.EQ(AY27,AY$26:AY$29)</f>
        <v>1</v>
      </c>
      <c r="AY27" s="12">
        <f ca="1">RAND()</f>
        <v>0.93829255244409882</v>
      </c>
      <c r="AZ27" s="1" t="s">
        <v>775</v>
      </c>
      <c r="BB27" s="13">
        <f t="shared" ca="1" si="36"/>
        <v>16</v>
      </c>
      <c r="BC27" s="12">
        <f t="shared" ca="1" si="35"/>
        <v>0.17852076196460021</v>
      </c>
      <c r="BD27" s="1" t="s">
        <v>911</v>
      </c>
      <c r="BF27" s="13">
        <f t="shared" ca="1" si="12"/>
        <v>26</v>
      </c>
      <c r="BG27" s="12">
        <f t="shared" ca="1" si="13"/>
        <v>0.42211223145482868</v>
      </c>
      <c r="BH27" s="1" t="s">
        <v>1061</v>
      </c>
      <c r="BJ27" s="13">
        <f t="shared" ca="1" si="14"/>
        <v>28</v>
      </c>
      <c r="BK27" s="12">
        <f t="shared" ca="1" si="15"/>
        <v>0.30739237230641547</v>
      </c>
      <c r="BL27" s="19" t="s">
        <v>1284</v>
      </c>
      <c r="BN27" s="13">
        <f t="shared" ca="1" si="16"/>
        <v>24</v>
      </c>
      <c r="BO27" s="12">
        <f t="shared" ca="1" si="17"/>
        <v>0.33954417857615937</v>
      </c>
      <c r="BP27" s="1" t="s">
        <v>1036</v>
      </c>
      <c r="BR27" s="13">
        <f t="shared" ca="1" si="18"/>
        <v>10</v>
      </c>
      <c r="BS27" s="12">
        <f t="shared" ca="1" si="19"/>
        <v>0.76563778752083578</v>
      </c>
      <c r="BT27" s="1" t="s">
        <v>1019</v>
      </c>
      <c r="BZ27" s="13">
        <f t="shared" ca="1" si="22"/>
        <v>2</v>
      </c>
      <c r="CA27" s="12">
        <f t="shared" ca="1" si="23"/>
        <v>0.78029082880384482</v>
      </c>
      <c r="CB27" s="1" t="s">
        <v>1311</v>
      </c>
    </row>
    <row r="28" spans="1:80" x14ac:dyDescent="0.25">
      <c r="B28" s="1">
        <v>3</v>
      </c>
      <c r="C28" s="16">
        <v>3</v>
      </c>
      <c r="D28" s="1">
        <v>4</v>
      </c>
      <c r="E28" s="1">
        <v>2</v>
      </c>
      <c r="F28" s="1">
        <v>0</v>
      </c>
      <c r="G28" s="1">
        <v>0</v>
      </c>
      <c r="H28" s="1">
        <v>0</v>
      </c>
      <c r="I28" s="1">
        <v>0</v>
      </c>
      <c r="J28" s="1">
        <v>0</v>
      </c>
      <c r="K28" s="1">
        <v>0</v>
      </c>
      <c r="L28" s="1">
        <v>0</v>
      </c>
      <c r="N28" s="14">
        <f t="shared" ca="1" si="37"/>
        <v>6</v>
      </c>
      <c r="O28" s="13">
        <f t="shared" ca="1" si="38"/>
        <v>0.14080465059170155</v>
      </c>
      <c r="P28" s="1" t="s">
        <v>911</v>
      </c>
      <c r="R28" s="13">
        <f t="shared" ca="1" si="39"/>
        <v>14</v>
      </c>
      <c r="S28" s="12">
        <f t="shared" ca="1" si="40"/>
        <v>0.1341242866526926</v>
      </c>
      <c r="T28" s="1" t="s">
        <v>890</v>
      </c>
      <c r="V28" s="13">
        <f t="shared" ca="1" si="41"/>
        <v>9</v>
      </c>
      <c r="W28" s="12">
        <f t="shared" ca="1" si="42"/>
        <v>0.43917997928878172</v>
      </c>
      <c r="X28" s="1" t="s">
        <v>819</v>
      </c>
      <c r="Z28" s="13">
        <f t="shared" ca="1" si="43"/>
        <v>12</v>
      </c>
      <c r="AA28" s="12">
        <f t="shared" ca="1" si="44"/>
        <v>0.61263290052760055</v>
      </c>
      <c r="AB28" s="1" t="s">
        <v>778</v>
      </c>
      <c r="AD28" s="13">
        <f t="shared" ca="1" si="45"/>
        <v>4</v>
      </c>
      <c r="AE28" s="12">
        <f t="shared" ca="1" si="46"/>
        <v>0.57904672211303665</v>
      </c>
      <c r="AF28" s="1" t="s">
        <v>848</v>
      </c>
      <c r="AH28" s="13">
        <f t="shared" ca="1" si="47"/>
        <v>7</v>
      </c>
      <c r="AI28" s="12">
        <f t="shared" ca="1" si="48"/>
        <v>0.55929468451703745</v>
      </c>
      <c r="AJ28" s="1" t="s">
        <v>907</v>
      </c>
      <c r="AL28" s="13">
        <f t="shared" ca="1" si="49"/>
        <v>9</v>
      </c>
      <c r="AM28" s="12">
        <f t="shared" ca="1" si="50"/>
        <v>0.20588972081582502</v>
      </c>
      <c r="AN28" s="1" t="s">
        <v>863</v>
      </c>
      <c r="AP28" s="13">
        <f t="shared" ca="1" si="51"/>
        <v>4</v>
      </c>
      <c r="AQ28" s="12">
        <f t="shared" ca="1" si="52"/>
        <v>0.52150537018929666</v>
      </c>
      <c r="AR28" s="1" t="s">
        <v>791</v>
      </c>
      <c r="AT28" s="13">
        <f ca="1">_xlfn.RANK.EQ(AU28,AU$26:AU$29)</f>
        <v>3</v>
      </c>
      <c r="AU28" s="12">
        <f ca="1">RAND()</f>
        <v>0.35868969143808527</v>
      </c>
      <c r="AV28" s="1" t="s">
        <v>825</v>
      </c>
      <c r="AX28" s="13">
        <f ca="1">_xlfn.RANK.EQ(AY28,AY$26:AY$29)</f>
        <v>2</v>
      </c>
      <c r="AY28" s="12">
        <f ca="1">RAND()</f>
        <v>0.90229788147188694</v>
      </c>
      <c r="AZ28" s="1" t="s">
        <v>800</v>
      </c>
      <c r="BB28" s="13">
        <f t="shared" ca="1" si="36"/>
        <v>5</v>
      </c>
      <c r="BC28" s="12">
        <f t="shared" ca="1" si="35"/>
        <v>0.76304348746489514</v>
      </c>
      <c r="BD28" s="1" t="s">
        <v>919</v>
      </c>
      <c r="BF28" s="13">
        <f t="shared" ca="1" si="12"/>
        <v>38</v>
      </c>
      <c r="BG28" s="12">
        <f t="shared" ca="1" si="13"/>
        <v>8.1595186438396472E-2</v>
      </c>
      <c r="BH28" s="1" t="s">
        <v>1064</v>
      </c>
      <c r="BJ28" s="13">
        <f t="shared" ca="1" si="14"/>
        <v>16</v>
      </c>
      <c r="BK28" s="12">
        <f t="shared" ca="1" si="15"/>
        <v>0.588542008844674</v>
      </c>
      <c r="BL28" s="1" t="s">
        <v>1285</v>
      </c>
      <c r="BN28" s="13">
        <f t="shared" ca="1" si="16"/>
        <v>3</v>
      </c>
      <c r="BO28" s="12">
        <f t="shared" ca="1" si="17"/>
        <v>0.87749416659964785</v>
      </c>
      <c r="BP28" s="1" t="s">
        <v>1041</v>
      </c>
      <c r="BR28" s="13">
        <f t="shared" ca="1" si="18"/>
        <v>18</v>
      </c>
      <c r="BS28" s="12">
        <f t="shared" ca="1" si="19"/>
        <v>0.54271024540141777</v>
      </c>
      <c r="BT28" s="1" t="s">
        <v>1026</v>
      </c>
    </row>
    <row r="29" spans="1:80" x14ac:dyDescent="0.25">
      <c r="B29" s="1">
        <v>4</v>
      </c>
      <c r="C29" s="16">
        <v>4</v>
      </c>
      <c r="D29" s="1">
        <v>4</v>
      </c>
      <c r="E29" s="1">
        <v>3</v>
      </c>
      <c r="F29" s="1">
        <v>0</v>
      </c>
      <c r="G29" s="1">
        <v>0</v>
      </c>
      <c r="H29" s="1">
        <v>0</v>
      </c>
      <c r="I29" s="1">
        <v>0</v>
      </c>
      <c r="J29" s="1">
        <v>0</v>
      </c>
      <c r="K29" s="1">
        <v>0</v>
      </c>
      <c r="L29" s="1">
        <v>0</v>
      </c>
      <c r="N29" s="14">
        <f t="shared" ca="1" si="37"/>
        <v>1</v>
      </c>
      <c r="O29" s="13">
        <f t="shared" ca="1" si="38"/>
        <v>0.88526490114369338</v>
      </c>
      <c r="P29" s="1" t="s">
        <v>963</v>
      </c>
      <c r="R29" s="13">
        <f t="shared" ca="1" si="39"/>
        <v>7</v>
      </c>
      <c r="S29" s="12">
        <f t="shared" ca="1" si="40"/>
        <v>0.49541056142071882</v>
      </c>
      <c r="T29" s="1" t="s">
        <v>912</v>
      </c>
      <c r="V29" s="13">
        <f t="shared" ca="1" si="41"/>
        <v>2</v>
      </c>
      <c r="W29" s="12">
        <f t="shared" ca="1" si="42"/>
        <v>0.79237517202184615</v>
      </c>
      <c r="X29" s="1" t="s">
        <v>846</v>
      </c>
      <c r="Z29" s="13">
        <f t="shared" ca="1" si="43"/>
        <v>3</v>
      </c>
      <c r="AA29" s="12">
        <f t="shared" ca="1" si="44"/>
        <v>0.93462070166342293</v>
      </c>
      <c r="AB29" s="1" t="s">
        <v>820</v>
      </c>
      <c r="AD29" s="13">
        <f t="shared" ca="1" si="45"/>
        <v>6</v>
      </c>
      <c r="AE29" s="12">
        <f t="shared" ca="1" si="46"/>
        <v>0.23261417469282786</v>
      </c>
      <c r="AF29" s="1" t="s">
        <v>861</v>
      </c>
      <c r="AH29" s="13">
        <f t="shared" ca="1" si="47"/>
        <v>5</v>
      </c>
      <c r="AI29" s="12">
        <f t="shared" ca="1" si="48"/>
        <v>0.62498045587222095</v>
      </c>
      <c r="AJ29" s="1" t="s">
        <v>939</v>
      </c>
      <c r="AL29" s="13">
        <f t="shared" ca="1" si="49"/>
        <v>1</v>
      </c>
      <c r="AM29" s="12">
        <f t="shared" ca="1" si="50"/>
        <v>0.87100017820457076</v>
      </c>
      <c r="AN29" s="1" t="s">
        <v>878</v>
      </c>
      <c r="AP29" s="13">
        <f t="shared" ca="1" si="51"/>
        <v>6</v>
      </c>
      <c r="AQ29" s="12">
        <f t="shared" ca="1" si="52"/>
        <v>0.22273214737304137</v>
      </c>
      <c r="AR29" s="1" t="s">
        <v>808</v>
      </c>
      <c r="AT29" s="13">
        <f ca="1">_xlfn.RANK.EQ(AU29,AU$26:AU$29)</f>
        <v>1</v>
      </c>
      <c r="AU29" s="12">
        <f ca="1">RAND()</f>
        <v>0.91936921873786859</v>
      </c>
      <c r="AV29" s="1" t="s">
        <v>851</v>
      </c>
      <c r="AX29" s="13">
        <f ca="1">_xlfn.RANK.EQ(AY29,AY$26:AY$29)</f>
        <v>3</v>
      </c>
      <c r="AY29" s="12">
        <f ca="1">RAND()</f>
        <v>0.62852943066933453</v>
      </c>
      <c r="AZ29" s="1" t="s">
        <v>889</v>
      </c>
      <c r="BB29" s="13">
        <f t="shared" ca="1" si="36"/>
        <v>4</v>
      </c>
      <c r="BC29" s="12">
        <f t="shared" ca="1" si="35"/>
        <v>0.83803694430776832</v>
      </c>
      <c r="BD29" s="1" t="s">
        <v>952</v>
      </c>
      <c r="BF29" s="13">
        <f t="shared" ca="1" si="12"/>
        <v>10</v>
      </c>
      <c r="BG29" s="12">
        <f t="shared" ca="1" si="13"/>
        <v>0.76655289425702466</v>
      </c>
      <c r="BH29" s="19" t="s">
        <v>1071</v>
      </c>
      <c r="BJ29" s="13">
        <f t="shared" ca="1" si="14"/>
        <v>18</v>
      </c>
      <c r="BK29" s="12">
        <f t="shared" ca="1" si="15"/>
        <v>0.53383166849435126</v>
      </c>
      <c r="BL29" s="1" t="s">
        <v>1286</v>
      </c>
      <c r="BN29" s="13">
        <f t="shared" ca="1" si="16"/>
        <v>6</v>
      </c>
      <c r="BO29" s="12">
        <f t="shared" ca="1" si="17"/>
        <v>0.74859643933991171</v>
      </c>
      <c r="BP29" s="1" t="s">
        <v>1050</v>
      </c>
      <c r="BR29" s="13">
        <f t="shared" ca="1" si="18"/>
        <v>3</v>
      </c>
      <c r="BS29" s="12">
        <f t="shared" ca="1" si="19"/>
        <v>0.98049855021359456</v>
      </c>
      <c r="BT29" s="1" t="s">
        <v>1297</v>
      </c>
    </row>
    <row r="30" spans="1:80" x14ac:dyDescent="0.25">
      <c r="B30" s="1">
        <v>5</v>
      </c>
      <c r="C30" s="16">
        <v>4</v>
      </c>
      <c r="D30" s="1">
        <v>4</v>
      </c>
      <c r="E30" s="1">
        <v>3</v>
      </c>
      <c r="F30" s="1">
        <v>2</v>
      </c>
      <c r="G30" s="1">
        <v>0</v>
      </c>
      <c r="H30" s="1">
        <v>0</v>
      </c>
      <c r="I30" s="1">
        <v>0</v>
      </c>
      <c r="J30" s="1">
        <v>0</v>
      </c>
      <c r="K30" s="1">
        <v>0</v>
      </c>
      <c r="L30" s="1">
        <v>0</v>
      </c>
      <c r="N30" s="14">
        <f t="shared" ca="1" si="37"/>
        <v>7</v>
      </c>
      <c r="O30" s="13">
        <f t="shared" ca="1" si="38"/>
        <v>9.5702773295421872E-3</v>
      </c>
      <c r="P30" s="1" t="s">
        <v>969</v>
      </c>
      <c r="R30" s="13">
        <f t="shared" ca="1" si="39"/>
        <v>2</v>
      </c>
      <c r="S30" s="12">
        <f t="shared" ca="1" si="40"/>
        <v>0.9706997613733821</v>
      </c>
      <c r="T30" s="1" t="s">
        <v>920</v>
      </c>
      <c r="V30" s="13">
        <f t="shared" ca="1" si="41"/>
        <v>8</v>
      </c>
      <c r="W30" s="12">
        <f t="shared" ca="1" si="42"/>
        <v>0.46540016378602733</v>
      </c>
      <c r="X30" s="1" t="s">
        <v>859</v>
      </c>
      <c r="Z30" s="13">
        <f t="shared" ca="1" si="43"/>
        <v>11</v>
      </c>
      <c r="AA30" s="12">
        <f t="shared" ca="1" si="44"/>
        <v>0.61955010430416824</v>
      </c>
      <c r="AB30" s="1" t="s">
        <v>853</v>
      </c>
      <c r="AD30" s="13">
        <f t="shared" ca="1" si="45"/>
        <v>5</v>
      </c>
      <c r="AE30" s="12">
        <f t="shared" ca="1" si="46"/>
        <v>0.57412529499608922</v>
      </c>
      <c r="AF30" s="1" t="s">
        <v>914</v>
      </c>
      <c r="AH30" s="13">
        <f t="shared" ca="1" si="47"/>
        <v>3</v>
      </c>
      <c r="AI30" s="12">
        <f t="shared" ca="1" si="48"/>
        <v>0.72030851581055133</v>
      </c>
      <c r="AJ30" s="1" t="s">
        <v>944</v>
      </c>
      <c r="AL30" s="13">
        <f t="shared" ca="1" si="49"/>
        <v>10</v>
      </c>
      <c r="AM30" s="12">
        <f t="shared" ca="1" si="50"/>
        <v>3.2311281142083148E-2</v>
      </c>
      <c r="AN30" s="1" t="s">
        <v>901</v>
      </c>
      <c r="AP30" s="13">
        <f t="shared" ca="1" si="51"/>
        <v>5</v>
      </c>
      <c r="AQ30" s="12">
        <f t="shared" ca="1" si="52"/>
        <v>0.22691047851472479</v>
      </c>
      <c r="AR30" s="1" t="s">
        <v>850</v>
      </c>
      <c r="BB30" s="13">
        <f t="shared" ca="1" si="36"/>
        <v>14</v>
      </c>
      <c r="BC30" s="12">
        <f t="shared" ca="1" si="35"/>
        <v>0.23580439619561844</v>
      </c>
      <c r="BD30" s="1" t="s">
        <v>957</v>
      </c>
      <c r="BF30" s="13">
        <f t="shared" ca="1" si="12"/>
        <v>19</v>
      </c>
      <c r="BG30" s="12">
        <f t="shared" ca="1" si="13"/>
        <v>0.63817816545778194</v>
      </c>
      <c r="BH30" s="1" t="s">
        <v>1073</v>
      </c>
      <c r="BJ30" s="13">
        <f t="shared" ca="1" si="14"/>
        <v>27</v>
      </c>
      <c r="BK30" s="12">
        <f t="shared" ca="1" si="15"/>
        <v>0.31934458595073312</v>
      </c>
      <c r="BL30" s="1" t="s">
        <v>1287</v>
      </c>
      <c r="BN30" s="13">
        <f t="shared" ca="1" si="16"/>
        <v>11</v>
      </c>
      <c r="BO30" s="12">
        <f t="shared" ca="1" si="17"/>
        <v>0.63078455544916778</v>
      </c>
      <c r="BP30" s="1" t="s">
        <v>1053</v>
      </c>
    </row>
    <row r="31" spans="1:80" x14ac:dyDescent="0.25">
      <c r="B31" s="1">
        <v>6</v>
      </c>
      <c r="C31" s="16">
        <v>4</v>
      </c>
      <c r="D31" s="1">
        <v>4</v>
      </c>
      <c r="E31" s="1">
        <v>3</v>
      </c>
      <c r="F31" s="1">
        <v>3</v>
      </c>
      <c r="G31" s="1">
        <v>0</v>
      </c>
      <c r="H31" s="1">
        <v>0</v>
      </c>
      <c r="I31" s="1">
        <v>0</v>
      </c>
      <c r="J31" s="1">
        <v>0</v>
      </c>
      <c r="K31" s="1">
        <v>0</v>
      </c>
      <c r="L31" s="1">
        <v>0</v>
      </c>
      <c r="N31" s="14">
        <f t="shared" ca="1" si="37"/>
        <v>4</v>
      </c>
      <c r="O31" s="13">
        <f t="shared" ca="1" si="38"/>
        <v>0.40775451158395715</v>
      </c>
      <c r="P31" s="1" t="s">
        <v>991</v>
      </c>
      <c r="R31" s="13">
        <f t="shared" ca="1" si="39"/>
        <v>6</v>
      </c>
      <c r="S31" s="12">
        <f t="shared" ca="1" si="40"/>
        <v>0.54773877882562416</v>
      </c>
      <c r="T31" s="1" t="s">
        <v>927</v>
      </c>
      <c r="V31" s="13">
        <f t="shared" ca="1" si="41"/>
        <v>17</v>
      </c>
      <c r="W31" s="12">
        <f t="shared" ca="1" si="42"/>
        <v>2.0106588427176719E-3</v>
      </c>
      <c r="X31" s="1" t="s">
        <v>928</v>
      </c>
      <c r="Z31" s="13">
        <f t="shared" ca="1" si="43"/>
        <v>2</v>
      </c>
      <c r="AA31" s="12">
        <f t="shared" ca="1" si="44"/>
        <v>0.93632266369891382</v>
      </c>
      <c r="AB31" s="1" t="s">
        <v>869</v>
      </c>
      <c r="AD31" s="13">
        <f t="shared" ca="1" si="45"/>
        <v>7</v>
      </c>
      <c r="AE31" s="12">
        <f t="shared" ca="1" si="46"/>
        <v>6.3381727809084687E-2</v>
      </c>
      <c r="AF31" s="1" t="s">
        <v>938</v>
      </c>
      <c r="AH31" s="13">
        <f t="shared" ca="1" si="47"/>
        <v>4</v>
      </c>
      <c r="AI31" s="12">
        <f t="shared" ca="1" si="48"/>
        <v>0.66191090290652022</v>
      </c>
      <c r="AJ31" s="1" t="s">
        <v>950</v>
      </c>
      <c r="AL31" s="13">
        <f t="shared" ca="1" si="49"/>
        <v>5</v>
      </c>
      <c r="AM31" s="12">
        <f t="shared" ca="1" si="50"/>
        <v>0.41890165074042596</v>
      </c>
      <c r="AN31" s="1" t="s">
        <v>908</v>
      </c>
      <c r="AP31" s="13">
        <f t="shared" ca="1" si="51"/>
        <v>3</v>
      </c>
      <c r="AQ31" s="12">
        <f t="shared" ca="1" si="52"/>
        <v>0.64150065697721126</v>
      </c>
      <c r="AR31" s="1" t="s">
        <v>879</v>
      </c>
      <c r="BB31" s="13">
        <f t="shared" ca="1" si="36"/>
        <v>2</v>
      </c>
      <c r="BC31" s="12">
        <f t="shared" ca="1" si="35"/>
        <v>0.97769191085305629</v>
      </c>
      <c r="BD31" s="1" t="s">
        <v>963</v>
      </c>
      <c r="BF31" s="13">
        <f t="shared" ca="1" si="12"/>
        <v>32</v>
      </c>
      <c r="BG31" s="12">
        <f t="shared" ca="1" si="13"/>
        <v>0.26551356320585362</v>
      </c>
      <c r="BH31" s="1" t="s">
        <v>1278</v>
      </c>
      <c r="BJ31" s="13">
        <f t="shared" ca="1" si="14"/>
        <v>29</v>
      </c>
      <c r="BK31" s="12">
        <f t="shared" ca="1" si="15"/>
        <v>0.2287448797454823</v>
      </c>
      <c r="BL31" s="1" t="s">
        <v>1079</v>
      </c>
      <c r="BN31" s="13">
        <f t="shared" ca="1" si="16"/>
        <v>13</v>
      </c>
      <c r="BO31" s="12">
        <f t="shared" ca="1" si="17"/>
        <v>0.61389655943250965</v>
      </c>
      <c r="BP31" s="19" t="s">
        <v>1063</v>
      </c>
    </row>
    <row r="32" spans="1:80" x14ac:dyDescent="0.25">
      <c r="B32" s="1">
        <v>7</v>
      </c>
      <c r="C32" s="16">
        <v>4</v>
      </c>
      <c r="D32" s="1">
        <v>4</v>
      </c>
      <c r="E32" s="1">
        <v>3</v>
      </c>
      <c r="F32" s="1">
        <v>3</v>
      </c>
      <c r="G32" s="1">
        <v>1</v>
      </c>
      <c r="H32" s="1">
        <v>0</v>
      </c>
      <c r="I32" s="1">
        <v>0</v>
      </c>
      <c r="J32" s="1">
        <v>0</v>
      </c>
      <c r="K32" s="1">
        <v>0</v>
      </c>
      <c r="L32" s="1">
        <v>0</v>
      </c>
      <c r="N32" s="14">
        <f t="shared" ca="1" si="37"/>
        <v>2</v>
      </c>
      <c r="O32" s="13">
        <f t="shared" ca="1" si="38"/>
        <v>0.68451480736866244</v>
      </c>
      <c r="P32" s="1" t="s">
        <v>1000</v>
      </c>
      <c r="R32" s="13">
        <f t="shared" ca="1" si="39"/>
        <v>5</v>
      </c>
      <c r="S32" s="12">
        <f t="shared" ca="1" si="40"/>
        <v>0.71912969073576249</v>
      </c>
      <c r="T32" s="1" t="s">
        <v>930</v>
      </c>
      <c r="V32" s="13">
        <f t="shared" ca="1" si="41"/>
        <v>7</v>
      </c>
      <c r="W32" s="12">
        <f t="shared" ca="1" si="42"/>
        <v>0.52764307312468883</v>
      </c>
      <c r="X32" s="1" t="s">
        <v>947</v>
      </c>
      <c r="Z32" s="13">
        <f t="shared" ca="1" si="43"/>
        <v>16</v>
      </c>
      <c r="AA32" s="12">
        <f t="shared" ca="1" si="44"/>
        <v>0.34218912999903517</v>
      </c>
      <c r="AB32" s="1" t="s">
        <v>876</v>
      </c>
      <c r="AD32" s="13">
        <f t="shared" ca="1" si="45"/>
        <v>1</v>
      </c>
      <c r="AE32" s="12">
        <f t="shared" ca="1" si="46"/>
        <v>0.96858943814976262</v>
      </c>
      <c r="AF32" s="1" t="s">
        <v>967</v>
      </c>
      <c r="AH32" s="13">
        <f t="shared" ca="1" si="47"/>
        <v>9</v>
      </c>
      <c r="AI32" s="12">
        <f t="shared" ca="1" si="48"/>
        <v>0.51192381864436776</v>
      </c>
      <c r="AJ32" s="1" t="s">
        <v>956</v>
      </c>
      <c r="AL32" s="13">
        <f t="shared" ca="1" si="49"/>
        <v>8</v>
      </c>
      <c r="AM32" s="12">
        <f t="shared" ca="1" si="50"/>
        <v>0.33281064699196294</v>
      </c>
      <c r="AN32" s="1" t="s">
        <v>916</v>
      </c>
      <c r="AP32" s="13">
        <f t="shared" ca="1" si="51"/>
        <v>7</v>
      </c>
      <c r="AQ32" s="12">
        <f t="shared" ca="1" si="52"/>
        <v>6.8342534193408744E-2</v>
      </c>
      <c r="AR32" s="1" t="s">
        <v>888</v>
      </c>
      <c r="BB32" s="13">
        <f t="shared" ca="1" si="36"/>
        <v>3</v>
      </c>
      <c r="BC32" s="12">
        <f t="shared" ca="1" si="35"/>
        <v>0.93307471139868481</v>
      </c>
      <c r="BD32" s="1" t="s">
        <v>969</v>
      </c>
      <c r="BF32" s="13">
        <f t="shared" ca="1" si="12"/>
        <v>17</v>
      </c>
      <c r="BG32" s="12">
        <f t="shared" ca="1" si="13"/>
        <v>0.68543096239092205</v>
      </c>
      <c r="BH32" s="1" t="s">
        <v>1279</v>
      </c>
      <c r="BJ32" s="13">
        <f t="shared" ca="1" si="14"/>
        <v>34</v>
      </c>
      <c r="BK32" s="12">
        <f t="shared" ca="1" si="15"/>
        <v>0.16376559019736359</v>
      </c>
      <c r="BL32" s="1" t="s">
        <v>1082</v>
      </c>
      <c r="BN32" s="13">
        <f t="shared" ca="1" si="16"/>
        <v>26</v>
      </c>
      <c r="BO32" s="12">
        <f t="shared" ca="1" si="17"/>
        <v>0.30588935363486658</v>
      </c>
      <c r="BP32" s="1" t="s">
        <v>1083</v>
      </c>
    </row>
    <row r="33" spans="2:68" x14ac:dyDescent="0.25">
      <c r="B33" s="1">
        <v>8</v>
      </c>
      <c r="C33" s="16">
        <v>4</v>
      </c>
      <c r="D33" s="1">
        <v>4</v>
      </c>
      <c r="E33" s="1">
        <v>3</v>
      </c>
      <c r="F33" s="1">
        <v>3</v>
      </c>
      <c r="G33" s="1">
        <v>2</v>
      </c>
      <c r="H33" s="1">
        <v>0</v>
      </c>
      <c r="I33" s="1">
        <v>0</v>
      </c>
      <c r="J33" s="1">
        <v>0</v>
      </c>
      <c r="K33" s="1">
        <v>0</v>
      </c>
      <c r="L33" s="1">
        <v>0</v>
      </c>
      <c r="R33" s="13">
        <f t="shared" ca="1" si="39"/>
        <v>9</v>
      </c>
      <c r="S33" s="12">
        <f t="shared" ca="1" si="40"/>
        <v>0.30335441542661146</v>
      </c>
      <c r="T33" s="1" t="s">
        <v>935</v>
      </c>
      <c r="V33" s="13">
        <f t="shared" ca="1" si="41"/>
        <v>16</v>
      </c>
      <c r="W33" s="12">
        <f t="shared" ca="1" si="42"/>
        <v>3.9009483923413191E-2</v>
      </c>
      <c r="X33" s="1" t="s">
        <v>965</v>
      </c>
      <c r="Z33" s="13">
        <f t="shared" ca="1" si="43"/>
        <v>5</v>
      </c>
      <c r="AA33" s="12">
        <f t="shared" ca="1" si="44"/>
        <v>0.85027302317785869</v>
      </c>
      <c r="AB33" s="1" t="s">
        <v>913</v>
      </c>
      <c r="AD33" s="13">
        <f t="shared" ca="1" si="45"/>
        <v>3</v>
      </c>
      <c r="AE33" s="12">
        <f t="shared" ca="1" si="46"/>
        <v>0.76434522580923947</v>
      </c>
      <c r="AF33" s="1" t="s">
        <v>1014</v>
      </c>
      <c r="AH33" s="13">
        <f t="shared" ca="1" si="47"/>
        <v>10</v>
      </c>
      <c r="AI33" s="12">
        <f t="shared" ca="1" si="48"/>
        <v>0.43312253348916685</v>
      </c>
      <c r="AJ33" s="1" t="s">
        <v>983</v>
      </c>
      <c r="AL33" s="13">
        <f t="shared" ca="1" si="49"/>
        <v>3</v>
      </c>
      <c r="AM33" s="12">
        <f t="shared" ca="1" si="50"/>
        <v>0.60808112657030089</v>
      </c>
      <c r="AN33" s="1" t="s">
        <v>977</v>
      </c>
      <c r="AP33" s="13">
        <f t="shared" ca="1" si="51"/>
        <v>1</v>
      </c>
      <c r="AQ33" s="12">
        <f t="shared" ca="1" si="52"/>
        <v>0.90551982973148359</v>
      </c>
      <c r="AR33" s="1" t="s">
        <v>917</v>
      </c>
      <c r="BB33" s="13">
        <f t="shared" ca="1" si="36"/>
        <v>15</v>
      </c>
      <c r="BC33" s="12">
        <f t="shared" ca="1" si="35"/>
        <v>0.23225635616712159</v>
      </c>
      <c r="BD33" s="1" t="s">
        <v>978</v>
      </c>
      <c r="BF33" s="13">
        <f t="shared" ca="1" si="12"/>
        <v>7</v>
      </c>
      <c r="BG33" s="12">
        <f t="shared" ca="1" si="13"/>
        <v>0.82227255888753581</v>
      </c>
      <c r="BH33" s="1" t="s">
        <v>1280</v>
      </c>
      <c r="BJ33" s="13">
        <f t="shared" ca="1" si="14"/>
        <v>3</v>
      </c>
      <c r="BK33" s="12">
        <f t="shared" ca="1" si="15"/>
        <v>0.96746729360577088</v>
      </c>
      <c r="BL33" s="1" t="s">
        <v>1097</v>
      </c>
      <c r="BN33" s="13">
        <f t="shared" ca="1" si="16"/>
        <v>32</v>
      </c>
      <c r="BO33" s="12">
        <f t="shared" ca="1" si="17"/>
        <v>6.7592469761479368E-2</v>
      </c>
      <c r="BP33" s="1" t="s">
        <v>1090</v>
      </c>
    </row>
    <row r="34" spans="2:68" x14ac:dyDescent="0.25">
      <c r="B34" s="1">
        <v>9</v>
      </c>
      <c r="C34" s="16">
        <v>4</v>
      </c>
      <c r="D34" s="1">
        <v>4</v>
      </c>
      <c r="E34" s="1">
        <v>3</v>
      </c>
      <c r="F34" s="1">
        <v>3</v>
      </c>
      <c r="G34" s="1">
        <v>3</v>
      </c>
      <c r="H34" s="1">
        <v>1</v>
      </c>
      <c r="I34" s="1">
        <v>0</v>
      </c>
      <c r="J34" s="1">
        <v>0</v>
      </c>
      <c r="K34" s="1">
        <v>0</v>
      </c>
      <c r="L34" s="1">
        <v>0</v>
      </c>
      <c r="R34" s="13">
        <f t="shared" ca="1" si="39"/>
        <v>11</v>
      </c>
      <c r="S34" s="12">
        <f t="shared" ca="1" si="40"/>
        <v>0.23992690142506135</v>
      </c>
      <c r="T34" s="1" t="s">
        <v>1016</v>
      </c>
      <c r="V34" s="13">
        <f t="shared" ca="1" si="41"/>
        <v>4</v>
      </c>
      <c r="W34" s="12">
        <f t="shared" ca="1" si="42"/>
        <v>0.58374613921100871</v>
      </c>
      <c r="X34" s="1" t="s">
        <v>986</v>
      </c>
      <c r="Z34" s="13">
        <f t="shared" ca="1" si="43"/>
        <v>15</v>
      </c>
      <c r="AA34" s="12">
        <f t="shared" ca="1" si="44"/>
        <v>0.35009190879022523</v>
      </c>
      <c r="AB34" s="1" t="s">
        <v>943</v>
      </c>
      <c r="AH34" s="13">
        <f t="shared" ca="1" si="47"/>
        <v>2</v>
      </c>
      <c r="AI34" s="12">
        <f t="shared" ca="1" si="48"/>
        <v>0.8957679414716142</v>
      </c>
      <c r="AJ34" s="1" t="s">
        <v>989</v>
      </c>
      <c r="AL34" s="13">
        <f t="shared" ca="1" si="49"/>
        <v>4</v>
      </c>
      <c r="AM34" s="12">
        <f t="shared" ca="1" si="50"/>
        <v>0.57446958686390515</v>
      </c>
      <c r="AN34" s="1" t="s">
        <v>1021</v>
      </c>
      <c r="BB34" s="13">
        <f t="shared" ca="1" si="36"/>
        <v>19</v>
      </c>
      <c r="BC34" s="12">
        <f t="shared" ca="1" si="35"/>
        <v>9.0419996522461243E-2</v>
      </c>
      <c r="BD34" s="1" t="s">
        <v>984</v>
      </c>
      <c r="BF34" s="13">
        <f t="shared" ca="1" si="12"/>
        <v>14</v>
      </c>
      <c r="BG34" s="12">
        <f t="shared" ca="1" si="13"/>
        <v>0.69601782457326067</v>
      </c>
      <c r="BH34" s="1" t="s">
        <v>1085</v>
      </c>
      <c r="BJ34" s="13">
        <f t="shared" ca="1" si="14"/>
        <v>19</v>
      </c>
      <c r="BK34" s="12">
        <f t="shared" ca="1" si="15"/>
        <v>0.48753013462031414</v>
      </c>
      <c r="BL34" s="1" t="s">
        <v>1099</v>
      </c>
      <c r="BN34" s="13">
        <f t="shared" ca="1" si="16"/>
        <v>8</v>
      </c>
      <c r="BO34" s="12">
        <f t="shared" ca="1" si="17"/>
        <v>0.71296656888243704</v>
      </c>
      <c r="BP34" s="1" t="s">
        <v>1093</v>
      </c>
    </row>
    <row r="35" spans="2:68" x14ac:dyDescent="0.25">
      <c r="B35" s="1">
        <v>10</v>
      </c>
      <c r="C35" s="16">
        <v>5</v>
      </c>
      <c r="D35" s="1">
        <v>4</v>
      </c>
      <c r="E35" s="1">
        <v>3</v>
      </c>
      <c r="F35" s="1">
        <v>3</v>
      </c>
      <c r="G35" s="1">
        <v>3</v>
      </c>
      <c r="H35" s="1">
        <v>2</v>
      </c>
      <c r="I35" s="1">
        <v>0</v>
      </c>
      <c r="J35" s="1">
        <v>0</v>
      </c>
      <c r="K35" s="1">
        <v>0</v>
      </c>
      <c r="L35" s="1">
        <v>0</v>
      </c>
      <c r="R35" s="13">
        <f t="shared" ca="1" si="39"/>
        <v>8</v>
      </c>
      <c r="S35" s="12">
        <f t="shared" ca="1" si="40"/>
        <v>0.3622763217460655</v>
      </c>
      <c r="T35" s="1" t="s">
        <v>1030</v>
      </c>
      <c r="V35" s="13">
        <f t="shared" ca="1" si="41"/>
        <v>14</v>
      </c>
      <c r="W35" s="12">
        <f t="shared" ca="1" si="42"/>
        <v>0.21787206955443128</v>
      </c>
      <c r="X35" s="1" t="s">
        <v>1002</v>
      </c>
      <c r="Z35" s="13">
        <f t="shared" ca="1" si="43"/>
        <v>17</v>
      </c>
      <c r="AA35" s="12">
        <f t="shared" ca="1" si="44"/>
        <v>0.295587854016236</v>
      </c>
      <c r="AB35" s="1" t="s">
        <v>987</v>
      </c>
      <c r="AH35" s="13">
        <f t="shared" ca="1" si="47"/>
        <v>13</v>
      </c>
      <c r="AI35" s="12">
        <f t="shared" ca="1" si="48"/>
        <v>4.7043937860588469E-2</v>
      </c>
      <c r="AJ35" s="1" t="s">
        <v>999</v>
      </c>
      <c r="AL35" s="13">
        <f t="shared" ca="1" si="49"/>
        <v>7</v>
      </c>
      <c r="AM35" s="12">
        <f t="shared" ca="1" si="50"/>
        <v>0.35017239810513645</v>
      </c>
      <c r="AN35" s="1" t="s">
        <v>1044</v>
      </c>
      <c r="BB35" s="13">
        <f t="shared" ca="1" si="36"/>
        <v>12</v>
      </c>
      <c r="BC35" s="12">
        <f t="shared" ca="1" si="35"/>
        <v>0.27510887760521485</v>
      </c>
      <c r="BD35" s="1" t="s">
        <v>991</v>
      </c>
      <c r="BF35" s="13">
        <f t="shared" ca="1" si="12"/>
        <v>6</v>
      </c>
      <c r="BG35" s="12">
        <f t="shared" ca="1" si="13"/>
        <v>0.82296959840834494</v>
      </c>
      <c r="BH35" s="1" t="s">
        <v>1087</v>
      </c>
      <c r="BJ35" s="13">
        <f t="shared" ca="1" si="14"/>
        <v>24</v>
      </c>
      <c r="BK35" s="12">
        <f t="shared" ca="1" si="15"/>
        <v>0.38478952260096766</v>
      </c>
      <c r="BL35" s="1" t="s">
        <v>1101</v>
      </c>
      <c r="BN35" s="13">
        <f t="shared" ca="1" si="16"/>
        <v>22</v>
      </c>
      <c r="BO35" s="12">
        <f t="shared" ca="1" si="17"/>
        <v>0.43757849886124556</v>
      </c>
      <c r="BP35" s="1" t="s">
        <v>1095</v>
      </c>
    </row>
    <row r="36" spans="2:68" x14ac:dyDescent="0.25">
      <c r="B36" s="1">
        <v>11</v>
      </c>
      <c r="C36" s="16">
        <v>5</v>
      </c>
      <c r="D36" s="1">
        <v>4</v>
      </c>
      <c r="E36" s="1">
        <v>3</v>
      </c>
      <c r="F36" s="1">
        <v>3</v>
      </c>
      <c r="G36" s="1">
        <v>3</v>
      </c>
      <c r="H36" s="1">
        <v>2</v>
      </c>
      <c r="I36" s="1">
        <v>1</v>
      </c>
      <c r="J36" s="1">
        <v>0</v>
      </c>
      <c r="K36" s="1">
        <v>0</v>
      </c>
      <c r="L36" s="1">
        <v>0</v>
      </c>
      <c r="R36" s="13">
        <f t="shared" ca="1" si="39"/>
        <v>3</v>
      </c>
      <c r="S36" s="12">
        <f t="shared" ca="1" si="40"/>
        <v>0.96709066592883242</v>
      </c>
      <c r="T36" s="1" t="s">
        <v>1061</v>
      </c>
      <c r="V36" s="13">
        <f t="shared" ca="1" si="41"/>
        <v>12</v>
      </c>
      <c r="W36" s="12">
        <f t="shared" ca="1" si="42"/>
        <v>0.3111306857265661</v>
      </c>
      <c r="X36" s="1" t="s">
        <v>1017</v>
      </c>
      <c r="Z36" s="13">
        <f t="shared" ca="1" si="43"/>
        <v>14</v>
      </c>
      <c r="AA36" s="12">
        <f t="shared" ca="1" si="44"/>
        <v>0.49111001361745632</v>
      </c>
      <c r="AB36" s="1" t="s">
        <v>998</v>
      </c>
      <c r="AH36" s="13">
        <f t="shared" ca="1" si="47"/>
        <v>11</v>
      </c>
      <c r="AI36" s="12">
        <f t="shared" ca="1" si="48"/>
        <v>0.28991323472528752</v>
      </c>
      <c r="AJ36" s="1" t="s">
        <v>1027</v>
      </c>
      <c r="BB36" s="13">
        <f t="shared" ca="1" si="36"/>
        <v>1</v>
      </c>
      <c r="BC36" s="12">
        <f t="shared" ca="1" si="35"/>
        <v>0.98723472015444147</v>
      </c>
      <c r="BD36" s="1" t="s">
        <v>1000</v>
      </c>
      <c r="BF36" s="13">
        <f t="shared" ca="1" si="12"/>
        <v>1</v>
      </c>
      <c r="BG36" s="12">
        <f t="shared" ca="1" si="13"/>
        <v>0.99603965645484827</v>
      </c>
      <c r="BH36" s="1" t="s">
        <v>1088</v>
      </c>
      <c r="BJ36" s="13">
        <f t="shared" ca="1" si="14"/>
        <v>14</v>
      </c>
      <c r="BK36" s="12">
        <f t="shared" ca="1" si="15"/>
        <v>0.69901461922996666</v>
      </c>
      <c r="BL36" s="1" t="s">
        <v>1105</v>
      </c>
    </row>
    <row r="37" spans="2:68" x14ac:dyDescent="0.25">
      <c r="B37" s="1">
        <v>12</v>
      </c>
      <c r="C37" s="16">
        <v>5</v>
      </c>
      <c r="D37" s="1">
        <v>4</v>
      </c>
      <c r="E37" s="1">
        <v>3</v>
      </c>
      <c r="F37" s="1">
        <v>3</v>
      </c>
      <c r="G37" s="1">
        <v>3</v>
      </c>
      <c r="H37" s="1">
        <v>2</v>
      </c>
      <c r="I37" s="1">
        <v>1</v>
      </c>
      <c r="J37" s="1">
        <v>0</v>
      </c>
      <c r="K37" s="1">
        <v>0</v>
      </c>
      <c r="L37" s="1">
        <v>0</v>
      </c>
      <c r="R37" s="13">
        <f t="shared" ca="1" si="39"/>
        <v>4</v>
      </c>
      <c r="S37" s="12">
        <f t="shared" ca="1" si="40"/>
        <v>0.75981606822741377</v>
      </c>
      <c r="T37" s="1" t="s">
        <v>1075</v>
      </c>
      <c r="V37" s="13">
        <f t="shared" ca="1" si="41"/>
        <v>10</v>
      </c>
      <c r="W37" s="12">
        <f t="shared" ca="1" si="42"/>
        <v>0.41994122572536541</v>
      </c>
      <c r="X37" s="1" t="s">
        <v>1069</v>
      </c>
      <c r="Z37" s="13">
        <f t="shared" ca="1" si="43"/>
        <v>4</v>
      </c>
      <c r="AA37" s="12">
        <f t="shared" ca="1" si="44"/>
        <v>0.92692288641729181</v>
      </c>
      <c r="AB37" s="1" t="s">
        <v>1003</v>
      </c>
      <c r="AH37" s="13">
        <f t="shared" ca="1" si="47"/>
        <v>8</v>
      </c>
      <c r="AI37" s="12">
        <f t="shared" ca="1" si="48"/>
        <v>0.54907443619534091</v>
      </c>
      <c r="AJ37" s="1" t="s">
        <v>1033</v>
      </c>
      <c r="BB37" s="13">
        <f t="shared" ca="1" si="36"/>
        <v>17</v>
      </c>
      <c r="BC37" s="12">
        <f t="shared" ca="1" si="35"/>
        <v>0.17592485115681278</v>
      </c>
      <c r="BD37" s="1" t="s">
        <v>1029</v>
      </c>
      <c r="BF37" s="13">
        <f t="shared" ca="1" si="12"/>
        <v>2</v>
      </c>
      <c r="BG37" s="12">
        <f t="shared" ca="1" si="13"/>
        <v>0.90302709360461486</v>
      </c>
      <c r="BH37" s="1" t="s">
        <v>1281</v>
      </c>
      <c r="BJ37" s="13">
        <f t="shared" ca="1" si="14"/>
        <v>4</v>
      </c>
      <c r="BK37" s="12">
        <f t="shared" ca="1" si="15"/>
        <v>0.95607374414003343</v>
      </c>
      <c r="BL37" s="1" t="s">
        <v>1108</v>
      </c>
    </row>
    <row r="38" spans="2:68" x14ac:dyDescent="0.25">
      <c r="B38" s="1">
        <v>13</v>
      </c>
      <c r="C38" s="16">
        <v>5</v>
      </c>
      <c r="D38" s="1">
        <v>4</v>
      </c>
      <c r="E38" s="1">
        <v>3</v>
      </c>
      <c r="F38" s="1">
        <v>3</v>
      </c>
      <c r="G38" s="1">
        <v>3</v>
      </c>
      <c r="H38" s="1">
        <v>2</v>
      </c>
      <c r="I38" s="1">
        <v>1</v>
      </c>
      <c r="J38" s="1">
        <v>1</v>
      </c>
      <c r="K38" s="1">
        <v>0</v>
      </c>
      <c r="L38" s="1">
        <v>0</v>
      </c>
      <c r="R38" s="13">
        <f t="shared" ca="1" si="39"/>
        <v>10</v>
      </c>
      <c r="S38" s="12">
        <f t="shared" ca="1" si="40"/>
        <v>0.25933655450175075</v>
      </c>
      <c r="T38" s="1" t="s">
        <v>1078</v>
      </c>
      <c r="V38" s="13">
        <f t="shared" ca="1" si="41"/>
        <v>1</v>
      </c>
      <c r="W38" s="12">
        <f t="shared" ca="1" si="42"/>
        <v>0.80595298351420841</v>
      </c>
      <c r="X38" s="1" t="s">
        <v>1072</v>
      </c>
      <c r="Z38" s="13">
        <f t="shared" ca="1" si="43"/>
        <v>18</v>
      </c>
      <c r="AA38" s="12">
        <f t="shared" ca="1" si="44"/>
        <v>0.17671760486565768</v>
      </c>
      <c r="AB38" s="1" t="s">
        <v>1032</v>
      </c>
      <c r="AH38" s="13">
        <f t="shared" ca="1" si="47"/>
        <v>6</v>
      </c>
      <c r="AI38" s="12">
        <f t="shared" ca="1" si="48"/>
        <v>0.6227871072204102</v>
      </c>
      <c r="AJ38" s="1" t="s">
        <v>1047</v>
      </c>
      <c r="BF38" s="13">
        <f t="shared" ca="1" si="12"/>
        <v>5</v>
      </c>
      <c r="BG38" s="12">
        <f t="shared" ca="1" si="13"/>
        <v>0.83121326661385853</v>
      </c>
      <c r="BH38" s="1" t="s">
        <v>1102</v>
      </c>
    </row>
    <row r="39" spans="2:68" x14ac:dyDescent="0.25">
      <c r="B39" s="1">
        <v>14</v>
      </c>
      <c r="C39" s="16">
        <v>5</v>
      </c>
      <c r="D39" s="1">
        <v>4</v>
      </c>
      <c r="E39" s="1">
        <v>3</v>
      </c>
      <c r="F39" s="1">
        <v>3</v>
      </c>
      <c r="G39" s="1">
        <v>3</v>
      </c>
      <c r="H39" s="1">
        <v>2</v>
      </c>
      <c r="I39" s="1">
        <v>1</v>
      </c>
      <c r="J39" s="1">
        <v>1</v>
      </c>
      <c r="K39" s="1">
        <v>0</v>
      </c>
      <c r="L39" s="1">
        <v>0</v>
      </c>
      <c r="R39" s="13">
        <f t="shared" ca="1" si="39"/>
        <v>15</v>
      </c>
      <c r="S39" s="12">
        <f t="shared" ca="1" si="40"/>
        <v>5.187240083985234E-2</v>
      </c>
      <c r="T39" s="1" t="s">
        <v>1085</v>
      </c>
      <c r="V39" s="13">
        <f t="shared" ca="1" si="41"/>
        <v>15</v>
      </c>
      <c r="W39" s="12">
        <f t="shared" ca="1" si="42"/>
        <v>9.9796101308440854E-2</v>
      </c>
      <c r="X39" s="1" t="s">
        <v>1092</v>
      </c>
      <c r="Z39" s="13">
        <f t="shared" ca="1" si="43"/>
        <v>6</v>
      </c>
      <c r="AA39" s="12">
        <f t="shared" ca="1" si="44"/>
        <v>0.78896179517189868</v>
      </c>
      <c r="AB39" s="1" t="s">
        <v>1036</v>
      </c>
      <c r="BB39" s="2" t="s">
        <v>1643</v>
      </c>
      <c r="BF39" s="13">
        <f t="shared" ca="1" si="12"/>
        <v>39</v>
      </c>
      <c r="BG39" s="12">
        <f t="shared" ca="1" si="13"/>
        <v>7.2399228899543977E-2</v>
      </c>
      <c r="BH39" s="1" t="s">
        <v>1104</v>
      </c>
    </row>
    <row r="40" spans="2:68" x14ac:dyDescent="0.25">
      <c r="B40" s="1">
        <v>15</v>
      </c>
      <c r="C40" s="16">
        <v>5</v>
      </c>
      <c r="D40" s="1">
        <v>4</v>
      </c>
      <c r="E40" s="1">
        <v>3</v>
      </c>
      <c r="F40" s="1">
        <v>3</v>
      </c>
      <c r="G40" s="1">
        <v>3</v>
      </c>
      <c r="H40" s="1">
        <v>2</v>
      </c>
      <c r="I40" s="1">
        <v>1</v>
      </c>
      <c r="J40" s="1">
        <v>1</v>
      </c>
      <c r="K40" s="1">
        <v>1</v>
      </c>
      <c r="L40" s="1">
        <v>0</v>
      </c>
      <c r="R40" s="13">
        <f t="shared" ca="1" si="39"/>
        <v>12</v>
      </c>
      <c r="S40" s="12">
        <f t="shared" ca="1" si="40"/>
        <v>0.18356334459875023</v>
      </c>
      <c r="T40" s="1" t="s">
        <v>1091</v>
      </c>
      <c r="V40" s="13">
        <f t="shared" ca="1" si="41"/>
        <v>3</v>
      </c>
      <c r="W40" s="12">
        <f t="shared" ca="1" si="42"/>
        <v>0.6903777317824793</v>
      </c>
      <c r="X40" s="1" t="s">
        <v>1101</v>
      </c>
      <c r="Z40" s="13">
        <f t="shared" ca="1" si="43"/>
        <v>19</v>
      </c>
      <c r="AA40" s="12">
        <f t="shared" ca="1" si="44"/>
        <v>0.16149377256753517</v>
      </c>
      <c r="AB40" s="1" t="s">
        <v>1041</v>
      </c>
      <c r="BB40" s="13">
        <f ca="1">_xlfn.RANK.EQ(BC40,BC$40:BC$46)</f>
        <v>2</v>
      </c>
      <c r="BC40" s="12">
        <f t="shared" ref="BC40:BC46" ca="1" si="53">RAND()</f>
        <v>0.80824055772392556</v>
      </c>
      <c r="BD40" s="1" t="s">
        <v>760</v>
      </c>
      <c r="BF40" s="13">
        <f t="shared" ca="1" si="12"/>
        <v>25</v>
      </c>
      <c r="BG40" s="12">
        <f t="shared" ca="1" si="13"/>
        <v>0.44410753439322048</v>
      </c>
      <c r="BH40" s="1" t="s">
        <v>1109</v>
      </c>
    </row>
    <row r="41" spans="2:68" x14ac:dyDescent="0.25">
      <c r="B41" s="1">
        <v>16</v>
      </c>
      <c r="C41" s="16">
        <v>5</v>
      </c>
      <c r="D41" s="1">
        <v>4</v>
      </c>
      <c r="E41" s="1">
        <v>3</v>
      </c>
      <c r="F41" s="1">
        <v>3</v>
      </c>
      <c r="G41" s="1">
        <v>3</v>
      </c>
      <c r="H41" s="1">
        <v>2</v>
      </c>
      <c r="I41" s="1">
        <v>1</v>
      </c>
      <c r="J41" s="1">
        <v>1</v>
      </c>
      <c r="K41" s="1">
        <v>1</v>
      </c>
      <c r="L41" s="1">
        <v>0</v>
      </c>
      <c r="V41" s="13">
        <f t="shared" ca="1" si="41"/>
        <v>11</v>
      </c>
      <c r="W41" s="12">
        <f t="shared" ca="1" si="42"/>
        <v>0.35634469097352139</v>
      </c>
      <c r="X41" s="1" t="s">
        <v>1105</v>
      </c>
      <c r="Z41" s="13">
        <f t="shared" ca="1" si="43"/>
        <v>9</v>
      </c>
      <c r="AA41" s="12">
        <f t="shared" ca="1" si="44"/>
        <v>0.67456332934187901</v>
      </c>
      <c r="AB41" s="1" t="s">
        <v>1046</v>
      </c>
      <c r="BB41" s="13">
        <f t="shared" ref="BB41:BB46" ca="1" si="54">_xlfn.RANK.EQ(BC41,BC$40:BC$46)</f>
        <v>1</v>
      </c>
      <c r="BC41" s="12">
        <f t="shared" ca="1" si="53"/>
        <v>0.91373014319646728</v>
      </c>
      <c r="BD41" s="1" t="s">
        <v>930</v>
      </c>
      <c r="BF41" s="13">
        <f t="shared" ca="1" si="12"/>
        <v>18</v>
      </c>
      <c r="BG41" s="12">
        <f t="shared" ca="1" si="13"/>
        <v>0.68077683060160432</v>
      </c>
      <c r="BH41" s="1" t="s">
        <v>1111</v>
      </c>
    </row>
    <row r="42" spans="2:68" x14ac:dyDescent="0.25">
      <c r="B42" s="1">
        <v>17</v>
      </c>
      <c r="C42" s="16">
        <v>5</v>
      </c>
      <c r="D42" s="1">
        <v>4</v>
      </c>
      <c r="E42" s="1">
        <v>3</v>
      </c>
      <c r="F42" s="1">
        <v>3</v>
      </c>
      <c r="G42" s="1">
        <v>3</v>
      </c>
      <c r="H42" s="1">
        <v>2</v>
      </c>
      <c r="I42" s="1">
        <v>1</v>
      </c>
      <c r="J42" s="1">
        <v>1</v>
      </c>
      <c r="K42" s="1">
        <v>1</v>
      </c>
      <c r="L42" s="1">
        <v>1</v>
      </c>
      <c r="V42" s="13">
        <f t="shared" ca="1" si="41"/>
        <v>13</v>
      </c>
      <c r="W42" s="12">
        <f t="shared" ca="1" si="42"/>
        <v>0.24449292550804669</v>
      </c>
      <c r="X42" s="1" t="s">
        <v>1110</v>
      </c>
      <c r="Z42" s="13">
        <f t="shared" ca="1" si="43"/>
        <v>7</v>
      </c>
      <c r="AA42" s="12">
        <f t="shared" ca="1" si="44"/>
        <v>0.76503418726641614</v>
      </c>
      <c r="AB42" s="1" t="s">
        <v>1056</v>
      </c>
      <c r="BB42" s="13">
        <f t="shared" ca="1" si="54"/>
        <v>4</v>
      </c>
      <c r="BC42" s="12">
        <f t="shared" ca="1" si="53"/>
        <v>0.4312908083559186</v>
      </c>
      <c r="BD42" s="1" t="s">
        <v>935</v>
      </c>
    </row>
    <row r="43" spans="2:68" x14ac:dyDescent="0.25">
      <c r="B43" s="1">
        <v>18</v>
      </c>
      <c r="C43" s="16">
        <v>5</v>
      </c>
      <c r="D43" s="1">
        <v>4</v>
      </c>
      <c r="E43" s="1">
        <v>3</v>
      </c>
      <c r="F43" s="1">
        <v>3</v>
      </c>
      <c r="G43" s="1">
        <v>3</v>
      </c>
      <c r="H43" s="1">
        <v>3</v>
      </c>
      <c r="I43" s="1">
        <v>1</v>
      </c>
      <c r="J43" s="1">
        <v>1</v>
      </c>
      <c r="K43" s="1">
        <v>1</v>
      </c>
      <c r="L43" s="1">
        <v>1</v>
      </c>
      <c r="Z43" s="13">
        <f t="shared" ca="1" si="43"/>
        <v>13</v>
      </c>
      <c r="AA43" s="12">
        <f t="shared" ca="1" si="44"/>
        <v>0.54086371393469601</v>
      </c>
      <c r="AB43" s="1" t="s">
        <v>1063</v>
      </c>
      <c r="BB43" s="13">
        <f t="shared" ca="1" si="54"/>
        <v>3</v>
      </c>
      <c r="BC43" s="12">
        <f t="shared" ca="1" si="53"/>
        <v>0.67056178007106437</v>
      </c>
      <c r="BD43" s="1" t="s">
        <v>1054</v>
      </c>
    </row>
    <row r="44" spans="2:68" x14ac:dyDescent="0.25">
      <c r="B44" s="1">
        <v>19</v>
      </c>
      <c r="C44" s="16">
        <v>5</v>
      </c>
      <c r="D44" s="1">
        <v>4</v>
      </c>
      <c r="E44" s="1">
        <v>3</v>
      </c>
      <c r="F44" s="1">
        <v>3</v>
      </c>
      <c r="G44" s="1">
        <v>3</v>
      </c>
      <c r="H44" s="1">
        <v>3</v>
      </c>
      <c r="I44" s="1">
        <v>2</v>
      </c>
      <c r="J44" s="1">
        <v>1</v>
      </c>
      <c r="K44" s="1">
        <v>1</v>
      </c>
      <c r="L44" s="1">
        <v>1</v>
      </c>
      <c r="Z44" s="13">
        <f t="shared" ca="1" si="43"/>
        <v>1</v>
      </c>
      <c r="AA44" s="12">
        <f t="shared" ca="1" si="44"/>
        <v>0.99426856423841847</v>
      </c>
      <c r="AB44" s="1" t="s">
        <v>1080</v>
      </c>
      <c r="BB44" s="13">
        <f t="shared" ca="1" si="54"/>
        <v>5</v>
      </c>
      <c r="BC44" s="12">
        <f t="shared" ca="1" si="53"/>
        <v>0.41485439617022468</v>
      </c>
      <c r="BD44" s="1" t="s">
        <v>1078</v>
      </c>
    </row>
    <row r="45" spans="2:68" x14ac:dyDescent="0.25">
      <c r="B45" s="1">
        <v>20</v>
      </c>
      <c r="C45" s="16">
        <v>5</v>
      </c>
      <c r="D45" s="1">
        <v>4</v>
      </c>
      <c r="E45" s="1">
        <v>3</v>
      </c>
      <c r="F45" s="1">
        <v>3</v>
      </c>
      <c r="G45" s="1">
        <v>3</v>
      </c>
      <c r="H45" s="1">
        <v>3</v>
      </c>
      <c r="I45" s="1">
        <v>2</v>
      </c>
      <c r="J45" s="1">
        <v>2</v>
      </c>
      <c r="K45" s="1">
        <v>1</v>
      </c>
      <c r="L45" s="1">
        <v>1</v>
      </c>
      <c r="Z45" s="13">
        <f t="shared" ca="1" si="43"/>
        <v>10</v>
      </c>
      <c r="AA45" s="12">
        <f t="shared" ca="1" si="44"/>
        <v>0.65034605646185017</v>
      </c>
      <c r="AB45" s="1" t="s">
        <v>1093</v>
      </c>
      <c r="BB45" s="13">
        <f t="shared" ca="1" si="54"/>
        <v>6</v>
      </c>
      <c r="BC45" s="12">
        <f t="shared" ca="1" si="53"/>
        <v>0.10443161797163458</v>
      </c>
      <c r="BD45" s="1" t="s">
        <v>1098</v>
      </c>
    </row>
    <row r="46" spans="2:68" x14ac:dyDescent="0.25">
      <c r="BB46" s="13">
        <f t="shared" ca="1" si="54"/>
        <v>7</v>
      </c>
      <c r="BC46" s="12">
        <f t="shared" ca="1" si="53"/>
        <v>6.339445191588855E-2</v>
      </c>
      <c r="BD46" s="19" t="s">
        <v>1642</v>
      </c>
    </row>
    <row r="47" spans="2:68" s="2" customFormat="1" ht="15.75" thickBot="1" x14ac:dyDescent="0.3">
      <c r="B47" s="2" t="s">
        <v>1154</v>
      </c>
      <c r="C47" s="18" t="s">
        <v>1130</v>
      </c>
      <c r="D47" s="2">
        <v>1</v>
      </c>
      <c r="E47" s="2">
        <v>2</v>
      </c>
      <c r="F47" s="2">
        <v>3</v>
      </c>
      <c r="G47" s="2">
        <v>4</v>
      </c>
      <c r="H47" s="2">
        <v>5</v>
      </c>
      <c r="I47" s="2">
        <v>6</v>
      </c>
      <c r="J47" s="2">
        <v>7</v>
      </c>
      <c r="K47" s="2">
        <v>8</v>
      </c>
      <c r="L47" s="2">
        <v>9</v>
      </c>
      <c r="N47" s="2" t="s">
        <v>1174</v>
      </c>
      <c r="R47" s="2" t="s">
        <v>1175</v>
      </c>
      <c r="V47" s="2" t="s">
        <v>1176</v>
      </c>
      <c r="Z47" s="2" t="s">
        <v>1177</v>
      </c>
      <c r="AD47" s="2" t="s">
        <v>1178</v>
      </c>
      <c r="AH47" s="2" t="s">
        <v>1179</v>
      </c>
      <c r="AL47" s="2" t="s">
        <v>1180</v>
      </c>
      <c r="AP47" s="2" t="s">
        <v>1181</v>
      </c>
      <c r="AT47" s="2" t="s">
        <v>1182</v>
      </c>
      <c r="AX47" s="2" t="s">
        <v>1183</v>
      </c>
      <c r="BJ47" s="1"/>
      <c r="BK47" s="1"/>
      <c r="BL47" s="1"/>
      <c r="BM47" s="19"/>
      <c r="BN47" s="1"/>
      <c r="BO47" s="1"/>
      <c r="BP47" s="1"/>
    </row>
    <row r="48" spans="2:68" s="19" customFormat="1" ht="15.75" thickBot="1" x14ac:dyDescent="0.3">
      <c r="B48" s="19">
        <v>1</v>
      </c>
      <c r="C48" s="20">
        <v>2</v>
      </c>
      <c r="D48" s="19">
        <v>2</v>
      </c>
      <c r="E48" s="19">
        <v>0</v>
      </c>
      <c r="F48" s="19">
        <v>0</v>
      </c>
      <c r="G48" s="19">
        <v>0</v>
      </c>
      <c r="H48" s="19">
        <v>0</v>
      </c>
      <c r="I48" s="19">
        <v>0</v>
      </c>
      <c r="J48" s="19">
        <v>0</v>
      </c>
      <c r="K48" s="19">
        <v>0</v>
      </c>
      <c r="L48" s="19">
        <v>0</v>
      </c>
      <c r="N48" s="13">
        <f t="shared" ref="N48:N55" ca="1" si="55">_xlfn.RANK.EQ(O48,O$48:O$55)</f>
        <v>8</v>
      </c>
      <c r="O48" s="13">
        <f t="shared" ref="O48:O55" ca="1" si="56">RAND()</f>
        <v>0.13861364562699585</v>
      </c>
      <c r="P48" s="19" t="s">
        <v>810</v>
      </c>
      <c r="R48" s="13">
        <f t="shared" ref="R48:R63" ca="1" si="57">_xlfn.RANK.EQ(S48,S$48:S$63)</f>
        <v>14</v>
      </c>
      <c r="S48" s="13">
        <f t="shared" ref="S48:S63" ca="1" si="58">RAND()</f>
        <v>0.14901707569248557</v>
      </c>
      <c r="T48" s="19" t="s">
        <v>768</v>
      </c>
      <c r="V48" s="13">
        <f t="shared" ref="V48:V65" ca="1" si="59">_xlfn.RANK.EQ(W48,W$48:W$65)</f>
        <v>9</v>
      </c>
      <c r="W48" s="13">
        <f t="shared" ref="W48:W65" ca="1" si="60">RAND()</f>
        <v>0.38751185226661156</v>
      </c>
      <c r="X48" s="19" t="s">
        <v>777</v>
      </c>
      <c r="Z48" s="13">
        <f t="shared" ref="Z48:Z60" ca="1" si="61">_xlfn.RANK.EQ(AA48,AA$48:AA$60)</f>
        <v>3</v>
      </c>
      <c r="AA48" s="13">
        <f t="shared" ref="AA48:AA60" ca="1" si="62">RAND()</f>
        <v>0.82768896966944561</v>
      </c>
      <c r="AB48" s="19" t="s">
        <v>804</v>
      </c>
      <c r="AD48" s="13">
        <f t="shared" ref="AD48:AD63" ca="1" si="63">_xlfn.RANK.EQ(AE48,AE$48:AE$63)</f>
        <v>11</v>
      </c>
      <c r="AE48" s="13">
        <f t="shared" ref="AE48:AE63" ca="1" si="64">RAND()</f>
        <v>0.48092889426579766</v>
      </c>
      <c r="AF48" s="19" t="s">
        <v>788</v>
      </c>
      <c r="AH48" s="13">
        <f t="shared" ref="AH48:AH61" ca="1" si="65">_xlfn.RANK.EQ(AI48,AI$48:AI$61)</f>
        <v>14</v>
      </c>
      <c r="AI48" s="13">
        <f t="shared" ref="AI48:AI61" ca="1" si="66">RAND()</f>
        <v>1.4121527925881061E-3</v>
      </c>
      <c r="AJ48" s="19" t="s">
        <v>764</v>
      </c>
      <c r="AL48" s="13">
        <f t="shared" ref="AL48:AL56" ca="1" si="67">_xlfn.RANK.EQ(AM48,AM$48:AM$56)</f>
        <v>6</v>
      </c>
      <c r="AM48" s="13">
        <f t="shared" ref="AM48:AM56" ca="1" si="68">RAND()</f>
        <v>0.18575416517596033</v>
      </c>
      <c r="AN48" s="19" t="s">
        <v>797</v>
      </c>
      <c r="AP48" s="13">
        <f ca="1">_xlfn.RANK.EQ(AQ48,AQ$48:AQ$52)</f>
        <v>5</v>
      </c>
      <c r="AQ48" s="13">
        <f ca="1">RAND()</f>
        <v>0.15813878583534713</v>
      </c>
      <c r="AR48" s="19" t="s">
        <v>808</v>
      </c>
      <c r="AT48" s="13">
        <f t="shared" ref="AT48:AT54" ca="1" si="69">_xlfn.RANK.EQ(AU48,AU$48:AU$54)</f>
        <v>6</v>
      </c>
      <c r="AU48" s="13">
        <f t="shared" ref="AU48:AU54" ca="1" si="70">RAND()</f>
        <v>3.1259637434010612E-2</v>
      </c>
      <c r="AV48" s="19" t="s">
        <v>766</v>
      </c>
      <c r="AX48" s="13">
        <f ca="1">_xlfn.RANK.EQ(AY48,AY$48:AY$51)</f>
        <v>1</v>
      </c>
      <c r="AY48" s="13">
        <f ca="1">RAND()</f>
        <v>0.92954895488268985</v>
      </c>
      <c r="AZ48" s="19" t="s">
        <v>767</v>
      </c>
      <c r="BF48" s="2"/>
      <c r="BG48" s="2"/>
      <c r="BH48" s="2"/>
      <c r="BJ48" s="1"/>
      <c r="BK48" s="1"/>
      <c r="BL48" s="1"/>
      <c r="BN48" s="1"/>
      <c r="BO48" s="1"/>
      <c r="BP48" s="1"/>
    </row>
    <row r="49" spans="2:68" ht="15.75" thickBot="1" x14ac:dyDescent="0.3">
      <c r="B49" s="1">
        <v>2</v>
      </c>
      <c r="C49" s="17">
        <v>2</v>
      </c>
      <c r="D49" s="1">
        <v>3</v>
      </c>
      <c r="E49" s="1">
        <v>0</v>
      </c>
      <c r="F49" s="1">
        <v>0</v>
      </c>
      <c r="G49" s="1">
        <v>0</v>
      </c>
      <c r="H49" s="1">
        <v>0</v>
      </c>
      <c r="I49" s="1">
        <v>0</v>
      </c>
      <c r="J49" s="1">
        <v>0</v>
      </c>
      <c r="K49" s="1">
        <v>0</v>
      </c>
      <c r="L49" s="1">
        <v>0</v>
      </c>
      <c r="N49" s="13">
        <f t="shared" ca="1" si="55"/>
        <v>6</v>
      </c>
      <c r="O49" s="13">
        <f t="shared" ca="1" si="56"/>
        <v>0.25770520014643583</v>
      </c>
      <c r="P49" s="1" t="s">
        <v>858</v>
      </c>
      <c r="R49" s="13">
        <f t="shared" ca="1" si="57"/>
        <v>3</v>
      </c>
      <c r="S49" s="13">
        <f t="shared" ca="1" si="58"/>
        <v>0.75339509105104696</v>
      </c>
      <c r="T49" s="1" t="s">
        <v>867</v>
      </c>
      <c r="V49" s="13">
        <f t="shared" ca="1" si="59"/>
        <v>1</v>
      </c>
      <c r="W49" s="13">
        <f t="shared" ca="1" si="60"/>
        <v>0.97937281754603855</v>
      </c>
      <c r="X49" s="1" t="s">
        <v>803</v>
      </c>
      <c r="Z49" s="13">
        <f t="shared" ca="1" si="61"/>
        <v>10</v>
      </c>
      <c r="AA49" s="13">
        <f t="shared" ca="1" si="62"/>
        <v>0.23066349654388651</v>
      </c>
      <c r="AB49" s="1" t="s">
        <v>830</v>
      </c>
      <c r="AD49" s="13">
        <f t="shared" ca="1" si="63"/>
        <v>16</v>
      </c>
      <c r="AE49" s="13">
        <f t="shared" ca="1" si="64"/>
        <v>8.9224321614843616E-3</v>
      </c>
      <c r="AF49" s="1" t="s">
        <v>812</v>
      </c>
      <c r="AH49" s="13">
        <f t="shared" ca="1" si="65"/>
        <v>12</v>
      </c>
      <c r="AI49" s="13">
        <f t="shared" ca="1" si="66"/>
        <v>0.16628707712455559</v>
      </c>
      <c r="AJ49" s="1" t="s">
        <v>772</v>
      </c>
      <c r="AL49" s="13">
        <f t="shared" ca="1" si="67"/>
        <v>3</v>
      </c>
      <c r="AM49" s="13">
        <f t="shared" ca="1" si="68"/>
        <v>0.45562293267600129</v>
      </c>
      <c r="AN49" s="1" t="s">
        <v>863</v>
      </c>
      <c r="AP49" s="13">
        <f ca="1">_xlfn.RANK.EQ(AQ49,AQ$48:AQ$52)</f>
        <v>3</v>
      </c>
      <c r="AQ49" s="13">
        <f ca="1">RAND()</f>
        <v>0.41337628607101651</v>
      </c>
      <c r="AR49" s="1" t="s">
        <v>824</v>
      </c>
      <c r="AT49" s="13">
        <f t="shared" ca="1" si="69"/>
        <v>4</v>
      </c>
      <c r="AU49" s="13">
        <f t="shared" ca="1" si="70"/>
        <v>0.27684339980249084</v>
      </c>
      <c r="AV49" s="1" t="s">
        <v>783</v>
      </c>
      <c r="AX49" s="13">
        <f ca="1">_xlfn.RANK.EQ(AY49,AY$48:AY$51)</f>
        <v>3</v>
      </c>
      <c r="AY49" s="13">
        <f ca="1">RAND()</f>
        <v>0.34986980976345905</v>
      </c>
      <c r="AZ49" s="1" t="s">
        <v>857</v>
      </c>
    </row>
    <row r="50" spans="2:68" ht="15.75" thickBot="1" x14ac:dyDescent="0.3">
      <c r="B50" s="1">
        <v>3</v>
      </c>
      <c r="C50" s="17">
        <v>2</v>
      </c>
      <c r="D50" s="1">
        <v>4</v>
      </c>
      <c r="E50" s="1">
        <v>2</v>
      </c>
      <c r="F50" s="1">
        <v>0</v>
      </c>
      <c r="G50" s="1">
        <v>0</v>
      </c>
      <c r="H50" s="1">
        <v>0</v>
      </c>
      <c r="I50" s="1">
        <v>0</v>
      </c>
      <c r="J50" s="1">
        <v>0</v>
      </c>
      <c r="K50" s="1">
        <v>0</v>
      </c>
      <c r="L50" s="1">
        <v>0</v>
      </c>
      <c r="N50" s="13">
        <f t="shared" ca="1" si="55"/>
        <v>2</v>
      </c>
      <c r="O50" s="13">
        <f t="shared" ca="1" si="56"/>
        <v>0.71237774625729211</v>
      </c>
      <c r="P50" s="1" t="s">
        <v>911</v>
      </c>
      <c r="R50" s="13">
        <f t="shared" ca="1" si="57"/>
        <v>10</v>
      </c>
      <c r="S50" s="13">
        <f t="shared" ca="1" si="58"/>
        <v>0.41379392427839246</v>
      </c>
      <c r="T50" s="1" t="s">
        <v>912</v>
      </c>
      <c r="V50" s="13">
        <f t="shared" ca="1" si="59"/>
        <v>17</v>
      </c>
      <c r="W50" s="13">
        <f t="shared" ca="1" si="60"/>
        <v>3.7611017312300987E-2</v>
      </c>
      <c r="X50" s="1" t="s">
        <v>811</v>
      </c>
      <c r="Z50" s="13">
        <f t="shared" ca="1" si="61"/>
        <v>13</v>
      </c>
      <c r="AA50" s="13">
        <f t="shared" ca="1" si="62"/>
        <v>4.2563456832432567E-2</v>
      </c>
      <c r="AB50" s="1" t="s">
        <v>869</v>
      </c>
      <c r="AD50" s="13">
        <f t="shared" ca="1" si="63"/>
        <v>5</v>
      </c>
      <c r="AE50" s="13">
        <f t="shared" ca="1" si="64"/>
        <v>0.80966857984823992</v>
      </c>
      <c r="AF50" s="1" t="s">
        <v>821</v>
      </c>
      <c r="AH50" s="13">
        <f t="shared" ca="1" si="65"/>
        <v>1</v>
      </c>
      <c r="AI50" s="13">
        <f t="shared" ca="1" si="66"/>
        <v>0.97757199276700713</v>
      </c>
      <c r="AJ50" s="1" t="s">
        <v>822</v>
      </c>
      <c r="AL50" s="13">
        <f t="shared" ca="1" si="67"/>
        <v>9</v>
      </c>
      <c r="AM50" s="13">
        <f t="shared" ca="1" si="68"/>
        <v>1.767906143890563E-2</v>
      </c>
      <c r="AN50" s="1" t="s">
        <v>908</v>
      </c>
      <c r="AP50" s="13">
        <f ca="1">_xlfn.RANK.EQ(AQ50,AQ$48:AQ$52)</f>
        <v>1</v>
      </c>
      <c r="AQ50" s="13">
        <f ca="1">RAND()</f>
        <v>0.85018804205278986</v>
      </c>
      <c r="AR50" s="1" t="s">
        <v>850</v>
      </c>
      <c r="AT50" s="13">
        <f t="shared" ca="1" si="69"/>
        <v>2</v>
      </c>
      <c r="AU50" s="13">
        <f t="shared" ca="1" si="70"/>
        <v>0.40422372333851919</v>
      </c>
      <c r="AV50" s="1" t="s">
        <v>799</v>
      </c>
      <c r="AX50" s="13">
        <f ca="1">_xlfn.RANK.EQ(AY50,AY$48:AY$51)</f>
        <v>2</v>
      </c>
      <c r="AY50" s="13">
        <f ca="1">RAND()</f>
        <v>0.42749182310318223</v>
      </c>
      <c r="AZ50" s="1" t="s">
        <v>866</v>
      </c>
    </row>
    <row r="51" spans="2:68" ht="15.75" thickBot="1" x14ac:dyDescent="0.3">
      <c r="B51" s="1">
        <v>4</v>
      </c>
      <c r="C51" s="17">
        <v>3</v>
      </c>
      <c r="D51" s="1">
        <v>4</v>
      </c>
      <c r="E51" s="1">
        <v>3</v>
      </c>
      <c r="F51" s="1">
        <v>0</v>
      </c>
      <c r="G51" s="1">
        <v>0</v>
      </c>
      <c r="H51" s="1">
        <v>0</v>
      </c>
      <c r="I51" s="1">
        <v>0</v>
      </c>
      <c r="J51" s="1">
        <v>0</v>
      </c>
      <c r="K51" s="1">
        <v>0</v>
      </c>
      <c r="L51" s="1">
        <v>0</v>
      </c>
      <c r="N51" s="13">
        <f t="shared" ca="1" si="55"/>
        <v>3</v>
      </c>
      <c r="O51" s="13">
        <f t="shared" ca="1" si="56"/>
        <v>0.54474408372321359</v>
      </c>
      <c r="P51" s="1" t="s">
        <v>934</v>
      </c>
      <c r="R51" s="13">
        <f t="shared" ca="1" si="57"/>
        <v>2</v>
      </c>
      <c r="S51" s="13">
        <f t="shared" ca="1" si="58"/>
        <v>0.85908220622720322</v>
      </c>
      <c r="T51" s="1" t="s">
        <v>920</v>
      </c>
      <c r="V51" s="13">
        <f t="shared" ca="1" si="59"/>
        <v>6</v>
      </c>
      <c r="W51" s="13">
        <f t="shared" ca="1" si="60"/>
        <v>0.7432359530211029</v>
      </c>
      <c r="X51" s="1" t="s">
        <v>891</v>
      </c>
      <c r="Z51" s="13">
        <f t="shared" ca="1" si="61"/>
        <v>6</v>
      </c>
      <c r="AA51" s="13">
        <f t="shared" ca="1" si="62"/>
        <v>0.46066440186152968</v>
      </c>
      <c r="AB51" s="1" t="s">
        <v>876</v>
      </c>
      <c r="AD51" s="13">
        <f t="shared" ca="1" si="63"/>
        <v>13</v>
      </c>
      <c r="AE51" s="13">
        <f t="shared" ca="1" si="64"/>
        <v>0.16003940343572787</v>
      </c>
      <c r="AF51" s="1" t="s">
        <v>831</v>
      </c>
      <c r="AH51" s="13">
        <f t="shared" ca="1" si="65"/>
        <v>11</v>
      </c>
      <c r="AI51" s="13">
        <f t="shared" ca="1" si="66"/>
        <v>0.23440407656041728</v>
      </c>
      <c r="AJ51" s="1" t="s">
        <v>841</v>
      </c>
      <c r="AL51" s="13">
        <f t="shared" ca="1" si="67"/>
        <v>7</v>
      </c>
      <c r="AM51" s="13">
        <f t="shared" ca="1" si="68"/>
        <v>9.452667409252058E-2</v>
      </c>
      <c r="AN51" s="1" t="s">
        <v>916</v>
      </c>
      <c r="AP51" s="13">
        <f ca="1">_xlfn.RANK.EQ(AQ51,AQ$48:AQ$52)</f>
        <v>4</v>
      </c>
      <c r="AQ51" s="13">
        <f ca="1">RAND()</f>
        <v>0.37988900954096072</v>
      </c>
      <c r="AR51" s="1" t="s">
        <v>879</v>
      </c>
      <c r="AT51" s="13">
        <f t="shared" ca="1" si="69"/>
        <v>7</v>
      </c>
      <c r="AU51" s="13">
        <f t="shared" ca="1" si="70"/>
        <v>2.3801552756752664E-2</v>
      </c>
      <c r="AV51" s="1" t="s">
        <v>825</v>
      </c>
      <c r="AX51" s="13">
        <f ca="1">_xlfn.RANK.EQ(AY51,AY$48:AY$51)</f>
        <v>4</v>
      </c>
      <c r="AY51" s="13">
        <f ca="1">RAND()</f>
        <v>3.0639736412228835E-2</v>
      </c>
      <c r="AZ51" s="1" t="s">
        <v>889</v>
      </c>
    </row>
    <row r="52" spans="2:68" ht="15.75" thickBot="1" x14ac:dyDescent="0.3">
      <c r="B52" s="1">
        <v>5</v>
      </c>
      <c r="C52" s="17">
        <v>3</v>
      </c>
      <c r="D52" s="1">
        <v>4</v>
      </c>
      <c r="E52" s="1">
        <v>3</v>
      </c>
      <c r="F52" s="1">
        <v>2</v>
      </c>
      <c r="G52" s="1">
        <v>0</v>
      </c>
      <c r="H52" s="1">
        <v>0</v>
      </c>
      <c r="I52" s="1">
        <v>0</v>
      </c>
      <c r="J52" s="1">
        <v>0</v>
      </c>
      <c r="K52" s="1">
        <v>0</v>
      </c>
      <c r="L52" s="1">
        <v>0</v>
      </c>
      <c r="N52" s="13">
        <f t="shared" ca="1" si="55"/>
        <v>5</v>
      </c>
      <c r="O52" s="13">
        <f t="shared" ca="1" si="56"/>
        <v>0.36209478507700732</v>
      </c>
      <c r="P52" s="1" t="s">
        <v>952</v>
      </c>
      <c r="R52" s="13">
        <f t="shared" ca="1" si="57"/>
        <v>16</v>
      </c>
      <c r="S52" s="13">
        <f t="shared" ca="1" si="58"/>
        <v>5.141853154382714E-2</v>
      </c>
      <c r="T52" s="1" t="s">
        <v>930</v>
      </c>
      <c r="V52" s="13">
        <f t="shared" ca="1" si="59"/>
        <v>4</v>
      </c>
      <c r="W52" s="13">
        <f t="shared" ca="1" si="60"/>
        <v>0.78152177035544113</v>
      </c>
      <c r="X52" s="1" t="s">
        <v>928</v>
      </c>
      <c r="Z52" s="13">
        <f t="shared" ca="1" si="61"/>
        <v>1</v>
      </c>
      <c r="AA52" s="13">
        <f t="shared" ca="1" si="62"/>
        <v>0.93110375859413452</v>
      </c>
      <c r="AB52" s="1" t="s">
        <v>913</v>
      </c>
      <c r="AD52" s="13">
        <f t="shared" ca="1" si="63"/>
        <v>10</v>
      </c>
      <c r="AE52" s="13">
        <f t="shared" ca="1" si="64"/>
        <v>0.49874227304617136</v>
      </c>
      <c r="AF52" s="1" t="s">
        <v>840</v>
      </c>
      <c r="AH52" s="13">
        <f t="shared" ca="1" si="65"/>
        <v>9</v>
      </c>
      <c r="AI52" s="13">
        <f t="shared" ca="1" si="66"/>
        <v>0.44801334419245087</v>
      </c>
      <c r="AJ52" s="1" t="s">
        <v>862</v>
      </c>
      <c r="AL52" s="13">
        <f t="shared" ca="1" si="67"/>
        <v>2</v>
      </c>
      <c r="AM52" s="13">
        <f t="shared" ca="1" si="68"/>
        <v>0.48966530798352836</v>
      </c>
      <c r="AN52" s="1" t="s">
        <v>962</v>
      </c>
      <c r="AP52" s="13">
        <f ca="1">_xlfn.RANK.EQ(AQ52,AQ$48:AQ$52)</f>
        <v>2</v>
      </c>
      <c r="AQ52" s="13">
        <f ca="1">RAND()</f>
        <v>0.43875203725029766</v>
      </c>
      <c r="AR52" s="1" t="s">
        <v>894</v>
      </c>
      <c r="AT52" s="13">
        <f t="shared" ca="1" si="69"/>
        <v>1</v>
      </c>
      <c r="AU52" s="13">
        <f t="shared" ca="1" si="70"/>
        <v>0.74651106722704641</v>
      </c>
      <c r="AV52" s="1" t="s">
        <v>835</v>
      </c>
      <c r="BN52" s="19"/>
      <c r="BO52" s="19"/>
      <c r="BP52" s="19"/>
    </row>
    <row r="53" spans="2:68" ht="15.75" thickBot="1" x14ac:dyDescent="0.3">
      <c r="B53" s="1">
        <v>6</v>
      </c>
      <c r="C53" s="17">
        <v>3</v>
      </c>
      <c r="D53" s="1">
        <v>4</v>
      </c>
      <c r="E53" s="1">
        <v>3</v>
      </c>
      <c r="F53" s="1">
        <v>3</v>
      </c>
      <c r="G53" s="1">
        <v>0</v>
      </c>
      <c r="H53" s="1">
        <v>0</v>
      </c>
      <c r="I53" s="1">
        <v>0</v>
      </c>
      <c r="J53" s="1">
        <v>0</v>
      </c>
      <c r="K53" s="1">
        <v>0</v>
      </c>
      <c r="L53" s="1">
        <v>0</v>
      </c>
      <c r="N53" s="13">
        <f t="shared" ca="1" si="55"/>
        <v>4</v>
      </c>
      <c r="O53" s="13">
        <f t="shared" ca="1" si="56"/>
        <v>0.44903504612467471</v>
      </c>
      <c r="P53" s="1" t="s">
        <v>963</v>
      </c>
      <c r="R53" s="13">
        <f t="shared" ca="1" si="57"/>
        <v>7</v>
      </c>
      <c r="S53" s="13">
        <f t="shared" ca="1" si="58"/>
        <v>0.49728985594368302</v>
      </c>
      <c r="T53" s="1" t="s">
        <v>935</v>
      </c>
      <c r="V53" s="13">
        <f t="shared" ca="1" si="59"/>
        <v>12</v>
      </c>
      <c r="W53" s="13">
        <f t="shared" ca="1" si="60"/>
        <v>0.22813753909029511</v>
      </c>
      <c r="X53" s="1" t="s">
        <v>947</v>
      </c>
      <c r="Z53" s="13">
        <f t="shared" ca="1" si="61"/>
        <v>9</v>
      </c>
      <c r="AA53" s="13">
        <f t="shared" ca="1" si="62"/>
        <v>0.32314332882669605</v>
      </c>
      <c r="AB53" s="1" t="s">
        <v>1003</v>
      </c>
      <c r="AD53" s="13">
        <f t="shared" ca="1" si="63"/>
        <v>4</v>
      </c>
      <c r="AE53" s="13">
        <f t="shared" ca="1" si="64"/>
        <v>0.82360768487998548</v>
      </c>
      <c r="AF53" s="1" t="s">
        <v>870</v>
      </c>
      <c r="AH53" s="13">
        <f t="shared" ca="1" si="65"/>
        <v>10</v>
      </c>
      <c r="AI53" s="13">
        <f t="shared" ca="1" si="66"/>
        <v>0.2662929959668483</v>
      </c>
      <c r="AJ53" s="1" t="s">
        <v>944</v>
      </c>
      <c r="AL53" s="13">
        <f t="shared" ca="1" si="67"/>
        <v>8</v>
      </c>
      <c r="AM53" s="13">
        <f t="shared" ca="1" si="68"/>
        <v>6.3106965538829884E-2</v>
      </c>
      <c r="AN53" s="1" t="s">
        <v>1005</v>
      </c>
      <c r="AT53" s="13">
        <f t="shared" ca="1" si="69"/>
        <v>5</v>
      </c>
      <c r="AU53" s="13">
        <f t="shared" ca="1" si="70"/>
        <v>0.17133344320783517</v>
      </c>
      <c r="AV53" s="1" t="s">
        <v>910</v>
      </c>
    </row>
    <row r="54" spans="2:68" ht="15.75" thickBot="1" x14ac:dyDescent="0.3">
      <c r="B54" s="1">
        <v>7</v>
      </c>
      <c r="C54" s="17">
        <v>3</v>
      </c>
      <c r="D54" s="1">
        <v>4</v>
      </c>
      <c r="E54" s="1">
        <v>3</v>
      </c>
      <c r="F54" s="1">
        <v>3</v>
      </c>
      <c r="G54" s="1">
        <v>1</v>
      </c>
      <c r="H54" s="1">
        <v>0</v>
      </c>
      <c r="I54" s="1">
        <v>0</v>
      </c>
      <c r="J54" s="1">
        <v>0</v>
      </c>
      <c r="K54" s="1">
        <v>0</v>
      </c>
      <c r="L54" s="1">
        <v>0</v>
      </c>
      <c r="N54" s="13">
        <f t="shared" ca="1" si="55"/>
        <v>1</v>
      </c>
      <c r="O54" s="13">
        <f t="shared" ca="1" si="56"/>
        <v>0.94504102877952745</v>
      </c>
      <c r="P54" s="1" t="s">
        <v>978</v>
      </c>
      <c r="R54" s="13">
        <f t="shared" ca="1" si="57"/>
        <v>1</v>
      </c>
      <c r="S54" s="13">
        <f t="shared" ca="1" si="58"/>
        <v>0.90283654949787762</v>
      </c>
      <c r="T54" s="1" t="s">
        <v>970</v>
      </c>
      <c r="V54" s="13">
        <f t="shared" ca="1" si="59"/>
        <v>16</v>
      </c>
      <c r="W54" s="13">
        <f t="shared" ca="1" si="60"/>
        <v>9.6978449383302801E-2</v>
      </c>
      <c r="X54" s="1" t="s">
        <v>954</v>
      </c>
      <c r="Z54" s="13">
        <f t="shared" ca="1" si="61"/>
        <v>5</v>
      </c>
      <c r="AA54" s="13">
        <f t="shared" ca="1" si="62"/>
        <v>0.65441125076648843</v>
      </c>
      <c r="AB54" s="1" t="s">
        <v>1025</v>
      </c>
      <c r="AD54" s="13">
        <f t="shared" ca="1" si="63"/>
        <v>1</v>
      </c>
      <c r="AE54" s="13">
        <f t="shared" ca="1" si="64"/>
        <v>0.91548384398747407</v>
      </c>
      <c r="AF54" s="1" t="s">
        <v>914</v>
      </c>
      <c r="AH54" s="13">
        <f t="shared" ca="1" si="65"/>
        <v>13</v>
      </c>
      <c r="AI54" s="13">
        <f t="shared" ca="1" si="66"/>
        <v>0.12997449920098203</v>
      </c>
      <c r="AJ54" s="1" t="s">
        <v>950</v>
      </c>
      <c r="AL54" s="13">
        <f t="shared" ca="1" si="67"/>
        <v>5</v>
      </c>
      <c r="AM54" s="13">
        <f t="shared" ca="1" si="68"/>
        <v>0.22816488145321812</v>
      </c>
      <c r="AN54" s="1" t="s">
        <v>1015</v>
      </c>
      <c r="AT54" s="13">
        <f t="shared" ca="1" si="69"/>
        <v>3</v>
      </c>
      <c r="AU54" s="13">
        <f t="shared" ca="1" si="70"/>
        <v>0.36748154311125503</v>
      </c>
      <c r="AV54" s="1" t="s">
        <v>925</v>
      </c>
    </row>
    <row r="55" spans="2:68" ht="15.75" thickBot="1" x14ac:dyDescent="0.3">
      <c r="B55" s="1">
        <v>8</v>
      </c>
      <c r="C55" s="17">
        <v>3</v>
      </c>
      <c r="D55" s="1">
        <v>4</v>
      </c>
      <c r="E55" s="1">
        <v>3</v>
      </c>
      <c r="F55" s="1">
        <v>3</v>
      </c>
      <c r="G55" s="1">
        <v>2</v>
      </c>
      <c r="H55" s="1">
        <v>0</v>
      </c>
      <c r="I55" s="1">
        <v>0</v>
      </c>
      <c r="J55" s="1">
        <v>0</v>
      </c>
      <c r="K55" s="1">
        <v>0</v>
      </c>
      <c r="L55" s="1">
        <v>0</v>
      </c>
      <c r="N55" s="13">
        <f t="shared" ca="1" si="55"/>
        <v>7</v>
      </c>
      <c r="O55" s="13">
        <f t="shared" ca="1" si="56"/>
        <v>0.196054630618825</v>
      </c>
      <c r="P55" s="1" t="s">
        <v>1006</v>
      </c>
      <c r="R55" s="13">
        <f t="shared" ca="1" si="57"/>
        <v>13</v>
      </c>
      <c r="S55" s="13">
        <f t="shared" ca="1" si="58"/>
        <v>0.23359347295549338</v>
      </c>
      <c r="T55" s="1" t="s">
        <v>979</v>
      </c>
      <c r="V55" s="13">
        <f t="shared" ca="1" si="59"/>
        <v>18</v>
      </c>
      <c r="W55" s="13">
        <f t="shared" ca="1" si="60"/>
        <v>4.305094992965719E-4</v>
      </c>
      <c r="X55" s="1" t="s">
        <v>958</v>
      </c>
      <c r="Z55" s="13">
        <f t="shared" ca="1" si="61"/>
        <v>8</v>
      </c>
      <c r="AA55" s="13">
        <f t="shared" ca="1" si="62"/>
        <v>0.34361049688559853</v>
      </c>
      <c r="AB55" s="1" t="s">
        <v>1032</v>
      </c>
      <c r="AD55" s="13">
        <f t="shared" ca="1" si="63"/>
        <v>2</v>
      </c>
      <c r="AE55" s="13">
        <f t="shared" ca="1" si="64"/>
        <v>0.84749016970161795</v>
      </c>
      <c r="AF55" s="1" t="s">
        <v>922</v>
      </c>
      <c r="AH55" s="13">
        <f t="shared" ca="1" si="65"/>
        <v>8</v>
      </c>
      <c r="AI55" s="13">
        <f t="shared" ca="1" si="66"/>
        <v>0.45594528702856574</v>
      </c>
      <c r="AJ55" s="1" t="s">
        <v>983</v>
      </c>
      <c r="AL55" s="13">
        <f t="shared" ca="1" si="67"/>
        <v>1</v>
      </c>
      <c r="AM55" s="13">
        <f t="shared" ca="1" si="68"/>
        <v>0.89156715219232641</v>
      </c>
      <c r="AN55" s="1" t="s">
        <v>1034</v>
      </c>
    </row>
    <row r="56" spans="2:68" ht="15.75" thickBot="1" x14ac:dyDescent="0.3">
      <c r="B56" s="1">
        <v>9</v>
      </c>
      <c r="C56" s="17">
        <v>3</v>
      </c>
      <c r="D56" s="1">
        <v>4</v>
      </c>
      <c r="E56" s="1">
        <v>3</v>
      </c>
      <c r="F56" s="1">
        <v>3</v>
      </c>
      <c r="G56" s="1">
        <v>3</v>
      </c>
      <c r="H56" s="1">
        <v>1</v>
      </c>
      <c r="I56" s="1">
        <v>0</v>
      </c>
      <c r="J56" s="1">
        <v>0</v>
      </c>
      <c r="K56" s="1">
        <v>0</v>
      </c>
      <c r="L56" s="1">
        <v>0</v>
      </c>
      <c r="R56" s="13">
        <f t="shared" ca="1" si="57"/>
        <v>11</v>
      </c>
      <c r="S56" s="13">
        <f t="shared" ca="1" si="58"/>
        <v>0.4004934474329902</v>
      </c>
      <c r="T56" s="1" t="s">
        <v>1001</v>
      </c>
      <c r="V56" s="13">
        <f t="shared" ca="1" si="59"/>
        <v>10</v>
      </c>
      <c r="W56" s="13">
        <f t="shared" ca="1" si="60"/>
        <v>0.34438602006951557</v>
      </c>
      <c r="X56" s="1" t="s">
        <v>971</v>
      </c>
      <c r="Z56" s="13">
        <f t="shared" ca="1" si="61"/>
        <v>12</v>
      </c>
      <c r="AA56" s="13">
        <f t="shared" ca="1" si="62"/>
        <v>4.4657466585744987E-2</v>
      </c>
      <c r="AB56" s="1" t="s">
        <v>1050</v>
      </c>
      <c r="AD56" s="13">
        <f t="shared" ca="1" si="63"/>
        <v>12</v>
      </c>
      <c r="AE56" s="13">
        <f t="shared" ca="1" si="64"/>
        <v>0.36994653859017035</v>
      </c>
      <c r="AF56" s="1" t="s">
        <v>929</v>
      </c>
      <c r="AH56" s="13">
        <f t="shared" ca="1" si="65"/>
        <v>5</v>
      </c>
      <c r="AI56" s="13">
        <f t="shared" ca="1" si="66"/>
        <v>0.83359855550377382</v>
      </c>
      <c r="AJ56" s="1" t="s">
        <v>999</v>
      </c>
      <c r="AL56" s="13">
        <f t="shared" ca="1" si="67"/>
        <v>4</v>
      </c>
      <c r="AM56" s="13">
        <f t="shared" ca="1" si="68"/>
        <v>0.31862542412098016</v>
      </c>
      <c r="AN56" s="1" t="s">
        <v>1038</v>
      </c>
    </row>
    <row r="57" spans="2:68" ht="15.75" thickBot="1" x14ac:dyDescent="0.3">
      <c r="B57" s="1">
        <v>10</v>
      </c>
      <c r="C57" s="17">
        <v>4</v>
      </c>
      <c r="D57" s="1">
        <v>4</v>
      </c>
      <c r="E57" s="1">
        <v>3</v>
      </c>
      <c r="F57" s="1">
        <v>3</v>
      </c>
      <c r="G57" s="1">
        <v>3</v>
      </c>
      <c r="H57" s="1">
        <v>2</v>
      </c>
      <c r="I57" s="1">
        <v>0</v>
      </c>
      <c r="J57" s="1">
        <v>0</v>
      </c>
      <c r="K57" s="1">
        <v>0</v>
      </c>
      <c r="L57" s="1">
        <v>0</v>
      </c>
      <c r="R57" s="13">
        <f t="shared" ca="1" si="57"/>
        <v>12</v>
      </c>
      <c r="S57" s="13">
        <f t="shared" ca="1" si="58"/>
        <v>0.25046872038460521</v>
      </c>
      <c r="T57" s="1" t="s">
        <v>1007</v>
      </c>
      <c r="V57" s="13">
        <f t="shared" ca="1" si="59"/>
        <v>14</v>
      </c>
      <c r="W57" s="13">
        <f t="shared" ca="1" si="60"/>
        <v>0.20872851187766106</v>
      </c>
      <c r="X57" s="1" t="s">
        <v>980</v>
      </c>
      <c r="Z57" s="13">
        <f t="shared" ca="1" si="61"/>
        <v>7</v>
      </c>
      <c r="AA57" s="13">
        <f t="shared" ca="1" si="62"/>
        <v>0.37312008053759504</v>
      </c>
      <c r="AB57" s="1" t="s">
        <v>1059</v>
      </c>
      <c r="AD57" s="13">
        <f t="shared" ca="1" si="63"/>
        <v>15</v>
      </c>
      <c r="AE57" s="13">
        <f t="shared" ca="1" si="64"/>
        <v>6.6112659585895628E-2</v>
      </c>
      <c r="AF57" s="1" t="s">
        <v>949</v>
      </c>
      <c r="AH57" s="13">
        <f t="shared" ca="1" si="65"/>
        <v>6</v>
      </c>
      <c r="AI57" s="13">
        <f t="shared" ca="1" si="66"/>
        <v>0.732333345251303</v>
      </c>
      <c r="AJ57" s="1" t="s">
        <v>1027</v>
      </c>
    </row>
    <row r="58" spans="2:68" ht="15.75" thickBot="1" x14ac:dyDescent="0.3">
      <c r="B58" s="1">
        <v>11</v>
      </c>
      <c r="C58" s="17">
        <v>4</v>
      </c>
      <c r="D58" s="1">
        <v>4</v>
      </c>
      <c r="E58" s="1">
        <v>3</v>
      </c>
      <c r="F58" s="1">
        <v>3</v>
      </c>
      <c r="G58" s="1">
        <v>3</v>
      </c>
      <c r="H58" s="1">
        <v>2</v>
      </c>
      <c r="I58" s="1">
        <v>1</v>
      </c>
      <c r="J58" s="1">
        <v>0</v>
      </c>
      <c r="K58" s="1">
        <v>0</v>
      </c>
      <c r="L58" s="1">
        <v>0</v>
      </c>
      <c r="R58" s="13">
        <f t="shared" ca="1" si="57"/>
        <v>4</v>
      </c>
      <c r="S58" s="13">
        <f t="shared" ca="1" si="58"/>
        <v>0.73968160819215245</v>
      </c>
      <c r="T58" s="1" t="s">
        <v>1030</v>
      </c>
      <c r="V58" s="13">
        <f t="shared" ca="1" si="59"/>
        <v>7</v>
      </c>
      <c r="W58" s="13">
        <f t="shared" ca="1" si="60"/>
        <v>0.74166483255711313</v>
      </c>
      <c r="X58" s="1" t="s">
        <v>986</v>
      </c>
      <c r="Z58" s="13">
        <f t="shared" ca="1" si="61"/>
        <v>4</v>
      </c>
      <c r="AA58" s="13">
        <f t="shared" ca="1" si="62"/>
        <v>0.79872897434624301</v>
      </c>
      <c r="AB58" s="1" t="s">
        <v>1090</v>
      </c>
      <c r="AD58" s="13">
        <f t="shared" ca="1" si="63"/>
        <v>14</v>
      </c>
      <c r="AE58" s="13">
        <f t="shared" ca="1" si="64"/>
        <v>7.3979372502612772E-2</v>
      </c>
      <c r="AF58" s="1" t="s">
        <v>955</v>
      </c>
      <c r="AH58" s="13">
        <f t="shared" ca="1" si="65"/>
        <v>7</v>
      </c>
      <c r="AI58" s="13">
        <f t="shared" ca="1" si="66"/>
        <v>0.59203982152573709</v>
      </c>
      <c r="AJ58" s="1" t="s">
        <v>1043</v>
      </c>
    </row>
    <row r="59" spans="2:68" ht="15.75" thickBot="1" x14ac:dyDescent="0.3">
      <c r="B59" s="1">
        <v>12</v>
      </c>
      <c r="C59" s="17">
        <v>4</v>
      </c>
      <c r="D59" s="1">
        <v>4</v>
      </c>
      <c r="E59" s="1">
        <v>3</v>
      </c>
      <c r="F59" s="1">
        <v>3</v>
      </c>
      <c r="G59" s="1">
        <v>3</v>
      </c>
      <c r="H59" s="1">
        <v>2</v>
      </c>
      <c r="I59" s="1">
        <v>1</v>
      </c>
      <c r="J59" s="1">
        <v>0</v>
      </c>
      <c r="K59" s="1">
        <v>0</v>
      </c>
      <c r="L59" s="1">
        <v>0</v>
      </c>
      <c r="R59" s="13">
        <f t="shared" ca="1" si="57"/>
        <v>9</v>
      </c>
      <c r="S59" s="13">
        <f t="shared" ca="1" si="58"/>
        <v>0.41775694731459689</v>
      </c>
      <c r="T59" s="1" t="s">
        <v>1064</v>
      </c>
      <c r="V59" s="13">
        <f t="shared" ca="1" si="59"/>
        <v>13</v>
      </c>
      <c r="W59" s="13">
        <f t="shared" ca="1" si="60"/>
        <v>0.21163655988919872</v>
      </c>
      <c r="X59" s="1" t="s">
        <v>1002</v>
      </c>
      <c r="Z59" s="13">
        <f t="shared" ca="1" si="61"/>
        <v>11</v>
      </c>
      <c r="AA59" s="13">
        <f t="shared" ca="1" si="62"/>
        <v>4.8252837537205884E-2</v>
      </c>
      <c r="AB59" s="1" t="s">
        <v>1093</v>
      </c>
      <c r="AD59" s="13">
        <f t="shared" ca="1" si="63"/>
        <v>6</v>
      </c>
      <c r="AE59" s="13">
        <f t="shared" ca="1" si="64"/>
        <v>0.68321219181659099</v>
      </c>
      <c r="AF59" s="1" t="s">
        <v>967</v>
      </c>
      <c r="AH59" s="13">
        <f t="shared" ca="1" si="65"/>
        <v>4</v>
      </c>
      <c r="AI59" s="13">
        <f t="shared" ca="1" si="66"/>
        <v>0.87382030877333294</v>
      </c>
      <c r="AJ59" s="1" t="s">
        <v>1047</v>
      </c>
    </row>
    <row r="60" spans="2:68" ht="15.75" thickBot="1" x14ac:dyDescent="0.3">
      <c r="B60" s="1">
        <v>13</v>
      </c>
      <c r="C60" s="17">
        <v>4</v>
      </c>
      <c r="D60" s="1">
        <v>4</v>
      </c>
      <c r="E60" s="1">
        <v>3</v>
      </c>
      <c r="F60" s="1">
        <v>3</v>
      </c>
      <c r="G60" s="1">
        <v>3</v>
      </c>
      <c r="H60" s="1">
        <v>2</v>
      </c>
      <c r="I60" s="1">
        <v>1</v>
      </c>
      <c r="J60" s="1">
        <v>1</v>
      </c>
      <c r="K60" s="1">
        <v>0</v>
      </c>
      <c r="L60" s="1">
        <v>0</v>
      </c>
      <c r="R60" s="13">
        <f t="shared" ca="1" si="57"/>
        <v>8</v>
      </c>
      <c r="S60" s="13">
        <f t="shared" ca="1" si="58"/>
        <v>0.46395216313818477</v>
      </c>
      <c r="T60" s="1" t="s">
        <v>1068</v>
      </c>
      <c r="V60" s="13">
        <f t="shared" ca="1" si="59"/>
        <v>5</v>
      </c>
      <c r="W60" s="13">
        <f t="shared" ca="1" si="60"/>
        <v>0.7764781478094519</v>
      </c>
      <c r="X60" s="1" t="s">
        <v>1012</v>
      </c>
      <c r="Z60" s="13">
        <f t="shared" ca="1" si="61"/>
        <v>2</v>
      </c>
      <c r="AA60" s="13">
        <f t="shared" ca="1" si="62"/>
        <v>0.88175894854127568</v>
      </c>
      <c r="AB60" s="1" t="s">
        <v>1095</v>
      </c>
      <c r="AD60" s="13">
        <f t="shared" ca="1" si="63"/>
        <v>3</v>
      </c>
      <c r="AE60" s="13">
        <f t="shared" ca="1" si="64"/>
        <v>0.83925826855522778</v>
      </c>
      <c r="AF60" s="1" t="s">
        <v>995</v>
      </c>
      <c r="AH60" s="13">
        <f t="shared" ca="1" si="65"/>
        <v>2</v>
      </c>
      <c r="AI60" s="13">
        <f t="shared" ca="1" si="66"/>
        <v>0.9707971813322317</v>
      </c>
      <c r="AJ60" s="1" t="s">
        <v>1074</v>
      </c>
      <c r="BL60" s="19"/>
    </row>
    <row r="61" spans="2:68" ht="15.75" thickBot="1" x14ac:dyDescent="0.3">
      <c r="B61" s="1">
        <v>14</v>
      </c>
      <c r="C61" s="17">
        <v>4</v>
      </c>
      <c r="D61" s="1">
        <v>4</v>
      </c>
      <c r="E61" s="1">
        <v>3</v>
      </c>
      <c r="F61" s="1">
        <v>3</v>
      </c>
      <c r="G61" s="1">
        <v>3</v>
      </c>
      <c r="H61" s="1">
        <v>2</v>
      </c>
      <c r="I61" s="1">
        <v>1</v>
      </c>
      <c r="J61" s="1">
        <v>1</v>
      </c>
      <c r="K61" s="1">
        <v>0</v>
      </c>
      <c r="L61" s="1">
        <v>0</v>
      </c>
      <c r="R61" s="13">
        <f t="shared" ca="1" si="57"/>
        <v>6</v>
      </c>
      <c r="S61" s="13">
        <f t="shared" ca="1" si="58"/>
        <v>0.56229042444023569</v>
      </c>
      <c r="T61" s="1" t="s">
        <v>1078</v>
      </c>
      <c r="V61" s="13">
        <f t="shared" ca="1" si="59"/>
        <v>3</v>
      </c>
      <c r="W61" s="13">
        <f t="shared" ca="1" si="60"/>
        <v>0.86135023573630143</v>
      </c>
      <c r="X61" s="1" t="s">
        <v>1017</v>
      </c>
      <c r="AD61" s="13">
        <f t="shared" ca="1" si="63"/>
        <v>9</v>
      </c>
      <c r="AE61" s="13">
        <f t="shared" ca="1" si="64"/>
        <v>0.50140879806872751</v>
      </c>
      <c r="AF61" s="1" t="s">
        <v>1014</v>
      </c>
      <c r="AH61" s="13">
        <f t="shared" ca="1" si="65"/>
        <v>3</v>
      </c>
      <c r="AI61" s="13">
        <f t="shared" ca="1" si="66"/>
        <v>0.96801254344261922</v>
      </c>
      <c r="AJ61" s="1" t="s">
        <v>1084</v>
      </c>
    </row>
    <row r="62" spans="2:68" ht="15.75" thickBot="1" x14ac:dyDescent="0.3">
      <c r="B62" s="1">
        <v>15</v>
      </c>
      <c r="C62" s="17">
        <v>4</v>
      </c>
      <c r="D62" s="1">
        <v>4</v>
      </c>
      <c r="E62" s="1">
        <v>3</v>
      </c>
      <c r="F62" s="1">
        <v>3</v>
      </c>
      <c r="G62" s="1">
        <v>3</v>
      </c>
      <c r="H62" s="1">
        <v>2</v>
      </c>
      <c r="I62" s="1">
        <v>1</v>
      </c>
      <c r="J62" s="1">
        <v>1</v>
      </c>
      <c r="K62" s="1">
        <v>1</v>
      </c>
      <c r="L62" s="1">
        <v>0</v>
      </c>
      <c r="R62" s="13">
        <f t="shared" ca="1" si="57"/>
        <v>5</v>
      </c>
      <c r="S62" s="13">
        <f t="shared" ca="1" si="58"/>
        <v>0.70572558923078021</v>
      </c>
      <c r="T62" s="1" t="s">
        <v>1098</v>
      </c>
      <c r="V62" s="13">
        <f t="shared" ca="1" si="59"/>
        <v>8</v>
      </c>
      <c r="W62" s="13">
        <f t="shared" ca="1" si="60"/>
        <v>0.48831331741634532</v>
      </c>
      <c r="X62" s="1" t="s">
        <v>1055</v>
      </c>
      <c r="AD62" s="13">
        <f t="shared" ca="1" si="63"/>
        <v>8</v>
      </c>
      <c r="AE62" s="13">
        <f t="shared" ca="1" si="64"/>
        <v>0.51505553717841646</v>
      </c>
      <c r="AF62" s="1" t="s">
        <v>1019</v>
      </c>
    </row>
    <row r="63" spans="2:68" ht="15.75" thickBot="1" x14ac:dyDescent="0.3">
      <c r="B63" s="1">
        <v>16</v>
      </c>
      <c r="C63" s="17">
        <v>4</v>
      </c>
      <c r="D63" s="1">
        <v>4</v>
      </c>
      <c r="E63" s="1">
        <v>3</v>
      </c>
      <c r="F63" s="1">
        <v>3</v>
      </c>
      <c r="G63" s="1">
        <v>3</v>
      </c>
      <c r="H63" s="1">
        <v>2</v>
      </c>
      <c r="I63" s="1">
        <v>1</v>
      </c>
      <c r="J63" s="1">
        <v>1</v>
      </c>
      <c r="K63" s="1">
        <v>1</v>
      </c>
      <c r="L63" s="1">
        <v>0</v>
      </c>
      <c r="R63" s="13">
        <f t="shared" ca="1" si="57"/>
        <v>15</v>
      </c>
      <c r="S63" s="13">
        <f t="shared" ca="1" si="58"/>
        <v>9.4788138353101181E-2</v>
      </c>
      <c r="T63" s="1" t="s">
        <v>1106</v>
      </c>
      <c r="V63" s="13">
        <f t="shared" ca="1" si="59"/>
        <v>15</v>
      </c>
      <c r="W63" s="13">
        <f t="shared" ca="1" si="60"/>
        <v>0.1770842559410426</v>
      </c>
      <c r="X63" s="1" t="s">
        <v>1062</v>
      </c>
      <c r="AD63" s="13">
        <f t="shared" ca="1" si="63"/>
        <v>7</v>
      </c>
      <c r="AE63" s="13">
        <f t="shared" ca="1" si="64"/>
        <v>0.67472574729514556</v>
      </c>
      <c r="AF63" s="1" t="s">
        <v>1042</v>
      </c>
    </row>
    <row r="64" spans="2:68" ht="15.75" thickBot="1" x14ac:dyDescent="0.3">
      <c r="B64" s="1">
        <v>17</v>
      </c>
      <c r="C64" s="17">
        <v>4</v>
      </c>
      <c r="D64" s="1">
        <v>4</v>
      </c>
      <c r="E64" s="1">
        <v>3</v>
      </c>
      <c r="F64" s="1">
        <v>3</v>
      </c>
      <c r="G64" s="1">
        <v>3</v>
      </c>
      <c r="H64" s="1">
        <v>2</v>
      </c>
      <c r="I64" s="1">
        <v>1</v>
      </c>
      <c r="J64" s="1">
        <v>1</v>
      </c>
      <c r="K64" s="1">
        <v>1</v>
      </c>
      <c r="L64" s="1">
        <v>1</v>
      </c>
      <c r="V64" s="13">
        <f t="shared" ca="1" si="59"/>
        <v>11</v>
      </c>
      <c r="W64" s="13">
        <f t="shared" ca="1" si="60"/>
        <v>0.24862085170862003</v>
      </c>
      <c r="X64" s="1" t="s">
        <v>1072</v>
      </c>
    </row>
    <row r="65" spans="1:60" ht="15.75" thickBot="1" x14ac:dyDescent="0.3">
      <c r="B65" s="1">
        <v>18</v>
      </c>
      <c r="C65" s="17">
        <v>4</v>
      </c>
      <c r="D65" s="1">
        <v>4</v>
      </c>
      <c r="E65" s="1">
        <v>3</v>
      </c>
      <c r="F65" s="1">
        <v>3</v>
      </c>
      <c r="G65" s="1">
        <v>3</v>
      </c>
      <c r="H65" s="1">
        <v>3</v>
      </c>
      <c r="I65" s="1">
        <v>1</v>
      </c>
      <c r="J65" s="1">
        <v>1</v>
      </c>
      <c r="K65" s="1">
        <v>1</v>
      </c>
      <c r="L65" s="1">
        <v>1</v>
      </c>
      <c r="V65" s="13">
        <f t="shared" ca="1" si="59"/>
        <v>2</v>
      </c>
      <c r="W65" s="13">
        <f t="shared" ca="1" si="60"/>
        <v>0.88382179723660614</v>
      </c>
      <c r="X65" s="1" t="s">
        <v>1099</v>
      </c>
    </row>
    <row r="66" spans="1:60" ht="15.75" thickBot="1" x14ac:dyDescent="0.3">
      <c r="B66" s="1">
        <v>19</v>
      </c>
      <c r="C66" s="17">
        <v>4</v>
      </c>
      <c r="D66" s="1">
        <v>4</v>
      </c>
      <c r="E66" s="1">
        <v>3</v>
      </c>
      <c r="F66" s="1">
        <v>3</v>
      </c>
      <c r="G66" s="1">
        <v>3</v>
      </c>
      <c r="H66" s="1">
        <v>3</v>
      </c>
      <c r="I66" s="1">
        <v>2</v>
      </c>
      <c r="J66" s="1">
        <v>1</v>
      </c>
      <c r="K66" s="1">
        <v>1</v>
      </c>
      <c r="L66" s="1">
        <v>1</v>
      </c>
    </row>
    <row r="67" spans="1:60" ht="15.75" thickBot="1" x14ac:dyDescent="0.3">
      <c r="B67" s="1">
        <v>20</v>
      </c>
      <c r="C67" s="17">
        <v>4</v>
      </c>
      <c r="D67" s="1">
        <v>4</v>
      </c>
      <c r="E67" s="1">
        <v>3</v>
      </c>
      <c r="F67" s="1">
        <v>3</v>
      </c>
      <c r="G67" s="1">
        <v>3</v>
      </c>
      <c r="H67" s="1">
        <v>3</v>
      </c>
      <c r="I67" s="1">
        <v>2</v>
      </c>
      <c r="J67" s="1">
        <v>2</v>
      </c>
      <c r="K67" s="1">
        <v>1</v>
      </c>
      <c r="L67" s="1">
        <v>1</v>
      </c>
    </row>
    <row r="69" spans="1:60" s="2" customFormat="1" ht="15.75" thickBot="1" x14ac:dyDescent="0.3">
      <c r="A69" s="2" t="s">
        <v>1155</v>
      </c>
      <c r="B69" s="18" t="s">
        <v>1130</v>
      </c>
      <c r="C69" s="2" t="s">
        <v>1129</v>
      </c>
      <c r="D69" s="2">
        <v>1</v>
      </c>
      <c r="E69" s="2">
        <v>2</v>
      </c>
      <c r="F69" s="2">
        <v>3</v>
      </c>
      <c r="G69" s="2">
        <v>4</v>
      </c>
      <c r="N69" s="2" t="s">
        <v>1227</v>
      </c>
      <c r="R69" s="2" t="s">
        <v>1235</v>
      </c>
      <c r="V69" s="2" t="s">
        <v>1234</v>
      </c>
      <c r="Z69" s="2" t="s">
        <v>1237</v>
      </c>
      <c r="AD69" s="2" t="s">
        <v>1236</v>
      </c>
      <c r="AE69" s="1"/>
      <c r="AF69" s="1"/>
      <c r="AH69" s="2" t="s">
        <v>1239</v>
      </c>
      <c r="AL69" s="2" t="s">
        <v>1238</v>
      </c>
      <c r="AP69" s="2" t="s">
        <v>1240</v>
      </c>
      <c r="AT69" s="2" t="s">
        <v>1241</v>
      </c>
      <c r="BF69" s="1"/>
      <c r="BG69" s="1"/>
      <c r="BH69" s="1"/>
    </row>
    <row r="70" spans="1:60" ht="15.75" thickBot="1" x14ac:dyDescent="0.3">
      <c r="A70" s="1">
        <v>1</v>
      </c>
      <c r="B70" s="17">
        <v>0</v>
      </c>
      <c r="C70" s="1">
        <v>0</v>
      </c>
      <c r="D70" s="1">
        <v>0</v>
      </c>
      <c r="E70" s="1">
        <v>0</v>
      </c>
      <c r="F70" s="1">
        <v>0</v>
      </c>
      <c r="G70" s="1">
        <v>0</v>
      </c>
      <c r="N70" s="13">
        <f t="shared" ref="N70:N83" ca="1" si="71">_xlfn.RANK.EQ(O70,$O$70:$O$83)</f>
        <v>8</v>
      </c>
      <c r="O70" s="13">
        <f t="shared" ref="O70:O83" ca="1" si="72">RAND()</f>
        <v>0.6237325931757467</v>
      </c>
      <c r="P70" s="1" t="s">
        <v>752</v>
      </c>
      <c r="R70" s="13">
        <f t="shared" ref="R70:R78" ca="1" si="73">_xlfn.RANK.EQ(S70,$S$70:$S$78)</f>
        <v>8</v>
      </c>
      <c r="S70" s="13">
        <f t="shared" ref="S70:S78" ca="1" si="74">RAND()</f>
        <v>0.38202189669588771</v>
      </c>
      <c r="T70" s="1" t="s">
        <v>760</v>
      </c>
      <c r="V70" s="13">
        <f t="shared" ref="V70:V90" ca="1" si="75">_xlfn.RANK.EQ(W70,$W$70:$W$90)</f>
        <v>13</v>
      </c>
      <c r="W70" s="13">
        <f t="shared" ref="W70:W90" ca="1" si="76">RAND()</f>
        <v>0.5428687475901004</v>
      </c>
      <c r="X70" s="1" t="s">
        <v>867</v>
      </c>
      <c r="Z70" s="13">
        <f t="shared" ref="Z70:Z75" ca="1" si="77">_xlfn.RANK.EQ(AA70,$AA$70:$AA$75)</f>
        <v>3</v>
      </c>
      <c r="AA70" s="13">
        <f t="shared" ref="AA70:AA75" ca="1" si="78">RAND()</f>
        <v>0.4242777716800159</v>
      </c>
      <c r="AB70" s="1" t="s">
        <v>786</v>
      </c>
      <c r="AD70" s="13">
        <f t="shared" ref="AD70:AD94" ca="1" si="79">_xlfn.RANK.EQ(AE70,$AE$70:$AE$94)</f>
        <v>20</v>
      </c>
      <c r="AE70" s="13">
        <f t="shared" ref="AE70:AE94" ca="1" si="80">RAND()</f>
        <v>0.26846228703784591</v>
      </c>
      <c r="AF70" s="1" t="s">
        <v>769</v>
      </c>
      <c r="AH70" s="13">
        <f t="shared" ref="AH70:AH79" ca="1" si="81">_xlfn.RANK.EQ(AI70,$AI$70:$AI$79)</f>
        <v>5</v>
      </c>
      <c r="AI70" s="13">
        <f t="shared" ref="AI70:AI79" ca="1" si="82">RAND()</f>
        <v>0.65666748888592374</v>
      </c>
      <c r="AJ70" s="1" t="s">
        <v>847</v>
      </c>
      <c r="AL70" s="13">
        <f t="shared" ref="AL70:AL88" ca="1" si="83">_xlfn.RANK.EQ(AM70,$AM$70:$AM$88)</f>
        <v>19</v>
      </c>
      <c r="AM70" s="13">
        <f t="shared" ref="AM70:AM88" ca="1" si="84">RAND()</f>
        <v>5.5973968456459633E-2</v>
      </c>
      <c r="AN70" s="1" t="s">
        <v>753</v>
      </c>
      <c r="AP70" s="13">
        <f t="shared" ref="AP70:AP75" ca="1" si="85">_xlfn.RANK.EQ(AQ70,$AQ$70:$AQ$75)</f>
        <v>2</v>
      </c>
      <c r="AQ70" s="13">
        <f t="shared" ref="AQ70:AQ75" ca="1" si="86">RAND()</f>
        <v>0.92031182119922172</v>
      </c>
      <c r="AR70" s="1" t="s">
        <v>779</v>
      </c>
      <c r="AT70" s="13">
        <f t="shared" ref="AT70:AT86" ca="1" si="87">_xlfn.RANK.EQ(AU70,$AU$70:$AU$86)</f>
        <v>13</v>
      </c>
      <c r="AU70" s="13">
        <f t="shared" ref="AU70:AU86" ca="1" si="88">RAND()</f>
        <v>0.41839926039073416</v>
      </c>
      <c r="AV70" s="1" t="s">
        <v>754</v>
      </c>
      <c r="BF70" s="2"/>
      <c r="BG70" s="2"/>
      <c r="BH70" s="2"/>
    </row>
    <row r="71" spans="1:60" ht="15.75" thickBot="1" x14ac:dyDescent="0.3">
      <c r="A71" s="1">
        <v>2</v>
      </c>
      <c r="B71" s="17">
        <v>0</v>
      </c>
      <c r="C71" s="1">
        <v>0</v>
      </c>
      <c r="D71" s="1">
        <v>0</v>
      </c>
      <c r="E71" s="1">
        <v>0</v>
      </c>
      <c r="F71" s="1">
        <v>0</v>
      </c>
      <c r="G71" s="1">
        <v>0</v>
      </c>
      <c r="N71" s="13">
        <f t="shared" ca="1" si="71"/>
        <v>14</v>
      </c>
      <c r="O71" s="13">
        <f t="shared" ca="1" si="72"/>
        <v>0.31086881948907408</v>
      </c>
      <c r="P71" s="1" t="s">
        <v>776</v>
      </c>
      <c r="R71" s="13">
        <f t="shared" ca="1" si="73"/>
        <v>1</v>
      </c>
      <c r="S71" s="13">
        <f t="shared" ca="1" si="74"/>
        <v>0.80741970006918917</v>
      </c>
      <c r="T71" s="1" t="s">
        <v>828</v>
      </c>
      <c r="V71" s="13">
        <f t="shared" ca="1" si="75"/>
        <v>3</v>
      </c>
      <c r="W71" s="13">
        <f t="shared" ca="1" si="76"/>
        <v>0.86809555283451179</v>
      </c>
      <c r="X71" s="1" t="s">
        <v>883</v>
      </c>
      <c r="Z71" s="13">
        <f t="shared" ca="1" si="77"/>
        <v>1</v>
      </c>
      <c r="AA71" s="13">
        <f t="shared" ca="1" si="78"/>
        <v>0.46347202641576934</v>
      </c>
      <c r="AB71" s="1" t="s">
        <v>859</v>
      </c>
      <c r="AD71" s="13">
        <f t="shared" ca="1" si="79"/>
        <v>7</v>
      </c>
      <c r="AE71" s="13">
        <f t="shared" ca="1" si="80"/>
        <v>0.73815131913743659</v>
      </c>
      <c r="AF71" s="1" t="s">
        <v>819</v>
      </c>
      <c r="AH71" s="13">
        <f t="shared" ca="1" si="81"/>
        <v>10</v>
      </c>
      <c r="AI71" s="13">
        <f t="shared" ca="1" si="82"/>
        <v>7.1121573823053286E-2</v>
      </c>
      <c r="AJ71" s="1" t="s">
        <v>876</v>
      </c>
      <c r="AL71" s="13">
        <f t="shared" ca="1" si="83"/>
        <v>17</v>
      </c>
      <c r="AM71" s="13">
        <f t="shared" ca="1" si="84"/>
        <v>0.30858312880269601</v>
      </c>
      <c r="AN71" s="1" t="s">
        <v>778</v>
      </c>
      <c r="AP71" s="13">
        <f t="shared" ca="1" si="85"/>
        <v>1</v>
      </c>
      <c r="AQ71" s="13">
        <f t="shared" ca="1" si="86"/>
        <v>0.95131638577034006</v>
      </c>
      <c r="AR71" s="1" t="s">
        <v>906</v>
      </c>
      <c r="AT71" s="13">
        <f t="shared" ca="1" si="87"/>
        <v>12</v>
      </c>
      <c r="AU71" s="13">
        <f t="shared" ca="1" si="88"/>
        <v>0.51817032283710074</v>
      </c>
      <c r="AV71" s="1" t="s">
        <v>788</v>
      </c>
    </row>
    <row r="72" spans="1:60" ht="15.75" thickBot="1" x14ac:dyDescent="0.3">
      <c r="A72" s="1">
        <v>3</v>
      </c>
      <c r="B72" s="17">
        <v>2</v>
      </c>
      <c r="C72" s="1">
        <v>2</v>
      </c>
      <c r="D72" s="1">
        <v>2</v>
      </c>
      <c r="E72" s="1">
        <v>0</v>
      </c>
      <c r="F72" s="1">
        <v>0</v>
      </c>
      <c r="G72" s="1">
        <v>0</v>
      </c>
      <c r="N72" s="13">
        <f t="shared" ca="1" si="71"/>
        <v>3</v>
      </c>
      <c r="O72" s="13">
        <f t="shared" ca="1" si="72"/>
        <v>0.89535230162630397</v>
      </c>
      <c r="P72" s="1" t="s">
        <v>801</v>
      </c>
      <c r="R72" s="13">
        <f t="shared" ca="1" si="73"/>
        <v>2</v>
      </c>
      <c r="S72" s="13">
        <f t="shared" ca="1" si="74"/>
        <v>0.72220626791191056</v>
      </c>
      <c r="T72" s="1" t="s">
        <v>874</v>
      </c>
      <c r="V72" s="13">
        <f t="shared" ca="1" si="75"/>
        <v>4</v>
      </c>
      <c r="W72" s="13">
        <f t="shared" ca="1" si="76"/>
        <v>0.75462622837518667</v>
      </c>
      <c r="X72" s="1" t="s">
        <v>905</v>
      </c>
      <c r="Z72" s="13">
        <f t="shared" ca="1" si="77"/>
        <v>5</v>
      </c>
      <c r="AA72" s="13">
        <f t="shared" ca="1" si="78"/>
        <v>0.28390924871209944</v>
      </c>
      <c r="AB72" s="1" t="s">
        <v>884</v>
      </c>
      <c r="AD72" s="13">
        <f t="shared" ca="1" si="79"/>
        <v>11</v>
      </c>
      <c r="AE72" s="13">
        <f t="shared" ca="1" si="80"/>
        <v>0.63707227868156824</v>
      </c>
      <c r="AF72" s="1" t="s">
        <v>829</v>
      </c>
      <c r="AH72" s="13">
        <f t="shared" ca="1" si="81"/>
        <v>1</v>
      </c>
      <c r="AI72" s="13">
        <f t="shared" ca="1" si="82"/>
        <v>0.96674321946178787</v>
      </c>
      <c r="AJ72" s="1" t="s">
        <v>921</v>
      </c>
      <c r="AL72" s="13">
        <f t="shared" ca="1" si="83"/>
        <v>9</v>
      </c>
      <c r="AM72" s="13">
        <f t="shared" ca="1" si="84"/>
        <v>0.67494757431609098</v>
      </c>
      <c r="AN72" s="1" t="s">
        <v>795</v>
      </c>
      <c r="AP72" s="13">
        <f t="shared" ca="1" si="85"/>
        <v>6</v>
      </c>
      <c r="AQ72" s="13">
        <f t="shared" ca="1" si="86"/>
        <v>0.13231196804315959</v>
      </c>
      <c r="AR72" s="1" t="s">
        <v>955</v>
      </c>
      <c r="AT72" s="13">
        <f t="shared" ca="1" si="87"/>
        <v>5</v>
      </c>
      <c r="AU72" s="13">
        <f t="shared" ca="1" si="88"/>
        <v>0.80199287210661685</v>
      </c>
      <c r="AV72" s="1" t="s">
        <v>812</v>
      </c>
    </row>
    <row r="73" spans="1:60" ht="15.75" thickBot="1" x14ac:dyDescent="0.3">
      <c r="A73" s="1">
        <v>4</v>
      </c>
      <c r="B73" s="17">
        <v>2</v>
      </c>
      <c r="C73" s="1">
        <v>3</v>
      </c>
      <c r="D73" s="1">
        <v>3</v>
      </c>
      <c r="E73" s="1">
        <v>0</v>
      </c>
      <c r="F73" s="1">
        <v>0</v>
      </c>
      <c r="G73" s="1">
        <v>0</v>
      </c>
      <c r="N73" s="13">
        <f t="shared" ca="1" si="71"/>
        <v>5</v>
      </c>
      <c r="O73" s="13">
        <f t="shared" ca="1" si="72"/>
        <v>0.84830992874691624</v>
      </c>
      <c r="P73" s="1" t="s">
        <v>827</v>
      </c>
      <c r="R73" s="13">
        <f t="shared" ca="1" si="73"/>
        <v>4</v>
      </c>
      <c r="S73" s="13">
        <f t="shared" ca="1" si="74"/>
        <v>0.54985102597472868</v>
      </c>
      <c r="T73" s="1" t="s">
        <v>1071</v>
      </c>
      <c r="V73" s="13">
        <f t="shared" ca="1" si="75"/>
        <v>5</v>
      </c>
      <c r="W73" s="13">
        <f t="shared" ca="1" si="76"/>
        <v>0.71272935043642549</v>
      </c>
      <c r="X73" s="1" t="s">
        <v>930</v>
      </c>
      <c r="Z73" s="13">
        <f t="shared" ca="1" si="77"/>
        <v>2</v>
      </c>
      <c r="AA73" s="13">
        <f t="shared" ca="1" si="78"/>
        <v>0.45549389482893288</v>
      </c>
      <c r="AB73" s="1" t="s">
        <v>971</v>
      </c>
      <c r="AD73" s="13">
        <f t="shared" ca="1" si="79"/>
        <v>15</v>
      </c>
      <c r="AE73" s="13">
        <f t="shared" ca="1" si="80"/>
        <v>0.47341464525950305</v>
      </c>
      <c r="AF73" s="1" t="s">
        <v>852</v>
      </c>
      <c r="AH73" s="13">
        <f t="shared" ca="1" si="81"/>
        <v>6</v>
      </c>
      <c r="AI73" s="13">
        <f t="shared" ca="1" si="82"/>
        <v>0.64072237037197655</v>
      </c>
      <c r="AJ73" s="1" t="s">
        <v>943</v>
      </c>
      <c r="AL73" s="13">
        <f t="shared" ca="1" si="83"/>
        <v>4</v>
      </c>
      <c r="AM73" s="13">
        <f t="shared" ca="1" si="84"/>
        <v>0.79312033453425046</v>
      </c>
      <c r="AN73" s="1" t="s">
        <v>820</v>
      </c>
      <c r="AP73" s="13">
        <f t="shared" ca="1" si="85"/>
        <v>3</v>
      </c>
      <c r="AQ73" s="13">
        <f t="shared" ca="1" si="86"/>
        <v>0.74771395579713495</v>
      </c>
      <c r="AR73" s="1" t="s">
        <v>982</v>
      </c>
      <c r="AT73" s="13">
        <f t="shared" ca="1" si="87"/>
        <v>17</v>
      </c>
      <c r="AU73" s="13">
        <f t="shared" ca="1" si="88"/>
        <v>3.0207282875375663E-2</v>
      </c>
      <c r="AV73" s="1" t="s">
        <v>821</v>
      </c>
    </row>
    <row r="74" spans="1:60" ht="15.75" thickBot="1" x14ac:dyDescent="0.3">
      <c r="A74" s="1">
        <v>5</v>
      </c>
      <c r="B74" s="17">
        <v>2</v>
      </c>
      <c r="C74" s="1">
        <v>3</v>
      </c>
      <c r="D74" s="1">
        <v>3</v>
      </c>
      <c r="E74" s="1">
        <v>0</v>
      </c>
      <c r="F74" s="1">
        <v>0</v>
      </c>
      <c r="G74" s="1">
        <v>0</v>
      </c>
      <c r="N74" s="13">
        <f t="shared" ca="1" si="71"/>
        <v>7</v>
      </c>
      <c r="O74" s="13">
        <f t="shared" ca="1" si="72"/>
        <v>0.74661943491880933</v>
      </c>
      <c r="P74" s="1" t="s">
        <v>882</v>
      </c>
      <c r="R74" s="13">
        <f t="shared" ca="1" si="73"/>
        <v>7</v>
      </c>
      <c r="S74" s="13">
        <f t="shared" ca="1" si="74"/>
        <v>0.40374602487213307</v>
      </c>
      <c r="T74" s="1" t="s">
        <v>1073</v>
      </c>
      <c r="V74" s="13">
        <f t="shared" ca="1" si="75"/>
        <v>10</v>
      </c>
      <c r="W74" s="13">
        <f t="shared" ca="1" si="76"/>
        <v>0.56726620449465603</v>
      </c>
      <c r="X74" s="1" t="s">
        <v>941</v>
      </c>
      <c r="Z74" s="13">
        <f t="shared" ca="1" si="77"/>
        <v>4</v>
      </c>
      <c r="AA74" s="13">
        <f t="shared" ca="1" si="78"/>
        <v>0.32912334162673385</v>
      </c>
      <c r="AB74" s="1" t="s">
        <v>1082</v>
      </c>
      <c r="AD74" s="13">
        <f t="shared" ca="1" si="79"/>
        <v>12</v>
      </c>
      <c r="AE74" s="13">
        <f t="shared" ca="1" si="80"/>
        <v>0.5671673529716611</v>
      </c>
      <c r="AF74" s="1" t="s">
        <v>1230</v>
      </c>
      <c r="AH74" s="13">
        <f t="shared" ca="1" si="81"/>
        <v>9</v>
      </c>
      <c r="AI74" s="13">
        <f t="shared" ca="1" si="82"/>
        <v>0.10364443221598396</v>
      </c>
      <c r="AJ74" s="1" t="s">
        <v>981</v>
      </c>
      <c r="AL74" s="13">
        <f t="shared" ca="1" si="83"/>
        <v>15</v>
      </c>
      <c r="AM74" s="13">
        <f t="shared" ca="1" si="84"/>
        <v>0.33911216083373441</v>
      </c>
      <c r="AN74" s="1" t="s">
        <v>640</v>
      </c>
      <c r="AP74" s="13">
        <f t="shared" ca="1" si="85"/>
        <v>4</v>
      </c>
      <c r="AQ74" s="13">
        <f t="shared" ca="1" si="86"/>
        <v>0.70028117595871953</v>
      </c>
      <c r="AR74" s="1" t="s">
        <v>1228</v>
      </c>
      <c r="AT74" s="13">
        <f t="shared" ca="1" si="87"/>
        <v>9</v>
      </c>
      <c r="AU74" s="13">
        <f t="shared" ca="1" si="88"/>
        <v>0.72997589133791407</v>
      </c>
      <c r="AV74" s="1" t="s">
        <v>840</v>
      </c>
    </row>
    <row r="75" spans="1:60" ht="15.75" thickBot="1" x14ac:dyDescent="0.3">
      <c r="A75" s="1">
        <v>6</v>
      </c>
      <c r="B75" s="17">
        <v>2</v>
      </c>
      <c r="C75" s="1">
        <v>3</v>
      </c>
      <c r="D75" s="1">
        <v>3</v>
      </c>
      <c r="E75" s="1">
        <v>0</v>
      </c>
      <c r="F75" s="1">
        <v>0</v>
      </c>
      <c r="G75" s="1">
        <v>0</v>
      </c>
      <c r="N75" s="13">
        <f t="shared" ca="1" si="71"/>
        <v>4</v>
      </c>
      <c r="O75" s="13">
        <f t="shared" ca="1" si="72"/>
        <v>0.8587416370406008</v>
      </c>
      <c r="P75" s="1" t="s">
        <v>897</v>
      </c>
      <c r="R75" s="13">
        <f t="shared" ca="1" si="73"/>
        <v>5</v>
      </c>
      <c r="S75" s="13">
        <f t="shared" ca="1" si="74"/>
        <v>0.43922042488966362</v>
      </c>
      <c r="T75" s="1" t="s">
        <v>1075</v>
      </c>
      <c r="V75" s="13">
        <f t="shared" ca="1" si="75"/>
        <v>19</v>
      </c>
      <c r="W75" s="13">
        <f t="shared" ca="1" si="76"/>
        <v>9.5561811005950958E-2</v>
      </c>
      <c r="X75" s="1" t="s">
        <v>974</v>
      </c>
      <c r="Z75" s="13">
        <f t="shared" ca="1" si="77"/>
        <v>6</v>
      </c>
      <c r="AA75" s="13">
        <f t="shared" ca="1" si="78"/>
        <v>7.4276266398132451E-2</v>
      </c>
      <c r="AB75" s="1" t="s">
        <v>1089</v>
      </c>
      <c r="AD75" s="13">
        <f t="shared" ca="1" si="79"/>
        <v>14</v>
      </c>
      <c r="AE75" s="13">
        <f t="shared" ca="1" si="80"/>
        <v>0.53952030921468463</v>
      </c>
      <c r="AF75" s="1" t="s">
        <v>891</v>
      </c>
      <c r="AH75" s="13">
        <f t="shared" ca="1" si="81"/>
        <v>8</v>
      </c>
      <c r="AI75" s="13">
        <f t="shared" ca="1" si="82"/>
        <v>0.22467720870669849</v>
      </c>
      <c r="AJ75" s="1" t="s">
        <v>987</v>
      </c>
      <c r="AL75" s="13">
        <f t="shared" ca="1" si="83"/>
        <v>16</v>
      </c>
      <c r="AM75" s="13">
        <f t="shared" ca="1" si="84"/>
        <v>0.32737469127131913</v>
      </c>
      <c r="AN75" s="1" t="s">
        <v>932</v>
      </c>
      <c r="AP75" s="13">
        <f t="shared" ca="1" si="85"/>
        <v>5</v>
      </c>
      <c r="AQ75" s="13">
        <f t="shared" ca="1" si="86"/>
        <v>0.64240923838639052</v>
      </c>
      <c r="AR75" s="1" t="s">
        <v>1042</v>
      </c>
      <c r="AT75" s="13">
        <f t="shared" ca="1" si="87"/>
        <v>2</v>
      </c>
      <c r="AU75" s="13">
        <f t="shared" ca="1" si="88"/>
        <v>0.92652598698519739</v>
      </c>
      <c r="AV75" s="1" t="s">
        <v>854</v>
      </c>
    </row>
    <row r="76" spans="1:60" ht="15.75" thickBot="1" x14ac:dyDescent="0.3">
      <c r="A76" s="1">
        <v>7</v>
      </c>
      <c r="B76" s="17">
        <v>2</v>
      </c>
      <c r="C76" s="1">
        <v>4</v>
      </c>
      <c r="D76" s="1">
        <v>4</v>
      </c>
      <c r="E76" s="1">
        <v>2</v>
      </c>
      <c r="F76" s="1">
        <v>0</v>
      </c>
      <c r="G76" s="1">
        <v>0</v>
      </c>
      <c r="N76" s="13">
        <f t="shared" ca="1" si="71"/>
        <v>11</v>
      </c>
      <c r="O76" s="13">
        <f t="shared" ca="1" si="72"/>
        <v>0.52567463611569698</v>
      </c>
      <c r="P76" s="1" t="s">
        <v>911</v>
      </c>
      <c r="R76" s="13">
        <f t="shared" ca="1" si="73"/>
        <v>3</v>
      </c>
      <c r="S76" s="13">
        <f t="shared" ca="1" si="74"/>
        <v>0.71540086439166894</v>
      </c>
      <c r="T76" s="1" t="s">
        <v>1088</v>
      </c>
      <c r="V76" s="13">
        <f t="shared" ca="1" si="75"/>
        <v>8</v>
      </c>
      <c r="W76" s="13">
        <f t="shared" ca="1" si="76"/>
        <v>0.60573186616084174</v>
      </c>
      <c r="X76" s="1" t="s">
        <v>985</v>
      </c>
      <c r="AD76" s="13">
        <f t="shared" ca="1" si="79"/>
        <v>25</v>
      </c>
      <c r="AE76" s="13">
        <f t="shared" ca="1" si="80"/>
        <v>4.6539157946032583E-2</v>
      </c>
      <c r="AF76" s="1" t="s">
        <v>899</v>
      </c>
      <c r="AH76" s="13">
        <f t="shared" ca="1" si="81"/>
        <v>4</v>
      </c>
      <c r="AI76" s="13">
        <f t="shared" ca="1" si="82"/>
        <v>0.80507981395455197</v>
      </c>
      <c r="AJ76" s="1" t="s">
        <v>1013</v>
      </c>
      <c r="AL76" s="13">
        <f t="shared" ca="1" si="83"/>
        <v>14</v>
      </c>
      <c r="AM76" s="13">
        <f t="shared" ca="1" si="84"/>
        <v>0.36452224168424241</v>
      </c>
      <c r="AN76" s="1" t="s">
        <v>937</v>
      </c>
      <c r="AT76" s="13">
        <f t="shared" ca="1" si="87"/>
        <v>7</v>
      </c>
      <c r="AU76" s="13">
        <f t="shared" ca="1" si="88"/>
        <v>0.77461333638183927</v>
      </c>
      <c r="AV76" s="1" t="s">
        <v>886</v>
      </c>
    </row>
    <row r="77" spans="1:60" ht="15.75" thickBot="1" x14ac:dyDescent="0.3">
      <c r="A77" s="1">
        <v>8</v>
      </c>
      <c r="B77" s="17">
        <v>2</v>
      </c>
      <c r="C77" s="1">
        <v>4</v>
      </c>
      <c r="D77" s="1">
        <v>4</v>
      </c>
      <c r="E77" s="1">
        <v>2</v>
      </c>
      <c r="F77" s="1">
        <v>0</v>
      </c>
      <c r="G77" s="1">
        <v>0</v>
      </c>
      <c r="N77" s="13">
        <f t="shared" ca="1" si="71"/>
        <v>13</v>
      </c>
      <c r="O77" s="13">
        <f t="shared" ca="1" si="72"/>
        <v>0.32953787620561148</v>
      </c>
      <c r="P77" s="1" t="s">
        <v>919</v>
      </c>
      <c r="R77" s="13">
        <f t="shared" ca="1" si="73"/>
        <v>9</v>
      </c>
      <c r="S77" s="13">
        <f t="shared" ca="1" si="74"/>
        <v>0.2653455167469484</v>
      </c>
      <c r="T77" s="1" t="s">
        <v>1106</v>
      </c>
      <c r="V77" s="13">
        <f t="shared" ca="1" si="75"/>
        <v>12</v>
      </c>
      <c r="W77" s="13">
        <f t="shared" ca="1" si="76"/>
        <v>0.55809064794180596</v>
      </c>
      <c r="X77" s="1" t="s">
        <v>992</v>
      </c>
      <c r="AD77" s="13">
        <f t="shared" ca="1" si="79"/>
        <v>2</v>
      </c>
      <c r="AE77" s="13">
        <f t="shared" ca="1" si="80"/>
        <v>0.96770833716628213</v>
      </c>
      <c r="AF77" s="1" t="s">
        <v>931</v>
      </c>
      <c r="AH77" s="13">
        <f t="shared" ca="1" si="81"/>
        <v>3</v>
      </c>
      <c r="AI77" s="13">
        <f t="shared" ca="1" si="82"/>
        <v>0.84219658529343489</v>
      </c>
      <c r="AJ77" s="1" t="s">
        <v>1032</v>
      </c>
      <c r="AL77" s="13">
        <f t="shared" ca="1" si="83"/>
        <v>3</v>
      </c>
      <c r="AM77" s="13">
        <f t="shared" ca="1" si="84"/>
        <v>0.79887784738866019</v>
      </c>
      <c r="AN77" s="1" t="s">
        <v>948</v>
      </c>
      <c r="AT77" s="13">
        <f t="shared" ca="1" si="87"/>
        <v>4</v>
      </c>
      <c r="AU77" s="13">
        <f t="shared" ca="1" si="88"/>
        <v>0.80817247011867388</v>
      </c>
      <c r="AV77" s="1" t="s">
        <v>892</v>
      </c>
    </row>
    <row r="78" spans="1:60" ht="15.75" thickBot="1" x14ac:dyDescent="0.3">
      <c r="A78" s="1">
        <v>9</v>
      </c>
      <c r="B78" s="17">
        <v>2</v>
      </c>
      <c r="C78" s="1">
        <v>4</v>
      </c>
      <c r="D78" s="1">
        <v>4</v>
      </c>
      <c r="E78" s="1">
        <v>2</v>
      </c>
      <c r="F78" s="1">
        <v>0</v>
      </c>
      <c r="G78" s="1">
        <v>0</v>
      </c>
      <c r="N78" s="13">
        <f t="shared" ca="1" si="71"/>
        <v>9</v>
      </c>
      <c r="O78" s="13">
        <f t="shared" ca="1" si="72"/>
        <v>0.60554195532325894</v>
      </c>
      <c r="P78" s="1" t="s">
        <v>926</v>
      </c>
      <c r="R78" s="13">
        <f t="shared" ca="1" si="73"/>
        <v>6</v>
      </c>
      <c r="S78" s="13">
        <f t="shared" ca="1" si="74"/>
        <v>0.42496034973467645</v>
      </c>
      <c r="T78" s="1" t="s">
        <v>1109</v>
      </c>
      <c r="V78" s="13">
        <f t="shared" ca="1" si="75"/>
        <v>20</v>
      </c>
      <c r="W78" s="13">
        <f t="shared" ca="1" si="76"/>
        <v>7.9925110900447072E-2</v>
      </c>
      <c r="X78" s="1" t="s">
        <v>996</v>
      </c>
      <c r="AD78" s="13">
        <f t="shared" ca="1" si="79"/>
        <v>16</v>
      </c>
      <c r="AE78" s="13">
        <f t="shared" ca="1" si="80"/>
        <v>0.46360197576148598</v>
      </c>
      <c r="AF78" s="1" t="s">
        <v>958</v>
      </c>
      <c r="AH78" s="13">
        <f t="shared" ca="1" si="81"/>
        <v>2</v>
      </c>
      <c r="AI78" s="13">
        <f t="shared" ca="1" si="82"/>
        <v>0.86302741417950823</v>
      </c>
      <c r="AJ78" s="1" t="s">
        <v>1036</v>
      </c>
      <c r="AL78" s="13">
        <f t="shared" ca="1" si="83"/>
        <v>2</v>
      </c>
      <c r="AM78" s="13">
        <f t="shared" ca="1" si="84"/>
        <v>0.85579315865984795</v>
      </c>
      <c r="AN78" s="1" t="s">
        <v>959</v>
      </c>
      <c r="AT78" s="13">
        <f t="shared" ca="1" si="87"/>
        <v>6</v>
      </c>
      <c r="AU78" s="13">
        <f t="shared" ca="1" si="88"/>
        <v>0.79607116829188707</v>
      </c>
      <c r="AV78" s="1" t="s">
        <v>933</v>
      </c>
    </row>
    <row r="79" spans="1:60" ht="15.75" thickBot="1" x14ac:dyDescent="0.3">
      <c r="A79" s="1">
        <v>10</v>
      </c>
      <c r="B79" s="17">
        <v>3</v>
      </c>
      <c r="C79" s="1">
        <v>5</v>
      </c>
      <c r="D79" s="1">
        <v>4</v>
      </c>
      <c r="E79" s="1">
        <v>3</v>
      </c>
      <c r="F79" s="1">
        <v>0</v>
      </c>
      <c r="G79" s="1">
        <v>0</v>
      </c>
      <c r="N79" s="13">
        <f t="shared" ca="1" si="71"/>
        <v>2</v>
      </c>
      <c r="O79" s="13">
        <f t="shared" ca="1" si="72"/>
        <v>0.89717822452702056</v>
      </c>
      <c r="P79" s="1" t="s">
        <v>934</v>
      </c>
      <c r="V79" s="13">
        <f t="shared" ca="1" si="75"/>
        <v>16</v>
      </c>
      <c r="W79" s="13">
        <f t="shared" ca="1" si="76"/>
        <v>0.41264892306749512</v>
      </c>
      <c r="X79" s="1" t="s">
        <v>1001</v>
      </c>
      <c r="AD79" s="13">
        <f t="shared" ca="1" si="79"/>
        <v>21</v>
      </c>
      <c r="AE79" s="13">
        <f t="shared" ca="1" si="80"/>
        <v>0.19138319341240173</v>
      </c>
      <c r="AF79" s="1" t="s">
        <v>965</v>
      </c>
      <c r="AH79" s="13">
        <f t="shared" ca="1" si="81"/>
        <v>7</v>
      </c>
      <c r="AI79" s="13">
        <f t="shared" ca="1" si="82"/>
        <v>0.58796754875946855</v>
      </c>
      <c r="AJ79" s="1" t="s">
        <v>1046</v>
      </c>
      <c r="AL79" s="13">
        <f t="shared" ca="1" si="83"/>
        <v>6</v>
      </c>
      <c r="AM79" s="13">
        <f t="shared" ca="1" si="84"/>
        <v>0.71244325284255661</v>
      </c>
      <c r="AN79" s="1" t="s">
        <v>994</v>
      </c>
      <c r="AT79" s="13">
        <f t="shared" ca="1" si="87"/>
        <v>11</v>
      </c>
      <c r="AU79" s="13">
        <f t="shared" ca="1" si="88"/>
        <v>0.6729253438572661</v>
      </c>
      <c r="AV79" s="1" t="s">
        <v>949</v>
      </c>
    </row>
    <row r="80" spans="1:60" ht="15.75" thickBot="1" x14ac:dyDescent="0.3">
      <c r="A80" s="1">
        <v>11</v>
      </c>
      <c r="B80" s="17">
        <v>3</v>
      </c>
      <c r="C80" s="1">
        <v>6</v>
      </c>
      <c r="D80" s="1">
        <v>4</v>
      </c>
      <c r="E80" s="1">
        <v>3</v>
      </c>
      <c r="F80" s="1">
        <v>0</v>
      </c>
      <c r="G80" s="1">
        <v>0</v>
      </c>
      <c r="N80" s="13">
        <f t="shared" ca="1" si="71"/>
        <v>10</v>
      </c>
      <c r="O80" s="13">
        <f t="shared" ca="1" si="72"/>
        <v>0.5647729336378311</v>
      </c>
      <c r="P80" s="1" t="s">
        <v>940</v>
      </c>
      <c r="V80" s="13">
        <f t="shared" ca="1" si="75"/>
        <v>2</v>
      </c>
      <c r="W80" s="13">
        <f t="shared" ca="1" si="76"/>
        <v>0.8787359729514016</v>
      </c>
      <c r="X80" s="1" t="s">
        <v>1011</v>
      </c>
      <c r="AD80" s="13">
        <f t="shared" ca="1" si="79"/>
        <v>5</v>
      </c>
      <c r="AE80" s="13">
        <f t="shared" ca="1" si="80"/>
        <v>0.87814473352758249</v>
      </c>
      <c r="AF80" s="1" t="s">
        <v>986</v>
      </c>
      <c r="AL80" s="13">
        <f t="shared" ca="1" si="83"/>
        <v>10</v>
      </c>
      <c r="AM80" s="13">
        <f t="shared" ca="1" si="84"/>
        <v>0.50210556857469413</v>
      </c>
      <c r="AN80" s="1" t="s">
        <v>1018</v>
      </c>
      <c r="AT80" s="13">
        <f t="shared" ca="1" si="87"/>
        <v>14</v>
      </c>
      <c r="AU80" s="13">
        <f t="shared" ca="1" si="88"/>
        <v>0.38140078871673067</v>
      </c>
      <c r="AV80" s="1" t="s">
        <v>960</v>
      </c>
    </row>
    <row r="81" spans="1:92" ht="15.75" thickBot="1" x14ac:dyDescent="0.3">
      <c r="A81" s="1">
        <v>12</v>
      </c>
      <c r="B81" s="17">
        <v>3</v>
      </c>
      <c r="C81" s="1">
        <v>6</v>
      </c>
      <c r="D81" s="1">
        <v>4</v>
      </c>
      <c r="E81" s="1">
        <v>3</v>
      </c>
      <c r="F81" s="1">
        <v>0</v>
      </c>
      <c r="G81" s="1">
        <v>0</v>
      </c>
      <c r="N81" s="13">
        <f t="shared" ca="1" si="71"/>
        <v>12</v>
      </c>
      <c r="O81" s="13">
        <f t="shared" ca="1" si="72"/>
        <v>0.4770618294384168</v>
      </c>
      <c r="P81" s="1" t="s">
        <v>957</v>
      </c>
      <c r="V81" s="13">
        <f t="shared" ca="1" si="75"/>
        <v>21</v>
      </c>
      <c r="W81" s="13">
        <f t="shared" ca="1" si="76"/>
        <v>4.7221576337354465E-2</v>
      </c>
      <c r="X81" s="1" t="s">
        <v>1054</v>
      </c>
      <c r="AD81" s="13">
        <f t="shared" ca="1" si="79"/>
        <v>23</v>
      </c>
      <c r="AE81" s="13">
        <f t="shared" ca="1" si="80"/>
        <v>0.11320490586479848</v>
      </c>
      <c r="AF81" s="1" t="s">
        <v>993</v>
      </c>
      <c r="AL81" s="13">
        <f t="shared" ca="1" si="83"/>
        <v>13</v>
      </c>
      <c r="AM81" s="13">
        <f t="shared" ca="1" si="84"/>
        <v>0.37131397291646051</v>
      </c>
      <c r="AN81" s="1" t="s">
        <v>1050</v>
      </c>
      <c r="AT81" s="13">
        <f t="shared" ca="1" si="87"/>
        <v>1</v>
      </c>
      <c r="AU81" s="13">
        <f t="shared" ca="1" si="88"/>
        <v>0.94578793325099575</v>
      </c>
      <c r="AV81" s="1" t="s">
        <v>967</v>
      </c>
    </row>
    <row r="82" spans="1:92" ht="15.75" thickBot="1" x14ac:dyDescent="0.3">
      <c r="A82" s="1">
        <v>13</v>
      </c>
      <c r="B82" s="17">
        <v>3</v>
      </c>
      <c r="C82" s="1">
        <v>7</v>
      </c>
      <c r="D82" s="1">
        <v>4</v>
      </c>
      <c r="E82" s="1">
        <v>3</v>
      </c>
      <c r="F82" s="1">
        <v>2</v>
      </c>
      <c r="G82" s="1">
        <v>0</v>
      </c>
      <c r="N82" s="13">
        <f t="shared" ca="1" si="71"/>
        <v>6</v>
      </c>
      <c r="O82" s="13">
        <f t="shared" ca="1" si="72"/>
        <v>0.75292238724608795</v>
      </c>
      <c r="P82" s="1" t="s">
        <v>984</v>
      </c>
      <c r="V82" s="13">
        <f t="shared" ca="1" si="75"/>
        <v>11</v>
      </c>
      <c r="W82" s="13">
        <f t="shared" ca="1" si="76"/>
        <v>0.56254855043606944</v>
      </c>
      <c r="X82" s="1" t="s">
        <v>1057</v>
      </c>
      <c r="AD82" s="13">
        <f t="shared" ca="1" si="79"/>
        <v>18</v>
      </c>
      <c r="AE82" s="13">
        <f t="shared" ca="1" si="80"/>
        <v>0.30961356505834325</v>
      </c>
      <c r="AF82" s="1" t="s">
        <v>997</v>
      </c>
      <c r="AL82" s="13">
        <f t="shared" ca="1" si="83"/>
        <v>1</v>
      </c>
      <c r="AM82" s="13">
        <f t="shared" ca="1" si="84"/>
        <v>0.97413530808687809</v>
      </c>
      <c r="AN82" s="1" t="s">
        <v>1053</v>
      </c>
      <c r="AT82" s="13">
        <f t="shared" ca="1" si="87"/>
        <v>8</v>
      </c>
      <c r="AU82" s="13">
        <f t="shared" ca="1" si="88"/>
        <v>0.7627612966263988</v>
      </c>
      <c r="AV82" s="1" t="s">
        <v>972</v>
      </c>
    </row>
    <row r="83" spans="1:92" ht="15.75" thickBot="1" x14ac:dyDescent="0.3">
      <c r="A83" s="1">
        <v>14</v>
      </c>
      <c r="B83" s="17">
        <v>3</v>
      </c>
      <c r="C83" s="1">
        <v>7</v>
      </c>
      <c r="D83" s="1">
        <v>4</v>
      </c>
      <c r="E83" s="1">
        <v>3</v>
      </c>
      <c r="F83" s="1">
        <v>2</v>
      </c>
      <c r="G83" s="1">
        <v>0</v>
      </c>
      <c r="N83" s="13">
        <f t="shared" ca="1" si="71"/>
        <v>1</v>
      </c>
      <c r="O83" s="13">
        <f t="shared" ca="1" si="72"/>
        <v>0.94578192974049324</v>
      </c>
      <c r="P83" s="1" t="s">
        <v>1022</v>
      </c>
      <c r="V83" s="13">
        <f t="shared" ca="1" si="75"/>
        <v>18</v>
      </c>
      <c r="W83" s="13">
        <f t="shared" ca="1" si="76"/>
        <v>0.11517092452208277</v>
      </c>
      <c r="X83" s="1" t="s">
        <v>1064</v>
      </c>
      <c r="AD83" s="13">
        <f t="shared" ca="1" si="79"/>
        <v>13</v>
      </c>
      <c r="AE83" s="13">
        <f t="shared" ca="1" si="80"/>
        <v>0.55703466217147435</v>
      </c>
      <c r="AF83" s="1" t="s">
        <v>1008</v>
      </c>
      <c r="AL83" s="13">
        <f t="shared" ca="1" si="83"/>
        <v>5</v>
      </c>
      <c r="AM83" s="13">
        <f t="shared" ca="1" si="84"/>
        <v>0.72380920052419839</v>
      </c>
      <c r="AN83" s="1" t="s">
        <v>1066</v>
      </c>
      <c r="AT83" s="13">
        <f t="shared" ca="1" si="87"/>
        <v>16</v>
      </c>
      <c r="AU83" s="13">
        <f t="shared" ca="1" si="88"/>
        <v>0.16913001711775455</v>
      </c>
      <c r="AV83" s="1" t="s">
        <v>976</v>
      </c>
    </row>
    <row r="84" spans="1:92" ht="15.75" thickBot="1" x14ac:dyDescent="0.3">
      <c r="A84" s="1">
        <v>15</v>
      </c>
      <c r="B84" s="17">
        <v>3</v>
      </c>
      <c r="C84" s="1">
        <v>7</v>
      </c>
      <c r="D84" s="1">
        <v>4</v>
      </c>
      <c r="E84" s="1">
        <v>3</v>
      </c>
      <c r="F84" s="1">
        <v>2</v>
      </c>
      <c r="G84" s="1">
        <v>0</v>
      </c>
      <c r="V84" s="13">
        <f t="shared" ca="1" si="75"/>
        <v>15</v>
      </c>
      <c r="W84" s="13">
        <f t="shared" ca="1" si="76"/>
        <v>0.50850040769590898</v>
      </c>
      <c r="X84" s="1" t="s">
        <v>1068</v>
      </c>
      <c r="AD84" s="13">
        <f t="shared" ca="1" si="79"/>
        <v>9</v>
      </c>
      <c r="AE84" s="13">
        <f t="shared" ca="1" si="80"/>
        <v>0.72118327519701331</v>
      </c>
      <c r="AF84" s="1" t="s">
        <v>1017</v>
      </c>
      <c r="AL84" s="13">
        <f t="shared" ca="1" si="83"/>
        <v>11</v>
      </c>
      <c r="AM84" s="13">
        <f t="shared" ca="1" si="84"/>
        <v>0.47910122588953175</v>
      </c>
      <c r="AN84" s="1" t="s">
        <v>966</v>
      </c>
      <c r="AT84" s="13">
        <f t="shared" ca="1" si="87"/>
        <v>15</v>
      </c>
      <c r="AU84" s="13">
        <f t="shared" ca="1" si="88"/>
        <v>0.33807472335442257</v>
      </c>
      <c r="AV84" s="1" t="s">
        <v>988</v>
      </c>
    </row>
    <row r="85" spans="1:92" ht="15.75" thickBot="1" x14ac:dyDescent="0.3">
      <c r="A85" s="1">
        <v>16</v>
      </c>
      <c r="B85" s="17">
        <v>3</v>
      </c>
      <c r="C85" s="1">
        <v>8</v>
      </c>
      <c r="D85" s="1">
        <v>4</v>
      </c>
      <c r="E85" s="1">
        <v>3</v>
      </c>
      <c r="F85" s="1">
        <v>3</v>
      </c>
      <c r="G85" s="1">
        <v>0</v>
      </c>
      <c r="V85" s="13">
        <f t="shared" ca="1" si="75"/>
        <v>6</v>
      </c>
      <c r="W85" s="13">
        <f t="shared" ca="1" si="76"/>
        <v>0.6644387205967297</v>
      </c>
      <c r="X85" s="1" t="s">
        <v>1081</v>
      </c>
      <c r="AD85" s="13">
        <f t="shared" ca="1" si="79"/>
        <v>4</v>
      </c>
      <c r="AE85" s="13">
        <f t="shared" ca="1" si="80"/>
        <v>0.91661546899262625</v>
      </c>
      <c r="AF85" s="1" t="s">
        <v>1024</v>
      </c>
      <c r="AL85" s="13">
        <f t="shared" ca="1" si="83"/>
        <v>7</v>
      </c>
      <c r="AM85" s="13">
        <f t="shared" ca="1" si="84"/>
        <v>0.70303316913587344</v>
      </c>
      <c r="AN85" s="1" t="s">
        <v>1080</v>
      </c>
      <c r="AT85" s="13">
        <f t="shared" ca="1" si="87"/>
        <v>10</v>
      </c>
      <c r="AU85" s="13">
        <f t="shared" ca="1" si="88"/>
        <v>0.69094243705743508</v>
      </c>
      <c r="AV85" s="1" t="s">
        <v>995</v>
      </c>
    </row>
    <row r="86" spans="1:92" ht="15.75" thickBot="1" x14ac:dyDescent="0.3">
      <c r="A86" s="1">
        <v>17</v>
      </c>
      <c r="B86" s="17">
        <v>3</v>
      </c>
      <c r="C86" s="1">
        <v>8</v>
      </c>
      <c r="D86" s="1">
        <v>4</v>
      </c>
      <c r="E86" s="1">
        <v>3</v>
      </c>
      <c r="F86" s="1">
        <v>3</v>
      </c>
      <c r="G86" s="1">
        <v>0</v>
      </c>
      <c r="V86" s="13">
        <f t="shared" ca="1" si="75"/>
        <v>17</v>
      </c>
      <c r="W86" s="13">
        <f t="shared" ca="1" si="76"/>
        <v>0.12222981485420836</v>
      </c>
      <c r="X86" s="1" t="s">
        <v>1094</v>
      </c>
      <c r="AD86" s="13">
        <f t="shared" ca="1" si="79"/>
        <v>24</v>
      </c>
      <c r="AE86" s="13">
        <f t="shared" ca="1" si="80"/>
        <v>0.10714383342689182</v>
      </c>
      <c r="AF86" s="1" t="s">
        <v>1031</v>
      </c>
      <c r="AL86" s="13">
        <f t="shared" ca="1" si="83"/>
        <v>18</v>
      </c>
      <c r="AM86" s="13">
        <f t="shared" ca="1" si="84"/>
        <v>0.20427967847924255</v>
      </c>
      <c r="AN86" s="1" t="s">
        <v>1083</v>
      </c>
      <c r="AT86" s="13">
        <f t="shared" ca="1" si="87"/>
        <v>3</v>
      </c>
      <c r="AU86" s="13">
        <f t="shared" ca="1" si="88"/>
        <v>0.86265600721012758</v>
      </c>
      <c r="AV86" s="1" t="s">
        <v>1019</v>
      </c>
    </row>
    <row r="87" spans="1:92" ht="15.75" thickBot="1" x14ac:dyDescent="0.3">
      <c r="A87" s="1">
        <v>18</v>
      </c>
      <c r="B87" s="17">
        <v>3</v>
      </c>
      <c r="C87" s="1">
        <v>8</v>
      </c>
      <c r="D87" s="1">
        <v>4</v>
      </c>
      <c r="E87" s="1">
        <v>3</v>
      </c>
      <c r="F87" s="1">
        <v>3</v>
      </c>
      <c r="G87" s="1">
        <v>0</v>
      </c>
      <c r="V87" s="13">
        <f t="shared" ca="1" si="75"/>
        <v>14</v>
      </c>
      <c r="W87" s="13">
        <f t="shared" ca="1" si="76"/>
        <v>0.5334441369005064</v>
      </c>
      <c r="X87" s="1" t="s">
        <v>1096</v>
      </c>
      <c r="AD87" s="13">
        <f t="shared" ca="1" si="79"/>
        <v>3</v>
      </c>
      <c r="AE87" s="13">
        <f t="shared" ca="1" si="80"/>
        <v>0.93235124740174635</v>
      </c>
      <c r="AF87" s="1" t="s">
        <v>1040</v>
      </c>
      <c r="AL87" s="13">
        <f t="shared" ca="1" si="83"/>
        <v>8</v>
      </c>
      <c r="AM87" s="13">
        <f t="shared" ca="1" si="84"/>
        <v>0.69439662949375891</v>
      </c>
      <c r="AN87" s="1" t="s">
        <v>1090</v>
      </c>
    </row>
    <row r="88" spans="1:92" ht="15.75" thickBot="1" x14ac:dyDescent="0.3">
      <c r="A88" s="1">
        <v>19</v>
      </c>
      <c r="B88" s="17">
        <v>3</v>
      </c>
      <c r="C88" s="1">
        <v>9</v>
      </c>
      <c r="D88" s="1">
        <v>4</v>
      </c>
      <c r="E88" s="1">
        <v>3</v>
      </c>
      <c r="F88" s="1">
        <v>3</v>
      </c>
      <c r="G88" s="1">
        <v>1</v>
      </c>
      <c r="V88" s="13">
        <f t="shared" ca="1" si="75"/>
        <v>9</v>
      </c>
      <c r="W88" s="13">
        <f t="shared" ca="1" si="76"/>
        <v>0.56780901900411185</v>
      </c>
      <c r="X88" s="1" t="s">
        <v>1100</v>
      </c>
      <c r="AD88" s="13">
        <f t="shared" ca="1" si="79"/>
        <v>10</v>
      </c>
      <c r="AE88" s="13">
        <f t="shared" ca="1" si="80"/>
        <v>0.68481431434788242</v>
      </c>
      <c r="AF88" s="1" t="s">
        <v>1049</v>
      </c>
      <c r="AL88" s="13">
        <f t="shared" ca="1" si="83"/>
        <v>12</v>
      </c>
      <c r="AM88" s="13">
        <f t="shared" ca="1" si="84"/>
        <v>0.47440661322851763</v>
      </c>
      <c r="AN88" s="1" t="s">
        <v>913</v>
      </c>
    </row>
    <row r="89" spans="1:92" ht="15.75" thickBot="1" x14ac:dyDescent="0.3">
      <c r="A89" s="1">
        <v>20</v>
      </c>
      <c r="B89" s="17">
        <v>3</v>
      </c>
      <c r="C89" s="1">
        <v>9</v>
      </c>
      <c r="D89" s="1">
        <v>4</v>
      </c>
      <c r="E89" s="1">
        <v>3</v>
      </c>
      <c r="F89" s="1">
        <v>3</v>
      </c>
      <c r="G89" s="1">
        <v>1</v>
      </c>
      <c r="V89" s="13">
        <f t="shared" ca="1" si="75"/>
        <v>1</v>
      </c>
      <c r="W89" s="13">
        <f t="shared" ca="1" si="76"/>
        <v>0.88067189699867743</v>
      </c>
      <c r="X89" s="1" t="s">
        <v>1229</v>
      </c>
      <c r="AD89" s="13">
        <f t="shared" ca="1" si="79"/>
        <v>1</v>
      </c>
      <c r="AE89" s="13">
        <f t="shared" ca="1" si="80"/>
        <v>0.9899263939822881</v>
      </c>
      <c r="AF89" s="1" t="s">
        <v>1052</v>
      </c>
    </row>
    <row r="90" spans="1:92" x14ac:dyDescent="0.25">
      <c r="V90" s="13">
        <f t="shared" ca="1" si="75"/>
        <v>7</v>
      </c>
      <c r="W90" s="13">
        <f t="shared" ca="1" si="76"/>
        <v>0.63777848588150876</v>
      </c>
      <c r="X90" s="1" t="s">
        <v>1107</v>
      </c>
      <c r="AD90" s="13">
        <f t="shared" ca="1" si="79"/>
        <v>6</v>
      </c>
      <c r="AE90" s="13">
        <f t="shared" ca="1" si="80"/>
        <v>0.79433205542440466</v>
      </c>
      <c r="AF90" s="1" t="s">
        <v>1058</v>
      </c>
    </row>
    <row r="91" spans="1:92" s="2" customFormat="1" x14ac:dyDescent="0.25">
      <c r="N91" s="1"/>
      <c r="O91" s="1"/>
      <c r="P91" s="1"/>
      <c r="R91" s="1"/>
      <c r="S91" s="1"/>
      <c r="T91" s="1"/>
      <c r="Z91" s="1"/>
      <c r="AA91" s="1"/>
      <c r="AB91" s="1"/>
      <c r="AD91" s="13">
        <f t="shared" ca="1" si="79"/>
        <v>8</v>
      </c>
      <c r="AE91" s="13">
        <f t="shared" ca="1" si="80"/>
        <v>0.73010571362420329</v>
      </c>
      <c r="AF91" s="1" t="s">
        <v>1065</v>
      </c>
      <c r="BF91" s="1"/>
      <c r="BG91" s="1"/>
      <c r="BH91" s="1"/>
    </row>
    <row r="92" spans="1:92" x14ac:dyDescent="0.25">
      <c r="N92" s="2"/>
      <c r="O92" s="2"/>
      <c r="P92" s="2"/>
      <c r="R92" s="2"/>
      <c r="S92" s="2"/>
      <c r="T92" s="2"/>
      <c r="V92" s="2"/>
      <c r="W92" s="2"/>
      <c r="X92" s="2"/>
      <c r="Z92" s="2"/>
      <c r="AA92" s="2"/>
      <c r="AB92" s="2"/>
      <c r="AD92" s="13">
        <f t="shared" ca="1" si="79"/>
        <v>17</v>
      </c>
      <c r="AE92" s="13">
        <f t="shared" ca="1" si="80"/>
        <v>0.3812945121905863</v>
      </c>
      <c r="AF92" s="1" t="s">
        <v>1076</v>
      </c>
      <c r="BF92" s="2"/>
      <c r="BG92" s="2"/>
      <c r="BH92" s="2"/>
    </row>
    <row r="93" spans="1:92" x14ac:dyDescent="0.25">
      <c r="AD93" s="13">
        <f t="shared" ca="1" si="79"/>
        <v>19</v>
      </c>
      <c r="AE93" s="13">
        <f t="shared" ca="1" si="80"/>
        <v>0.28547741554900974</v>
      </c>
      <c r="AF93" s="1" t="s">
        <v>1079</v>
      </c>
    </row>
    <row r="94" spans="1:92" x14ac:dyDescent="0.25">
      <c r="AD94" s="13">
        <f t="shared" ca="1" si="79"/>
        <v>22</v>
      </c>
      <c r="AE94" s="13">
        <f t="shared" ca="1" si="80"/>
        <v>0.14796933804719425</v>
      </c>
      <c r="AF94" s="1" t="s">
        <v>1086</v>
      </c>
    </row>
    <row r="96" spans="1:92" x14ac:dyDescent="0.25">
      <c r="A96" s="2"/>
      <c r="B96" s="2"/>
      <c r="C96" s="2" t="s">
        <v>1157</v>
      </c>
      <c r="D96" s="2">
        <v>1</v>
      </c>
      <c r="E96" s="2">
        <v>2</v>
      </c>
      <c r="F96" s="2">
        <v>3</v>
      </c>
      <c r="G96" s="2">
        <v>4</v>
      </c>
      <c r="H96" s="2">
        <v>5</v>
      </c>
      <c r="I96" s="2"/>
      <c r="J96" s="2"/>
      <c r="K96" s="2"/>
      <c r="L96" s="2"/>
      <c r="M96" s="2"/>
      <c r="N96" s="2" t="s">
        <v>1184</v>
      </c>
      <c r="O96" s="2"/>
      <c r="P96" s="2"/>
      <c r="Q96" s="2"/>
      <c r="R96" s="2" t="s">
        <v>1187</v>
      </c>
      <c r="S96" s="2"/>
      <c r="T96" s="2"/>
      <c r="U96" s="2"/>
      <c r="V96" s="2" t="s">
        <v>1185</v>
      </c>
      <c r="W96" s="2"/>
      <c r="Y96" s="2"/>
      <c r="Z96" s="2" t="s">
        <v>1186</v>
      </c>
      <c r="AA96" s="2"/>
      <c r="AB96" s="2"/>
      <c r="AC96" s="2"/>
      <c r="AD96" s="2" t="s">
        <v>1188</v>
      </c>
      <c r="AE96" s="2"/>
      <c r="AF96" s="2"/>
      <c r="AG96" s="2"/>
      <c r="AH96" s="2"/>
      <c r="AI96" s="2"/>
      <c r="AJ96" s="2"/>
      <c r="AK96" s="2"/>
      <c r="AL96" s="2"/>
      <c r="AM96" s="2"/>
      <c r="AN96" s="2"/>
      <c r="AO96" s="2"/>
      <c r="AP96" s="2"/>
      <c r="AQ96" s="2"/>
      <c r="AR96" s="2"/>
      <c r="AS96" s="2"/>
      <c r="AT96" s="2"/>
      <c r="AU96" s="2"/>
      <c r="AV96" s="2"/>
      <c r="AW96" s="2"/>
      <c r="AX96" s="2"/>
      <c r="AY96" s="2"/>
      <c r="AZ96" s="2"/>
      <c r="BA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row>
    <row r="97" spans="3:60" ht="15.75" thickBot="1" x14ac:dyDescent="0.3">
      <c r="C97" s="1">
        <v>1</v>
      </c>
      <c r="D97" s="17">
        <v>0</v>
      </c>
      <c r="E97" s="1">
        <v>0</v>
      </c>
      <c r="F97" s="1">
        <v>0</v>
      </c>
      <c r="G97" s="1">
        <v>0</v>
      </c>
      <c r="H97" s="1">
        <v>0</v>
      </c>
      <c r="N97" s="13">
        <f t="shared" ref="N97:N111" ca="1" si="89">_xlfn.RANK.EQ(O97,O$97:O$111)</f>
        <v>9</v>
      </c>
      <c r="O97" s="13">
        <f t="shared" ref="O97:O111" ca="1" si="90">RAND()</f>
        <v>0.56945814740200718</v>
      </c>
      <c r="P97" s="1" t="s">
        <v>818</v>
      </c>
      <c r="R97" s="13">
        <f t="shared" ref="R97:R104" ca="1" si="91">_xlfn.RANK.EQ(S97,S$97:S$104)</f>
        <v>2</v>
      </c>
      <c r="S97" s="13">
        <f t="shared" ref="S97:S104" ca="1" si="92">RAND()</f>
        <v>0.67550964782582268</v>
      </c>
      <c r="T97" s="1" t="s">
        <v>761</v>
      </c>
      <c r="V97" s="13">
        <f t="shared" ref="V97:V106" ca="1" si="93">_xlfn.RANK.EQ(W97,W$97:W$106)</f>
        <v>1</v>
      </c>
      <c r="W97" s="13">
        <f t="shared" ref="W97:W106" ca="1" si="94">RAND()</f>
        <v>0.87455230439621112</v>
      </c>
      <c r="X97" s="1" t="s">
        <v>762</v>
      </c>
      <c r="Z97" s="13">
        <f t="shared" ref="Z97:Z102" ca="1" si="95">_xlfn.RANK.EQ(AA97,AA$97:AA$102)</f>
        <v>6</v>
      </c>
      <c r="AA97" s="13">
        <f t="shared" ref="AA97:AA102" ca="1" si="96">RAND()</f>
        <v>0.32925837462862229</v>
      </c>
      <c r="AB97" s="1" t="s">
        <v>763</v>
      </c>
      <c r="AD97" s="13">
        <f t="shared" ref="AD97:AD102" ca="1" si="97">_xlfn.RANK.EQ(AE97,AE$97:AE$102)</f>
        <v>4</v>
      </c>
      <c r="AE97" s="13">
        <f t="shared" ref="AE97:AE102" ca="1" si="98">RAND()</f>
        <v>0.54046546085358416</v>
      </c>
      <c r="AF97" s="1" t="s">
        <v>780</v>
      </c>
      <c r="BF97" s="2"/>
      <c r="BG97" s="2"/>
      <c r="BH97" s="2"/>
    </row>
    <row r="98" spans="3:60" ht="15.75" thickBot="1" x14ac:dyDescent="0.3">
      <c r="C98" s="1">
        <v>2</v>
      </c>
      <c r="D98" s="17">
        <v>2</v>
      </c>
      <c r="E98" s="1">
        <v>0</v>
      </c>
      <c r="F98" s="1">
        <v>0</v>
      </c>
      <c r="G98" s="1">
        <v>0</v>
      </c>
      <c r="H98" s="1">
        <v>0</v>
      </c>
      <c r="N98" s="13">
        <f t="shared" ca="1" si="89"/>
        <v>4</v>
      </c>
      <c r="O98" s="13">
        <f t="shared" ca="1" si="90"/>
        <v>0.72027989448781826</v>
      </c>
      <c r="P98" s="1" t="s">
        <v>890</v>
      </c>
      <c r="R98" s="13">
        <f t="shared" ca="1" si="91"/>
        <v>8</v>
      </c>
      <c r="S98" s="13">
        <f t="shared" ca="1" si="92"/>
        <v>3.1279099075172789E-2</v>
      </c>
      <c r="T98" s="1" t="s">
        <v>838</v>
      </c>
      <c r="V98" s="13">
        <f t="shared" ca="1" si="93"/>
        <v>2</v>
      </c>
      <c r="W98" s="13">
        <f t="shared" ca="1" si="94"/>
        <v>0.82550434333031408</v>
      </c>
      <c r="X98" s="1" t="s">
        <v>787</v>
      </c>
      <c r="Z98" s="13">
        <f t="shared" ca="1" si="95"/>
        <v>3</v>
      </c>
      <c r="AA98" s="13">
        <f t="shared" ca="1" si="96"/>
        <v>0.4739963768344313</v>
      </c>
      <c r="AB98" s="1" t="s">
        <v>771</v>
      </c>
      <c r="AD98" s="13">
        <f t="shared" ca="1" si="97"/>
        <v>5</v>
      </c>
      <c r="AE98" s="13">
        <f t="shared" ca="1" si="98"/>
        <v>0.49493698387916019</v>
      </c>
      <c r="AF98" s="1" t="s">
        <v>796</v>
      </c>
    </row>
    <row r="99" spans="3:60" ht="15.75" thickBot="1" x14ac:dyDescent="0.3">
      <c r="C99" s="1">
        <v>3</v>
      </c>
      <c r="D99" s="17">
        <v>3</v>
      </c>
      <c r="E99" s="1">
        <v>0</v>
      </c>
      <c r="F99" s="1">
        <v>0</v>
      </c>
      <c r="G99" s="1">
        <v>0</v>
      </c>
      <c r="H99" s="1">
        <v>0</v>
      </c>
      <c r="N99" s="13">
        <f t="shared" ca="1" si="89"/>
        <v>3</v>
      </c>
      <c r="O99" s="13">
        <f t="shared" ca="1" si="90"/>
        <v>0.74470137514293033</v>
      </c>
      <c r="P99" s="1" t="s">
        <v>898</v>
      </c>
      <c r="R99" s="13">
        <f t="shared" ca="1" si="91"/>
        <v>7</v>
      </c>
      <c r="S99" s="13">
        <f t="shared" ca="1" si="92"/>
        <v>0.12318054750732843</v>
      </c>
      <c r="T99" s="1" t="s">
        <v>942</v>
      </c>
      <c r="V99" s="13">
        <f t="shared" ca="1" si="93"/>
        <v>7</v>
      </c>
      <c r="W99" s="13">
        <f t="shared" ca="1" si="94"/>
        <v>0.23850233368637319</v>
      </c>
      <c r="X99" s="1" t="s">
        <v>853</v>
      </c>
      <c r="Z99" s="13">
        <f t="shared" ca="1" si="95"/>
        <v>2</v>
      </c>
      <c r="AA99" s="13">
        <f t="shared" ca="1" si="96"/>
        <v>0.54614873314579804</v>
      </c>
      <c r="AB99" s="1" t="s">
        <v>779</v>
      </c>
      <c r="AD99" s="13">
        <f t="shared" ca="1" si="97"/>
        <v>1</v>
      </c>
      <c r="AE99" s="13">
        <f t="shared" ca="1" si="98"/>
        <v>0.97950642486744854</v>
      </c>
      <c r="AF99" s="1" t="s">
        <v>1242</v>
      </c>
    </row>
    <row r="100" spans="3:60" ht="15.75" thickBot="1" x14ac:dyDescent="0.3">
      <c r="C100" s="1">
        <v>4</v>
      </c>
      <c r="D100" s="17">
        <v>3</v>
      </c>
      <c r="E100" s="1">
        <v>0</v>
      </c>
      <c r="F100" s="1">
        <v>0</v>
      </c>
      <c r="G100" s="1">
        <v>0</v>
      </c>
      <c r="H100" s="1">
        <v>0</v>
      </c>
      <c r="N100" s="13">
        <f t="shared" ca="1" si="89"/>
        <v>8</v>
      </c>
      <c r="O100" s="13">
        <f t="shared" ca="1" si="90"/>
        <v>0.57279648943784101</v>
      </c>
      <c r="P100" s="1" t="s">
        <v>920</v>
      </c>
      <c r="R100" s="13">
        <f t="shared" ca="1" si="91"/>
        <v>4</v>
      </c>
      <c r="S100" s="13">
        <f t="shared" ca="1" si="92"/>
        <v>0.32538448408576037</v>
      </c>
      <c r="T100" s="1" t="s">
        <v>1002</v>
      </c>
      <c r="V100" s="13">
        <f t="shared" ca="1" si="93"/>
        <v>10</v>
      </c>
      <c r="W100" s="13">
        <f t="shared" ca="1" si="94"/>
        <v>9.6787026576073742E-2</v>
      </c>
      <c r="X100" s="1" t="s">
        <v>860</v>
      </c>
      <c r="Z100" s="13">
        <f t="shared" ca="1" si="95"/>
        <v>5</v>
      </c>
      <c r="AA100" s="13">
        <f t="shared" ca="1" si="96"/>
        <v>0.37669245910419036</v>
      </c>
      <c r="AB100" s="1" t="s">
        <v>848</v>
      </c>
      <c r="AD100" s="13">
        <f t="shared" ca="1" si="97"/>
        <v>3</v>
      </c>
      <c r="AE100" s="13">
        <f t="shared" ca="1" si="98"/>
        <v>0.63668975272449246</v>
      </c>
      <c r="AF100" s="1" t="s">
        <v>907</v>
      </c>
    </row>
    <row r="101" spans="3:60" ht="15.75" thickBot="1" x14ac:dyDescent="0.3">
      <c r="C101" s="1">
        <v>5</v>
      </c>
      <c r="D101" s="17">
        <v>4</v>
      </c>
      <c r="E101" s="1">
        <v>2</v>
      </c>
      <c r="F101" s="1">
        <v>0</v>
      </c>
      <c r="G101" s="1">
        <v>0</v>
      </c>
      <c r="H101" s="1">
        <v>0</v>
      </c>
      <c r="N101" s="13">
        <f t="shared" ca="1" si="89"/>
        <v>15</v>
      </c>
      <c r="O101" s="13">
        <f t="shared" ca="1" si="90"/>
        <v>1.8003012290271903E-3</v>
      </c>
      <c r="P101" s="1" t="s">
        <v>927</v>
      </c>
      <c r="R101" s="13">
        <f t="shared" ca="1" si="91"/>
        <v>1</v>
      </c>
      <c r="S101" s="13">
        <f t="shared" ca="1" si="92"/>
        <v>0.71065416297882489</v>
      </c>
      <c r="T101" s="1" t="s">
        <v>1017</v>
      </c>
      <c r="V101" s="13">
        <f t="shared" ca="1" si="93"/>
        <v>9</v>
      </c>
      <c r="W101" s="13">
        <f t="shared" ca="1" si="94"/>
        <v>0.12419853648720824</v>
      </c>
      <c r="X101" s="1" t="s">
        <v>869</v>
      </c>
      <c r="Z101" s="13">
        <f t="shared" ca="1" si="95"/>
        <v>1</v>
      </c>
      <c r="AA101" s="13">
        <f t="shared" ca="1" si="96"/>
        <v>0.86482555458229238</v>
      </c>
      <c r="AB101" s="1" t="s">
        <v>967</v>
      </c>
      <c r="AD101" s="13">
        <f t="shared" ca="1" si="97"/>
        <v>2</v>
      </c>
      <c r="AE101" s="13">
        <f t="shared" ca="1" si="98"/>
        <v>0.79731556248861546</v>
      </c>
      <c r="AF101" s="1" t="s">
        <v>944</v>
      </c>
    </row>
    <row r="102" spans="3:60" ht="15.75" thickBot="1" x14ac:dyDescent="0.3">
      <c r="C102" s="1">
        <v>6</v>
      </c>
      <c r="D102" s="17">
        <v>4</v>
      </c>
      <c r="E102" s="1">
        <v>2</v>
      </c>
      <c r="F102" s="1">
        <v>0</v>
      </c>
      <c r="G102" s="1">
        <v>0</v>
      </c>
      <c r="H102" s="1">
        <v>0</v>
      </c>
      <c r="N102" s="13">
        <f t="shared" ca="1" si="89"/>
        <v>11</v>
      </c>
      <c r="O102" s="13">
        <f t="shared" ca="1" si="90"/>
        <v>0.27687354279648679</v>
      </c>
      <c r="P102" s="1" t="s">
        <v>930</v>
      </c>
      <c r="R102" s="13">
        <f t="shared" ca="1" si="91"/>
        <v>5</v>
      </c>
      <c r="S102" s="13">
        <f t="shared" ca="1" si="92"/>
        <v>0.17601496475653045</v>
      </c>
      <c r="T102" s="1" t="s">
        <v>1031</v>
      </c>
      <c r="V102" s="13">
        <f t="shared" ca="1" si="93"/>
        <v>5</v>
      </c>
      <c r="W102" s="13">
        <f t="shared" ca="1" si="94"/>
        <v>0.42592846347532509</v>
      </c>
      <c r="X102" s="1" t="s">
        <v>876</v>
      </c>
      <c r="Z102" s="13">
        <f t="shared" ca="1" si="95"/>
        <v>4</v>
      </c>
      <c r="AA102" s="13">
        <f t="shared" ca="1" si="96"/>
        <v>0.45655437804908383</v>
      </c>
      <c r="AB102" s="1" t="s">
        <v>1009</v>
      </c>
      <c r="AD102" s="13">
        <f t="shared" ca="1" si="97"/>
        <v>6</v>
      </c>
      <c r="AE102" s="13">
        <f t="shared" ca="1" si="98"/>
        <v>0.45281258132744906</v>
      </c>
      <c r="AF102" s="1" t="s">
        <v>1033</v>
      </c>
    </row>
    <row r="103" spans="3:60" ht="15.75" thickBot="1" x14ac:dyDescent="0.3">
      <c r="C103" s="1">
        <v>7</v>
      </c>
      <c r="D103" s="17">
        <v>4</v>
      </c>
      <c r="E103" s="1">
        <v>3</v>
      </c>
      <c r="F103" s="1">
        <v>0</v>
      </c>
      <c r="G103" s="1">
        <v>0</v>
      </c>
      <c r="H103" s="1">
        <v>0</v>
      </c>
      <c r="N103" s="13">
        <f t="shared" ca="1" si="89"/>
        <v>7</v>
      </c>
      <c r="O103" s="13">
        <f t="shared" ca="1" si="90"/>
        <v>0.6300364359792745</v>
      </c>
      <c r="P103" s="1" t="s">
        <v>935</v>
      </c>
      <c r="R103" s="13">
        <f t="shared" ca="1" si="91"/>
        <v>3</v>
      </c>
      <c r="S103" s="13">
        <f t="shared" ca="1" si="92"/>
        <v>0.48316621936220705</v>
      </c>
      <c r="T103" s="1" t="s">
        <v>1072</v>
      </c>
      <c r="V103" s="13">
        <f t="shared" ca="1" si="93"/>
        <v>3</v>
      </c>
      <c r="W103" s="13">
        <f t="shared" ca="1" si="94"/>
        <v>0.79427317220062277</v>
      </c>
      <c r="X103" s="1" t="s">
        <v>885</v>
      </c>
    </row>
    <row r="104" spans="3:60" ht="15.75" thickBot="1" x14ac:dyDescent="0.3">
      <c r="C104" s="1">
        <v>8</v>
      </c>
      <c r="D104" s="17">
        <v>4</v>
      </c>
      <c r="E104" s="1">
        <v>3</v>
      </c>
      <c r="F104" s="1">
        <v>0</v>
      </c>
      <c r="G104" s="1">
        <v>0</v>
      </c>
      <c r="H104" s="1">
        <v>0</v>
      </c>
      <c r="N104" s="13">
        <f t="shared" ca="1" si="89"/>
        <v>6</v>
      </c>
      <c r="O104" s="13">
        <f t="shared" ca="1" si="90"/>
        <v>0.63625972421305388</v>
      </c>
      <c r="P104" s="1" t="s">
        <v>953</v>
      </c>
      <c r="R104" s="13">
        <f t="shared" ca="1" si="91"/>
        <v>6</v>
      </c>
      <c r="S104" s="13">
        <f t="shared" ca="1" si="92"/>
        <v>0.12946338650430067</v>
      </c>
      <c r="T104" s="1" t="s">
        <v>1110</v>
      </c>
      <c r="V104" s="13">
        <f t="shared" ca="1" si="93"/>
        <v>8</v>
      </c>
      <c r="W104" s="13">
        <f t="shared" ca="1" si="94"/>
        <v>0.19368857550316199</v>
      </c>
      <c r="X104" s="1" t="s">
        <v>987</v>
      </c>
    </row>
    <row r="105" spans="3:60" ht="15.75" thickBot="1" x14ac:dyDescent="0.3">
      <c r="C105" s="1">
        <v>9</v>
      </c>
      <c r="D105" s="17">
        <v>4</v>
      </c>
      <c r="E105" s="1">
        <v>3</v>
      </c>
      <c r="F105" s="1">
        <v>2</v>
      </c>
      <c r="G105" s="1">
        <v>0</v>
      </c>
      <c r="H105" s="1">
        <v>0</v>
      </c>
      <c r="N105" s="13">
        <f t="shared" ca="1" si="89"/>
        <v>10</v>
      </c>
      <c r="O105" s="13">
        <f t="shared" ca="1" si="90"/>
        <v>0.36559706603118358</v>
      </c>
      <c r="P105" s="1" t="s">
        <v>1039</v>
      </c>
      <c r="V105" s="13">
        <f t="shared" ca="1" si="93"/>
        <v>6</v>
      </c>
      <c r="W105" s="13">
        <f t="shared" ca="1" si="94"/>
        <v>0.3551305273811729</v>
      </c>
      <c r="X105" s="1" t="s">
        <v>1036</v>
      </c>
    </row>
    <row r="106" spans="3:60" ht="15.75" thickBot="1" x14ac:dyDescent="0.3">
      <c r="C106" s="1">
        <v>10</v>
      </c>
      <c r="D106" s="17">
        <v>4</v>
      </c>
      <c r="E106" s="1">
        <v>3</v>
      </c>
      <c r="F106" s="1">
        <v>2</v>
      </c>
      <c r="G106" s="1">
        <v>0</v>
      </c>
      <c r="H106" s="1">
        <v>0</v>
      </c>
      <c r="N106" s="13">
        <f t="shared" ca="1" si="89"/>
        <v>1</v>
      </c>
      <c r="O106" s="13">
        <f t="shared" ca="1" si="90"/>
        <v>0.9481358575442429</v>
      </c>
      <c r="P106" s="1" t="s">
        <v>1075</v>
      </c>
      <c r="V106" s="13">
        <f t="shared" ca="1" si="93"/>
        <v>4</v>
      </c>
      <c r="W106" s="13">
        <f t="shared" ca="1" si="94"/>
        <v>0.63737093632200237</v>
      </c>
      <c r="X106" s="1" t="s">
        <v>1041</v>
      </c>
    </row>
    <row r="107" spans="3:60" ht="15.75" thickBot="1" x14ac:dyDescent="0.3">
      <c r="C107" s="1">
        <v>11</v>
      </c>
      <c r="D107" s="17">
        <v>4</v>
      </c>
      <c r="E107" s="1">
        <v>3</v>
      </c>
      <c r="F107" s="1">
        <v>3</v>
      </c>
      <c r="G107" s="1">
        <v>0</v>
      </c>
      <c r="H107" s="1">
        <v>0</v>
      </c>
      <c r="N107" s="13">
        <f t="shared" ca="1" si="89"/>
        <v>2</v>
      </c>
      <c r="O107" s="13">
        <f t="shared" ca="1" si="90"/>
        <v>0.91568848164516814</v>
      </c>
      <c r="P107" s="1" t="s">
        <v>1078</v>
      </c>
    </row>
    <row r="108" spans="3:60" ht="15.75" thickBot="1" x14ac:dyDescent="0.3">
      <c r="C108" s="1">
        <v>12</v>
      </c>
      <c r="D108" s="17">
        <v>4</v>
      </c>
      <c r="E108" s="1">
        <v>3</v>
      </c>
      <c r="F108" s="1">
        <v>3</v>
      </c>
      <c r="G108" s="1">
        <v>0</v>
      </c>
      <c r="H108" s="1">
        <v>0</v>
      </c>
      <c r="N108" s="13">
        <f t="shared" ca="1" si="89"/>
        <v>14</v>
      </c>
      <c r="O108" s="13">
        <f t="shared" ca="1" si="90"/>
        <v>2.6301629067670973E-3</v>
      </c>
      <c r="P108" s="1" t="s">
        <v>1087</v>
      </c>
    </row>
    <row r="109" spans="3:60" ht="15.75" thickBot="1" x14ac:dyDescent="0.3">
      <c r="C109" s="1">
        <v>13</v>
      </c>
      <c r="D109" s="17">
        <v>4</v>
      </c>
      <c r="E109" s="1">
        <v>3</v>
      </c>
      <c r="F109" s="1">
        <v>3</v>
      </c>
      <c r="G109" s="1">
        <v>1</v>
      </c>
      <c r="H109" s="1">
        <v>0</v>
      </c>
      <c r="N109" s="13">
        <f t="shared" ca="1" si="89"/>
        <v>13</v>
      </c>
      <c r="O109" s="13">
        <f t="shared" ca="1" si="90"/>
        <v>2.9085225573430629E-2</v>
      </c>
      <c r="P109" s="1" t="s">
        <v>1091</v>
      </c>
    </row>
    <row r="110" spans="3:60" ht="15.75" thickBot="1" x14ac:dyDescent="0.3">
      <c r="C110" s="1">
        <v>14</v>
      </c>
      <c r="D110" s="17">
        <v>4</v>
      </c>
      <c r="E110" s="1">
        <v>3</v>
      </c>
      <c r="F110" s="1">
        <v>3</v>
      </c>
      <c r="G110" s="1">
        <v>1</v>
      </c>
      <c r="H110" s="1">
        <v>0</v>
      </c>
      <c r="N110" s="13">
        <f t="shared" ca="1" si="89"/>
        <v>12</v>
      </c>
      <c r="O110" s="13">
        <f t="shared" ca="1" si="90"/>
        <v>0.16151720798899094</v>
      </c>
      <c r="P110" s="1" t="s">
        <v>1104</v>
      </c>
    </row>
    <row r="111" spans="3:60" ht="15.75" thickBot="1" x14ac:dyDescent="0.3">
      <c r="C111" s="1">
        <v>15</v>
      </c>
      <c r="D111" s="17">
        <v>4</v>
      </c>
      <c r="E111" s="1">
        <v>3</v>
      </c>
      <c r="F111" s="1">
        <v>3</v>
      </c>
      <c r="G111" s="1">
        <v>2</v>
      </c>
      <c r="H111" s="1">
        <v>0</v>
      </c>
      <c r="N111" s="13">
        <f t="shared" ca="1" si="89"/>
        <v>5</v>
      </c>
      <c r="O111" s="13">
        <f t="shared" ca="1" si="90"/>
        <v>0.71172426771336994</v>
      </c>
      <c r="P111" s="1" t="s">
        <v>1111</v>
      </c>
    </row>
    <row r="112" spans="3:60" ht="15.75" thickBot="1" x14ac:dyDescent="0.3">
      <c r="C112" s="1">
        <v>16</v>
      </c>
      <c r="D112" s="17">
        <v>4</v>
      </c>
      <c r="E112" s="1">
        <v>3</v>
      </c>
      <c r="F112" s="1">
        <v>3</v>
      </c>
      <c r="G112" s="1">
        <v>2</v>
      </c>
      <c r="H112" s="1">
        <v>0</v>
      </c>
    </row>
    <row r="113" spans="1:92" s="2" customFormat="1" ht="15.75" thickBot="1" x14ac:dyDescent="0.3">
      <c r="A113" s="1"/>
      <c r="B113" s="1"/>
      <c r="C113" s="1">
        <v>17</v>
      </c>
      <c r="D113" s="17">
        <v>4</v>
      </c>
      <c r="E113" s="1">
        <v>3</v>
      </c>
      <c r="F113" s="1">
        <v>3</v>
      </c>
      <c r="G113" s="1">
        <v>3</v>
      </c>
      <c r="H113" s="1">
        <v>1</v>
      </c>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row>
    <row r="114" spans="1:92" ht="15.75" thickBot="1" x14ac:dyDescent="0.3">
      <c r="C114" s="1">
        <v>18</v>
      </c>
      <c r="D114" s="17">
        <v>4</v>
      </c>
      <c r="E114" s="1">
        <v>3</v>
      </c>
      <c r="F114" s="1">
        <v>3</v>
      </c>
      <c r="G114" s="1">
        <v>3</v>
      </c>
      <c r="H114" s="1">
        <v>1</v>
      </c>
    </row>
    <row r="115" spans="1:92" ht="15.75" thickBot="1" x14ac:dyDescent="0.3">
      <c r="C115" s="1">
        <v>19</v>
      </c>
      <c r="D115" s="17">
        <v>4</v>
      </c>
      <c r="E115" s="1">
        <v>3</v>
      </c>
      <c r="F115" s="1">
        <v>3</v>
      </c>
      <c r="G115" s="1">
        <v>3</v>
      </c>
      <c r="H115" s="1">
        <v>2</v>
      </c>
    </row>
    <row r="116" spans="1:92" ht="15.75" thickBot="1" x14ac:dyDescent="0.3">
      <c r="C116" s="1">
        <v>20</v>
      </c>
      <c r="D116" s="17">
        <v>4</v>
      </c>
      <c r="E116" s="1">
        <v>3</v>
      </c>
      <c r="F116" s="1">
        <v>3</v>
      </c>
      <c r="G116" s="1">
        <v>3</v>
      </c>
      <c r="H116" s="1">
        <v>2</v>
      </c>
    </row>
    <row r="118" spans="1:92" ht="15.75" thickBot="1" x14ac:dyDescent="0.3">
      <c r="A118" s="2"/>
      <c r="B118" s="2" t="s">
        <v>1156</v>
      </c>
      <c r="C118" s="2" t="s">
        <v>1129</v>
      </c>
      <c r="D118" s="18">
        <v>1</v>
      </c>
      <c r="E118" s="2">
        <v>2</v>
      </c>
      <c r="F118" s="2">
        <v>3</v>
      </c>
      <c r="G118" s="2">
        <v>4</v>
      </c>
      <c r="H118" s="2">
        <v>5</v>
      </c>
      <c r="I118" s="2"/>
      <c r="J118" s="2"/>
      <c r="K118" s="2"/>
      <c r="L118" s="2"/>
      <c r="M118" s="2"/>
      <c r="N118" s="2" t="s">
        <v>1189</v>
      </c>
      <c r="O118" s="2"/>
      <c r="P118" s="2"/>
      <c r="Q118" s="2"/>
      <c r="R118" s="2" t="s">
        <v>1190</v>
      </c>
      <c r="S118" s="2"/>
      <c r="T118" s="2"/>
      <c r="U118" s="2"/>
      <c r="V118" s="2" t="s">
        <v>1191</v>
      </c>
      <c r="W118" s="2"/>
      <c r="X118" s="2"/>
      <c r="Y118" s="2"/>
      <c r="Z118" s="2" t="s">
        <v>1192</v>
      </c>
      <c r="AA118" s="2"/>
      <c r="AB118" s="2"/>
      <c r="AC118" s="2"/>
      <c r="AD118" s="2" t="s">
        <v>1193</v>
      </c>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row>
    <row r="119" spans="1:92" ht="15.75" thickBot="1" x14ac:dyDescent="0.3">
      <c r="B119" s="1">
        <v>1</v>
      </c>
      <c r="C119" s="1">
        <v>0</v>
      </c>
      <c r="D119" s="17">
        <v>0</v>
      </c>
      <c r="E119" s="1">
        <v>0</v>
      </c>
      <c r="F119" s="1">
        <v>0</v>
      </c>
      <c r="G119" s="1">
        <v>0</v>
      </c>
      <c r="H119" s="1">
        <v>0</v>
      </c>
      <c r="N119" s="13">
        <f t="shared" ref="N119:N131" ca="1" si="99">_xlfn.RANK.EQ(O119,O$119:O$131)</f>
        <v>3</v>
      </c>
      <c r="O119" s="13">
        <f t="shared" ref="O119:O131" ca="1" si="100">RAND()</f>
        <v>0.92322162615233871</v>
      </c>
      <c r="P119" s="1" t="s">
        <v>760</v>
      </c>
      <c r="R119" s="13">
        <f t="shared" ref="R119:R131" ca="1" si="101">_xlfn.RANK.EQ(S119,S$119:S$131)</f>
        <v>2</v>
      </c>
      <c r="S119" s="13">
        <f t="shared" ref="S119:S131" ca="1" si="102">RAND()</f>
        <v>0.82678874211350051</v>
      </c>
      <c r="T119" s="1" t="s">
        <v>777</v>
      </c>
      <c r="V119" s="13">
        <f t="shared" ref="V119:V129" ca="1" si="103">_xlfn.RANK.EQ(W119,W$119:W$129)</f>
        <v>9</v>
      </c>
      <c r="W119" s="13">
        <f t="shared" ref="W119:W129" ca="1" si="104">RAND()</f>
        <v>0.14635805240523125</v>
      </c>
      <c r="X119" s="1" t="s">
        <v>830</v>
      </c>
      <c r="Z119" s="13">
        <f ca="1">_xlfn.RANK.EQ(AA119,AA$119:AA$123)</f>
        <v>1</v>
      </c>
      <c r="AA119" s="13">
        <f ca="1">RAND()</f>
        <v>0.98388698112145456</v>
      </c>
      <c r="AB119" s="1" t="s">
        <v>831</v>
      </c>
      <c r="AD119" s="13">
        <f ca="1">_xlfn.RANK.EQ(AE119,AE$119:AE$122)</f>
        <v>3</v>
      </c>
      <c r="AE119" s="13">
        <f ca="1">RAND()</f>
        <v>0.37685966272910865</v>
      </c>
      <c r="AF119" s="1" t="s">
        <v>822</v>
      </c>
      <c r="BF119" s="2"/>
      <c r="BG119" s="2"/>
      <c r="BH119" s="2"/>
    </row>
    <row r="120" spans="1:92" ht="15.75" thickBot="1" x14ac:dyDescent="0.3">
      <c r="B120" s="1">
        <v>2</v>
      </c>
      <c r="C120" s="1">
        <v>2</v>
      </c>
      <c r="D120" s="17">
        <v>2</v>
      </c>
      <c r="E120" s="1">
        <v>0</v>
      </c>
      <c r="F120" s="1">
        <v>0</v>
      </c>
      <c r="G120" s="1">
        <v>0</v>
      </c>
      <c r="H120" s="1">
        <v>0</v>
      </c>
      <c r="N120" s="13">
        <f t="shared" ca="1" si="99"/>
        <v>11</v>
      </c>
      <c r="O120" s="13">
        <f t="shared" ca="1" si="100"/>
        <v>0.12965912764920395</v>
      </c>
      <c r="P120" s="1" t="s">
        <v>768</v>
      </c>
      <c r="R120" s="13">
        <f t="shared" ca="1" si="101"/>
        <v>13</v>
      </c>
      <c r="S120" s="13">
        <f t="shared" ca="1" si="102"/>
        <v>8.7738213320942893E-2</v>
      </c>
      <c r="T120" s="1" t="s">
        <v>803</v>
      </c>
      <c r="V120" s="13">
        <f t="shared" ca="1" si="103"/>
        <v>11</v>
      </c>
      <c r="W120" s="13">
        <f t="shared" ca="1" si="104"/>
        <v>9.8323453029277474E-2</v>
      </c>
      <c r="X120" s="1" t="s">
        <v>839</v>
      </c>
      <c r="Z120" s="13">
        <f ca="1">_xlfn.RANK.EQ(AA120,AA$119:AA$123)</f>
        <v>4</v>
      </c>
      <c r="AA120" s="13">
        <f ca="1">RAND()</f>
        <v>0.1829079513720101</v>
      </c>
      <c r="AB120" s="1" t="s">
        <v>914</v>
      </c>
      <c r="AD120" s="13">
        <f ca="1">_xlfn.RANK.EQ(AE120,AE$119:AE$122)</f>
        <v>1</v>
      </c>
      <c r="AE120" s="13">
        <f ca="1">RAND()</f>
        <v>0.92419162683150324</v>
      </c>
      <c r="AF120" s="1" t="s">
        <v>849</v>
      </c>
    </row>
    <row r="121" spans="1:92" ht="15.75" thickBot="1" x14ac:dyDescent="0.3">
      <c r="B121" s="1">
        <v>3</v>
      </c>
      <c r="C121" s="1">
        <v>3</v>
      </c>
      <c r="D121" s="17">
        <v>3</v>
      </c>
      <c r="E121" s="1">
        <v>0</v>
      </c>
      <c r="F121" s="1">
        <v>0</v>
      </c>
      <c r="G121" s="1">
        <v>0</v>
      </c>
      <c r="H121" s="1">
        <v>0</v>
      </c>
      <c r="N121" s="13">
        <f t="shared" ca="1" si="99"/>
        <v>10</v>
      </c>
      <c r="O121" s="13">
        <f t="shared" ca="1" si="100"/>
        <v>0.2341789280643235</v>
      </c>
      <c r="P121" s="1" t="s">
        <v>920</v>
      </c>
      <c r="R121" s="13">
        <f t="shared" ca="1" si="101"/>
        <v>11</v>
      </c>
      <c r="S121" s="13">
        <f t="shared" ca="1" si="102"/>
        <v>0.14537816262605208</v>
      </c>
      <c r="T121" s="1" t="s">
        <v>811</v>
      </c>
      <c r="V121" s="13">
        <f t="shared" ca="1" si="103"/>
        <v>8</v>
      </c>
      <c r="W121" s="13">
        <f t="shared" ca="1" si="104"/>
        <v>0.21400759588936169</v>
      </c>
      <c r="X121" s="1" t="s">
        <v>869</v>
      </c>
      <c r="Z121" s="13">
        <f ca="1">_xlfn.RANK.EQ(AA121,AA$119:AA$123)</f>
        <v>2</v>
      </c>
      <c r="AA121" s="13">
        <f ca="1">RAND()</f>
        <v>0.8304514235334346</v>
      </c>
      <c r="AB121" s="1" t="s">
        <v>929</v>
      </c>
      <c r="AD121" s="13">
        <f ca="1">_xlfn.RANK.EQ(AE121,AE$119:AE$122)</f>
        <v>4</v>
      </c>
      <c r="AE121" s="13">
        <f ca="1">RAND()</f>
        <v>0.27704003266677057</v>
      </c>
      <c r="AF121" s="1" t="s">
        <v>1060</v>
      </c>
    </row>
    <row r="122" spans="1:92" ht="15.75" thickBot="1" x14ac:dyDescent="0.3">
      <c r="B122" s="1">
        <v>4</v>
      </c>
      <c r="C122" s="1">
        <v>3</v>
      </c>
      <c r="D122" s="17">
        <v>3</v>
      </c>
      <c r="E122" s="1">
        <v>0</v>
      </c>
      <c r="F122" s="1">
        <v>0</v>
      </c>
      <c r="G122" s="1">
        <v>0</v>
      </c>
      <c r="H122" s="1">
        <v>0</v>
      </c>
      <c r="N122" s="13">
        <f t="shared" ca="1" si="99"/>
        <v>1</v>
      </c>
      <c r="O122" s="13">
        <f t="shared" ca="1" si="100"/>
        <v>0.9938920290716079</v>
      </c>
      <c r="P122" s="1" t="s">
        <v>930</v>
      </c>
      <c r="R122" s="13">
        <f t="shared" ca="1" si="101"/>
        <v>8</v>
      </c>
      <c r="S122" s="13">
        <f t="shared" ca="1" si="102"/>
        <v>0.35435346896373432</v>
      </c>
      <c r="T122" s="1" t="s">
        <v>868</v>
      </c>
      <c r="V122" s="13">
        <f t="shared" ca="1" si="103"/>
        <v>10</v>
      </c>
      <c r="W122" s="13">
        <f t="shared" ca="1" si="104"/>
        <v>0.11236477939687939</v>
      </c>
      <c r="X122" s="1" t="s">
        <v>975</v>
      </c>
      <c r="Z122" s="13">
        <f ca="1">_xlfn.RANK.EQ(AA122,AA$119:AA$123)</f>
        <v>5</v>
      </c>
      <c r="AA122" s="13">
        <f ca="1">RAND()</f>
        <v>0.12028679941015341</v>
      </c>
      <c r="AB122" s="1" t="s">
        <v>967</v>
      </c>
      <c r="AD122" s="13">
        <f ca="1">_xlfn.RANK.EQ(AE122,AE$119:AE$122)</f>
        <v>2</v>
      </c>
      <c r="AE122" s="13">
        <f ca="1">RAND()</f>
        <v>0.68181362325769101</v>
      </c>
      <c r="AF122" s="1" t="s">
        <v>1074</v>
      </c>
    </row>
    <row r="123" spans="1:92" ht="15.75" thickBot="1" x14ac:dyDescent="0.3">
      <c r="B123" s="1">
        <v>5</v>
      </c>
      <c r="C123" s="1">
        <v>4</v>
      </c>
      <c r="D123" s="17">
        <v>4</v>
      </c>
      <c r="E123" s="1">
        <v>2</v>
      </c>
      <c r="F123" s="1">
        <v>0</v>
      </c>
      <c r="G123" s="1">
        <v>0</v>
      </c>
      <c r="H123" s="1">
        <v>0</v>
      </c>
      <c r="N123" s="13">
        <f t="shared" ca="1" si="99"/>
        <v>13</v>
      </c>
      <c r="O123" s="13">
        <f t="shared" ca="1" si="100"/>
        <v>5.4587244805125779E-2</v>
      </c>
      <c r="P123" s="1" t="s">
        <v>935</v>
      </c>
      <c r="R123" s="13">
        <f t="shared" ca="1" si="101"/>
        <v>12</v>
      </c>
      <c r="S123" s="13">
        <f t="shared" ca="1" si="102"/>
        <v>9.2885992630254433E-2</v>
      </c>
      <c r="T123" s="1" t="s">
        <v>891</v>
      </c>
      <c r="V123" s="13">
        <f t="shared" ca="1" si="103"/>
        <v>6</v>
      </c>
      <c r="W123" s="13">
        <f t="shared" ca="1" si="104"/>
        <v>0.54773301037083011</v>
      </c>
      <c r="X123" s="1" t="s">
        <v>1013</v>
      </c>
      <c r="Z123" s="13">
        <f ca="1">_xlfn.RANK.EQ(AA123,AA$119:AA$123)</f>
        <v>3</v>
      </c>
      <c r="AA123" s="13">
        <f ca="1">RAND()</f>
        <v>0.62223861183402507</v>
      </c>
      <c r="AB123" s="1" t="s">
        <v>1019</v>
      </c>
    </row>
    <row r="124" spans="1:92" ht="15.75" thickBot="1" x14ac:dyDescent="0.3">
      <c r="B124" s="1">
        <v>6</v>
      </c>
      <c r="C124" s="1">
        <v>4</v>
      </c>
      <c r="D124" s="17">
        <v>4</v>
      </c>
      <c r="E124" s="1">
        <v>2</v>
      </c>
      <c r="F124" s="1">
        <v>0</v>
      </c>
      <c r="G124" s="1">
        <v>0</v>
      </c>
      <c r="H124" s="1">
        <v>0</v>
      </c>
      <c r="N124" s="13">
        <f t="shared" ca="1" si="99"/>
        <v>5</v>
      </c>
      <c r="O124" s="13">
        <f t="shared" ca="1" si="100"/>
        <v>0.72773558381483994</v>
      </c>
      <c r="P124" s="1" t="s">
        <v>964</v>
      </c>
      <c r="R124" s="13">
        <f t="shared" ca="1" si="101"/>
        <v>4</v>
      </c>
      <c r="S124" s="13">
        <f t="shared" ca="1" si="102"/>
        <v>0.79799761204571718</v>
      </c>
      <c r="T124" s="1" t="s">
        <v>947</v>
      </c>
      <c r="V124" s="13">
        <f t="shared" ca="1" si="103"/>
        <v>4</v>
      </c>
      <c r="W124" s="13">
        <f t="shared" ca="1" si="104"/>
        <v>0.59851478514355561</v>
      </c>
      <c r="X124" s="1" t="s">
        <v>1025</v>
      </c>
    </row>
    <row r="125" spans="1:92" ht="15.75" thickBot="1" x14ac:dyDescent="0.3">
      <c r="B125" s="1">
        <v>7</v>
      </c>
      <c r="C125" s="1">
        <v>5</v>
      </c>
      <c r="D125" s="17">
        <v>4</v>
      </c>
      <c r="E125" s="1">
        <v>3</v>
      </c>
      <c r="F125" s="1">
        <v>0</v>
      </c>
      <c r="G125" s="1">
        <v>0</v>
      </c>
      <c r="H125" s="1">
        <v>0</v>
      </c>
      <c r="N125" s="13">
        <f t="shared" ca="1" si="99"/>
        <v>2</v>
      </c>
      <c r="O125" s="13">
        <f t="shared" ca="1" si="100"/>
        <v>0.94626788832051867</v>
      </c>
      <c r="P125" s="1" t="s">
        <v>1001</v>
      </c>
      <c r="R125" s="13">
        <f t="shared" ca="1" si="101"/>
        <v>9</v>
      </c>
      <c r="S125" s="13">
        <f t="shared" ca="1" si="102"/>
        <v>0.30559956377687603</v>
      </c>
      <c r="T125" s="1" t="s">
        <v>1002</v>
      </c>
      <c r="V125" s="13">
        <f t="shared" ca="1" si="103"/>
        <v>2</v>
      </c>
      <c r="W125" s="13">
        <f t="shared" ca="1" si="104"/>
        <v>0.76475666966600642</v>
      </c>
      <c r="X125" s="1" t="s">
        <v>1032</v>
      </c>
    </row>
    <row r="126" spans="1:92" ht="15.75" thickBot="1" x14ac:dyDescent="0.3">
      <c r="B126" s="1">
        <v>8</v>
      </c>
      <c r="C126" s="1">
        <v>5</v>
      </c>
      <c r="D126" s="17">
        <v>4</v>
      </c>
      <c r="E126" s="1">
        <v>3</v>
      </c>
      <c r="F126" s="1">
        <v>0</v>
      </c>
      <c r="G126" s="1">
        <v>0</v>
      </c>
      <c r="H126" s="1">
        <v>0</v>
      </c>
      <c r="N126" s="13">
        <f t="shared" ca="1" si="99"/>
        <v>6</v>
      </c>
      <c r="O126" s="13">
        <f t="shared" ca="1" si="100"/>
        <v>0.71551201652350738</v>
      </c>
      <c r="P126" s="1" t="s">
        <v>1007</v>
      </c>
      <c r="R126" s="13">
        <f t="shared" ca="1" si="101"/>
        <v>10</v>
      </c>
      <c r="S126" s="13">
        <f t="shared" ca="1" si="102"/>
        <v>0.27913536928208971</v>
      </c>
      <c r="T126" s="1" t="s">
        <v>1012</v>
      </c>
      <c r="V126" s="13">
        <f t="shared" ca="1" si="103"/>
        <v>1</v>
      </c>
      <c r="W126" s="13">
        <f t="shared" ca="1" si="104"/>
        <v>0.80058111071866922</v>
      </c>
      <c r="X126" s="1" t="s">
        <v>1059</v>
      </c>
    </row>
    <row r="127" spans="1:92" ht="15.75" thickBot="1" x14ac:dyDescent="0.3">
      <c r="B127" s="1">
        <v>9</v>
      </c>
      <c r="C127" s="1">
        <v>6</v>
      </c>
      <c r="D127" s="17">
        <v>4</v>
      </c>
      <c r="E127" s="1">
        <v>3</v>
      </c>
      <c r="F127" s="1">
        <v>2</v>
      </c>
      <c r="G127" s="1">
        <v>0</v>
      </c>
      <c r="H127" s="1">
        <v>0</v>
      </c>
      <c r="N127" s="13">
        <f t="shared" ca="1" si="99"/>
        <v>7</v>
      </c>
      <c r="O127" s="13">
        <f t="shared" ca="1" si="100"/>
        <v>0.58345474121027419</v>
      </c>
      <c r="P127" s="1" t="s">
        <v>1023</v>
      </c>
      <c r="R127" s="13">
        <f t="shared" ca="1" si="101"/>
        <v>1</v>
      </c>
      <c r="S127" s="13">
        <f t="shared" ca="1" si="102"/>
        <v>0.8982937865042937</v>
      </c>
      <c r="T127" s="1" t="s">
        <v>1017</v>
      </c>
      <c r="V127" s="13">
        <f t="shared" ca="1" si="103"/>
        <v>5</v>
      </c>
      <c r="W127" s="13">
        <f t="shared" ca="1" si="104"/>
        <v>0.59653486944078415</v>
      </c>
      <c r="X127" s="1" t="s">
        <v>1090</v>
      </c>
    </row>
    <row r="128" spans="1:92" ht="15.75" thickBot="1" x14ac:dyDescent="0.3">
      <c r="B128" s="1">
        <v>10</v>
      </c>
      <c r="C128" s="1">
        <v>6</v>
      </c>
      <c r="D128" s="17">
        <v>4</v>
      </c>
      <c r="E128" s="1">
        <v>3</v>
      </c>
      <c r="F128" s="1">
        <v>2</v>
      </c>
      <c r="G128" s="1">
        <v>0</v>
      </c>
      <c r="H128" s="1">
        <v>0</v>
      </c>
      <c r="N128" s="13">
        <f t="shared" ca="1" si="99"/>
        <v>12</v>
      </c>
      <c r="O128" s="13">
        <f t="shared" ca="1" si="100"/>
        <v>9.9230351380985127E-2</v>
      </c>
      <c r="P128" s="1" t="s">
        <v>1048</v>
      </c>
      <c r="R128" s="13">
        <f t="shared" ca="1" si="101"/>
        <v>5</v>
      </c>
      <c r="S128" s="13">
        <f t="shared" ca="1" si="102"/>
        <v>0.75571767186028771</v>
      </c>
      <c r="T128" s="1" t="s">
        <v>1062</v>
      </c>
      <c r="V128" s="13">
        <f t="shared" ca="1" si="103"/>
        <v>7</v>
      </c>
      <c r="W128" s="13">
        <f t="shared" ca="1" si="104"/>
        <v>0.50000970845080339</v>
      </c>
      <c r="X128" s="1" t="s">
        <v>1093</v>
      </c>
    </row>
    <row r="129" spans="1:92" ht="15.75" thickBot="1" x14ac:dyDescent="0.3">
      <c r="B129" s="1">
        <v>11</v>
      </c>
      <c r="C129" s="1">
        <v>7</v>
      </c>
      <c r="D129" s="17">
        <v>4</v>
      </c>
      <c r="E129" s="1">
        <v>3</v>
      </c>
      <c r="F129" s="1">
        <v>3</v>
      </c>
      <c r="G129" s="1">
        <v>0</v>
      </c>
      <c r="H129" s="1">
        <v>0</v>
      </c>
      <c r="N129" s="13">
        <f t="shared" ca="1" si="99"/>
        <v>8</v>
      </c>
      <c r="O129" s="13">
        <f t="shared" ca="1" si="100"/>
        <v>0.46111921551100865</v>
      </c>
      <c r="P129" s="1" t="s">
        <v>1064</v>
      </c>
      <c r="R129" s="13">
        <f t="shared" ca="1" si="101"/>
        <v>7</v>
      </c>
      <c r="S129" s="13">
        <f t="shared" ca="1" si="102"/>
        <v>0.45131533632296017</v>
      </c>
      <c r="T129" s="1" t="s">
        <v>1072</v>
      </c>
      <c r="V129" s="13">
        <f t="shared" ca="1" si="103"/>
        <v>3</v>
      </c>
      <c r="W129" s="13">
        <f t="shared" ca="1" si="104"/>
        <v>0.70019230559155166</v>
      </c>
      <c r="X129" s="1" t="s">
        <v>1095</v>
      </c>
    </row>
    <row r="130" spans="1:92" ht="15.75" thickBot="1" x14ac:dyDescent="0.3">
      <c r="B130" s="1">
        <v>12</v>
      </c>
      <c r="C130" s="1">
        <v>7</v>
      </c>
      <c r="D130" s="17">
        <v>4</v>
      </c>
      <c r="E130" s="1">
        <v>3</v>
      </c>
      <c r="F130" s="1">
        <v>3</v>
      </c>
      <c r="G130" s="1">
        <v>0</v>
      </c>
      <c r="H130" s="1">
        <v>0</v>
      </c>
      <c r="N130" s="13">
        <f t="shared" ca="1" si="99"/>
        <v>9</v>
      </c>
      <c r="O130" s="13">
        <f t="shared" ca="1" si="100"/>
        <v>0.45676736638641624</v>
      </c>
      <c r="P130" s="1" t="s">
        <v>1068</v>
      </c>
      <c r="R130" s="13">
        <f t="shared" ca="1" si="101"/>
        <v>6</v>
      </c>
      <c r="S130" s="13">
        <f t="shared" ca="1" si="102"/>
        <v>0.63284321834818891</v>
      </c>
      <c r="T130" s="1" t="s">
        <v>1092</v>
      </c>
    </row>
    <row r="131" spans="1:92" ht="15.75" thickBot="1" x14ac:dyDescent="0.3">
      <c r="B131" s="1">
        <v>13</v>
      </c>
      <c r="C131" s="1">
        <v>8</v>
      </c>
      <c r="D131" s="17">
        <v>4</v>
      </c>
      <c r="E131" s="1">
        <v>3</v>
      </c>
      <c r="F131" s="1">
        <v>3</v>
      </c>
      <c r="G131" s="1">
        <v>1</v>
      </c>
      <c r="H131" s="1">
        <v>0</v>
      </c>
      <c r="N131" s="13">
        <f t="shared" ca="1" si="99"/>
        <v>4</v>
      </c>
      <c r="O131" s="13">
        <f t="shared" ca="1" si="100"/>
        <v>0.77733338471421809</v>
      </c>
      <c r="P131" s="1" t="s">
        <v>1098</v>
      </c>
      <c r="R131" s="13">
        <f t="shared" ca="1" si="101"/>
        <v>3</v>
      </c>
      <c r="S131" s="13">
        <f t="shared" ca="1" si="102"/>
        <v>0.80719054255517242</v>
      </c>
      <c r="T131" s="1" t="s">
        <v>1099</v>
      </c>
    </row>
    <row r="132" spans="1:92" ht="15.75" thickBot="1" x14ac:dyDescent="0.3">
      <c r="B132" s="1">
        <v>14</v>
      </c>
      <c r="C132" s="1">
        <v>8</v>
      </c>
      <c r="D132" s="17">
        <v>4</v>
      </c>
      <c r="E132" s="1">
        <v>3</v>
      </c>
      <c r="F132" s="1">
        <v>3</v>
      </c>
      <c r="G132" s="1">
        <v>1</v>
      </c>
      <c r="H132" s="1">
        <v>0</v>
      </c>
    </row>
    <row r="133" spans="1:92" ht="15.75" thickBot="1" x14ac:dyDescent="0.3">
      <c r="B133" s="1">
        <v>15</v>
      </c>
      <c r="C133" s="1">
        <v>9</v>
      </c>
      <c r="D133" s="17">
        <v>4</v>
      </c>
      <c r="E133" s="1">
        <v>3</v>
      </c>
      <c r="F133" s="1">
        <v>3</v>
      </c>
      <c r="G133" s="1">
        <v>2</v>
      </c>
      <c r="H133" s="1">
        <v>0</v>
      </c>
    </row>
    <row r="134" spans="1:92" ht="15.75" thickBot="1" x14ac:dyDescent="0.3">
      <c r="B134" s="1">
        <v>16</v>
      </c>
      <c r="C134" s="1">
        <v>9</v>
      </c>
      <c r="D134" s="17">
        <v>4</v>
      </c>
      <c r="E134" s="1">
        <v>3</v>
      </c>
      <c r="F134" s="1">
        <v>3</v>
      </c>
      <c r="G134" s="1">
        <v>2</v>
      </c>
      <c r="H134" s="1">
        <v>0</v>
      </c>
    </row>
    <row r="135" spans="1:92" s="2" customFormat="1" ht="15.75" thickBot="1" x14ac:dyDescent="0.3">
      <c r="A135" s="1"/>
      <c r="B135" s="1">
        <v>17</v>
      </c>
      <c r="C135" s="1">
        <v>10</v>
      </c>
      <c r="D135" s="17">
        <v>4</v>
      </c>
      <c r="E135" s="1">
        <v>3</v>
      </c>
      <c r="F135" s="1">
        <v>3</v>
      </c>
      <c r="G135" s="1">
        <v>3</v>
      </c>
      <c r="H135" s="1">
        <v>1</v>
      </c>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row>
    <row r="136" spans="1:92" ht="15.75" thickBot="1" x14ac:dyDescent="0.3">
      <c r="B136" s="1">
        <v>18</v>
      </c>
      <c r="C136" s="1">
        <v>10</v>
      </c>
      <c r="D136" s="17">
        <v>4</v>
      </c>
      <c r="E136" s="1">
        <v>3</v>
      </c>
      <c r="F136" s="1">
        <v>3</v>
      </c>
      <c r="G136" s="1">
        <v>3</v>
      </c>
      <c r="H136" s="1">
        <v>1</v>
      </c>
    </row>
    <row r="137" spans="1:92" ht="15.75" thickBot="1" x14ac:dyDescent="0.3">
      <c r="B137" s="1">
        <v>19</v>
      </c>
      <c r="C137" s="1">
        <v>11</v>
      </c>
      <c r="D137" s="17">
        <v>4</v>
      </c>
      <c r="E137" s="1">
        <v>3</v>
      </c>
      <c r="F137" s="1">
        <v>3</v>
      </c>
      <c r="G137" s="1">
        <v>3</v>
      </c>
      <c r="H137" s="1">
        <v>2</v>
      </c>
    </row>
    <row r="138" spans="1:92" ht="15.75" thickBot="1" x14ac:dyDescent="0.3">
      <c r="B138" s="1">
        <v>20</v>
      </c>
      <c r="C138" s="1">
        <v>11</v>
      </c>
      <c r="D138" s="17">
        <v>4</v>
      </c>
      <c r="E138" s="1">
        <v>3</v>
      </c>
      <c r="F138" s="1">
        <v>3</v>
      </c>
      <c r="G138" s="1">
        <v>3</v>
      </c>
      <c r="H138" s="1">
        <v>2</v>
      </c>
    </row>
    <row r="140" spans="1:92" s="2" customFormat="1" ht="15.75" thickBot="1" x14ac:dyDescent="0.3">
      <c r="A140" s="2" t="s">
        <v>1158</v>
      </c>
      <c r="B140" s="2" t="s">
        <v>1159</v>
      </c>
      <c r="C140" s="18" t="s">
        <v>1129</v>
      </c>
      <c r="D140" s="2">
        <v>1</v>
      </c>
      <c r="E140" s="2">
        <v>2</v>
      </c>
      <c r="F140" s="2">
        <v>3</v>
      </c>
      <c r="G140" s="2">
        <v>4</v>
      </c>
      <c r="N140" s="2" t="s">
        <v>1255</v>
      </c>
      <c r="R140" s="2" t="s">
        <v>1258</v>
      </c>
      <c r="V140" s="2" t="s">
        <v>1259</v>
      </c>
      <c r="Z140" s="2" t="s">
        <v>1260</v>
      </c>
      <c r="AD140" s="2" t="s">
        <v>1261</v>
      </c>
      <c r="AH140" s="2" t="s">
        <v>1262</v>
      </c>
      <c r="AL140" s="2" t="s">
        <v>1263</v>
      </c>
      <c r="AP140" s="2" t="s">
        <v>1264</v>
      </c>
      <c r="AT140" s="2" t="s">
        <v>1265</v>
      </c>
      <c r="BF140" s="1"/>
      <c r="BG140" s="1"/>
      <c r="BH140" s="1"/>
    </row>
    <row r="141" spans="1:92" s="19" customFormat="1" ht="15.75" thickBot="1" x14ac:dyDescent="0.3">
      <c r="A141" s="19">
        <v>1</v>
      </c>
      <c r="B141" s="19">
        <v>0</v>
      </c>
      <c r="C141" s="20">
        <v>0</v>
      </c>
      <c r="D141" s="19">
        <v>0</v>
      </c>
      <c r="E141" s="19">
        <v>0</v>
      </c>
      <c r="F141" s="19">
        <v>0</v>
      </c>
      <c r="G141" s="19">
        <v>0</v>
      </c>
      <c r="N141" s="13">
        <f ca="1">_xlfn.RANK.EQ(O141,O$141:O$156)</f>
        <v>15</v>
      </c>
      <c r="O141" s="13">
        <f t="shared" ref="O141:O156" ca="1" si="105">RAND()</f>
        <v>7.1953044685842737E-2</v>
      </c>
      <c r="P141" s="19" t="s">
        <v>752</v>
      </c>
      <c r="R141" s="13">
        <f ca="1">_xlfn.RANK.EQ(S141,S$141:S$147)</f>
        <v>5</v>
      </c>
      <c r="S141" s="13">
        <f t="shared" ref="S141:S147" ca="1" si="106">RAND()</f>
        <v>0.40566103302634271</v>
      </c>
      <c r="T141" s="19" t="s">
        <v>867</v>
      </c>
      <c r="V141" s="13">
        <f ca="1">_xlfn.RANK.EQ(W141,W$141:W$163)</f>
        <v>10</v>
      </c>
      <c r="W141" s="13">
        <f t="shared" ref="W141:W163" ca="1" si="107">RAND()</f>
        <v>0.55687050963814133</v>
      </c>
      <c r="X141" s="1" t="s">
        <v>760</v>
      </c>
      <c r="Z141" s="13">
        <f ca="1">_xlfn.RANK.EQ(AA141,AA$141:AA$149)</f>
        <v>7</v>
      </c>
      <c r="AA141" s="13">
        <f t="shared" ref="AA141:AA149" ca="1" si="108">RAND()</f>
        <v>0.16615508111337185</v>
      </c>
      <c r="AB141" s="1" t="s">
        <v>829</v>
      </c>
      <c r="AD141" s="13">
        <f ca="1">_xlfn.RANK.EQ(AE141,AE$141:AE$165)</f>
        <v>18</v>
      </c>
      <c r="AE141" s="13">
        <f t="shared" ref="AE141:AE165" ca="1" si="109">RAND()</f>
        <v>0.37357476550803892</v>
      </c>
      <c r="AF141" s="1" t="s">
        <v>769</v>
      </c>
      <c r="AH141" s="13">
        <f ca="1">_xlfn.RANK.EQ(AI141,AI$141:AI$144)</f>
        <v>3</v>
      </c>
      <c r="AI141" s="13">
        <f ca="1">RAND()</f>
        <v>0.23884602420877099</v>
      </c>
      <c r="AJ141" s="19" t="s">
        <v>640</v>
      </c>
      <c r="AL141" s="13">
        <f ca="1">_xlfn.RANK.EQ(AM141,AM$141:AM$165)</f>
        <v>1</v>
      </c>
      <c r="AM141" s="13">
        <f t="shared" ref="AM141:AM165" ca="1" si="110">RAND()</f>
        <v>0.96353296188473148</v>
      </c>
      <c r="AN141" s="1" t="s">
        <v>753</v>
      </c>
      <c r="AP141" s="13">
        <f ca="1">_xlfn.RANK.EQ(AQ141,AQ$141:AQ$144)</f>
        <v>1</v>
      </c>
      <c r="AQ141" s="13">
        <f ca="1">RAND()</f>
        <v>0.99797930314204597</v>
      </c>
      <c r="AR141" s="19" t="s">
        <v>812</v>
      </c>
      <c r="AT141" s="13">
        <f ca="1">_xlfn.RANK.EQ(AU141,AU$141:AU$159)</f>
        <v>7</v>
      </c>
      <c r="AU141" s="13">
        <f t="shared" ref="AU141:AU159" ca="1" si="111">RAND()</f>
        <v>0.84891471635083859</v>
      </c>
      <c r="AV141" s="1" t="s">
        <v>754</v>
      </c>
      <c r="BF141" s="2"/>
      <c r="BG141" s="2"/>
      <c r="BH141" s="2"/>
    </row>
    <row r="142" spans="1:92" s="19" customFormat="1" ht="15.75" thickBot="1" x14ac:dyDescent="0.3">
      <c r="A142" s="19">
        <v>2</v>
      </c>
      <c r="B142" s="19">
        <v>0</v>
      </c>
      <c r="C142" s="20">
        <v>0</v>
      </c>
      <c r="D142" s="19">
        <v>0</v>
      </c>
      <c r="E142" s="19">
        <v>0</v>
      </c>
      <c r="F142" s="19">
        <v>0</v>
      </c>
      <c r="G142" s="19">
        <v>0</v>
      </c>
      <c r="N142" s="13">
        <f t="shared" ref="N142:N156" ca="1" si="112">_xlfn.RANK.EQ(O142,O$141:O$156)</f>
        <v>11</v>
      </c>
      <c r="O142" s="13">
        <f t="shared" ca="1" si="105"/>
        <v>0.49679084867949452</v>
      </c>
      <c r="P142" s="19" t="s">
        <v>759</v>
      </c>
      <c r="R142" s="13">
        <f t="shared" ref="R142:R147" ca="1" si="113">_xlfn.RANK.EQ(S142,S$141:S$147)</f>
        <v>6</v>
      </c>
      <c r="S142" s="13">
        <f t="shared" ca="1" si="106"/>
        <v>0.16905456351666714</v>
      </c>
      <c r="T142" s="1" t="s">
        <v>883</v>
      </c>
      <c r="V142" s="13">
        <f t="shared" ref="V142:V163" ca="1" si="114">_xlfn.RANK.EQ(W142,W$141:W$163)</f>
        <v>11</v>
      </c>
      <c r="W142" s="13">
        <f t="shared" ca="1" si="107"/>
        <v>0.53816830460351484</v>
      </c>
      <c r="X142" s="1" t="s">
        <v>828</v>
      </c>
      <c r="Z142" s="13">
        <f t="shared" ref="Z142:Z149" ca="1" si="115">_xlfn.RANK.EQ(AA142,AA$141:AA$149)</f>
        <v>4</v>
      </c>
      <c r="AA142" s="13">
        <f t="shared" ca="1" si="108"/>
        <v>0.78701412693938522</v>
      </c>
      <c r="AB142" s="19" t="s">
        <v>875</v>
      </c>
      <c r="AD142" s="13">
        <f t="shared" ref="AD142:AD165" ca="1" si="116">_xlfn.RANK.EQ(AE142,AE$141:AE$165)</f>
        <v>3</v>
      </c>
      <c r="AE142" s="13">
        <f t="shared" ca="1" si="109"/>
        <v>0.90292448906948342</v>
      </c>
      <c r="AF142" s="1" t="s">
        <v>786</v>
      </c>
      <c r="AH142" s="13">
        <f ca="1">_xlfn.RANK.EQ(AI142,AI$141:AI$144)</f>
        <v>1</v>
      </c>
      <c r="AI142" s="13">
        <f ca="1">RAND()</f>
        <v>0.65225764598178226</v>
      </c>
      <c r="AJ142" s="19" t="s">
        <v>959</v>
      </c>
      <c r="AL142" s="13">
        <f t="shared" ref="AL142:AL164" ca="1" si="117">_xlfn.RANK.EQ(AM142,AM$141:AM$165)</f>
        <v>11</v>
      </c>
      <c r="AM142" s="13">
        <f t="shared" ca="1" si="110"/>
        <v>0.60006195961439246</v>
      </c>
      <c r="AN142" s="1" t="s">
        <v>778</v>
      </c>
      <c r="AP142" s="13">
        <f ca="1">_xlfn.RANK.EQ(AQ142,AQ$141:AQ$144)</f>
        <v>4</v>
      </c>
      <c r="AQ142" s="13">
        <f ca="1">RAND()</f>
        <v>0.44018708945783136</v>
      </c>
      <c r="AR142" s="19" t="s">
        <v>933</v>
      </c>
      <c r="AT142" s="13">
        <f t="shared" ref="AT142:AT159" ca="1" si="118">_xlfn.RANK.EQ(AU142,AU$141:AU$159)</f>
        <v>4</v>
      </c>
      <c r="AU142" s="13">
        <f t="shared" ca="1" si="111"/>
        <v>0.92644971210665361</v>
      </c>
      <c r="AV142" s="1" t="s">
        <v>779</v>
      </c>
    </row>
    <row r="143" spans="1:92" ht="15.75" thickBot="1" x14ac:dyDescent="0.3">
      <c r="A143" s="1">
        <v>3</v>
      </c>
      <c r="B143" s="1">
        <v>3</v>
      </c>
      <c r="C143" s="17">
        <v>2</v>
      </c>
      <c r="D143" s="1">
        <v>2</v>
      </c>
      <c r="E143" s="1">
        <v>0</v>
      </c>
      <c r="F143" s="1">
        <v>0</v>
      </c>
      <c r="G143" s="1">
        <v>0</v>
      </c>
      <c r="N143" s="13">
        <f t="shared" ca="1" si="112"/>
        <v>14</v>
      </c>
      <c r="O143" s="13">
        <f t="shared" ca="1" si="105"/>
        <v>8.2361052155115466E-2</v>
      </c>
      <c r="P143" s="1" t="s">
        <v>776</v>
      </c>
      <c r="R143" s="13">
        <f t="shared" ca="1" si="113"/>
        <v>1</v>
      </c>
      <c r="S143" s="13">
        <f t="shared" ca="1" si="106"/>
        <v>0.74508648619738749</v>
      </c>
      <c r="T143" s="1" t="s">
        <v>941</v>
      </c>
      <c r="V143" s="13">
        <f t="shared" ca="1" si="114"/>
        <v>6</v>
      </c>
      <c r="W143" s="13">
        <f t="shared" ca="1" si="107"/>
        <v>0.750962902448018</v>
      </c>
      <c r="X143" s="1" t="s">
        <v>874</v>
      </c>
      <c r="Z143" s="13">
        <f t="shared" ca="1" si="115"/>
        <v>6</v>
      </c>
      <c r="AA143" s="13">
        <f t="shared" ca="1" si="108"/>
        <v>0.29322723271648932</v>
      </c>
      <c r="AB143" s="19" t="s">
        <v>986</v>
      </c>
      <c r="AD143" s="13">
        <f t="shared" ca="1" si="116"/>
        <v>4</v>
      </c>
      <c r="AE143" s="13">
        <f t="shared" ca="1" si="109"/>
        <v>0.86901362259566528</v>
      </c>
      <c r="AF143" s="1" t="s">
        <v>819</v>
      </c>
      <c r="AH143" s="13">
        <f ca="1">_xlfn.RANK.EQ(AI143,AI$141:AI$144)</f>
        <v>4</v>
      </c>
      <c r="AI143" s="13">
        <f ca="1">RAND()</f>
        <v>0.11852453566300369</v>
      </c>
      <c r="AJ143" s="1" t="s">
        <v>994</v>
      </c>
      <c r="AL143" s="13">
        <f t="shared" ca="1" si="117"/>
        <v>12</v>
      </c>
      <c r="AM143" s="13">
        <f t="shared" ca="1" si="110"/>
        <v>0.5343760221737428</v>
      </c>
      <c r="AN143" s="1" t="s">
        <v>795</v>
      </c>
      <c r="AP143" s="13">
        <f ca="1">_xlfn.RANK.EQ(AQ143,AQ$141:AQ$144)</f>
        <v>2</v>
      </c>
      <c r="AQ143" s="13">
        <f ca="1">RAND()</f>
        <v>0.95057235410352237</v>
      </c>
      <c r="AR143" s="1" t="s">
        <v>949</v>
      </c>
      <c r="AT143" s="13">
        <f t="shared" ca="1" si="118"/>
        <v>3</v>
      </c>
      <c r="AU143" s="13">
        <f t="shared" ca="1" si="111"/>
        <v>0.92819541831288976</v>
      </c>
      <c r="AV143" s="1" t="s">
        <v>788</v>
      </c>
      <c r="BF143" s="19"/>
      <c r="BG143" s="19"/>
      <c r="BH143" s="19"/>
    </row>
    <row r="144" spans="1:92" ht="15.75" thickBot="1" x14ac:dyDescent="0.3">
      <c r="A144" s="1">
        <v>4</v>
      </c>
      <c r="B144" s="1">
        <v>3</v>
      </c>
      <c r="C144" s="17">
        <v>3</v>
      </c>
      <c r="D144" s="1">
        <v>3</v>
      </c>
      <c r="E144" s="1">
        <v>0</v>
      </c>
      <c r="F144" s="1">
        <v>0</v>
      </c>
      <c r="G144" s="1">
        <v>0</v>
      </c>
      <c r="N144" s="13">
        <f t="shared" ca="1" si="112"/>
        <v>13</v>
      </c>
      <c r="O144" s="13">
        <f t="shared" ca="1" si="105"/>
        <v>0.10051048637097548</v>
      </c>
      <c r="P144" s="1" t="s">
        <v>801</v>
      </c>
      <c r="R144" s="13">
        <f t="shared" ca="1" si="113"/>
        <v>7</v>
      </c>
      <c r="S144" s="13">
        <f t="shared" ca="1" si="106"/>
        <v>2.1780656350164018E-2</v>
      </c>
      <c r="T144" s="1" t="s">
        <v>1057</v>
      </c>
      <c r="V144" s="13">
        <f t="shared" ca="1" si="114"/>
        <v>22</v>
      </c>
      <c r="W144" s="13">
        <f t="shared" ca="1" si="107"/>
        <v>0.14406155289472189</v>
      </c>
      <c r="X144" s="1" t="s">
        <v>905</v>
      </c>
      <c r="Z144" s="13">
        <f t="shared" ca="1" si="115"/>
        <v>1</v>
      </c>
      <c r="AA144" s="13">
        <f t="shared" ca="1" si="108"/>
        <v>0.99061412787746894</v>
      </c>
      <c r="AB144" s="1" t="s">
        <v>993</v>
      </c>
      <c r="AD144" s="13">
        <f t="shared" ca="1" si="116"/>
        <v>9</v>
      </c>
      <c r="AE144" s="13">
        <f t="shared" ca="1" si="109"/>
        <v>0.59330364578743056</v>
      </c>
      <c r="AF144" s="1" t="s">
        <v>852</v>
      </c>
      <c r="AH144" s="13">
        <f ca="1">_xlfn.RANK.EQ(AI144,AI$141:AI$144)</f>
        <v>2</v>
      </c>
      <c r="AI144" s="13">
        <f ca="1">RAND()</f>
        <v>0.63918364587020315</v>
      </c>
      <c r="AJ144" s="1" t="s">
        <v>1018</v>
      </c>
      <c r="AL144" s="13">
        <f t="shared" ca="1" si="117"/>
        <v>6</v>
      </c>
      <c r="AM144" s="13">
        <f t="shared" ca="1" si="110"/>
        <v>0.78086127439225139</v>
      </c>
      <c r="AN144" s="1" t="s">
        <v>820</v>
      </c>
      <c r="AP144" s="13">
        <f ca="1">_xlfn.RANK.EQ(AQ144,AQ$141:AQ$144)</f>
        <v>3</v>
      </c>
      <c r="AQ144" s="13">
        <f ca="1">RAND()</f>
        <v>0.44212749718540534</v>
      </c>
      <c r="AR144" s="1" t="s">
        <v>988</v>
      </c>
      <c r="AT144" s="13">
        <f t="shared" ca="1" si="118"/>
        <v>5</v>
      </c>
      <c r="AU144" s="13">
        <f t="shared" ca="1" si="111"/>
        <v>0.88875695079597195</v>
      </c>
      <c r="AV144" s="1" t="s">
        <v>821</v>
      </c>
    </row>
    <row r="145" spans="1:92" ht="15.75" thickBot="1" x14ac:dyDescent="0.3">
      <c r="A145" s="1">
        <v>5</v>
      </c>
      <c r="B145" s="1">
        <v>3</v>
      </c>
      <c r="C145" s="17">
        <v>3</v>
      </c>
      <c r="D145" s="1">
        <v>3</v>
      </c>
      <c r="E145" s="1">
        <v>0</v>
      </c>
      <c r="F145" s="1">
        <v>0</v>
      </c>
      <c r="G145" s="1">
        <v>0</v>
      </c>
      <c r="N145" s="13">
        <f t="shared" ca="1" si="112"/>
        <v>1</v>
      </c>
      <c r="O145" s="13">
        <f t="shared" ca="1" si="105"/>
        <v>0.98732008490471757</v>
      </c>
      <c r="P145" s="1" t="s">
        <v>827</v>
      </c>
      <c r="R145" s="13">
        <f t="shared" ca="1" si="113"/>
        <v>4</v>
      </c>
      <c r="S145" s="13">
        <f t="shared" ca="1" si="106"/>
        <v>0.54383549575029777</v>
      </c>
      <c r="T145" s="1" t="s">
        <v>1094</v>
      </c>
      <c r="V145" s="13">
        <f t="shared" ca="1" si="114"/>
        <v>4</v>
      </c>
      <c r="W145" s="13">
        <f t="shared" ca="1" si="107"/>
        <v>0.80688741128593888</v>
      </c>
      <c r="X145" s="1" t="s">
        <v>930</v>
      </c>
      <c r="Z145" s="13">
        <f t="shared" ca="1" si="115"/>
        <v>5</v>
      </c>
      <c r="AA145" s="13">
        <f t="shared" ca="1" si="108"/>
        <v>0.56274861574762536</v>
      </c>
      <c r="AB145" s="1" t="s">
        <v>1024</v>
      </c>
      <c r="AD145" s="13">
        <f t="shared" ca="1" si="116"/>
        <v>25</v>
      </c>
      <c r="AE145" s="13">
        <f t="shared" ca="1" si="109"/>
        <v>1.2334809338219177E-3</v>
      </c>
      <c r="AF145" s="1" t="s">
        <v>859</v>
      </c>
      <c r="AL145" s="13">
        <f t="shared" ca="1" si="117"/>
        <v>25</v>
      </c>
      <c r="AM145" s="13">
        <f t="shared" ca="1" si="110"/>
        <v>9.1757297319371101E-2</v>
      </c>
      <c r="AN145" s="1" t="s">
        <v>847</v>
      </c>
      <c r="AT145" s="13">
        <f t="shared" ca="1" si="118"/>
        <v>16</v>
      </c>
      <c r="AU145" s="13">
        <f t="shared" ca="1" si="111"/>
        <v>0.46674700951048254</v>
      </c>
      <c r="AV145" s="1" t="s">
        <v>840</v>
      </c>
    </row>
    <row r="146" spans="1:92" ht="15.75" thickBot="1" x14ac:dyDescent="0.3">
      <c r="A146" s="1">
        <v>6</v>
      </c>
      <c r="B146" s="1">
        <v>3</v>
      </c>
      <c r="C146" s="17">
        <v>3</v>
      </c>
      <c r="D146" s="1">
        <v>3</v>
      </c>
      <c r="E146" s="1">
        <v>0</v>
      </c>
      <c r="F146" s="1">
        <v>0</v>
      </c>
      <c r="G146" s="1">
        <v>0</v>
      </c>
      <c r="N146" s="13">
        <f t="shared" ca="1" si="112"/>
        <v>3</v>
      </c>
      <c r="O146" s="13">
        <f t="shared" ca="1" si="105"/>
        <v>0.94124040002270204</v>
      </c>
      <c r="P146" s="1" t="s">
        <v>837</v>
      </c>
      <c r="R146" s="13">
        <f t="shared" ca="1" si="113"/>
        <v>3</v>
      </c>
      <c r="S146" s="13">
        <f t="shared" ca="1" si="106"/>
        <v>0.64346599611612831</v>
      </c>
      <c r="T146" s="19" t="s">
        <v>1256</v>
      </c>
      <c r="V146" s="13">
        <f t="shared" ca="1" si="114"/>
        <v>12</v>
      </c>
      <c r="W146" s="13">
        <f t="shared" ca="1" si="107"/>
        <v>0.45157955731648791</v>
      </c>
      <c r="X146" s="1" t="s">
        <v>974</v>
      </c>
      <c r="Z146" s="13">
        <f t="shared" ca="1" si="115"/>
        <v>2</v>
      </c>
      <c r="AA146" s="13">
        <f t="shared" ca="1" si="108"/>
        <v>0.95695299033870629</v>
      </c>
      <c r="AB146" s="1" t="s">
        <v>1049</v>
      </c>
      <c r="AD146" s="13">
        <f t="shared" ca="1" si="116"/>
        <v>15</v>
      </c>
      <c r="AE146" s="13">
        <f t="shared" ca="1" si="109"/>
        <v>0.4814803986986993</v>
      </c>
      <c r="AF146" s="1" t="s">
        <v>884</v>
      </c>
      <c r="AL146" s="13">
        <f t="shared" ca="1" si="117"/>
        <v>23</v>
      </c>
      <c r="AM146" s="13">
        <f t="shared" ca="1" si="110"/>
        <v>0.15778809580312747</v>
      </c>
      <c r="AN146" s="1" t="s">
        <v>876</v>
      </c>
      <c r="AT146" s="13">
        <f t="shared" ca="1" si="118"/>
        <v>11</v>
      </c>
      <c r="AU146" s="13">
        <f t="shared" ca="1" si="111"/>
        <v>0.73066894715693498</v>
      </c>
      <c r="AV146" s="1" t="s">
        <v>854</v>
      </c>
    </row>
    <row r="147" spans="1:92" ht="15.75" thickBot="1" x14ac:dyDescent="0.3">
      <c r="A147" s="1">
        <v>7</v>
      </c>
      <c r="B147" s="1">
        <v>3</v>
      </c>
      <c r="C147" s="17">
        <v>4</v>
      </c>
      <c r="D147" s="1">
        <v>4</v>
      </c>
      <c r="E147" s="1">
        <v>2</v>
      </c>
      <c r="F147" s="1">
        <v>0</v>
      </c>
      <c r="G147" s="1">
        <v>0</v>
      </c>
      <c r="N147" s="13">
        <f t="shared" ca="1" si="112"/>
        <v>4</v>
      </c>
      <c r="O147" s="13">
        <f t="shared" ca="1" si="105"/>
        <v>0.8074680277680959</v>
      </c>
      <c r="P147" s="1" t="s">
        <v>882</v>
      </c>
      <c r="R147" s="13">
        <f t="shared" ca="1" si="113"/>
        <v>2</v>
      </c>
      <c r="S147" s="13">
        <f t="shared" ca="1" si="106"/>
        <v>0.74479908774325787</v>
      </c>
      <c r="T147" s="1" t="s">
        <v>1100</v>
      </c>
      <c r="V147" s="13">
        <f t="shared" ca="1" si="114"/>
        <v>5</v>
      </c>
      <c r="W147" s="13">
        <f t="shared" ca="1" si="107"/>
        <v>0.76142078627681931</v>
      </c>
      <c r="X147" s="1" t="s">
        <v>985</v>
      </c>
      <c r="Z147" s="13">
        <f t="shared" ca="1" si="115"/>
        <v>9</v>
      </c>
      <c r="AA147" s="13">
        <f t="shared" ca="1" si="108"/>
        <v>5.593749721427721E-2</v>
      </c>
      <c r="AB147" s="1" t="s">
        <v>1257</v>
      </c>
      <c r="AD147" s="13">
        <f t="shared" ca="1" si="116"/>
        <v>13</v>
      </c>
      <c r="AE147" s="13">
        <f t="shared" ca="1" si="109"/>
        <v>0.52238324175370987</v>
      </c>
      <c r="AF147" s="1" t="s">
        <v>891</v>
      </c>
      <c r="AL147" s="13">
        <f t="shared" ca="1" si="117"/>
        <v>18</v>
      </c>
      <c r="AM147" s="13">
        <f t="shared" ca="1" si="110"/>
        <v>0.21947245875405119</v>
      </c>
      <c r="AN147" s="1" t="s">
        <v>913</v>
      </c>
      <c r="AT147" s="13">
        <f t="shared" ca="1" si="118"/>
        <v>12</v>
      </c>
      <c r="AU147" s="13">
        <f t="shared" ca="1" si="111"/>
        <v>0.58924182904050237</v>
      </c>
      <c r="AV147" s="1" t="s">
        <v>886</v>
      </c>
    </row>
    <row r="148" spans="1:92" ht="15.75" thickBot="1" x14ac:dyDescent="0.3">
      <c r="A148" s="1">
        <v>8</v>
      </c>
      <c r="B148" s="1">
        <v>3</v>
      </c>
      <c r="C148" s="17">
        <v>4</v>
      </c>
      <c r="D148" s="1">
        <v>4</v>
      </c>
      <c r="E148" s="1">
        <v>2</v>
      </c>
      <c r="F148" s="1">
        <v>0</v>
      </c>
      <c r="G148" s="1">
        <v>0</v>
      </c>
      <c r="N148" s="13">
        <f t="shared" ca="1" si="112"/>
        <v>10</v>
      </c>
      <c r="O148" s="13">
        <f t="shared" ca="1" si="105"/>
        <v>0.57244392550634371</v>
      </c>
      <c r="P148" s="1" t="s">
        <v>897</v>
      </c>
      <c r="V148" s="13">
        <f t="shared" ca="1" si="114"/>
        <v>18</v>
      </c>
      <c r="W148" s="13">
        <f t="shared" ca="1" si="107"/>
        <v>0.23372674953662642</v>
      </c>
      <c r="X148" s="1" t="s">
        <v>992</v>
      </c>
      <c r="Z148" s="13">
        <f t="shared" ca="1" si="115"/>
        <v>3</v>
      </c>
      <c r="AA148" s="13">
        <f t="shared" ca="1" si="108"/>
        <v>0.88970690466549174</v>
      </c>
      <c r="AB148" s="1" t="s">
        <v>1065</v>
      </c>
      <c r="AD148" s="13">
        <f t="shared" ca="1" si="116"/>
        <v>1</v>
      </c>
      <c r="AE148" s="13">
        <f t="shared" ca="1" si="109"/>
        <v>0.96297392288635664</v>
      </c>
      <c r="AF148" s="1" t="s">
        <v>899</v>
      </c>
      <c r="AL148" s="13">
        <f t="shared" ca="1" si="117"/>
        <v>15</v>
      </c>
      <c r="AM148" s="13">
        <f t="shared" ca="1" si="110"/>
        <v>0.42433323920898902</v>
      </c>
      <c r="AN148" s="1" t="s">
        <v>921</v>
      </c>
      <c r="AT148" s="13">
        <f t="shared" ca="1" si="118"/>
        <v>10</v>
      </c>
      <c r="AU148" s="13">
        <f t="shared" ca="1" si="111"/>
        <v>0.75223762702976693</v>
      </c>
      <c r="AV148" s="1" t="s">
        <v>892</v>
      </c>
    </row>
    <row r="149" spans="1:92" ht="15.75" thickBot="1" x14ac:dyDescent="0.3">
      <c r="A149" s="1">
        <v>9</v>
      </c>
      <c r="B149" s="1">
        <v>3</v>
      </c>
      <c r="C149" s="17">
        <v>4</v>
      </c>
      <c r="D149" s="1">
        <v>4</v>
      </c>
      <c r="E149" s="1">
        <v>2</v>
      </c>
      <c r="F149" s="1">
        <v>0</v>
      </c>
      <c r="G149" s="1">
        <v>0</v>
      </c>
      <c r="N149" s="13">
        <f t="shared" ca="1" si="112"/>
        <v>7</v>
      </c>
      <c r="O149" s="13">
        <f t="shared" ca="1" si="105"/>
        <v>0.67795061226434838</v>
      </c>
      <c r="P149" s="1" t="s">
        <v>911</v>
      </c>
      <c r="V149" s="13">
        <f t="shared" ca="1" si="114"/>
        <v>17</v>
      </c>
      <c r="W149" s="13">
        <f t="shared" ca="1" si="107"/>
        <v>0.24899321711669997</v>
      </c>
      <c r="X149" s="1" t="s">
        <v>996</v>
      </c>
      <c r="Z149" s="13">
        <f t="shared" ca="1" si="115"/>
        <v>8</v>
      </c>
      <c r="AA149" s="13">
        <f t="shared" ca="1" si="108"/>
        <v>9.7720916304794847E-2</v>
      </c>
      <c r="AB149" s="1" t="s">
        <v>1103</v>
      </c>
      <c r="AD149" s="13">
        <f t="shared" ca="1" si="116"/>
        <v>24</v>
      </c>
      <c r="AE149" s="13">
        <f t="shared" ca="1" si="109"/>
        <v>3.7600136395369632E-2</v>
      </c>
      <c r="AF149" s="1" t="s">
        <v>931</v>
      </c>
      <c r="AL149" s="13">
        <f t="shared" ca="1" si="117"/>
        <v>16</v>
      </c>
      <c r="AM149" s="13">
        <f t="shared" ca="1" si="110"/>
        <v>0.40665593589384941</v>
      </c>
      <c r="AN149" s="1" t="s">
        <v>932</v>
      </c>
      <c r="AT149" s="13">
        <f t="shared" ca="1" si="118"/>
        <v>18</v>
      </c>
      <c r="AU149" s="13">
        <f t="shared" ca="1" si="111"/>
        <v>0.36190764818532128</v>
      </c>
      <c r="AV149" s="1" t="s">
        <v>906</v>
      </c>
    </row>
    <row r="150" spans="1:92" ht="15.75" thickBot="1" x14ac:dyDescent="0.3">
      <c r="A150" s="1">
        <v>10</v>
      </c>
      <c r="B150" s="1">
        <v>4</v>
      </c>
      <c r="C150" s="17">
        <v>5</v>
      </c>
      <c r="D150" s="1">
        <v>4</v>
      </c>
      <c r="E150" s="1">
        <v>3</v>
      </c>
      <c r="F150" s="1">
        <v>0</v>
      </c>
      <c r="G150" s="1">
        <v>0</v>
      </c>
      <c r="N150" s="13">
        <f t="shared" ca="1" si="112"/>
        <v>5</v>
      </c>
      <c r="O150" s="13">
        <f t="shared" ca="1" si="105"/>
        <v>0.75442417253776273</v>
      </c>
      <c r="P150" s="1" t="s">
        <v>919</v>
      </c>
      <c r="V150" s="13">
        <f t="shared" ca="1" si="114"/>
        <v>1</v>
      </c>
      <c r="W150" s="13">
        <f t="shared" ca="1" si="107"/>
        <v>0.97388924667095123</v>
      </c>
      <c r="X150" s="1" t="s">
        <v>1001</v>
      </c>
      <c r="AD150" s="13">
        <f t="shared" ca="1" si="116"/>
        <v>17</v>
      </c>
      <c r="AE150" s="13">
        <f t="shared" ca="1" si="109"/>
        <v>0.43850750074713007</v>
      </c>
      <c r="AF150" s="1" t="s">
        <v>958</v>
      </c>
      <c r="AL150" s="13">
        <f t="shared" ca="1" si="117"/>
        <v>3</v>
      </c>
      <c r="AM150" s="13">
        <f t="shared" ca="1" si="110"/>
        <v>0.89037449241086652</v>
      </c>
      <c r="AN150" s="1" t="s">
        <v>937</v>
      </c>
      <c r="AT150" s="13">
        <f t="shared" ca="1" si="118"/>
        <v>17</v>
      </c>
      <c r="AU150" s="13">
        <f t="shared" ca="1" si="111"/>
        <v>0.42333184689154657</v>
      </c>
      <c r="AV150" s="1" t="s">
        <v>955</v>
      </c>
    </row>
    <row r="151" spans="1:92" ht="15.75" thickBot="1" x14ac:dyDescent="0.3">
      <c r="A151" s="1">
        <v>11</v>
      </c>
      <c r="B151" s="1">
        <v>4</v>
      </c>
      <c r="C151" s="17">
        <v>6</v>
      </c>
      <c r="D151" s="1">
        <v>4</v>
      </c>
      <c r="E151" s="1">
        <v>3</v>
      </c>
      <c r="F151" s="1">
        <v>0</v>
      </c>
      <c r="G151" s="1">
        <v>0</v>
      </c>
      <c r="N151" s="13">
        <f t="shared" ca="1" si="112"/>
        <v>8</v>
      </c>
      <c r="O151" s="13">
        <f t="shared" ca="1" si="105"/>
        <v>0.66870526220719106</v>
      </c>
      <c r="P151" s="1" t="s">
        <v>926</v>
      </c>
      <c r="V151" s="13">
        <f t="shared" ca="1" si="114"/>
        <v>15</v>
      </c>
      <c r="W151" s="13">
        <f t="shared" ca="1" si="107"/>
        <v>0.30992172970724663</v>
      </c>
      <c r="X151" s="1" t="s">
        <v>1011</v>
      </c>
      <c r="AD151" s="13">
        <f t="shared" ca="1" si="116"/>
        <v>22</v>
      </c>
      <c r="AE151" s="13">
        <f t="shared" ca="1" si="109"/>
        <v>0.24330930518999927</v>
      </c>
      <c r="AF151" s="1" t="s">
        <v>965</v>
      </c>
      <c r="AL151" s="13">
        <f t="shared" ca="1" si="117"/>
        <v>4</v>
      </c>
      <c r="AM151" s="13">
        <f t="shared" ca="1" si="110"/>
        <v>0.88297527247595908</v>
      </c>
      <c r="AN151" s="1" t="s">
        <v>943</v>
      </c>
      <c r="AT151" s="13">
        <f t="shared" ca="1" si="118"/>
        <v>19</v>
      </c>
      <c r="AU151" s="13">
        <f t="shared" ca="1" si="111"/>
        <v>0.2154869779247589</v>
      </c>
      <c r="AV151" s="1" t="s">
        <v>960</v>
      </c>
    </row>
    <row r="152" spans="1:92" ht="15.75" thickBot="1" x14ac:dyDescent="0.3">
      <c r="A152" s="1">
        <v>12</v>
      </c>
      <c r="B152" s="1">
        <v>4</v>
      </c>
      <c r="C152" s="17">
        <v>6</v>
      </c>
      <c r="D152" s="1">
        <v>4</v>
      </c>
      <c r="E152" s="1">
        <v>3</v>
      </c>
      <c r="F152" s="1">
        <v>0</v>
      </c>
      <c r="G152" s="1">
        <v>0</v>
      </c>
      <c r="N152" s="13">
        <f t="shared" ca="1" si="112"/>
        <v>16</v>
      </c>
      <c r="O152" s="13">
        <f t="shared" ca="1" si="105"/>
        <v>4.3052118655789617E-2</v>
      </c>
      <c r="P152" s="1" t="s">
        <v>934</v>
      </c>
      <c r="V152" s="13">
        <f t="shared" ca="1" si="114"/>
        <v>8</v>
      </c>
      <c r="W152" s="13">
        <f t="shared" ca="1" si="107"/>
        <v>0.68404805906619059</v>
      </c>
      <c r="X152" s="1" t="s">
        <v>1054</v>
      </c>
      <c r="AD152" s="13">
        <f t="shared" ca="1" si="116"/>
        <v>23</v>
      </c>
      <c r="AE152" s="13">
        <f t="shared" ca="1" si="109"/>
        <v>0.13383458849886154</v>
      </c>
      <c r="AF152" s="1" t="s">
        <v>971</v>
      </c>
      <c r="AL152" s="13">
        <f t="shared" ca="1" si="117"/>
        <v>17</v>
      </c>
      <c r="AM152" s="13">
        <f t="shared" ca="1" si="110"/>
        <v>0.23353322791685316</v>
      </c>
      <c r="AN152" s="1" t="s">
        <v>948</v>
      </c>
      <c r="AT152" s="13">
        <f t="shared" ca="1" si="118"/>
        <v>9</v>
      </c>
      <c r="AU152" s="13">
        <f t="shared" ca="1" si="111"/>
        <v>0.77997339883751515</v>
      </c>
      <c r="AV152" s="1" t="s">
        <v>967</v>
      </c>
    </row>
    <row r="153" spans="1:92" ht="15.75" thickBot="1" x14ac:dyDescent="0.3">
      <c r="A153" s="1">
        <v>13</v>
      </c>
      <c r="B153" s="1">
        <v>4</v>
      </c>
      <c r="C153" s="17">
        <v>7</v>
      </c>
      <c r="D153" s="1">
        <v>4</v>
      </c>
      <c r="E153" s="1">
        <v>3</v>
      </c>
      <c r="F153" s="1">
        <v>2</v>
      </c>
      <c r="G153" s="1">
        <v>0</v>
      </c>
      <c r="N153" s="13">
        <f t="shared" ca="1" si="112"/>
        <v>2</v>
      </c>
      <c r="O153" s="13">
        <f t="shared" ca="1" si="105"/>
        <v>0.98151686038445507</v>
      </c>
      <c r="P153" s="1" t="s">
        <v>940</v>
      </c>
      <c r="V153" s="13">
        <f t="shared" ca="1" si="114"/>
        <v>14</v>
      </c>
      <c r="W153" s="13">
        <f t="shared" ca="1" si="107"/>
        <v>0.33833471208089216</v>
      </c>
      <c r="X153" s="1" t="s">
        <v>1064</v>
      </c>
      <c r="AD153" s="13">
        <f t="shared" ca="1" si="116"/>
        <v>21</v>
      </c>
      <c r="AE153" s="13">
        <f t="shared" ca="1" si="109"/>
        <v>0.3236231590173001</v>
      </c>
      <c r="AF153" s="1" t="s">
        <v>997</v>
      </c>
      <c r="AL153" s="13">
        <f t="shared" ca="1" si="117"/>
        <v>22</v>
      </c>
      <c r="AM153" s="13">
        <f t="shared" ca="1" si="110"/>
        <v>0.18979872375089279</v>
      </c>
      <c r="AN153" s="1" t="s">
        <v>981</v>
      </c>
      <c r="AT153" s="13">
        <f t="shared" ca="1" si="118"/>
        <v>1</v>
      </c>
      <c r="AU153" s="13">
        <f t="shared" ca="1" si="111"/>
        <v>0.97107910553936605</v>
      </c>
      <c r="AV153" s="1" t="s">
        <v>972</v>
      </c>
    </row>
    <row r="154" spans="1:92" ht="15.75" thickBot="1" x14ac:dyDescent="0.3">
      <c r="A154" s="1">
        <v>14</v>
      </c>
      <c r="B154" s="1">
        <v>4</v>
      </c>
      <c r="C154" s="17">
        <v>7</v>
      </c>
      <c r="D154" s="1">
        <v>4</v>
      </c>
      <c r="E154" s="1">
        <v>3</v>
      </c>
      <c r="F154" s="1">
        <v>2</v>
      </c>
      <c r="G154" s="1">
        <v>0</v>
      </c>
      <c r="N154" s="13">
        <f t="shared" ca="1" si="112"/>
        <v>12</v>
      </c>
      <c r="O154" s="13">
        <f t="shared" ca="1" si="105"/>
        <v>0.43629274683098862</v>
      </c>
      <c r="P154" s="1" t="s">
        <v>957</v>
      </c>
      <c r="V154" s="13">
        <f t="shared" ca="1" si="114"/>
        <v>20</v>
      </c>
      <c r="W154" s="13">
        <f t="shared" ca="1" si="107"/>
        <v>0.20923632810473503</v>
      </c>
      <c r="X154" s="1" t="s">
        <v>1068</v>
      </c>
      <c r="AD154" s="13">
        <f t="shared" ca="1" si="116"/>
        <v>7</v>
      </c>
      <c r="AE154" s="13">
        <f t="shared" ca="1" si="109"/>
        <v>0.64595876460001866</v>
      </c>
      <c r="AF154" s="1" t="s">
        <v>1008</v>
      </c>
      <c r="AL154" s="13">
        <f t="shared" ca="1" si="117"/>
        <v>10</v>
      </c>
      <c r="AM154" s="13">
        <f t="shared" ca="1" si="110"/>
        <v>0.61529079854502644</v>
      </c>
      <c r="AN154" s="1" t="s">
        <v>987</v>
      </c>
      <c r="AT154" s="13">
        <f t="shared" ca="1" si="118"/>
        <v>8</v>
      </c>
      <c r="AU154" s="13">
        <f t="shared" ca="1" si="111"/>
        <v>0.78886676257649468</v>
      </c>
      <c r="AV154" s="1" t="s">
        <v>976</v>
      </c>
    </row>
    <row r="155" spans="1:92" ht="15.75" thickBot="1" x14ac:dyDescent="0.3">
      <c r="A155" s="1">
        <v>15</v>
      </c>
      <c r="B155" s="1">
        <v>4</v>
      </c>
      <c r="C155" s="17">
        <v>7</v>
      </c>
      <c r="D155" s="1">
        <v>4</v>
      </c>
      <c r="E155" s="1">
        <v>3</v>
      </c>
      <c r="F155" s="1">
        <v>2</v>
      </c>
      <c r="G155" s="1">
        <v>0</v>
      </c>
      <c r="N155" s="13">
        <f t="shared" ca="1" si="112"/>
        <v>9</v>
      </c>
      <c r="O155" s="13">
        <f t="shared" ca="1" si="105"/>
        <v>0.61212364906974726</v>
      </c>
      <c r="P155" s="1" t="s">
        <v>984</v>
      </c>
      <c r="V155" s="13">
        <f t="shared" ca="1" si="114"/>
        <v>9</v>
      </c>
      <c r="W155" s="13">
        <f t="shared" ca="1" si="107"/>
        <v>0.62061387118632949</v>
      </c>
      <c r="X155" s="1" t="s">
        <v>1071</v>
      </c>
      <c r="AD155" s="13">
        <f t="shared" ca="1" si="116"/>
        <v>19</v>
      </c>
      <c r="AE155" s="13">
        <f t="shared" ca="1" si="109"/>
        <v>0.336249246688482</v>
      </c>
      <c r="AF155" s="1" t="s">
        <v>1017</v>
      </c>
      <c r="AL155" s="13">
        <f t="shared" ca="1" si="117"/>
        <v>24</v>
      </c>
      <c r="AM155" s="13">
        <f t="shared" ca="1" si="110"/>
        <v>0.15428758363090678</v>
      </c>
      <c r="AN155" s="1" t="s">
        <v>1013</v>
      </c>
      <c r="AT155" s="13">
        <f t="shared" ca="1" si="118"/>
        <v>15</v>
      </c>
      <c r="AU155" s="13">
        <f t="shared" ca="1" si="111"/>
        <v>0.53878897897959321</v>
      </c>
      <c r="AV155" s="1" t="s">
        <v>982</v>
      </c>
    </row>
    <row r="156" spans="1:92" ht="15.75" thickBot="1" x14ac:dyDescent="0.3">
      <c r="A156" s="1">
        <v>16</v>
      </c>
      <c r="B156" s="1">
        <v>4</v>
      </c>
      <c r="C156" s="17">
        <v>8</v>
      </c>
      <c r="D156" s="1">
        <v>4</v>
      </c>
      <c r="E156" s="1">
        <v>3</v>
      </c>
      <c r="F156" s="1">
        <v>3</v>
      </c>
      <c r="G156" s="1">
        <v>0</v>
      </c>
      <c r="N156" s="13">
        <f t="shared" ca="1" si="112"/>
        <v>6</v>
      </c>
      <c r="O156" s="13">
        <f t="shared" ca="1" si="105"/>
        <v>0.74816933302596333</v>
      </c>
      <c r="P156" s="1" t="s">
        <v>1022</v>
      </c>
      <c r="V156" s="13">
        <f t="shared" ca="1" si="114"/>
        <v>3</v>
      </c>
      <c r="W156" s="13">
        <f t="shared" ca="1" si="107"/>
        <v>0.85970523115543307</v>
      </c>
      <c r="X156" s="1" t="s">
        <v>1073</v>
      </c>
      <c r="AD156" s="13">
        <f t="shared" ca="1" si="116"/>
        <v>12</v>
      </c>
      <c r="AE156" s="13">
        <f t="shared" ca="1" si="109"/>
        <v>0.53610520302738374</v>
      </c>
      <c r="AF156" s="1" t="s">
        <v>1031</v>
      </c>
      <c r="AL156" s="13">
        <f t="shared" ca="1" si="117"/>
        <v>8</v>
      </c>
      <c r="AM156" s="13">
        <f t="shared" ca="1" si="110"/>
        <v>0.6564535602205479</v>
      </c>
      <c r="AN156" s="1" t="s">
        <v>1032</v>
      </c>
      <c r="AT156" s="13">
        <f t="shared" ca="1" si="118"/>
        <v>13</v>
      </c>
      <c r="AU156" s="13">
        <f t="shared" ca="1" si="111"/>
        <v>0.56566845494823037</v>
      </c>
      <c r="AV156" s="1" t="s">
        <v>995</v>
      </c>
    </row>
    <row r="157" spans="1:92" s="2" customFormat="1" ht="15.75" thickBot="1" x14ac:dyDescent="0.3">
      <c r="A157" s="1">
        <v>17</v>
      </c>
      <c r="B157" s="1">
        <v>4</v>
      </c>
      <c r="C157" s="17">
        <v>8</v>
      </c>
      <c r="D157" s="1">
        <v>4</v>
      </c>
      <c r="E157" s="1">
        <v>3</v>
      </c>
      <c r="F157" s="1">
        <v>3</v>
      </c>
      <c r="G157" s="1">
        <v>0</v>
      </c>
      <c r="H157" s="1"/>
      <c r="I157" s="1"/>
      <c r="J157" s="1"/>
      <c r="K157" s="1"/>
      <c r="L157" s="1"/>
      <c r="M157" s="1"/>
      <c r="Q157" s="1"/>
      <c r="R157" s="1"/>
      <c r="S157" s="1"/>
      <c r="T157" s="1"/>
      <c r="U157" s="1"/>
      <c r="V157" s="13">
        <f t="shared" ca="1" si="114"/>
        <v>2</v>
      </c>
      <c r="W157" s="13">
        <f t="shared" ca="1" si="107"/>
        <v>0.86123461575102955</v>
      </c>
      <c r="X157" s="1" t="s">
        <v>1075</v>
      </c>
      <c r="Y157" s="1"/>
      <c r="Z157" s="1"/>
      <c r="AA157" s="1"/>
      <c r="AB157" s="1"/>
      <c r="AC157" s="1"/>
      <c r="AD157" s="13">
        <f t="shared" ca="1" si="116"/>
        <v>11</v>
      </c>
      <c r="AE157" s="13">
        <f t="shared" ca="1" si="109"/>
        <v>0.56160462741903783</v>
      </c>
      <c r="AF157" s="1" t="s">
        <v>1040</v>
      </c>
      <c r="AG157" s="1"/>
      <c r="AH157" s="1"/>
      <c r="AI157" s="1"/>
      <c r="AJ157" s="1"/>
      <c r="AK157" s="1"/>
      <c r="AL157" s="13">
        <f t="shared" ca="1" si="117"/>
        <v>13</v>
      </c>
      <c r="AM157" s="13">
        <f t="shared" ca="1" si="110"/>
        <v>0.50229194311104852</v>
      </c>
      <c r="AN157" s="1" t="s">
        <v>1036</v>
      </c>
      <c r="AO157" s="1"/>
      <c r="AP157" s="1"/>
      <c r="AQ157" s="1"/>
      <c r="AR157" s="1"/>
      <c r="AS157" s="1"/>
      <c r="AT157" s="13">
        <f t="shared" ca="1" si="118"/>
        <v>6</v>
      </c>
      <c r="AU157" s="13">
        <f t="shared" ca="1" si="111"/>
        <v>0.86378123092475667</v>
      </c>
      <c r="AV157" s="1" t="s">
        <v>1014</v>
      </c>
      <c r="AW157" s="1"/>
      <c r="AX157" s="1"/>
      <c r="AY157" s="1"/>
      <c r="AZ157" s="1"/>
      <c r="BA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row>
    <row r="158" spans="1:92" ht="15.75" thickBot="1" x14ac:dyDescent="0.3">
      <c r="A158" s="1">
        <v>18</v>
      </c>
      <c r="B158" s="1">
        <v>4</v>
      </c>
      <c r="C158" s="17">
        <v>8</v>
      </c>
      <c r="D158" s="1">
        <v>4</v>
      </c>
      <c r="E158" s="1">
        <v>3</v>
      </c>
      <c r="F158" s="1">
        <v>3</v>
      </c>
      <c r="G158" s="1">
        <v>0</v>
      </c>
      <c r="V158" s="13">
        <f t="shared" ca="1" si="114"/>
        <v>13</v>
      </c>
      <c r="W158" s="13">
        <f t="shared" ca="1" si="107"/>
        <v>0.42885538660384037</v>
      </c>
      <c r="X158" s="1" t="s">
        <v>1081</v>
      </c>
      <c r="AD158" s="13">
        <f t="shared" ca="1" si="116"/>
        <v>14</v>
      </c>
      <c r="AE158" s="13">
        <f t="shared" ca="1" si="109"/>
        <v>0.48682936587296621</v>
      </c>
      <c r="AF158" s="1" t="s">
        <v>1052</v>
      </c>
      <c r="AL158" s="13">
        <f t="shared" ca="1" si="117"/>
        <v>20</v>
      </c>
      <c r="AM158" s="13">
        <f t="shared" ca="1" si="110"/>
        <v>0.20305927267282919</v>
      </c>
      <c r="AN158" s="1" t="s">
        <v>1046</v>
      </c>
      <c r="AT158" s="13">
        <f t="shared" ca="1" si="118"/>
        <v>2</v>
      </c>
      <c r="AU158" s="13">
        <f t="shared" ca="1" si="111"/>
        <v>0.94440423892813818</v>
      </c>
      <c r="AV158" s="1" t="s">
        <v>1019</v>
      </c>
    </row>
    <row r="159" spans="1:92" ht="15.75" thickBot="1" x14ac:dyDescent="0.3">
      <c r="A159" s="1">
        <v>19</v>
      </c>
      <c r="B159" s="1">
        <v>4</v>
      </c>
      <c r="C159" s="17">
        <v>9</v>
      </c>
      <c r="D159" s="1">
        <v>4</v>
      </c>
      <c r="E159" s="1">
        <v>3</v>
      </c>
      <c r="F159" s="1">
        <v>3</v>
      </c>
      <c r="G159" s="1">
        <v>1</v>
      </c>
      <c r="V159" s="13">
        <f t="shared" ca="1" si="114"/>
        <v>23</v>
      </c>
      <c r="W159" s="13">
        <f t="shared" ca="1" si="107"/>
        <v>9.4150863346972313E-3</v>
      </c>
      <c r="X159" s="1" t="s">
        <v>1088</v>
      </c>
      <c r="AD159" s="13">
        <f t="shared" ca="1" si="116"/>
        <v>8</v>
      </c>
      <c r="AE159" s="13">
        <f t="shared" ca="1" si="109"/>
        <v>0.64246711520490163</v>
      </c>
      <c r="AF159" s="1" t="s">
        <v>1076</v>
      </c>
      <c r="AL159" s="13">
        <f t="shared" ca="1" si="117"/>
        <v>9</v>
      </c>
      <c r="AM159" s="13">
        <f t="shared" ca="1" si="110"/>
        <v>0.65298307905847985</v>
      </c>
      <c r="AN159" s="1" t="s">
        <v>1050</v>
      </c>
      <c r="AT159" s="13">
        <f t="shared" ca="1" si="118"/>
        <v>14</v>
      </c>
      <c r="AU159" s="13">
        <f t="shared" ca="1" si="111"/>
        <v>0.55892356082044004</v>
      </c>
      <c r="AV159" s="1" t="s">
        <v>1042</v>
      </c>
    </row>
    <row r="160" spans="1:92" ht="15.75" thickBot="1" x14ac:dyDescent="0.3">
      <c r="A160" s="1">
        <v>20</v>
      </c>
      <c r="B160" s="1">
        <v>4</v>
      </c>
      <c r="C160" s="17">
        <v>9</v>
      </c>
      <c r="D160" s="1">
        <v>4</v>
      </c>
      <c r="E160" s="1">
        <v>3</v>
      </c>
      <c r="F160" s="1">
        <v>3</v>
      </c>
      <c r="G160" s="1">
        <v>1</v>
      </c>
      <c r="V160" s="13">
        <f t="shared" ca="1" si="114"/>
        <v>19</v>
      </c>
      <c r="W160" s="13">
        <f t="shared" ca="1" si="107"/>
        <v>0.22341172053694647</v>
      </c>
      <c r="X160" s="1" t="s">
        <v>1229</v>
      </c>
      <c r="AD160" s="13">
        <f t="shared" ca="1" si="116"/>
        <v>5</v>
      </c>
      <c r="AE160" s="13">
        <f t="shared" ca="1" si="109"/>
        <v>0.73879302993503193</v>
      </c>
      <c r="AF160" s="1" t="s">
        <v>1079</v>
      </c>
      <c r="AL160" s="13">
        <f t="shared" ca="1" si="117"/>
        <v>2</v>
      </c>
      <c r="AM160" s="13">
        <f t="shared" ca="1" si="110"/>
        <v>0.9523799432880784</v>
      </c>
      <c r="AN160" s="1" t="s">
        <v>1053</v>
      </c>
    </row>
    <row r="161" spans="1:92" x14ac:dyDescent="0.25">
      <c r="V161" s="13">
        <f t="shared" ca="1" si="114"/>
        <v>21</v>
      </c>
      <c r="W161" s="13">
        <f t="shared" ca="1" si="107"/>
        <v>0.15700727113992186</v>
      </c>
      <c r="X161" s="1" t="s">
        <v>1106</v>
      </c>
      <c r="AD161" s="13">
        <f t="shared" ca="1" si="116"/>
        <v>6</v>
      </c>
      <c r="AE161" s="13">
        <f t="shared" ca="1" si="109"/>
        <v>0.68873344248316748</v>
      </c>
      <c r="AF161" s="1" t="s">
        <v>1082</v>
      </c>
      <c r="AL161" s="13">
        <f t="shared" ca="1" si="117"/>
        <v>19</v>
      </c>
      <c r="AM161" s="13">
        <f t="shared" ca="1" si="110"/>
        <v>0.21120531681376364</v>
      </c>
      <c r="AN161" s="1" t="s">
        <v>1066</v>
      </c>
    </row>
    <row r="162" spans="1:92" x14ac:dyDescent="0.25">
      <c r="V162" s="13">
        <f t="shared" ca="1" si="114"/>
        <v>7</v>
      </c>
      <c r="W162" s="13">
        <f t="shared" ca="1" si="107"/>
        <v>0.70476478434604273</v>
      </c>
      <c r="X162" s="1" t="s">
        <v>1107</v>
      </c>
      <c r="AD162" s="13">
        <f t="shared" ca="1" si="116"/>
        <v>20</v>
      </c>
      <c r="AE162" s="13">
        <f t="shared" ca="1" si="109"/>
        <v>0.32750359400258033</v>
      </c>
      <c r="AF162" s="1" t="s">
        <v>1086</v>
      </c>
      <c r="AL162" s="13">
        <f t="shared" ca="1" si="117"/>
        <v>14</v>
      </c>
      <c r="AM162" s="13">
        <f t="shared" ca="1" si="110"/>
        <v>0.44334211351117792</v>
      </c>
      <c r="AN162" s="1" t="s">
        <v>966</v>
      </c>
    </row>
    <row r="163" spans="1:92" x14ac:dyDescent="0.25">
      <c r="V163" s="13">
        <f t="shared" ca="1" si="114"/>
        <v>16</v>
      </c>
      <c r="W163" s="13">
        <f t="shared" ca="1" si="107"/>
        <v>0.25575195551916097</v>
      </c>
      <c r="X163" s="1" t="s">
        <v>1109</v>
      </c>
      <c r="AD163" s="13">
        <f t="shared" ca="1" si="116"/>
        <v>10</v>
      </c>
      <c r="AE163" s="13">
        <f t="shared" ca="1" si="109"/>
        <v>0.56768442205193925</v>
      </c>
      <c r="AF163" s="1" t="s">
        <v>1089</v>
      </c>
      <c r="AL163" s="13">
        <f t="shared" ca="1" si="117"/>
        <v>21</v>
      </c>
      <c r="AM163" s="13">
        <f t="shared" ca="1" si="110"/>
        <v>0.19110404803588676</v>
      </c>
      <c r="AN163" s="1" t="s">
        <v>1080</v>
      </c>
    </row>
    <row r="164" spans="1:92" x14ac:dyDescent="0.25">
      <c r="AD164" s="13">
        <f t="shared" ca="1" si="116"/>
        <v>2</v>
      </c>
      <c r="AE164" s="13">
        <f t="shared" ca="1" si="109"/>
        <v>0.91487371943680929</v>
      </c>
      <c r="AF164" s="1" t="s">
        <v>1097</v>
      </c>
      <c r="AL164" s="13">
        <f t="shared" ca="1" si="117"/>
        <v>5</v>
      </c>
      <c r="AM164" s="13">
        <f t="shared" ca="1" si="110"/>
        <v>0.78229764209482122</v>
      </c>
      <c r="AN164" s="1" t="s">
        <v>1083</v>
      </c>
    </row>
    <row r="165" spans="1:92" x14ac:dyDescent="0.25">
      <c r="AD165" s="13">
        <f t="shared" ca="1" si="116"/>
        <v>16</v>
      </c>
      <c r="AE165" s="13">
        <f t="shared" ca="1" si="109"/>
        <v>0.45621893198127028</v>
      </c>
      <c r="AF165" s="1" t="s">
        <v>1108</v>
      </c>
      <c r="AL165" s="13">
        <f ca="1">_xlfn.RANK.EQ(AM165,AM$141:AM$165)</f>
        <v>7</v>
      </c>
      <c r="AM165" s="13">
        <f t="shared" ca="1" si="110"/>
        <v>0.74709930638162791</v>
      </c>
      <c r="AN165" s="1" t="s">
        <v>1090</v>
      </c>
    </row>
    <row r="167" spans="1:92" ht="15.75" thickBot="1" x14ac:dyDescent="0.3">
      <c r="A167" s="2" t="s">
        <v>1160</v>
      </c>
      <c r="B167" s="2" t="s">
        <v>1130</v>
      </c>
      <c r="C167" s="18" t="s">
        <v>1129</v>
      </c>
      <c r="D167" s="2">
        <v>1</v>
      </c>
      <c r="E167" s="2">
        <v>2</v>
      </c>
      <c r="F167" s="2">
        <v>3</v>
      </c>
      <c r="G167" s="2">
        <v>4</v>
      </c>
      <c r="H167" s="2">
        <v>5</v>
      </c>
      <c r="I167" s="2">
        <v>6</v>
      </c>
      <c r="J167" s="2">
        <v>7</v>
      </c>
      <c r="K167" s="2">
        <v>8</v>
      </c>
      <c r="L167" s="2">
        <v>9</v>
      </c>
      <c r="M167" s="2"/>
      <c r="N167" s="2" t="s">
        <v>1218</v>
      </c>
      <c r="O167" s="2"/>
      <c r="P167" s="2"/>
      <c r="Q167" s="2"/>
      <c r="R167" s="2" t="s">
        <v>1194</v>
      </c>
      <c r="S167" s="2"/>
      <c r="T167" s="2"/>
      <c r="U167" s="2"/>
      <c r="V167" s="2" t="s">
        <v>1195</v>
      </c>
      <c r="W167" s="2"/>
      <c r="X167" s="2"/>
      <c r="Y167" s="2"/>
      <c r="Z167" s="2" t="s">
        <v>1196</v>
      </c>
      <c r="AA167" s="2"/>
      <c r="AB167" s="2"/>
      <c r="AC167" s="2"/>
      <c r="AD167" s="2" t="s">
        <v>1198</v>
      </c>
      <c r="AE167" s="2"/>
      <c r="AF167" s="2"/>
      <c r="AG167" s="2"/>
      <c r="AH167" s="2" t="s">
        <v>1197</v>
      </c>
      <c r="AI167" s="2"/>
      <c r="AJ167" s="2"/>
      <c r="AK167" s="2"/>
      <c r="AL167" s="2" t="s">
        <v>1199</v>
      </c>
      <c r="AM167" s="2"/>
      <c r="AN167" s="2"/>
      <c r="AO167" s="2"/>
      <c r="AP167" s="2" t="s">
        <v>1200</v>
      </c>
      <c r="AQ167" s="2"/>
      <c r="AR167" s="2"/>
      <c r="AS167" s="2"/>
      <c r="AT167" s="2" t="s">
        <v>1201</v>
      </c>
      <c r="AU167" s="2"/>
      <c r="AV167" s="2"/>
      <c r="AW167" s="2"/>
      <c r="AX167" s="2" t="s">
        <v>1202</v>
      </c>
      <c r="AY167" s="2"/>
      <c r="AZ167" s="2"/>
      <c r="BA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row>
    <row r="168" spans="1:92" ht="15.75" thickBot="1" x14ac:dyDescent="0.3">
      <c r="A168" s="1">
        <v>1</v>
      </c>
      <c r="B168" s="1">
        <v>4</v>
      </c>
      <c r="C168" s="17">
        <v>2</v>
      </c>
      <c r="D168" s="1">
        <v>2</v>
      </c>
      <c r="E168" s="1">
        <v>0</v>
      </c>
      <c r="F168" s="1">
        <v>0</v>
      </c>
      <c r="G168" s="1">
        <v>0</v>
      </c>
      <c r="H168" s="1">
        <v>0</v>
      </c>
      <c r="I168" s="1">
        <v>0</v>
      </c>
      <c r="J168" s="1">
        <v>0</v>
      </c>
      <c r="K168" s="1">
        <v>0</v>
      </c>
      <c r="L168" s="1">
        <v>0</v>
      </c>
      <c r="N168" s="13">
        <f t="shared" ref="N168:N183" ca="1" si="119">_xlfn.RANK.EQ(O168,O$168:O$183)</f>
        <v>15</v>
      </c>
      <c r="O168" s="13">
        <f t="shared" ref="O168:O183" ca="1" si="120">RAND()</f>
        <v>0.1777427552595362</v>
      </c>
      <c r="P168" s="1" t="s">
        <v>752</v>
      </c>
      <c r="R168" s="13">
        <f t="shared" ref="R168:R187" ca="1" si="121">_xlfn.RANK.EQ(S168,S$168:S$187)</f>
        <v>2</v>
      </c>
      <c r="S168" s="13">
        <f t="shared" ref="S168:S187" ca="1" si="122">RAND()</f>
        <v>0.92535215165453455</v>
      </c>
      <c r="T168" s="1" t="s">
        <v>828</v>
      </c>
      <c r="V168" s="13">
        <f t="shared" ref="V168:V191" ca="1" si="123">_xlfn.RANK.EQ(W168,W$168:W$191)</f>
        <v>17</v>
      </c>
      <c r="W168" s="13">
        <f t="shared" ref="W168:W191" ca="1" si="124">RAND()</f>
        <v>0.24339385073313291</v>
      </c>
      <c r="X168" s="1" t="s">
        <v>769</v>
      </c>
      <c r="Z168" s="13">
        <f t="shared" ref="Z168:Z187" ca="1" si="125">_xlfn.RANK.EQ(AA168,AA$168:AA$187)</f>
        <v>2</v>
      </c>
      <c r="AA168" s="13">
        <f t="shared" ref="AA168:AA187" ca="1" si="126">RAND()</f>
        <v>0.78584574876202251</v>
      </c>
      <c r="AB168" s="1" t="s">
        <v>795</v>
      </c>
      <c r="AD168" s="13">
        <f t="shared" ref="AD168:AD177" ca="1" si="127">_xlfn.RANK.EQ(AE168,AE$168:AE$177)</f>
        <v>2</v>
      </c>
      <c r="AE168" s="13">
        <f t="shared" ref="AE168:AE177" ca="1" si="128">RAND()</f>
        <v>0.92243343255674437</v>
      </c>
      <c r="AF168" s="1" t="s">
        <v>779</v>
      </c>
      <c r="AH168" s="13">
        <f t="shared" ref="AH168:AH178" ca="1" si="129">_xlfn.RANK.EQ(AI168,AI$168:AI$178)</f>
        <v>10</v>
      </c>
      <c r="AI168" s="13">
        <f t="shared" ref="AI168:AI178" ca="1" si="130">RAND()</f>
        <v>9.757473963441976E-2</v>
      </c>
      <c r="AJ168" s="1" t="s">
        <v>755</v>
      </c>
      <c r="AL168" s="13">
        <f t="shared" ref="AL168:AL177" ca="1" si="131">_xlfn.RANK.EQ(AM168,AM$168:AM$177)</f>
        <v>3</v>
      </c>
      <c r="AM168" s="13">
        <f t="shared" ref="AM168:AM177" ca="1" si="132">RAND()</f>
        <v>0.6548656555815765</v>
      </c>
      <c r="AN168" s="1" t="s">
        <v>756</v>
      </c>
      <c r="AP168" s="13">
        <f t="shared" ref="AP168:AP175" ca="1" si="133">_xlfn.RANK.EQ(AQ168,AQ$168:AQ$175)</f>
        <v>4</v>
      </c>
      <c r="AQ168" s="13">
        <f t="shared" ref="AQ168:AQ175" ca="1" si="134">RAND()</f>
        <v>0.44077901333937286</v>
      </c>
      <c r="AR168" s="1" t="s">
        <v>773</v>
      </c>
      <c r="AT168" s="13">
        <f ca="1">_xlfn.RANK.EQ(AU168,AU$168:AU$172)</f>
        <v>3</v>
      </c>
      <c r="AU168" s="13">
        <f ca="1">RAND()</f>
        <v>0.46285795714320188</v>
      </c>
      <c r="AV168" s="1" t="s">
        <v>815</v>
      </c>
      <c r="AX168" s="14">
        <f ca="1">_xlfn.RANK.EQ(AY168,AY$168:AY$172)</f>
        <v>5</v>
      </c>
      <c r="AY168" s="13">
        <f ca="1">RAND()</f>
        <v>0.28067750281419401</v>
      </c>
      <c r="AZ168" s="1" t="s">
        <v>775</v>
      </c>
      <c r="BF168" s="2"/>
      <c r="BG168" s="2"/>
      <c r="BH168" s="2"/>
    </row>
    <row r="169" spans="1:92" ht="15.75" thickBot="1" x14ac:dyDescent="0.3">
      <c r="A169" s="1">
        <v>2</v>
      </c>
      <c r="B169" s="1">
        <v>4</v>
      </c>
      <c r="C169" s="17">
        <v>3</v>
      </c>
      <c r="D169" s="1">
        <v>3</v>
      </c>
      <c r="E169" s="1">
        <v>0</v>
      </c>
      <c r="F169" s="1">
        <v>0</v>
      </c>
      <c r="G169" s="1">
        <v>0</v>
      </c>
      <c r="H169" s="1">
        <v>0</v>
      </c>
      <c r="I169" s="1">
        <v>0</v>
      </c>
      <c r="J169" s="1">
        <v>0</v>
      </c>
      <c r="K169" s="1">
        <v>0</v>
      </c>
      <c r="L169" s="1">
        <v>0</v>
      </c>
      <c r="N169" s="13">
        <f t="shared" ca="1" si="119"/>
        <v>12</v>
      </c>
      <c r="O169" s="13">
        <f t="shared" ca="1" si="120"/>
        <v>0.3946745450180863</v>
      </c>
      <c r="P169" s="1" t="s">
        <v>759</v>
      </c>
      <c r="R169" s="13">
        <f t="shared" ca="1" si="121"/>
        <v>13</v>
      </c>
      <c r="S169" s="13">
        <f t="shared" ca="1" si="122"/>
        <v>0.49506628739128522</v>
      </c>
      <c r="T169" s="1" t="s">
        <v>867</v>
      </c>
      <c r="V169" s="13">
        <f t="shared" ca="1" si="123"/>
        <v>12</v>
      </c>
      <c r="W169" s="13">
        <f t="shared" ca="1" si="124"/>
        <v>0.32760213679779782</v>
      </c>
      <c r="X169" s="1" t="s">
        <v>819</v>
      </c>
      <c r="Z169" s="13">
        <f t="shared" ca="1" si="125"/>
        <v>9</v>
      </c>
      <c r="AA169" s="13">
        <f t="shared" ca="1" si="126"/>
        <v>0.34512688255759838</v>
      </c>
      <c r="AB169" s="1" t="s">
        <v>820</v>
      </c>
      <c r="AD169" s="13">
        <f t="shared" ca="1" si="127"/>
        <v>1</v>
      </c>
      <c r="AE169" s="13">
        <f t="shared" ca="1" si="128"/>
        <v>0.9788415145974374</v>
      </c>
      <c r="AF169" s="1" t="s">
        <v>788</v>
      </c>
      <c r="AH169" s="13">
        <f t="shared" ca="1" si="129"/>
        <v>1</v>
      </c>
      <c r="AI169" s="13">
        <f t="shared" ca="1" si="130"/>
        <v>0.87701853265332796</v>
      </c>
      <c r="AJ169" s="1" t="s">
        <v>806</v>
      </c>
      <c r="AL169" s="13">
        <f t="shared" ca="1" si="131"/>
        <v>7</v>
      </c>
      <c r="AM169" s="13">
        <f t="shared" ca="1" si="132"/>
        <v>0.21760373341632433</v>
      </c>
      <c r="AN169" s="1" t="s">
        <v>781</v>
      </c>
      <c r="AP169" s="13">
        <f t="shared" ca="1" si="133"/>
        <v>2</v>
      </c>
      <c r="AQ169" s="13">
        <f t="shared" ca="1" si="134"/>
        <v>0.75358943137773182</v>
      </c>
      <c r="AR169" s="1" t="s">
        <v>791</v>
      </c>
      <c r="AT169" s="13">
        <f ca="1">_xlfn.RANK.EQ(AU169,AU$168:AU$172)</f>
        <v>2</v>
      </c>
      <c r="AU169" s="13">
        <f ca="1">RAND()</f>
        <v>0.70769644560330969</v>
      </c>
      <c r="AV169" s="1" t="s">
        <v>825</v>
      </c>
      <c r="AX169" s="14">
        <f ca="1">_xlfn.RANK.EQ(AY169,AY$168:AY$172)</f>
        <v>4</v>
      </c>
      <c r="AY169" s="13">
        <f ca="1">RAND()</f>
        <v>0.31892317026900707</v>
      </c>
      <c r="AZ169" s="1" t="s">
        <v>816</v>
      </c>
    </row>
    <row r="170" spans="1:92" ht="15.75" thickBot="1" x14ac:dyDescent="0.3">
      <c r="A170" s="1">
        <v>3</v>
      </c>
      <c r="B170" s="1">
        <v>4</v>
      </c>
      <c r="C170" s="17">
        <v>4</v>
      </c>
      <c r="D170" s="1">
        <v>4</v>
      </c>
      <c r="E170" s="1">
        <v>2</v>
      </c>
      <c r="F170" s="1">
        <v>0</v>
      </c>
      <c r="G170" s="1">
        <v>0</v>
      </c>
      <c r="H170" s="1">
        <v>0</v>
      </c>
      <c r="I170" s="1">
        <v>0</v>
      </c>
      <c r="J170" s="1">
        <v>0</v>
      </c>
      <c r="K170" s="1">
        <v>0</v>
      </c>
      <c r="L170" s="1">
        <v>0</v>
      </c>
      <c r="N170" s="13">
        <f t="shared" ca="1" si="119"/>
        <v>5</v>
      </c>
      <c r="O170" s="13">
        <f t="shared" ca="1" si="120"/>
        <v>0.71541916413251305</v>
      </c>
      <c r="P170" s="1" t="s">
        <v>776</v>
      </c>
      <c r="R170" s="13">
        <f t="shared" ca="1" si="121"/>
        <v>17</v>
      </c>
      <c r="S170" s="13">
        <f t="shared" ca="1" si="122"/>
        <v>0.17853556524852243</v>
      </c>
      <c r="T170" s="1" t="s">
        <v>874</v>
      </c>
      <c r="V170" s="13">
        <f t="shared" ca="1" si="123"/>
        <v>9</v>
      </c>
      <c r="W170" s="13">
        <f t="shared" ca="1" si="124"/>
        <v>0.55569091379843072</v>
      </c>
      <c r="X170" s="1" t="s">
        <v>829</v>
      </c>
      <c r="Z170" s="13">
        <f t="shared" ca="1" si="125"/>
        <v>17</v>
      </c>
      <c r="AA170" s="13">
        <f t="shared" ca="1" si="126"/>
        <v>0.1987335291052108</v>
      </c>
      <c r="AB170" s="1" t="s">
        <v>847</v>
      </c>
      <c r="AD170" s="13">
        <f t="shared" ca="1" si="127"/>
        <v>3</v>
      </c>
      <c r="AE170" s="13">
        <f t="shared" ca="1" si="128"/>
        <v>0.91158193681955979</v>
      </c>
      <c r="AF170" s="1" t="s">
        <v>812</v>
      </c>
      <c r="AH170" s="13">
        <f t="shared" ca="1" si="129"/>
        <v>7</v>
      </c>
      <c r="AI170" s="13">
        <f t="shared" ca="1" si="130"/>
        <v>0.34667474702021039</v>
      </c>
      <c r="AJ170" s="1" t="s">
        <v>832</v>
      </c>
      <c r="AL170" s="13">
        <f t="shared" ca="1" si="131"/>
        <v>9</v>
      </c>
      <c r="AM170" s="13">
        <f t="shared" ca="1" si="132"/>
        <v>0.12977114723065442</v>
      </c>
      <c r="AN170" s="1" t="s">
        <v>790</v>
      </c>
      <c r="AP170" s="13">
        <f t="shared" ca="1" si="133"/>
        <v>1</v>
      </c>
      <c r="AQ170" s="13">
        <f t="shared" ca="1" si="134"/>
        <v>0.76485103192512793</v>
      </c>
      <c r="AR170" s="1" t="s">
        <v>798</v>
      </c>
      <c r="AT170" s="13">
        <f ca="1">_xlfn.RANK.EQ(AU170,AU$168:AU$172)</f>
        <v>5</v>
      </c>
      <c r="AU170" s="13">
        <f ca="1">RAND()</f>
        <v>4.5525428437552251E-2</v>
      </c>
      <c r="AV170" s="1" t="s">
        <v>865</v>
      </c>
      <c r="AX170" s="14">
        <f ca="1">_xlfn.RANK.EQ(AY170,AY$168:AY$172)</f>
        <v>1</v>
      </c>
      <c r="AY170" s="13">
        <f ca="1">RAND()</f>
        <v>0.92468465111425413</v>
      </c>
      <c r="AZ170" s="1" t="s">
        <v>836</v>
      </c>
    </row>
    <row r="171" spans="1:92" ht="15.75" thickBot="1" x14ac:dyDescent="0.3">
      <c r="A171" s="1">
        <v>4</v>
      </c>
      <c r="B171" s="1">
        <v>5</v>
      </c>
      <c r="C171" s="17">
        <v>5</v>
      </c>
      <c r="D171" s="1">
        <v>4</v>
      </c>
      <c r="E171" s="1">
        <v>3</v>
      </c>
      <c r="F171" s="1">
        <v>0</v>
      </c>
      <c r="G171" s="1">
        <v>0</v>
      </c>
      <c r="H171" s="1">
        <v>0</v>
      </c>
      <c r="I171" s="1">
        <v>0</v>
      </c>
      <c r="J171" s="1">
        <v>0</v>
      </c>
      <c r="K171" s="1">
        <v>0</v>
      </c>
      <c r="L171" s="1">
        <v>0</v>
      </c>
      <c r="N171" s="13">
        <f t="shared" ca="1" si="119"/>
        <v>10</v>
      </c>
      <c r="O171" s="13">
        <f t="shared" ca="1" si="120"/>
        <v>0.45535873261750048</v>
      </c>
      <c r="P171" s="1" t="s">
        <v>801</v>
      </c>
      <c r="R171" s="13">
        <f t="shared" ca="1" si="121"/>
        <v>15</v>
      </c>
      <c r="S171" s="13">
        <f t="shared" ca="1" si="122"/>
        <v>0.37416325373037929</v>
      </c>
      <c r="T171" s="1" t="s">
        <v>883</v>
      </c>
      <c r="V171" s="13">
        <f t="shared" ca="1" si="123"/>
        <v>18</v>
      </c>
      <c r="W171" s="13">
        <f t="shared" ca="1" si="124"/>
        <v>0.21084714966773666</v>
      </c>
      <c r="X171" s="1" t="s">
        <v>852</v>
      </c>
      <c r="Z171" s="13">
        <f t="shared" ca="1" si="125"/>
        <v>13</v>
      </c>
      <c r="AA171" s="13">
        <f t="shared" ca="1" si="126"/>
        <v>0.304801024654063</v>
      </c>
      <c r="AB171" s="1" t="s">
        <v>869</v>
      </c>
      <c r="AD171" s="13">
        <f t="shared" ca="1" si="127"/>
        <v>5</v>
      </c>
      <c r="AE171" s="13">
        <f t="shared" ca="1" si="128"/>
        <v>0.78549527295845123</v>
      </c>
      <c r="AF171" s="1" t="s">
        <v>854</v>
      </c>
      <c r="AH171" s="13">
        <f t="shared" ca="1" si="129"/>
        <v>5</v>
      </c>
      <c r="AI171" s="13">
        <f t="shared" ca="1" si="130"/>
        <v>0.48781365265054122</v>
      </c>
      <c r="AJ171" s="1" t="s">
        <v>877</v>
      </c>
      <c r="AL171" s="13">
        <f t="shared" ca="1" si="131"/>
        <v>6</v>
      </c>
      <c r="AM171" s="13">
        <f t="shared" ca="1" si="132"/>
        <v>0.32250075604503192</v>
      </c>
      <c r="AN171" s="1" t="s">
        <v>833</v>
      </c>
      <c r="AP171" s="13">
        <f t="shared" ca="1" si="133"/>
        <v>5</v>
      </c>
      <c r="AQ171" s="13">
        <f t="shared" ca="1" si="134"/>
        <v>0.42904280345868751</v>
      </c>
      <c r="AR171" s="1" t="s">
        <v>808</v>
      </c>
      <c r="AT171" s="13">
        <f ca="1">_xlfn.RANK.EQ(AU171,AU$168:AU$172)</f>
        <v>1</v>
      </c>
      <c r="AU171" s="13">
        <f ca="1">RAND()</f>
        <v>0.77240327531548869</v>
      </c>
      <c r="AV171" s="1" t="s">
        <v>903</v>
      </c>
      <c r="AX171" s="14">
        <f ca="1">_xlfn.RANK.EQ(AY171,AY$168:AY$172)</f>
        <v>2</v>
      </c>
      <c r="AY171" s="13">
        <f ca="1">RAND()</f>
        <v>0.89513140952240411</v>
      </c>
      <c r="AZ171" s="1" t="s">
        <v>873</v>
      </c>
    </row>
    <row r="172" spans="1:92" ht="15.75" thickBot="1" x14ac:dyDescent="0.3">
      <c r="A172" s="1">
        <v>5</v>
      </c>
      <c r="B172" s="1">
        <v>5</v>
      </c>
      <c r="C172" s="17">
        <v>6</v>
      </c>
      <c r="D172" s="1">
        <v>4</v>
      </c>
      <c r="E172" s="1">
        <v>3</v>
      </c>
      <c r="F172" s="1">
        <v>2</v>
      </c>
      <c r="G172" s="1">
        <v>0</v>
      </c>
      <c r="H172" s="1">
        <v>0</v>
      </c>
      <c r="I172" s="1">
        <v>0</v>
      </c>
      <c r="J172" s="1">
        <v>0</v>
      </c>
      <c r="K172" s="1">
        <v>0</v>
      </c>
      <c r="L172" s="1">
        <v>0</v>
      </c>
      <c r="N172" s="13">
        <f t="shared" ca="1" si="119"/>
        <v>9</v>
      </c>
      <c r="O172" s="13">
        <f t="shared" ca="1" si="120"/>
        <v>0.49248306094730654</v>
      </c>
      <c r="P172" s="1" t="s">
        <v>827</v>
      </c>
      <c r="R172" s="13">
        <f t="shared" ca="1" si="121"/>
        <v>20</v>
      </c>
      <c r="S172" s="13">
        <f t="shared" ca="1" si="122"/>
        <v>2.8827116665295138E-2</v>
      </c>
      <c r="T172" s="1" t="s">
        <v>905</v>
      </c>
      <c r="V172" s="13">
        <f t="shared" ca="1" si="123"/>
        <v>23</v>
      </c>
      <c r="W172" s="13">
        <f t="shared" ca="1" si="124"/>
        <v>2.1375959682882528E-2</v>
      </c>
      <c r="X172" s="1" t="s">
        <v>875</v>
      </c>
      <c r="Z172" s="13">
        <f t="shared" ca="1" si="125"/>
        <v>15</v>
      </c>
      <c r="AA172" s="13">
        <f t="shared" ca="1" si="126"/>
        <v>0.2200322293653505</v>
      </c>
      <c r="AB172" s="1" t="s">
        <v>876</v>
      </c>
      <c r="AD172" s="13">
        <f t="shared" ca="1" si="127"/>
        <v>10</v>
      </c>
      <c r="AE172" s="13">
        <f t="shared" ca="1" si="128"/>
        <v>0.12739336016783609</v>
      </c>
      <c r="AF172" s="1" t="s">
        <v>870</v>
      </c>
      <c r="AH172" s="13">
        <f t="shared" ca="1" si="129"/>
        <v>11</v>
      </c>
      <c r="AI172" s="13">
        <f t="shared" ca="1" si="130"/>
        <v>4.098838266032645E-2</v>
      </c>
      <c r="AJ172" s="1" t="s">
        <v>915</v>
      </c>
      <c r="AL172" s="13">
        <f t="shared" ca="1" si="131"/>
        <v>1</v>
      </c>
      <c r="AM172" s="13">
        <f t="shared" ca="1" si="132"/>
        <v>0.95887380227040697</v>
      </c>
      <c r="AN172" s="1" t="s">
        <v>856</v>
      </c>
      <c r="AP172" s="13">
        <f t="shared" ca="1" si="133"/>
        <v>8</v>
      </c>
      <c r="AQ172" s="13">
        <f t="shared" ca="1" si="134"/>
        <v>0.14071957092815079</v>
      </c>
      <c r="AR172" s="1" t="s">
        <v>850</v>
      </c>
      <c r="AT172" s="13">
        <f ca="1">_xlfn.RANK.EQ(AU172,AU$168:AU$172)</f>
        <v>4</v>
      </c>
      <c r="AU172" s="13">
        <f ca="1">RAND()</f>
        <v>0.29048745779661522</v>
      </c>
      <c r="AV172" s="1" t="s">
        <v>910</v>
      </c>
      <c r="AX172" s="14">
        <f ca="1">_xlfn.RANK.EQ(AY172,AY$168:AY$172)</f>
        <v>3</v>
      </c>
      <c r="AY172" s="13">
        <f ca="1">RAND()</f>
        <v>0.61642750444758221</v>
      </c>
      <c r="AZ172" s="1" t="s">
        <v>904</v>
      </c>
    </row>
    <row r="173" spans="1:92" ht="15.75" thickBot="1" x14ac:dyDescent="0.3">
      <c r="A173" s="1">
        <v>6</v>
      </c>
      <c r="B173" s="1">
        <v>5</v>
      </c>
      <c r="C173" s="17">
        <v>7</v>
      </c>
      <c r="D173" s="1">
        <v>4</v>
      </c>
      <c r="E173" s="1">
        <v>3</v>
      </c>
      <c r="F173" s="1">
        <v>3</v>
      </c>
      <c r="G173" s="1">
        <v>0</v>
      </c>
      <c r="H173" s="1">
        <v>0</v>
      </c>
      <c r="I173" s="1">
        <v>0</v>
      </c>
      <c r="J173" s="1">
        <v>0</v>
      </c>
      <c r="K173" s="1">
        <v>0</v>
      </c>
      <c r="L173" s="1">
        <v>0</v>
      </c>
      <c r="N173" s="13">
        <f t="shared" ca="1" si="119"/>
        <v>2</v>
      </c>
      <c r="O173" s="13">
        <f t="shared" ca="1" si="120"/>
        <v>0.87302687996130002</v>
      </c>
      <c r="P173" s="1" t="s">
        <v>837</v>
      </c>
      <c r="R173" s="13">
        <f t="shared" ca="1" si="121"/>
        <v>3</v>
      </c>
      <c r="S173" s="13">
        <f t="shared" ca="1" si="122"/>
        <v>0.91988550398171542</v>
      </c>
      <c r="T173" s="1" t="s">
        <v>930</v>
      </c>
      <c r="V173" s="13">
        <f t="shared" ca="1" si="123"/>
        <v>13</v>
      </c>
      <c r="W173" s="13">
        <f t="shared" ca="1" si="124"/>
        <v>0.30575676454917733</v>
      </c>
      <c r="X173" s="1" t="s">
        <v>884</v>
      </c>
      <c r="Z173" s="13">
        <f t="shared" ca="1" si="125"/>
        <v>19</v>
      </c>
      <c r="AA173" s="13">
        <f t="shared" ca="1" si="126"/>
        <v>9.2961362590942898E-2</v>
      </c>
      <c r="AB173" s="1" t="s">
        <v>640</v>
      </c>
      <c r="AD173" s="13">
        <f t="shared" ca="1" si="127"/>
        <v>6</v>
      </c>
      <c r="AE173" s="13">
        <f t="shared" ca="1" si="128"/>
        <v>0.75937993691900874</v>
      </c>
      <c r="AF173" s="1" t="s">
        <v>933</v>
      </c>
      <c r="AH173" s="13">
        <f t="shared" ca="1" si="129"/>
        <v>8</v>
      </c>
      <c r="AI173" s="13">
        <f t="shared" ca="1" si="130"/>
        <v>0.27257660872958589</v>
      </c>
      <c r="AJ173" s="1" t="s">
        <v>961</v>
      </c>
      <c r="AL173" s="13">
        <f t="shared" ca="1" si="131"/>
        <v>8</v>
      </c>
      <c r="AM173" s="13">
        <f t="shared" ca="1" si="132"/>
        <v>0.16376226793003046</v>
      </c>
      <c r="AN173" s="1" t="s">
        <v>887</v>
      </c>
      <c r="AP173" s="13">
        <f t="shared" ca="1" si="133"/>
        <v>3</v>
      </c>
      <c r="AQ173" s="13">
        <f t="shared" ca="1" si="134"/>
        <v>0.66251083800728694</v>
      </c>
      <c r="AR173" s="1" t="s">
        <v>864</v>
      </c>
    </row>
    <row r="174" spans="1:92" ht="15.75" thickBot="1" x14ac:dyDescent="0.3">
      <c r="A174" s="1">
        <v>7</v>
      </c>
      <c r="B174" s="1">
        <v>5</v>
      </c>
      <c r="C174" s="17">
        <v>8</v>
      </c>
      <c r="D174" s="1">
        <v>4</v>
      </c>
      <c r="E174" s="1">
        <v>3</v>
      </c>
      <c r="F174" s="1">
        <v>3</v>
      </c>
      <c r="G174" s="1">
        <v>1</v>
      </c>
      <c r="H174" s="1">
        <v>0</v>
      </c>
      <c r="I174" s="1">
        <v>0</v>
      </c>
      <c r="J174" s="1">
        <v>0</v>
      </c>
      <c r="K174" s="1">
        <v>0</v>
      </c>
      <c r="L174" s="1">
        <v>0</v>
      </c>
      <c r="N174" s="13">
        <f t="shared" ca="1" si="119"/>
        <v>3</v>
      </c>
      <c r="O174" s="13">
        <f t="shared" ca="1" si="120"/>
        <v>0.78999159195560043</v>
      </c>
      <c r="P174" s="1" t="s">
        <v>882</v>
      </c>
      <c r="R174" s="13">
        <f t="shared" ca="1" si="121"/>
        <v>6</v>
      </c>
      <c r="S174" s="13">
        <f t="shared" ca="1" si="122"/>
        <v>0.80116189852649677</v>
      </c>
      <c r="T174" s="1" t="s">
        <v>941</v>
      </c>
      <c r="V174" s="13">
        <f t="shared" ca="1" si="123"/>
        <v>22</v>
      </c>
      <c r="W174" s="13">
        <f t="shared" ca="1" si="124"/>
        <v>6.2265344430021408E-2</v>
      </c>
      <c r="X174" s="1" t="s">
        <v>891</v>
      </c>
      <c r="Z174" s="13">
        <f t="shared" ca="1" si="125"/>
        <v>10</v>
      </c>
      <c r="AA174" s="13">
        <f t="shared" ca="1" si="126"/>
        <v>0.32965417632011951</v>
      </c>
      <c r="AB174" s="1" t="s">
        <v>921</v>
      </c>
      <c r="AD174" s="13">
        <f t="shared" ca="1" si="127"/>
        <v>8</v>
      </c>
      <c r="AE174" s="13">
        <f t="shared" ca="1" si="128"/>
        <v>0.59001253968749745</v>
      </c>
      <c r="AF174" s="1" t="s">
        <v>955</v>
      </c>
      <c r="AH174" s="13">
        <f t="shared" ca="1" si="129"/>
        <v>9</v>
      </c>
      <c r="AI174" s="13">
        <f t="shared" ca="1" si="130"/>
        <v>0.20088464460358757</v>
      </c>
      <c r="AJ174" s="1" t="s">
        <v>983</v>
      </c>
      <c r="AL174" s="13">
        <f t="shared" ca="1" si="131"/>
        <v>10</v>
      </c>
      <c r="AM174" s="13">
        <f t="shared" ca="1" si="132"/>
        <v>7.6654295181345922E-2</v>
      </c>
      <c r="AN174" s="1" t="s">
        <v>951</v>
      </c>
      <c r="AP174" s="13">
        <f t="shared" ca="1" si="133"/>
        <v>7</v>
      </c>
      <c r="AQ174" s="13">
        <f t="shared" ca="1" si="134"/>
        <v>0.15894170664314089</v>
      </c>
      <c r="AR174" s="1" t="s">
        <v>894</v>
      </c>
    </row>
    <row r="175" spans="1:92" ht="15.75" thickBot="1" x14ac:dyDescent="0.3">
      <c r="A175" s="1">
        <v>8</v>
      </c>
      <c r="B175" s="1">
        <v>5</v>
      </c>
      <c r="C175" s="17">
        <v>9</v>
      </c>
      <c r="D175" s="1">
        <v>4</v>
      </c>
      <c r="E175" s="1">
        <v>3</v>
      </c>
      <c r="F175" s="1">
        <v>3</v>
      </c>
      <c r="G175" s="1">
        <v>2</v>
      </c>
      <c r="H175" s="1">
        <v>0</v>
      </c>
      <c r="I175" s="1">
        <v>0</v>
      </c>
      <c r="J175" s="1">
        <v>0</v>
      </c>
      <c r="K175" s="1">
        <v>0</v>
      </c>
      <c r="L175" s="1">
        <v>0</v>
      </c>
      <c r="N175" s="13">
        <f t="shared" ca="1" si="119"/>
        <v>13</v>
      </c>
      <c r="O175" s="13">
        <f t="shared" ca="1" si="120"/>
        <v>0.36657134970778782</v>
      </c>
      <c r="P175" s="1" t="s">
        <v>897</v>
      </c>
      <c r="R175" s="13">
        <f t="shared" ca="1" si="121"/>
        <v>19</v>
      </c>
      <c r="S175" s="13">
        <f t="shared" ca="1" si="122"/>
        <v>7.0724386635083736E-2</v>
      </c>
      <c r="T175" s="1" t="s">
        <v>974</v>
      </c>
      <c r="V175" s="13">
        <f t="shared" ca="1" si="123"/>
        <v>16</v>
      </c>
      <c r="W175" s="13">
        <f t="shared" ca="1" si="124"/>
        <v>0.26323536166726724</v>
      </c>
      <c r="X175" s="1" t="s">
        <v>899</v>
      </c>
      <c r="Z175" s="13">
        <f t="shared" ca="1" si="125"/>
        <v>8</v>
      </c>
      <c r="AA175" s="13">
        <f t="shared" ca="1" si="126"/>
        <v>0.35786501891266476</v>
      </c>
      <c r="AB175" s="1" t="s">
        <v>932</v>
      </c>
      <c r="AD175" s="13">
        <f t="shared" ca="1" si="127"/>
        <v>9</v>
      </c>
      <c r="AE175" s="13">
        <f t="shared" ca="1" si="128"/>
        <v>0.55915478570234722</v>
      </c>
      <c r="AF175" s="1" t="s">
        <v>995</v>
      </c>
      <c r="AH175" s="13">
        <f t="shared" ca="1" si="129"/>
        <v>2</v>
      </c>
      <c r="AI175" s="13">
        <f t="shared" ca="1" si="130"/>
        <v>0.82466746699682125</v>
      </c>
      <c r="AJ175" s="1" t="s">
        <v>1051</v>
      </c>
      <c r="AL175" s="13">
        <f t="shared" ca="1" si="131"/>
        <v>2</v>
      </c>
      <c r="AM175" s="13">
        <f t="shared" ca="1" si="132"/>
        <v>0.95570152990104673</v>
      </c>
      <c r="AN175" s="1" t="s">
        <v>962</v>
      </c>
      <c r="AP175" s="13">
        <f t="shared" ca="1" si="133"/>
        <v>6</v>
      </c>
      <c r="AQ175" s="13">
        <f t="shared" ca="1" si="134"/>
        <v>0.29519061241502054</v>
      </c>
      <c r="AR175" s="1" t="s">
        <v>924</v>
      </c>
    </row>
    <row r="176" spans="1:92" ht="15.75" thickBot="1" x14ac:dyDescent="0.3">
      <c r="A176" s="1">
        <v>9</v>
      </c>
      <c r="B176" s="1">
        <v>5</v>
      </c>
      <c r="C176" s="17">
        <v>10</v>
      </c>
      <c r="D176" s="1">
        <v>4</v>
      </c>
      <c r="E176" s="1">
        <v>3</v>
      </c>
      <c r="F176" s="1">
        <v>3</v>
      </c>
      <c r="G176" s="1">
        <v>3</v>
      </c>
      <c r="H176" s="1">
        <v>1</v>
      </c>
      <c r="I176" s="1">
        <v>0</v>
      </c>
      <c r="J176" s="1">
        <v>0</v>
      </c>
      <c r="K176" s="1">
        <v>0</v>
      </c>
      <c r="L176" s="1">
        <v>0</v>
      </c>
      <c r="N176" s="13">
        <f t="shared" ca="1" si="119"/>
        <v>14</v>
      </c>
      <c r="O176" s="13">
        <f t="shared" ca="1" si="120"/>
        <v>0.1843935210537333</v>
      </c>
      <c r="P176" s="1" t="s">
        <v>911</v>
      </c>
      <c r="R176" s="13">
        <f t="shared" ca="1" si="121"/>
        <v>1</v>
      </c>
      <c r="S176" s="13">
        <f t="shared" ca="1" si="122"/>
        <v>0.99687277124069396</v>
      </c>
      <c r="T176" s="1" t="s">
        <v>985</v>
      </c>
      <c r="V176" s="13">
        <f t="shared" ca="1" si="123"/>
        <v>3</v>
      </c>
      <c r="W176" s="13">
        <f t="shared" ca="1" si="124"/>
        <v>0.85534577596122585</v>
      </c>
      <c r="X176" s="1" t="s">
        <v>928</v>
      </c>
      <c r="Z176" s="13">
        <f t="shared" ca="1" si="125"/>
        <v>1</v>
      </c>
      <c r="AA176" s="13">
        <f t="shared" ca="1" si="126"/>
        <v>0.94564869378016825</v>
      </c>
      <c r="AB176" s="1" t="s">
        <v>937</v>
      </c>
      <c r="AD176" s="13">
        <f t="shared" ca="1" si="127"/>
        <v>4</v>
      </c>
      <c r="AE176" s="13">
        <f t="shared" ca="1" si="128"/>
        <v>0.83691198763505203</v>
      </c>
      <c r="AF176" s="1" t="s">
        <v>1019</v>
      </c>
      <c r="AH176" s="13">
        <f t="shared" ca="1" si="129"/>
        <v>4</v>
      </c>
      <c r="AI176" s="13">
        <f t="shared" ca="1" si="130"/>
        <v>0.56482296751706185</v>
      </c>
      <c r="AJ176" s="1" t="s">
        <v>1067</v>
      </c>
      <c r="AL176" s="13">
        <f t="shared" ca="1" si="131"/>
        <v>5</v>
      </c>
      <c r="AM176" s="13">
        <f t="shared" ca="1" si="132"/>
        <v>0.5899590051824215</v>
      </c>
      <c r="AN176" s="1" t="s">
        <v>1005</v>
      </c>
    </row>
    <row r="177" spans="1:108" ht="15.75" thickBot="1" x14ac:dyDescent="0.3">
      <c r="A177" s="1">
        <v>10</v>
      </c>
      <c r="B177" s="1">
        <v>6</v>
      </c>
      <c r="C177" s="17">
        <v>11</v>
      </c>
      <c r="D177" s="1">
        <v>4</v>
      </c>
      <c r="E177" s="1">
        <v>3</v>
      </c>
      <c r="F177" s="1">
        <v>3</v>
      </c>
      <c r="G177" s="1">
        <v>3</v>
      </c>
      <c r="H177" s="1">
        <v>2</v>
      </c>
      <c r="I177" s="1">
        <v>0</v>
      </c>
      <c r="J177" s="1">
        <v>0</v>
      </c>
      <c r="K177" s="1">
        <v>0</v>
      </c>
      <c r="L177" s="1">
        <v>0</v>
      </c>
      <c r="N177" s="13">
        <f t="shared" ca="1" si="119"/>
        <v>4</v>
      </c>
      <c r="O177" s="13">
        <f t="shared" ca="1" si="120"/>
        <v>0.75901458183793136</v>
      </c>
      <c r="P177" s="1" t="s">
        <v>919</v>
      </c>
      <c r="R177" s="13">
        <f t="shared" ca="1" si="121"/>
        <v>10</v>
      </c>
      <c r="S177" s="13">
        <f t="shared" ca="1" si="122"/>
        <v>0.59505756167810464</v>
      </c>
      <c r="T177" s="1" t="s">
        <v>992</v>
      </c>
      <c r="V177" s="13">
        <f t="shared" ca="1" si="123"/>
        <v>2</v>
      </c>
      <c r="W177" s="13">
        <f t="shared" ca="1" si="124"/>
        <v>0.87590670641930923</v>
      </c>
      <c r="X177" s="1" t="s">
        <v>931</v>
      </c>
      <c r="Z177" s="13">
        <f t="shared" ca="1" si="125"/>
        <v>7</v>
      </c>
      <c r="AA177" s="13">
        <f t="shared" ca="1" si="126"/>
        <v>0.37796562163776537</v>
      </c>
      <c r="AB177" s="1" t="s">
        <v>948</v>
      </c>
      <c r="AD177" s="13">
        <f t="shared" ca="1" si="127"/>
        <v>7</v>
      </c>
      <c r="AE177" s="13">
        <f t="shared" ca="1" si="128"/>
        <v>0.68985644976226124</v>
      </c>
      <c r="AF177" s="1" t="s">
        <v>1042</v>
      </c>
      <c r="AH177" s="13">
        <f t="shared" ca="1" si="129"/>
        <v>3</v>
      </c>
      <c r="AI177" s="13">
        <f t="shared" ca="1" si="130"/>
        <v>0.63236749829460182</v>
      </c>
      <c r="AJ177" s="1" t="s">
        <v>1070</v>
      </c>
      <c r="AL177" s="13">
        <f t="shared" ca="1" si="131"/>
        <v>4</v>
      </c>
      <c r="AM177" s="13">
        <f t="shared" ca="1" si="132"/>
        <v>0.61075337060747181</v>
      </c>
      <c r="AN177" s="1" t="s">
        <v>1021</v>
      </c>
    </row>
    <row r="178" spans="1:108" ht="15.75" thickBot="1" x14ac:dyDescent="0.3">
      <c r="A178" s="1">
        <v>11</v>
      </c>
      <c r="B178" s="1">
        <v>6</v>
      </c>
      <c r="C178" s="17">
        <v>12</v>
      </c>
      <c r="D178" s="1">
        <v>4</v>
      </c>
      <c r="E178" s="1">
        <v>3</v>
      </c>
      <c r="F178" s="1">
        <v>3</v>
      </c>
      <c r="G178" s="1">
        <v>3</v>
      </c>
      <c r="H178" s="1">
        <v>2</v>
      </c>
      <c r="I178" s="1">
        <v>1</v>
      </c>
      <c r="J178" s="1">
        <v>0</v>
      </c>
      <c r="K178" s="1">
        <v>0</v>
      </c>
      <c r="L178" s="1">
        <v>0</v>
      </c>
      <c r="N178" s="13">
        <f t="shared" ca="1" si="119"/>
        <v>8</v>
      </c>
      <c r="O178" s="13">
        <f t="shared" ca="1" si="120"/>
        <v>0.52858686367188479</v>
      </c>
      <c r="P178" s="1" t="s">
        <v>926</v>
      </c>
      <c r="R178" s="13">
        <f t="shared" ca="1" si="121"/>
        <v>9</v>
      </c>
      <c r="S178" s="13">
        <f t="shared" ca="1" si="122"/>
        <v>0.6774882891577122</v>
      </c>
      <c r="T178" s="1" t="s">
        <v>1001</v>
      </c>
      <c r="V178" s="13">
        <f t="shared" ca="1" si="123"/>
        <v>6</v>
      </c>
      <c r="W178" s="13">
        <f t="shared" ca="1" si="124"/>
        <v>0.6072861928750215</v>
      </c>
      <c r="X178" s="1" t="s">
        <v>971</v>
      </c>
      <c r="Z178" s="13">
        <f t="shared" ca="1" si="125"/>
        <v>12</v>
      </c>
      <c r="AA178" s="13">
        <f t="shared" ca="1" si="126"/>
        <v>0.31368732654417142</v>
      </c>
      <c r="AB178" s="1" t="s">
        <v>959</v>
      </c>
      <c r="AH178" s="13">
        <f t="shared" ca="1" si="129"/>
        <v>6</v>
      </c>
      <c r="AI178" s="13">
        <f t="shared" ca="1" si="130"/>
        <v>0.37938128271822724</v>
      </c>
      <c r="AJ178" s="1" t="s">
        <v>1084</v>
      </c>
    </row>
    <row r="179" spans="1:108" ht="15.75" thickBot="1" x14ac:dyDescent="0.3">
      <c r="A179" s="1">
        <v>12</v>
      </c>
      <c r="B179" s="1">
        <v>6</v>
      </c>
      <c r="C179" s="17">
        <v>12</v>
      </c>
      <c r="D179" s="1">
        <v>4</v>
      </c>
      <c r="E179" s="1">
        <v>3</v>
      </c>
      <c r="F179" s="1">
        <v>3</v>
      </c>
      <c r="G179" s="1">
        <v>3</v>
      </c>
      <c r="H179" s="1">
        <v>2</v>
      </c>
      <c r="I179" s="1">
        <v>1</v>
      </c>
      <c r="J179" s="1">
        <v>0</v>
      </c>
      <c r="K179" s="1">
        <v>0</v>
      </c>
      <c r="L179" s="1">
        <v>0</v>
      </c>
      <c r="N179" s="13">
        <f t="shared" ca="1" si="119"/>
        <v>11</v>
      </c>
      <c r="O179" s="13">
        <f t="shared" ca="1" si="120"/>
        <v>0.39582761067316685</v>
      </c>
      <c r="P179" s="1" t="s">
        <v>934</v>
      </c>
      <c r="R179" s="13">
        <f t="shared" ca="1" si="121"/>
        <v>16</v>
      </c>
      <c r="S179" s="13">
        <f t="shared" ca="1" si="122"/>
        <v>0.17907563761325807</v>
      </c>
      <c r="T179" s="1" t="s">
        <v>1064</v>
      </c>
      <c r="V179" s="13">
        <f t="shared" ca="1" si="123"/>
        <v>11</v>
      </c>
      <c r="W179" s="13">
        <f t="shared" ca="1" si="124"/>
        <v>0.34403034664473808</v>
      </c>
      <c r="X179" s="1" t="s">
        <v>986</v>
      </c>
      <c r="Z179" s="13">
        <f t="shared" ca="1" si="125"/>
        <v>6</v>
      </c>
      <c r="AA179" s="13">
        <f t="shared" ca="1" si="126"/>
        <v>0.49913831358026439</v>
      </c>
      <c r="AB179" s="1" t="s">
        <v>981</v>
      </c>
    </row>
    <row r="180" spans="1:108" ht="15.75" thickBot="1" x14ac:dyDescent="0.3">
      <c r="A180" s="1">
        <v>13</v>
      </c>
      <c r="B180" s="1">
        <v>6</v>
      </c>
      <c r="C180" s="17">
        <v>13</v>
      </c>
      <c r="D180" s="1">
        <v>4</v>
      </c>
      <c r="E180" s="1">
        <v>3</v>
      </c>
      <c r="F180" s="1">
        <v>3</v>
      </c>
      <c r="G180" s="1">
        <v>3</v>
      </c>
      <c r="H180" s="1">
        <v>2</v>
      </c>
      <c r="I180" s="1">
        <v>1</v>
      </c>
      <c r="J180" s="1">
        <v>1</v>
      </c>
      <c r="K180" s="1">
        <v>0</v>
      </c>
      <c r="L180" s="1">
        <v>0</v>
      </c>
      <c r="N180" s="13">
        <f t="shared" ca="1" si="119"/>
        <v>16</v>
      </c>
      <c r="O180" s="13">
        <f t="shared" ca="1" si="120"/>
        <v>6.9649036062529368E-2</v>
      </c>
      <c r="P180" s="1" t="s">
        <v>940</v>
      </c>
      <c r="R180" s="13">
        <f t="shared" ca="1" si="121"/>
        <v>4</v>
      </c>
      <c r="S180" s="13">
        <f t="shared" ca="1" si="122"/>
        <v>0.88272447778491991</v>
      </c>
      <c r="T180" s="1" t="s">
        <v>1071</v>
      </c>
      <c r="V180" s="13">
        <f t="shared" ca="1" si="123"/>
        <v>14</v>
      </c>
      <c r="W180" s="13">
        <f t="shared" ca="1" si="124"/>
        <v>0.29306512214014568</v>
      </c>
      <c r="X180" s="1" t="s">
        <v>993</v>
      </c>
      <c r="Z180" s="13">
        <f t="shared" ca="1" si="125"/>
        <v>5</v>
      </c>
      <c r="AA180" s="13">
        <f t="shared" ca="1" si="126"/>
        <v>0.68212929848759929</v>
      </c>
      <c r="AB180" s="1" t="s">
        <v>994</v>
      </c>
    </row>
    <row r="181" spans="1:108" ht="15.75" thickBot="1" x14ac:dyDescent="0.3">
      <c r="A181" s="1">
        <v>14</v>
      </c>
      <c r="B181" s="1">
        <v>6</v>
      </c>
      <c r="C181" s="17">
        <v>13</v>
      </c>
      <c r="D181" s="1">
        <v>4</v>
      </c>
      <c r="E181" s="1">
        <v>3</v>
      </c>
      <c r="F181" s="1">
        <v>3</v>
      </c>
      <c r="G181" s="1">
        <v>3</v>
      </c>
      <c r="H181" s="1">
        <v>2</v>
      </c>
      <c r="I181" s="1">
        <v>1</v>
      </c>
      <c r="J181" s="1">
        <v>1</v>
      </c>
      <c r="K181" s="1">
        <v>0</v>
      </c>
      <c r="L181" s="1">
        <v>0</v>
      </c>
      <c r="N181" s="13">
        <f t="shared" ca="1" si="119"/>
        <v>7</v>
      </c>
      <c r="O181" s="13">
        <f t="shared" ca="1" si="120"/>
        <v>0.54314393796934102</v>
      </c>
      <c r="P181" s="1" t="s">
        <v>957</v>
      </c>
      <c r="R181" s="13">
        <f t="shared" ca="1" si="121"/>
        <v>8</v>
      </c>
      <c r="S181" s="13">
        <f t="shared" ca="1" si="122"/>
        <v>0.69575579644746455</v>
      </c>
      <c r="T181" s="1" t="s">
        <v>1073</v>
      </c>
      <c r="V181" s="13">
        <f t="shared" ca="1" si="123"/>
        <v>15</v>
      </c>
      <c r="W181" s="13">
        <f t="shared" ca="1" si="124"/>
        <v>0.27006350909509846</v>
      </c>
      <c r="X181" s="1" t="s">
        <v>997</v>
      </c>
      <c r="Z181" s="13">
        <f t="shared" ca="1" si="125"/>
        <v>18</v>
      </c>
      <c r="AA181" s="13">
        <f t="shared" ca="1" si="126"/>
        <v>0.17154226490721025</v>
      </c>
      <c r="AB181" s="1" t="s">
        <v>1032</v>
      </c>
    </row>
    <row r="182" spans="1:108" ht="15.75" thickBot="1" x14ac:dyDescent="0.3">
      <c r="A182" s="1">
        <v>15</v>
      </c>
      <c r="B182" s="1">
        <v>6</v>
      </c>
      <c r="C182" s="17">
        <v>14</v>
      </c>
      <c r="D182" s="1">
        <v>4</v>
      </c>
      <c r="E182" s="1">
        <v>3</v>
      </c>
      <c r="F182" s="1">
        <v>3</v>
      </c>
      <c r="G182" s="1">
        <v>3</v>
      </c>
      <c r="H182" s="1">
        <v>2</v>
      </c>
      <c r="I182" s="1">
        <v>1</v>
      </c>
      <c r="J182" s="1">
        <v>1</v>
      </c>
      <c r="K182" s="1">
        <v>1</v>
      </c>
      <c r="L182" s="1">
        <v>0</v>
      </c>
      <c r="N182" s="13">
        <f t="shared" ca="1" si="119"/>
        <v>6</v>
      </c>
      <c r="O182" s="13">
        <f t="shared" ca="1" si="120"/>
        <v>0.69100023059916182</v>
      </c>
      <c r="P182" s="1" t="s">
        <v>984</v>
      </c>
      <c r="R182" s="13">
        <f t="shared" ca="1" si="121"/>
        <v>11</v>
      </c>
      <c r="S182" s="13">
        <f t="shared" ca="1" si="122"/>
        <v>0.56164923325805338</v>
      </c>
      <c r="T182" s="1" t="s">
        <v>1081</v>
      </c>
      <c r="V182" s="13">
        <f t="shared" ca="1" si="123"/>
        <v>5</v>
      </c>
      <c r="W182" s="13">
        <f t="shared" ca="1" si="124"/>
        <v>0.63270949004584365</v>
      </c>
      <c r="X182" s="1" t="s">
        <v>1008</v>
      </c>
      <c r="Z182" s="13">
        <f t="shared" ca="1" si="125"/>
        <v>14</v>
      </c>
      <c r="AA182" s="13">
        <f t="shared" ca="1" si="126"/>
        <v>0.2869695847787439</v>
      </c>
      <c r="AB182" s="1" t="s">
        <v>1050</v>
      </c>
    </row>
    <row r="183" spans="1:108" ht="15.75" thickBot="1" x14ac:dyDescent="0.3">
      <c r="A183" s="1">
        <v>16</v>
      </c>
      <c r="B183" s="1">
        <v>6</v>
      </c>
      <c r="C183" s="17">
        <v>14</v>
      </c>
      <c r="D183" s="1">
        <v>4</v>
      </c>
      <c r="E183" s="1">
        <v>3</v>
      </c>
      <c r="F183" s="1">
        <v>3</v>
      </c>
      <c r="G183" s="1">
        <v>3</v>
      </c>
      <c r="H183" s="1">
        <v>2</v>
      </c>
      <c r="I183" s="1">
        <v>1</v>
      </c>
      <c r="J183" s="1">
        <v>1</v>
      </c>
      <c r="K183" s="1">
        <v>1</v>
      </c>
      <c r="L183" s="1">
        <v>0</v>
      </c>
      <c r="N183" s="13">
        <f t="shared" ca="1" si="119"/>
        <v>1</v>
      </c>
      <c r="O183" s="13">
        <f t="shared" ca="1" si="120"/>
        <v>0.95952681140511864</v>
      </c>
      <c r="P183" s="1" t="s">
        <v>1022</v>
      </c>
      <c r="R183" s="13">
        <f t="shared" ca="1" si="121"/>
        <v>18</v>
      </c>
      <c r="S183" s="13">
        <f t="shared" ca="1" si="122"/>
        <v>0.12980676148284798</v>
      </c>
      <c r="T183" s="1" t="s">
        <v>1088</v>
      </c>
      <c r="V183" s="13">
        <f t="shared" ca="1" si="123"/>
        <v>19</v>
      </c>
      <c r="W183" s="13">
        <f t="shared" ca="1" si="124"/>
        <v>0.18600116148228019</v>
      </c>
      <c r="X183" s="1" t="s">
        <v>1049</v>
      </c>
      <c r="Z183" s="13">
        <f t="shared" ca="1" si="125"/>
        <v>3</v>
      </c>
      <c r="AA183" s="13">
        <f t="shared" ca="1" si="126"/>
        <v>0.72260386673565002</v>
      </c>
      <c r="AB183" s="1" t="s">
        <v>1053</v>
      </c>
    </row>
    <row r="184" spans="1:108" s="2" customFormat="1" ht="15.75" thickBot="1" x14ac:dyDescent="0.3">
      <c r="A184" s="1">
        <v>17</v>
      </c>
      <c r="B184" s="1">
        <v>6</v>
      </c>
      <c r="C184" s="17">
        <v>15</v>
      </c>
      <c r="D184" s="1">
        <v>4</v>
      </c>
      <c r="E184" s="1">
        <v>3</v>
      </c>
      <c r="F184" s="1">
        <v>3</v>
      </c>
      <c r="G184" s="1">
        <v>3</v>
      </c>
      <c r="H184" s="1">
        <v>2</v>
      </c>
      <c r="I184" s="1">
        <v>1</v>
      </c>
      <c r="J184" s="1">
        <v>1</v>
      </c>
      <c r="K184" s="1">
        <v>1</v>
      </c>
      <c r="L184" s="1">
        <v>1</v>
      </c>
      <c r="M184" s="1"/>
      <c r="N184" s="1"/>
      <c r="O184" s="1"/>
      <c r="P184" s="1"/>
      <c r="Q184" s="1"/>
      <c r="R184" s="13">
        <f t="shared" ca="1" si="121"/>
        <v>14</v>
      </c>
      <c r="S184" s="13">
        <f t="shared" ca="1" si="122"/>
        <v>0.49426310059525402</v>
      </c>
      <c r="T184" s="1" t="s">
        <v>1094</v>
      </c>
      <c r="U184" s="1"/>
      <c r="V184" s="13">
        <f t="shared" ca="1" si="123"/>
        <v>21</v>
      </c>
      <c r="W184" s="13">
        <f t="shared" ca="1" si="124"/>
        <v>0.15778571916106032</v>
      </c>
      <c r="X184" s="1" t="s">
        <v>1052</v>
      </c>
      <c r="Y184" s="1"/>
      <c r="Z184" s="13">
        <f t="shared" ca="1" si="125"/>
        <v>20</v>
      </c>
      <c r="AA184" s="13">
        <f t="shared" ca="1" si="126"/>
        <v>4.139958231200136E-2</v>
      </c>
      <c r="AB184" s="1" t="s">
        <v>1066</v>
      </c>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row>
    <row r="185" spans="1:108" ht="15.75" thickBot="1" x14ac:dyDescent="0.3">
      <c r="A185" s="1">
        <v>18</v>
      </c>
      <c r="B185" s="1">
        <v>6</v>
      </c>
      <c r="C185" s="17">
        <v>15</v>
      </c>
      <c r="D185" s="1">
        <v>4</v>
      </c>
      <c r="E185" s="1">
        <v>3</v>
      </c>
      <c r="F185" s="1">
        <v>3</v>
      </c>
      <c r="G185" s="1">
        <v>3</v>
      </c>
      <c r="H185" s="1">
        <v>3</v>
      </c>
      <c r="I185" s="1">
        <v>1</v>
      </c>
      <c r="J185" s="1">
        <v>1</v>
      </c>
      <c r="K185" s="1">
        <v>1</v>
      </c>
      <c r="L185" s="1">
        <v>1</v>
      </c>
      <c r="R185" s="13">
        <f t="shared" ca="1" si="121"/>
        <v>5</v>
      </c>
      <c r="S185" s="13">
        <f t="shared" ca="1" si="122"/>
        <v>0.87251908646971743</v>
      </c>
      <c r="T185" s="1" t="s">
        <v>1096</v>
      </c>
      <c r="V185" s="13">
        <f t="shared" ca="1" si="123"/>
        <v>4</v>
      </c>
      <c r="W185" s="13">
        <f t="shared" ca="1" si="124"/>
        <v>0.70142828643676725</v>
      </c>
      <c r="X185" s="19" t="s">
        <v>1065</v>
      </c>
      <c r="Z185" s="13">
        <f t="shared" ca="1" si="125"/>
        <v>4</v>
      </c>
      <c r="AA185" s="13">
        <f t="shared" ca="1" si="126"/>
        <v>0.71830137333283905</v>
      </c>
      <c r="AB185" s="1" t="s">
        <v>1080</v>
      </c>
      <c r="CO185" s="2"/>
      <c r="CP185" s="2"/>
      <c r="CQ185" s="2"/>
      <c r="CR185" s="2"/>
      <c r="CS185" s="2"/>
      <c r="CT185" s="2"/>
      <c r="CU185" s="2"/>
      <c r="CV185" s="2"/>
      <c r="CW185" s="2"/>
      <c r="CX185" s="2"/>
      <c r="CY185" s="2"/>
      <c r="CZ185" s="2"/>
      <c r="DA185" s="2"/>
      <c r="DB185" s="2"/>
      <c r="DC185" s="2"/>
      <c r="DD185" s="2"/>
    </row>
    <row r="186" spans="1:108" ht="15.75" thickBot="1" x14ac:dyDescent="0.3">
      <c r="A186" s="1">
        <v>19</v>
      </c>
      <c r="B186" s="1">
        <v>6</v>
      </c>
      <c r="C186" s="17">
        <v>15</v>
      </c>
      <c r="D186" s="1">
        <v>4</v>
      </c>
      <c r="E186" s="1">
        <v>3</v>
      </c>
      <c r="F186" s="1">
        <v>3</v>
      </c>
      <c r="G186" s="1">
        <v>3</v>
      </c>
      <c r="H186" s="1">
        <v>3</v>
      </c>
      <c r="I186" s="1">
        <v>2</v>
      </c>
      <c r="J186" s="1">
        <v>1</v>
      </c>
      <c r="K186" s="1">
        <v>1</v>
      </c>
      <c r="L186" s="1">
        <v>1</v>
      </c>
      <c r="R186" s="13">
        <f t="shared" ca="1" si="121"/>
        <v>7</v>
      </c>
      <c r="S186" s="13">
        <f t="shared" ca="1" si="122"/>
        <v>0.7799509432941486</v>
      </c>
      <c r="T186" s="1" t="s">
        <v>1106</v>
      </c>
      <c r="V186" s="13">
        <f t="shared" ca="1" si="123"/>
        <v>24</v>
      </c>
      <c r="W186" s="13">
        <f t="shared" ca="1" si="124"/>
        <v>7.9556019653349574E-3</v>
      </c>
      <c r="X186" s="1" t="s">
        <v>1082</v>
      </c>
      <c r="Z186" s="13">
        <f t="shared" ca="1" si="125"/>
        <v>11</v>
      </c>
      <c r="AA186" s="13">
        <f t="shared" ca="1" si="126"/>
        <v>0.3244732163564944</v>
      </c>
      <c r="AB186" s="1" t="s">
        <v>1090</v>
      </c>
    </row>
    <row r="187" spans="1:108" ht="15.75" thickBot="1" x14ac:dyDescent="0.3">
      <c r="A187" s="1">
        <v>20</v>
      </c>
      <c r="B187" s="1">
        <v>6</v>
      </c>
      <c r="C187" s="17">
        <v>15</v>
      </c>
      <c r="D187" s="1">
        <v>4</v>
      </c>
      <c r="E187" s="1">
        <v>3</v>
      </c>
      <c r="F187" s="1">
        <v>3</v>
      </c>
      <c r="G187" s="1">
        <v>3</v>
      </c>
      <c r="H187" s="1">
        <v>3</v>
      </c>
      <c r="I187" s="1">
        <v>2</v>
      </c>
      <c r="J187" s="1">
        <v>2</v>
      </c>
      <c r="K187" s="1">
        <v>1</v>
      </c>
      <c r="L187" s="1">
        <v>1</v>
      </c>
      <c r="R187" s="13">
        <f t="shared" ca="1" si="121"/>
        <v>12</v>
      </c>
      <c r="S187" s="13">
        <f t="shared" ca="1" si="122"/>
        <v>0.49975178244929286</v>
      </c>
      <c r="T187" s="1" t="s">
        <v>1109</v>
      </c>
      <c r="V187" s="13">
        <f t="shared" ca="1" si="123"/>
        <v>8</v>
      </c>
      <c r="W187" s="13">
        <f t="shared" ca="1" si="124"/>
        <v>0.5708971955398483</v>
      </c>
      <c r="X187" s="1" t="s">
        <v>1086</v>
      </c>
      <c r="Z187" s="13">
        <f t="shared" ca="1" si="125"/>
        <v>16</v>
      </c>
      <c r="AA187" s="13">
        <f t="shared" ca="1" si="126"/>
        <v>0.21916967772971274</v>
      </c>
      <c r="AB187" s="1" t="s">
        <v>1093</v>
      </c>
    </row>
    <row r="188" spans="1:108" x14ac:dyDescent="0.25">
      <c r="V188" s="13">
        <f t="shared" ca="1" si="123"/>
        <v>7</v>
      </c>
      <c r="W188" s="13">
        <f t="shared" ca="1" si="124"/>
        <v>0.60231843638546856</v>
      </c>
      <c r="X188" s="1" t="s">
        <v>1089</v>
      </c>
    </row>
    <row r="189" spans="1:108" x14ac:dyDescent="0.25">
      <c r="A189" s="2"/>
      <c r="B189" s="2"/>
      <c r="C189" s="2"/>
      <c r="D189" s="2"/>
      <c r="E189" s="2"/>
      <c r="F189" s="2"/>
      <c r="G189" s="2"/>
      <c r="H189" s="2"/>
      <c r="I189" s="2"/>
      <c r="J189" s="2"/>
      <c r="K189" s="2"/>
      <c r="L189" s="2"/>
      <c r="M189" s="2"/>
      <c r="Q189" s="2"/>
      <c r="U189" s="2"/>
      <c r="V189" s="13">
        <f t="shared" ca="1" si="123"/>
        <v>10</v>
      </c>
      <c r="W189" s="13">
        <f t="shared" ca="1" si="124"/>
        <v>0.48745695988259574</v>
      </c>
      <c r="X189" s="1" t="s">
        <v>1097</v>
      </c>
      <c r="Y189" s="2"/>
      <c r="AC189" s="2"/>
      <c r="AD189" s="2"/>
      <c r="AE189" s="2"/>
      <c r="AF189" s="2"/>
      <c r="AG189" s="2"/>
      <c r="AH189" s="2"/>
      <c r="AI189" s="2"/>
      <c r="AJ189" s="2"/>
      <c r="AK189" s="2"/>
      <c r="AL189" s="2"/>
      <c r="AM189" s="2"/>
      <c r="AN189" s="2"/>
      <c r="AO189" s="2"/>
      <c r="AP189" s="2"/>
      <c r="AQ189" s="2"/>
      <c r="AR189" s="2"/>
      <c r="AS189" s="2"/>
      <c r="AT189" s="2"/>
      <c r="AU189" s="2"/>
      <c r="AV189" s="2"/>
      <c r="AW189" s="2"/>
      <c r="BA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row>
    <row r="190" spans="1:108" x14ac:dyDescent="0.25">
      <c r="G190" s="2"/>
      <c r="H190" s="2"/>
      <c r="I190" s="2"/>
      <c r="J190" s="2"/>
      <c r="K190" s="2"/>
      <c r="L190" s="2"/>
      <c r="M190" s="2"/>
      <c r="N190" s="2"/>
      <c r="O190" s="2"/>
      <c r="P190" s="2"/>
      <c r="Q190" s="2"/>
      <c r="R190" s="2"/>
      <c r="S190" s="2"/>
      <c r="T190" s="2"/>
      <c r="U190" s="2"/>
      <c r="V190" s="13">
        <f t="shared" ca="1" si="123"/>
        <v>20</v>
      </c>
      <c r="W190" s="13">
        <f t="shared" ca="1" si="124"/>
        <v>0.17226098989458061</v>
      </c>
      <c r="X190" s="1" t="s">
        <v>1103</v>
      </c>
      <c r="Y190" s="2"/>
      <c r="Z190" s="2"/>
      <c r="AA190" s="2"/>
      <c r="AB190" s="2"/>
      <c r="AC190" s="2"/>
      <c r="AG190" s="2"/>
      <c r="AK190" s="2"/>
      <c r="AO190" s="2"/>
      <c r="AS190" s="2"/>
      <c r="AW190" s="2"/>
      <c r="AX190" s="2"/>
      <c r="AY190" s="2"/>
      <c r="AZ190" s="2"/>
      <c r="BA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row>
    <row r="191" spans="1:108" x14ac:dyDescent="0.25">
      <c r="V191" s="13">
        <f t="shared" ca="1" si="123"/>
        <v>1</v>
      </c>
      <c r="W191" s="13">
        <f t="shared" ca="1" si="124"/>
        <v>0.93764708426059518</v>
      </c>
      <c r="X191" s="1" t="s">
        <v>1108</v>
      </c>
      <c r="BF191" s="2"/>
      <c r="BG191" s="2"/>
      <c r="BH191" s="2"/>
    </row>
    <row r="193" spans="1:108" ht="15.75" thickBot="1" x14ac:dyDescent="0.3">
      <c r="A193" s="2" t="s">
        <v>1161</v>
      </c>
      <c r="B193" s="2" t="s">
        <v>1130</v>
      </c>
      <c r="C193" s="18" t="s">
        <v>1162</v>
      </c>
      <c r="D193" s="2" t="s">
        <v>1163</v>
      </c>
      <c r="E193" s="2" t="s">
        <v>1164</v>
      </c>
      <c r="F193" s="2" t="s">
        <v>1165</v>
      </c>
      <c r="N193" s="2" t="s">
        <v>1207</v>
      </c>
      <c r="O193" s="2"/>
      <c r="P193" s="2"/>
      <c r="R193" s="2" t="s">
        <v>1651</v>
      </c>
      <c r="S193" s="2"/>
      <c r="T193" s="2"/>
      <c r="V193" s="2" t="s">
        <v>1652</v>
      </c>
      <c r="W193" s="2"/>
      <c r="X193" s="2"/>
      <c r="Z193" s="2" t="s">
        <v>1653</v>
      </c>
      <c r="AA193" s="2"/>
      <c r="AB193" s="2"/>
      <c r="AD193" s="2" t="s">
        <v>1654</v>
      </c>
      <c r="AE193" s="2"/>
      <c r="AF193" s="2"/>
      <c r="AH193" s="2" t="s">
        <v>1655</v>
      </c>
      <c r="AI193" s="2"/>
      <c r="AJ193" s="2"/>
      <c r="AL193" s="2" t="s">
        <v>1203</v>
      </c>
      <c r="AM193" s="2"/>
      <c r="AN193" s="2"/>
      <c r="AP193" s="2" t="s">
        <v>1204</v>
      </c>
      <c r="AQ193" s="2"/>
      <c r="AR193" s="2"/>
      <c r="AT193" s="2" t="s">
        <v>1205</v>
      </c>
      <c r="AU193" s="2"/>
      <c r="AV193" s="2"/>
      <c r="AX193" s="2" t="s">
        <v>1206</v>
      </c>
      <c r="AY193" s="2"/>
      <c r="AZ193" s="2"/>
    </row>
    <row r="194" spans="1:108" ht="15.75" thickBot="1" x14ac:dyDescent="0.3">
      <c r="A194" s="1">
        <v>1</v>
      </c>
      <c r="B194" s="1">
        <v>2</v>
      </c>
      <c r="C194" s="17">
        <v>2</v>
      </c>
      <c r="D194" s="1">
        <v>1</v>
      </c>
      <c r="E194" s="1" t="s">
        <v>1166</v>
      </c>
      <c r="F194" s="1">
        <v>0</v>
      </c>
      <c r="N194" s="13">
        <f t="shared" ref="N194:N201" ca="1" si="135">_xlfn.RANK.EQ(O194,O$194:O$201)</f>
        <v>4</v>
      </c>
      <c r="O194" s="13">
        <f t="shared" ref="O194:O201" ca="1" si="136">RAND()</f>
        <v>0.49836973664389805</v>
      </c>
      <c r="P194" s="1" t="s">
        <v>759</v>
      </c>
      <c r="R194" s="13">
        <f ca="1">_xlfn.RANK.EQ(S194,S$194:S$206)</f>
        <v>3</v>
      </c>
      <c r="S194" s="13">
        <f t="shared" ref="S194:S206" ca="1" si="137">RAND()</f>
        <v>0.80284270343632447</v>
      </c>
      <c r="T194" s="1" t="s">
        <v>785</v>
      </c>
      <c r="V194" s="13">
        <f ca="1">_xlfn.RANK.EQ(W194,W$194:W$207)</f>
        <v>8</v>
      </c>
      <c r="W194" s="13">
        <f t="shared" ref="W194:W207" ca="1" si="138">RAND()</f>
        <v>0.63955171020000778</v>
      </c>
      <c r="X194" s="1" t="s">
        <v>852</v>
      </c>
      <c r="Z194" s="13">
        <f ca="1">_xlfn.RANK.EQ(AA194,AA$194:AA$206)</f>
        <v>8</v>
      </c>
      <c r="AA194" s="13">
        <f t="shared" ref="AA194:AA206" ca="1" si="139">RAND()</f>
        <v>0.53939901118247613</v>
      </c>
      <c r="AB194" s="1" t="s">
        <v>847</v>
      </c>
      <c r="AD194" s="13">
        <f t="shared" ref="AD194:AD199" ca="1" si="140">_xlfn.RANK.EQ(AE194,AE$194:AE$199)</f>
        <v>3</v>
      </c>
      <c r="AE194" s="13">
        <f t="shared" ref="AE194:AE199" ca="1" si="141">RAND()</f>
        <v>0.47129668278251702</v>
      </c>
      <c r="AF194" s="1" t="s">
        <v>779</v>
      </c>
      <c r="AH194" s="13">
        <f t="shared" ref="AH194:AH199" ca="1" si="142">_xlfn.RANK.EQ(AI194,AI$194:AI$199)</f>
        <v>6</v>
      </c>
      <c r="AI194" s="13">
        <f t="shared" ref="AI194:AI199" ca="1" si="143">RAND()</f>
        <v>5.8077088431984114E-2</v>
      </c>
      <c r="AJ194" s="1" t="s">
        <v>855</v>
      </c>
      <c r="AL194" s="13">
        <f t="shared" ref="AL194:AL201" ca="1" si="144">_xlfn.RANK.EQ(AM194,AM$194:AM$201)</f>
        <v>1</v>
      </c>
      <c r="AM194" s="13">
        <f t="shared" ref="AM194:AM201" ca="1" si="145">RAND()</f>
        <v>0.84936296962350999</v>
      </c>
      <c r="AN194" s="1" t="s">
        <v>756</v>
      </c>
      <c r="AP194" s="13">
        <f ca="1">_xlfn.RANK.EQ(AQ194,AQ$194:AQ$197)</f>
        <v>3</v>
      </c>
      <c r="AQ194" s="13">
        <f ca="1">RAND()</f>
        <v>0.21212106788619978</v>
      </c>
      <c r="AR194" s="1" t="s">
        <v>791</v>
      </c>
      <c r="AT194" s="13">
        <f ca="1">_xlfn.RANK.EQ(AU194,AU$194:AU$198)</f>
        <v>5</v>
      </c>
      <c r="AU194" s="13">
        <f ca="1">RAND()</f>
        <v>0.1404428182388473</v>
      </c>
      <c r="AV194" s="1" t="s">
        <v>809</v>
      </c>
      <c r="AX194" s="13">
        <f ca="1">_xlfn.RANK.EQ(AY194,AY$194:AY$198)</f>
        <v>3</v>
      </c>
      <c r="AY194" s="13">
        <f ca="1">RAND()</f>
        <v>0.27736694013647556</v>
      </c>
      <c r="AZ194" s="1" t="s">
        <v>758</v>
      </c>
    </row>
    <row r="195" spans="1:108" ht="15.75" thickBot="1" x14ac:dyDescent="0.3">
      <c r="A195" s="1">
        <v>2</v>
      </c>
      <c r="B195" s="1">
        <v>2</v>
      </c>
      <c r="C195" s="17">
        <v>3</v>
      </c>
      <c r="D195" s="1">
        <v>2</v>
      </c>
      <c r="E195" s="1" t="s">
        <v>1166</v>
      </c>
      <c r="F195" s="1">
        <v>2</v>
      </c>
      <c r="N195" s="13">
        <f t="shared" ca="1" si="135"/>
        <v>3</v>
      </c>
      <c r="O195" s="13">
        <f t="shared" ca="1" si="136"/>
        <v>0.63338041723167693</v>
      </c>
      <c r="P195" s="1" t="s">
        <v>776</v>
      </c>
      <c r="R195" s="13">
        <f t="shared" ref="R195:R206" ca="1" si="146">_xlfn.RANK.EQ(S195,S$194:S$206)</f>
        <v>10</v>
      </c>
      <c r="S195" s="13">
        <f t="shared" ca="1" si="137"/>
        <v>0.42711550568005274</v>
      </c>
      <c r="T195" s="1" t="s">
        <v>793</v>
      </c>
      <c r="V195" s="13">
        <f t="shared" ref="V195:V207" ca="1" si="147">_xlfn.RANK.EQ(W195,W$194:W$207)</f>
        <v>7</v>
      </c>
      <c r="W195" s="13">
        <f t="shared" ca="1" si="138"/>
        <v>0.79066497336491659</v>
      </c>
      <c r="X195" s="1" t="s">
        <v>875</v>
      </c>
      <c r="Z195" s="13">
        <f t="shared" ref="Z195:Z205" ca="1" si="148">_xlfn.RANK.EQ(AA195,AA$194:AA$206)</f>
        <v>13</v>
      </c>
      <c r="AA195" s="13">
        <f t="shared" ca="1" si="139"/>
        <v>0.15478723749835177</v>
      </c>
      <c r="AB195" s="1" t="s">
        <v>876</v>
      </c>
      <c r="AD195" s="13">
        <f t="shared" ca="1" si="140"/>
        <v>1</v>
      </c>
      <c r="AE195" s="13">
        <f t="shared" ca="1" si="141"/>
        <v>0.98280878041512609</v>
      </c>
      <c r="AF195" s="1" t="s">
        <v>788</v>
      </c>
      <c r="AH195" s="13">
        <f t="shared" ca="1" si="142"/>
        <v>1</v>
      </c>
      <c r="AI195" s="13">
        <f t="shared" ca="1" si="143"/>
        <v>0.84742124858002288</v>
      </c>
      <c r="AJ195" s="1" t="s">
        <v>923</v>
      </c>
      <c r="AL195" s="13">
        <f t="shared" ca="1" si="144"/>
        <v>6</v>
      </c>
      <c r="AM195" s="13">
        <f t="shared" ca="1" si="145"/>
        <v>0.20707642001443582</v>
      </c>
      <c r="AN195" s="1" t="s">
        <v>790</v>
      </c>
      <c r="AP195" s="13">
        <f ca="1">_xlfn.RANK.EQ(AQ195,AQ$194:AQ$197)</f>
        <v>1</v>
      </c>
      <c r="AQ195" s="13">
        <f ca="1">RAND()</f>
        <v>0.43066924076812507</v>
      </c>
      <c r="AR195" s="1" t="s">
        <v>798</v>
      </c>
      <c r="AT195" s="13">
        <f ca="1">_xlfn.RANK.EQ(AU195,AU$194:AU$198)</f>
        <v>3</v>
      </c>
      <c r="AU195" s="13">
        <f ca="1">RAND()</f>
        <v>0.30741784121160864</v>
      </c>
      <c r="AV195" s="1" t="s">
        <v>815</v>
      </c>
      <c r="AX195" s="13">
        <f ca="1">_xlfn.RANK.EQ(AY195,AY$194:AY$198)</f>
        <v>2</v>
      </c>
      <c r="AY195" s="13">
        <f ca="1">RAND()</f>
        <v>0.55986397410122113</v>
      </c>
      <c r="AZ195" s="1" t="s">
        <v>767</v>
      </c>
    </row>
    <row r="196" spans="1:108" ht="15.75" thickBot="1" x14ac:dyDescent="0.3">
      <c r="A196" s="1">
        <v>3</v>
      </c>
      <c r="B196" s="1">
        <v>2</v>
      </c>
      <c r="C196" s="17">
        <v>4</v>
      </c>
      <c r="D196" s="1">
        <v>2</v>
      </c>
      <c r="E196" s="1" t="s">
        <v>1167</v>
      </c>
      <c r="F196" s="1">
        <v>2</v>
      </c>
      <c r="N196" s="13">
        <f t="shared" ca="1" si="135"/>
        <v>8</v>
      </c>
      <c r="O196" s="13">
        <f t="shared" ca="1" si="136"/>
        <v>0.19328462420101766</v>
      </c>
      <c r="P196" s="1" t="s">
        <v>817</v>
      </c>
      <c r="R196" s="13">
        <f t="shared" ca="1" si="146"/>
        <v>6</v>
      </c>
      <c r="S196" s="13">
        <f t="shared" ca="1" si="137"/>
        <v>0.49507196452908486</v>
      </c>
      <c r="T196" s="1" t="s">
        <v>867</v>
      </c>
      <c r="V196" s="13">
        <f t="shared" ca="1" si="147"/>
        <v>11</v>
      </c>
      <c r="W196" s="13">
        <f t="shared" ca="1" si="138"/>
        <v>0.49403001235195121</v>
      </c>
      <c r="X196" s="1" t="s">
        <v>884</v>
      </c>
      <c r="Z196" s="13">
        <f t="shared" ca="1" si="148"/>
        <v>4</v>
      </c>
      <c r="AA196" s="13">
        <f t="shared" ca="1" si="139"/>
        <v>0.79577148006079246</v>
      </c>
      <c r="AB196" s="1" t="s">
        <v>640</v>
      </c>
      <c r="AD196" s="13">
        <f t="shared" ca="1" si="140"/>
        <v>4</v>
      </c>
      <c r="AE196" s="13">
        <f t="shared" ca="1" si="141"/>
        <v>0.4459432713653384</v>
      </c>
      <c r="AF196" s="1" t="s">
        <v>854</v>
      </c>
      <c r="AH196" s="13">
        <f t="shared" ca="1" si="142"/>
        <v>5</v>
      </c>
      <c r="AI196" s="13">
        <f t="shared" ca="1" si="143"/>
        <v>0.23513814315975634</v>
      </c>
      <c r="AJ196" s="1" t="s">
        <v>961</v>
      </c>
      <c r="AL196" s="13">
        <f t="shared" ca="1" si="144"/>
        <v>4</v>
      </c>
      <c r="AM196" s="13">
        <f t="shared" ca="1" si="145"/>
        <v>0.54129659847188072</v>
      </c>
      <c r="AN196" s="1" t="s">
        <v>797</v>
      </c>
      <c r="AP196" s="13">
        <f ca="1">_xlfn.RANK.EQ(AQ196,AQ$194:AQ$197)</f>
        <v>2</v>
      </c>
      <c r="AQ196" s="13">
        <f ca="1">RAND()</f>
        <v>0.2419052400019287</v>
      </c>
      <c r="AR196" s="1" t="s">
        <v>814</v>
      </c>
      <c r="AT196" s="13">
        <f ca="1">_xlfn.RANK.EQ(AU196,AU$194:AU$198)</f>
        <v>4</v>
      </c>
      <c r="AU196" s="13">
        <f ca="1">RAND()</f>
        <v>0.27931306282888124</v>
      </c>
      <c r="AV196" s="1" t="s">
        <v>835</v>
      </c>
      <c r="AX196" s="13">
        <f ca="1">_xlfn.RANK.EQ(AY196,AY$194:AY$198)</f>
        <v>5</v>
      </c>
      <c r="AY196" s="13">
        <f ca="1">RAND()</f>
        <v>0.19589164133928216</v>
      </c>
      <c r="AZ196" s="1" t="s">
        <v>784</v>
      </c>
    </row>
    <row r="197" spans="1:108" ht="15.75" thickBot="1" x14ac:dyDescent="0.3">
      <c r="A197" s="1">
        <v>4</v>
      </c>
      <c r="B197" s="1">
        <v>3</v>
      </c>
      <c r="C197" s="17">
        <v>5</v>
      </c>
      <c r="D197" s="1">
        <v>2</v>
      </c>
      <c r="E197" s="1" t="s">
        <v>1167</v>
      </c>
      <c r="F197" s="1">
        <v>2</v>
      </c>
      <c r="N197" s="13">
        <f t="shared" ca="1" si="135"/>
        <v>7</v>
      </c>
      <c r="O197" s="13">
        <f t="shared" ca="1" si="136"/>
        <v>0.21765484803780111</v>
      </c>
      <c r="P197" s="1" t="s">
        <v>897</v>
      </c>
      <c r="R197" s="13">
        <f t="shared" ca="1" si="146"/>
        <v>13</v>
      </c>
      <c r="S197" s="13">
        <f t="shared" ca="1" si="137"/>
        <v>2.8322239915415492E-2</v>
      </c>
      <c r="T197" s="1" t="s">
        <v>905</v>
      </c>
      <c r="V197" s="13">
        <f t="shared" ca="1" si="147"/>
        <v>1</v>
      </c>
      <c r="W197" s="13">
        <f t="shared" ca="1" si="138"/>
        <v>0.97924789076738861</v>
      </c>
      <c r="X197" s="1" t="s">
        <v>936</v>
      </c>
      <c r="Z197" s="13">
        <f t="shared" ca="1" si="148"/>
        <v>1</v>
      </c>
      <c r="AA197" s="13">
        <f t="shared" ca="1" si="139"/>
        <v>0.93466009833541652</v>
      </c>
      <c r="AB197" s="1" t="s">
        <v>932</v>
      </c>
      <c r="AD197" s="13">
        <f t="shared" ca="1" si="140"/>
        <v>5</v>
      </c>
      <c r="AE197" s="13">
        <f t="shared" ca="1" si="141"/>
        <v>0.3513812867424474</v>
      </c>
      <c r="AF197" s="1" t="s">
        <v>949</v>
      </c>
      <c r="AH197" s="13">
        <f t="shared" ca="1" si="142"/>
        <v>4</v>
      </c>
      <c r="AI197" s="13">
        <f t="shared" ca="1" si="143"/>
        <v>0.27815354801777026</v>
      </c>
      <c r="AJ197" s="1" t="s">
        <v>1047</v>
      </c>
      <c r="AL197" s="13">
        <f t="shared" ca="1" si="144"/>
        <v>8</v>
      </c>
      <c r="AM197" s="13">
        <f t="shared" ca="1" si="145"/>
        <v>2.991206675970548E-2</v>
      </c>
      <c r="AN197" s="1" t="s">
        <v>823</v>
      </c>
      <c r="AP197" s="13">
        <f ca="1">_xlfn.RANK.EQ(AQ197,AQ$194:AQ$197)</f>
        <v>4</v>
      </c>
      <c r="AQ197" s="13">
        <f ca="1">RAND()</f>
        <v>9.0249424920846755E-2</v>
      </c>
      <c r="AR197" s="1" t="s">
        <v>850</v>
      </c>
      <c r="AT197" s="13">
        <f ca="1">_xlfn.RANK.EQ(AU197,AU$194:AU$198)</f>
        <v>2</v>
      </c>
      <c r="AU197" s="13">
        <f ca="1">RAND()</f>
        <v>0.6665537107946039</v>
      </c>
      <c r="AV197" s="1" t="s">
        <v>844</v>
      </c>
      <c r="AX197" s="13">
        <f ca="1">_xlfn.RANK.EQ(AY197,AY$194:AY$198)</f>
        <v>4</v>
      </c>
      <c r="AY197" s="13">
        <f ca="1">RAND()</f>
        <v>0.25348885807332666</v>
      </c>
      <c r="AZ197" s="1" t="s">
        <v>836</v>
      </c>
    </row>
    <row r="198" spans="1:108" ht="15.75" thickBot="1" x14ac:dyDescent="0.3">
      <c r="A198" s="1">
        <v>5</v>
      </c>
      <c r="B198" s="1">
        <v>3</v>
      </c>
      <c r="C198" s="17">
        <v>6</v>
      </c>
      <c r="D198" s="1">
        <v>2</v>
      </c>
      <c r="E198" s="1" t="s">
        <v>1168</v>
      </c>
      <c r="F198" s="1">
        <v>3</v>
      </c>
      <c r="N198" s="13">
        <f t="shared" ca="1" si="135"/>
        <v>2</v>
      </c>
      <c r="O198" s="13">
        <f t="shared" ca="1" si="136"/>
        <v>0.81820714796031213</v>
      </c>
      <c r="P198" s="1" t="s">
        <v>926</v>
      </c>
      <c r="R198" s="13">
        <f t="shared" ca="1" si="146"/>
        <v>11</v>
      </c>
      <c r="S198" s="13">
        <f t="shared" ca="1" si="137"/>
        <v>0.18047967178207125</v>
      </c>
      <c r="T198" s="1" t="s">
        <v>974</v>
      </c>
      <c r="V198" s="13">
        <f t="shared" ca="1" si="147"/>
        <v>14</v>
      </c>
      <c r="W198" s="13">
        <f t="shared" ca="1" si="138"/>
        <v>0.44655453228901365</v>
      </c>
      <c r="X198" s="1" t="s">
        <v>986</v>
      </c>
      <c r="Z198" s="13">
        <f t="shared" ca="1" si="148"/>
        <v>6</v>
      </c>
      <c r="AA198" s="13">
        <f t="shared" ca="1" si="139"/>
        <v>0.76130379019871552</v>
      </c>
      <c r="AB198" s="1" t="s">
        <v>937</v>
      </c>
      <c r="AD198" s="13">
        <f t="shared" ca="1" si="140"/>
        <v>6</v>
      </c>
      <c r="AE198" s="13">
        <f t="shared" ca="1" si="141"/>
        <v>0.29247112575252376</v>
      </c>
      <c r="AF198" s="1" t="s">
        <v>870</v>
      </c>
      <c r="AH198" s="13">
        <f t="shared" ca="1" si="142"/>
        <v>2</v>
      </c>
      <c r="AI198" s="13">
        <f t="shared" ca="1" si="143"/>
        <v>0.66023161469522451</v>
      </c>
      <c r="AJ198" s="1" t="s">
        <v>915</v>
      </c>
      <c r="AL198" s="13">
        <f t="shared" ca="1" si="144"/>
        <v>3</v>
      </c>
      <c r="AM198" s="13">
        <f t="shared" ca="1" si="145"/>
        <v>0.66360666867998663</v>
      </c>
      <c r="AN198" s="1" t="s">
        <v>856</v>
      </c>
      <c r="AT198" s="13">
        <f ca="1">_xlfn.RANK.EQ(AU198,AU$194:AU$198)</f>
        <v>1</v>
      </c>
      <c r="AU198" s="13">
        <f ca="1">RAND()</f>
        <v>0.94849005669962294</v>
      </c>
      <c r="AV198" s="1" t="s">
        <v>903</v>
      </c>
      <c r="AX198" s="13">
        <f ca="1">_xlfn.RANK.EQ(AY198,AY$194:AY$198)</f>
        <v>1</v>
      </c>
      <c r="AY198" s="13">
        <f ca="1">RAND()</f>
        <v>0.70570587753070757</v>
      </c>
      <c r="AZ198" s="1" t="s">
        <v>881</v>
      </c>
    </row>
    <row r="199" spans="1:108" ht="15.75" thickBot="1" x14ac:dyDescent="0.3">
      <c r="A199" s="1">
        <v>6</v>
      </c>
      <c r="B199" s="1">
        <v>3</v>
      </c>
      <c r="C199" s="17">
        <v>7</v>
      </c>
      <c r="D199" s="1">
        <v>2</v>
      </c>
      <c r="E199" s="1" t="s">
        <v>1168</v>
      </c>
      <c r="F199" s="1">
        <v>3</v>
      </c>
      <c r="N199" s="13">
        <f t="shared" ca="1" si="135"/>
        <v>5</v>
      </c>
      <c r="O199" s="13">
        <f t="shared" ca="1" si="136"/>
        <v>0.42438296381175833</v>
      </c>
      <c r="P199" s="1" t="s">
        <v>934</v>
      </c>
      <c r="R199" s="13">
        <f t="shared" ca="1" si="146"/>
        <v>5</v>
      </c>
      <c r="S199" s="13">
        <f t="shared" ca="1" si="137"/>
        <v>0.54784198293732234</v>
      </c>
      <c r="T199" s="1" t="s">
        <v>1035</v>
      </c>
      <c r="V199" s="13">
        <f t="shared" ca="1" si="147"/>
        <v>9</v>
      </c>
      <c r="W199" s="13">
        <f t="shared" ca="1" si="138"/>
        <v>0.52011029944878429</v>
      </c>
      <c r="X199" s="1" t="s">
        <v>993</v>
      </c>
      <c r="Z199" s="13">
        <f t="shared" ca="1" si="148"/>
        <v>11</v>
      </c>
      <c r="AA199" s="13">
        <f t="shared" ca="1" si="139"/>
        <v>0.30907618237189605</v>
      </c>
      <c r="AB199" s="1" t="s">
        <v>959</v>
      </c>
      <c r="AD199" s="13">
        <f t="shared" ca="1" si="140"/>
        <v>2</v>
      </c>
      <c r="AE199" s="13">
        <f t="shared" ca="1" si="141"/>
        <v>0.51369877254095597</v>
      </c>
      <c r="AF199" s="1" t="s">
        <v>933</v>
      </c>
      <c r="AH199" s="13">
        <f t="shared" ca="1" si="142"/>
        <v>3</v>
      </c>
      <c r="AI199" s="13">
        <f t="shared" ca="1" si="143"/>
        <v>0.3937657955231838</v>
      </c>
      <c r="AJ199" s="1" t="s">
        <v>1051</v>
      </c>
      <c r="AL199" s="13">
        <f t="shared" ca="1" si="144"/>
        <v>5</v>
      </c>
      <c r="AM199" s="13">
        <f t="shared" ca="1" si="145"/>
        <v>0.35384622191076442</v>
      </c>
      <c r="AN199" s="1" t="s">
        <v>871</v>
      </c>
    </row>
    <row r="200" spans="1:108" ht="15.75" thickBot="1" x14ac:dyDescent="0.3">
      <c r="A200" s="1">
        <v>7</v>
      </c>
      <c r="B200" s="1">
        <v>3</v>
      </c>
      <c r="C200" s="17">
        <v>8</v>
      </c>
      <c r="D200" s="1">
        <v>2</v>
      </c>
      <c r="E200" s="1" t="s">
        <v>676</v>
      </c>
      <c r="F200" s="1">
        <v>4</v>
      </c>
      <c r="N200" s="13">
        <f t="shared" ca="1" si="135"/>
        <v>1</v>
      </c>
      <c r="O200" s="13">
        <f t="shared" ca="1" si="136"/>
        <v>0.94035894637678485</v>
      </c>
      <c r="P200" s="1" t="s">
        <v>940</v>
      </c>
      <c r="R200" s="13">
        <f t="shared" ca="1" si="146"/>
        <v>4</v>
      </c>
      <c r="S200" s="13">
        <f t="shared" ca="1" si="137"/>
        <v>0.73558484477660213</v>
      </c>
      <c r="T200" s="1" t="s">
        <v>1045</v>
      </c>
      <c r="V200" s="13">
        <f t="shared" ca="1" si="147"/>
        <v>2</v>
      </c>
      <c r="W200" s="13">
        <f t="shared" ca="1" si="138"/>
        <v>0.92635640684455167</v>
      </c>
      <c r="X200" s="1" t="s">
        <v>1049</v>
      </c>
      <c r="Z200" s="13">
        <f t="shared" ca="1" si="148"/>
        <v>7</v>
      </c>
      <c r="AA200" s="13">
        <f t="shared" ca="1" si="139"/>
        <v>0.73341604201412713</v>
      </c>
      <c r="AB200" s="1" t="s">
        <v>987</v>
      </c>
      <c r="AL200" s="13">
        <f t="shared" ca="1" si="144"/>
        <v>2</v>
      </c>
      <c r="AM200" s="13">
        <f t="shared" ca="1" si="145"/>
        <v>0.82215684826095092</v>
      </c>
      <c r="AN200" s="1" t="s">
        <v>951</v>
      </c>
    </row>
    <row r="201" spans="1:108" ht="15.75" thickBot="1" x14ac:dyDescent="0.3">
      <c r="A201" s="1">
        <v>8</v>
      </c>
      <c r="B201" s="1">
        <v>3</v>
      </c>
      <c r="C201" s="17">
        <v>9</v>
      </c>
      <c r="D201" s="1">
        <v>2</v>
      </c>
      <c r="E201" s="1" t="s">
        <v>676</v>
      </c>
      <c r="F201" s="1">
        <v>4</v>
      </c>
      <c r="N201" s="13">
        <f t="shared" ca="1" si="135"/>
        <v>6</v>
      </c>
      <c r="O201" s="13">
        <f t="shared" ca="1" si="136"/>
        <v>0.31275502705216307</v>
      </c>
      <c r="P201" s="1" t="s">
        <v>1022</v>
      </c>
      <c r="R201" s="13">
        <f t="shared" ca="1" si="146"/>
        <v>12</v>
      </c>
      <c r="S201" s="13">
        <f t="shared" ca="1" si="137"/>
        <v>0.12915742929602803</v>
      </c>
      <c r="T201" s="1" t="s">
        <v>1057</v>
      </c>
      <c r="V201" s="13">
        <f t="shared" ca="1" si="147"/>
        <v>12</v>
      </c>
      <c r="W201" s="13">
        <f t="shared" ca="1" si="138"/>
        <v>0.46967113809018779</v>
      </c>
      <c r="X201" s="1" t="s">
        <v>1052</v>
      </c>
      <c r="Z201" s="13">
        <f t="shared" ca="1" si="148"/>
        <v>9</v>
      </c>
      <c r="AA201" s="13">
        <f t="shared" ca="1" si="139"/>
        <v>0.45077339521357007</v>
      </c>
      <c r="AB201" s="1" t="s">
        <v>994</v>
      </c>
      <c r="AL201" s="13">
        <f t="shared" ca="1" si="144"/>
        <v>7</v>
      </c>
      <c r="AM201" s="13">
        <f t="shared" ca="1" si="145"/>
        <v>0.18422992450031195</v>
      </c>
      <c r="AN201" s="1" t="s">
        <v>1021</v>
      </c>
    </row>
    <row r="202" spans="1:108" ht="15.75" thickBot="1" x14ac:dyDescent="0.3">
      <c r="A202" s="1">
        <v>9</v>
      </c>
      <c r="B202" s="1">
        <v>3</v>
      </c>
      <c r="C202" s="17">
        <v>10</v>
      </c>
      <c r="D202" s="1">
        <v>2</v>
      </c>
      <c r="E202" s="1" t="s">
        <v>1169</v>
      </c>
      <c r="F202" s="1">
        <v>5</v>
      </c>
      <c r="R202" s="13">
        <f t="shared" ca="1" si="146"/>
        <v>1</v>
      </c>
      <c r="S202" s="13">
        <f t="shared" ca="1" si="137"/>
        <v>0.91386856979146547</v>
      </c>
      <c r="T202" s="1" t="s">
        <v>1075</v>
      </c>
      <c r="V202" s="13">
        <f t="shared" ca="1" si="147"/>
        <v>13</v>
      </c>
      <c r="W202" s="13">
        <f t="shared" ca="1" si="138"/>
        <v>0.46758737947168771</v>
      </c>
      <c r="X202" s="1" t="s">
        <v>1076</v>
      </c>
      <c r="Z202" s="13">
        <f t="shared" ca="1" si="148"/>
        <v>2</v>
      </c>
      <c r="AA202" s="13">
        <f t="shared" ca="1" si="139"/>
        <v>0.91276510124910215</v>
      </c>
      <c r="AB202" s="1" t="s">
        <v>1036</v>
      </c>
    </row>
    <row r="203" spans="1:108" ht="15.75" thickBot="1" x14ac:dyDescent="0.3">
      <c r="A203" s="1">
        <v>10</v>
      </c>
      <c r="B203" s="1">
        <v>4</v>
      </c>
      <c r="C203" s="17">
        <v>10</v>
      </c>
      <c r="D203" s="1">
        <v>2</v>
      </c>
      <c r="E203" s="1" t="s">
        <v>1169</v>
      </c>
      <c r="F203" s="1">
        <v>5</v>
      </c>
      <c r="R203" s="13">
        <f t="shared" ca="1" si="146"/>
        <v>7</v>
      </c>
      <c r="S203" s="13">
        <f t="shared" ca="1" si="137"/>
        <v>0.49266659906393884</v>
      </c>
      <c r="T203" s="1" t="s">
        <v>1107</v>
      </c>
      <c r="V203" s="13">
        <f t="shared" ca="1" si="147"/>
        <v>4</v>
      </c>
      <c r="W203" s="13">
        <f t="shared" ca="1" si="138"/>
        <v>0.88730482823065482</v>
      </c>
      <c r="X203" s="1" t="s">
        <v>1089</v>
      </c>
      <c r="Z203" s="13">
        <f t="shared" ca="1" si="148"/>
        <v>5</v>
      </c>
      <c r="AA203" s="13">
        <f t="shared" ca="1" si="139"/>
        <v>0.76201492336784038</v>
      </c>
      <c r="AB203" s="1" t="s">
        <v>1080</v>
      </c>
    </row>
    <row r="204" spans="1:108" ht="15.75" thickBot="1" x14ac:dyDescent="0.3">
      <c r="A204" s="1">
        <v>11</v>
      </c>
      <c r="B204" s="1">
        <v>4</v>
      </c>
      <c r="C204" s="17">
        <v>11</v>
      </c>
      <c r="D204" s="1">
        <v>3</v>
      </c>
      <c r="E204" s="1" t="s">
        <v>1169</v>
      </c>
      <c r="F204" s="1">
        <v>5</v>
      </c>
      <c r="R204" s="13">
        <f t="shared" ca="1" si="146"/>
        <v>9</v>
      </c>
      <c r="S204" s="13">
        <f t="shared" ca="1" si="137"/>
        <v>0.46386777956095449</v>
      </c>
      <c r="T204" s="1" t="s">
        <v>1109</v>
      </c>
      <c r="V204" s="13">
        <f t="shared" ca="1" si="147"/>
        <v>5</v>
      </c>
      <c r="W204" s="13">
        <f t="shared" ca="1" si="138"/>
        <v>0.86994957374743409</v>
      </c>
      <c r="X204" s="1" t="s">
        <v>1097</v>
      </c>
      <c r="Z204" s="13">
        <f t="shared" ca="1" si="148"/>
        <v>12</v>
      </c>
      <c r="AA204" s="13">
        <f t="shared" ca="1" si="139"/>
        <v>0.25099200721437731</v>
      </c>
      <c r="AB204" s="1" t="s">
        <v>1083</v>
      </c>
    </row>
    <row r="205" spans="1:108" ht="15.75" thickBot="1" x14ac:dyDescent="0.3">
      <c r="A205" s="1">
        <v>12</v>
      </c>
      <c r="B205" s="1">
        <v>4</v>
      </c>
      <c r="C205" s="17">
        <v>11</v>
      </c>
      <c r="D205" s="1">
        <v>3</v>
      </c>
      <c r="E205" s="1" t="s">
        <v>1169</v>
      </c>
      <c r="F205" s="1">
        <v>6</v>
      </c>
      <c r="R205" s="13">
        <f t="shared" ca="1" si="146"/>
        <v>8</v>
      </c>
      <c r="S205" s="13">
        <f t="shared" ca="1" si="137"/>
        <v>0.4738267457847003</v>
      </c>
      <c r="T205" s="1" t="s">
        <v>979</v>
      </c>
      <c r="V205" s="13">
        <f t="shared" ca="1" si="147"/>
        <v>6</v>
      </c>
      <c r="W205" s="13">
        <f t="shared" ca="1" si="138"/>
        <v>0.82424167848099728</v>
      </c>
      <c r="X205" s="1" t="s">
        <v>1103</v>
      </c>
      <c r="Z205" s="13">
        <f t="shared" ca="1" si="148"/>
        <v>3</v>
      </c>
      <c r="AA205" s="13">
        <f t="shared" ca="1" si="139"/>
        <v>0.90994069780718245</v>
      </c>
      <c r="AB205" s="1" t="s">
        <v>795</v>
      </c>
    </row>
    <row r="206" spans="1:108" ht="15.75" thickBot="1" x14ac:dyDescent="0.3">
      <c r="A206" s="1">
        <v>13</v>
      </c>
      <c r="B206" s="1">
        <v>4</v>
      </c>
      <c r="C206" s="17">
        <v>12</v>
      </c>
      <c r="D206" s="1">
        <v>3</v>
      </c>
      <c r="E206" s="1" t="s">
        <v>1169</v>
      </c>
      <c r="F206" s="1">
        <v>6</v>
      </c>
      <c r="R206" s="13">
        <f t="shared" ca="1" si="146"/>
        <v>2</v>
      </c>
      <c r="S206" s="13">
        <f t="shared" ca="1" si="137"/>
        <v>0.81274249413708799</v>
      </c>
      <c r="T206" s="1" t="s">
        <v>1096</v>
      </c>
      <c r="V206" s="13">
        <f t="shared" ca="1" si="147"/>
        <v>10</v>
      </c>
      <c r="W206" s="13">
        <f t="shared" ca="1" si="138"/>
        <v>0.50127218706344823</v>
      </c>
      <c r="X206" s="1" t="s">
        <v>846</v>
      </c>
      <c r="Z206" s="13">
        <f ca="1">_xlfn.RANK.EQ(AA206,AA$194:AA$206)</f>
        <v>10</v>
      </c>
      <c r="AA206" s="13">
        <f t="shared" ca="1" si="139"/>
        <v>0.31837902838337973</v>
      </c>
      <c r="AB206" s="1" t="s">
        <v>1025</v>
      </c>
    </row>
    <row r="207" spans="1:108" s="2" customFormat="1" ht="15.75" thickBot="1" x14ac:dyDescent="0.3">
      <c r="A207" s="1">
        <v>14</v>
      </c>
      <c r="B207" s="1">
        <v>4</v>
      </c>
      <c r="C207" s="17">
        <v>12</v>
      </c>
      <c r="D207" s="1">
        <v>3</v>
      </c>
      <c r="E207" s="1" t="s">
        <v>1169</v>
      </c>
      <c r="F207" s="1">
        <v>6</v>
      </c>
      <c r="G207" s="1"/>
      <c r="H207" s="1"/>
      <c r="I207" s="1"/>
      <c r="J207" s="1"/>
      <c r="K207" s="1"/>
      <c r="L207" s="1"/>
      <c r="M207" s="1"/>
      <c r="N207" s="1"/>
      <c r="O207" s="1"/>
      <c r="P207" s="1"/>
      <c r="Q207" s="1"/>
      <c r="R207" s="1"/>
      <c r="S207" s="1"/>
      <c r="T207" s="1"/>
      <c r="U207" s="1"/>
      <c r="V207" s="13">
        <f t="shared" ca="1" si="147"/>
        <v>3</v>
      </c>
      <c r="W207" s="13">
        <f t="shared" ca="1" si="138"/>
        <v>0.90013202269210635</v>
      </c>
      <c r="X207" s="1" t="s">
        <v>1065</v>
      </c>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row>
    <row r="208" spans="1:108" ht="15.75" thickBot="1" x14ac:dyDescent="0.3">
      <c r="A208" s="1">
        <v>15</v>
      </c>
      <c r="B208" s="1">
        <v>4</v>
      </c>
      <c r="C208" s="17">
        <v>13</v>
      </c>
      <c r="D208" s="1">
        <v>3</v>
      </c>
      <c r="E208" s="1" t="s">
        <v>1169</v>
      </c>
      <c r="F208" s="1">
        <v>7</v>
      </c>
      <c r="CO208" s="2"/>
      <c r="CP208" s="2"/>
      <c r="CQ208" s="2"/>
      <c r="CR208" s="2"/>
      <c r="CS208" s="2"/>
      <c r="CT208" s="2"/>
      <c r="CU208" s="2"/>
      <c r="CV208" s="2"/>
      <c r="CW208" s="2"/>
      <c r="CX208" s="2"/>
      <c r="CY208" s="2"/>
      <c r="CZ208" s="2"/>
      <c r="DA208" s="2"/>
      <c r="DB208" s="2"/>
      <c r="DC208" s="2"/>
      <c r="DD208" s="2"/>
    </row>
    <row r="209" spans="1:40" ht="15.75" thickBot="1" x14ac:dyDescent="0.3">
      <c r="A209" s="1">
        <v>16</v>
      </c>
      <c r="B209" s="1">
        <v>4</v>
      </c>
      <c r="C209" s="17">
        <v>13</v>
      </c>
      <c r="D209" s="1">
        <v>3</v>
      </c>
      <c r="E209" s="1" t="s">
        <v>1169</v>
      </c>
      <c r="F209" s="1">
        <v>7</v>
      </c>
      <c r="R209" s="2" t="s">
        <v>1660</v>
      </c>
      <c r="S209" s="2"/>
      <c r="T209" s="2"/>
      <c r="V209" s="2" t="s">
        <v>1659</v>
      </c>
      <c r="W209" s="2"/>
      <c r="X209" s="2"/>
      <c r="Z209" s="2" t="s">
        <v>1658</v>
      </c>
      <c r="AA209" s="2"/>
      <c r="AB209" s="2"/>
      <c r="AD209" s="2" t="s">
        <v>1657</v>
      </c>
      <c r="AE209" s="2"/>
      <c r="AF209" s="2"/>
      <c r="AH209" s="2" t="s">
        <v>1656</v>
      </c>
      <c r="AI209" s="2"/>
      <c r="AJ209" s="2"/>
    </row>
    <row r="210" spans="1:40" ht="15.75" thickBot="1" x14ac:dyDescent="0.3">
      <c r="A210" s="1">
        <v>17</v>
      </c>
      <c r="B210" s="1">
        <v>4</v>
      </c>
      <c r="C210" s="17">
        <v>14</v>
      </c>
      <c r="D210" s="1">
        <v>4</v>
      </c>
      <c r="E210" s="1" t="s">
        <v>1169</v>
      </c>
      <c r="F210" s="1">
        <v>7</v>
      </c>
      <c r="R210" s="13">
        <f ca="1">_xlfn.RANK.EQ(S210,S$210:S$222)</f>
        <v>10</v>
      </c>
      <c r="S210" s="13">
        <f t="shared" ref="S210:S222" ca="1" si="149">RAND()</f>
        <v>0.31153648360560759</v>
      </c>
      <c r="T210" s="1" t="s">
        <v>785</v>
      </c>
      <c r="V210" s="13">
        <f ca="1">_xlfn.RANK.EQ(W210,W$210:W$223)</f>
        <v>10</v>
      </c>
      <c r="W210" s="13">
        <f t="shared" ref="W210:W223" ca="1" si="150">RAND()</f>
        <v>0.46517671095730251</v>
      </c>
      <c r="X210" s="1" t="s">
        <v>852</v>
      </c>
      <c r="Z210" s="13">
        <f ca="1">_xlfn.RANK.EQ(AA210,AA$210:AA$222)</f>
        <v>1</v>
      </c>
      <c r="AA210" s="13">
        <f t="shared" ref="AA210:AA222" ca="1" si="151">RAND()</f>
        <v>0.97642407911737084</v>
      </c>
      <c r="AB210" s="1" t="s">
        <v>847</v>
      </c>
      <c r="AD210" s="13">
        <f t="shared" ref="AD210:AD215" ca="1" si="152">_xlfn.RANK.EQ(AE210,AE$210:AE$215)</f>
        <v>4</v>
      </c>
      <c r="AE210" s="13">
        <f t="shared" ref="AE210:AE215" ca="1" si="153">RAND()</f>
        <v>0.45712407911432151</v>
      </c>
      <c r="AF210" s="1" t="s">
        <v>779</v>
      </c>
      <c r="AH210" s="13">
        <f t="shared" ref="AH210:AH215" ca="1" si="154">_xlfn.RANK.EQ(AI210,AI$210:AI$215)</f>
        <v>5</v>
      </c>
      <c r="AI210" s="13">
        <f t="shared" ref="AI210:AI215" ca="1" si="155">RAND()</f>
        <v>0.2906204678825326</v>
      </c>
      <c r="AJ210" s="1" t="s">
        <v>855</v>
      </c>
    </row>
    <row r="211" spans="1:40" ht="15.75" thickBot="1" x14ac:dyDescent="0.3">
      <c r="A211" s="1">
        <v>18</v>
      </c>
      <c r="B211" s="1">
        <v>4</v>
      </c>
      <c r="C211" s="17">
        <v>14</v>
      </c>
      <c r="D211" s="1">
        <v>4</v>
      </c>
      <c r="E211" s="1" t="s">
        <v>1169</v>
      </c>
      <c r="F211" s="1">
        <v>8</v>
      </c>
      <c r="R211" s="13">
        <f t="shared" ref="R211:R222" ca="1" si="156">_xlfn.RANK.EQ(S211,S$210:S$222)</f>
        <v>2</v>
      </c>
      <c r="S211" s="13">
        <f t="shared" ca="1" si="149"/>
        <v>0.790533972208602</v>
      </c>
      <c r="T211" s="1" t="s">
        <v>793</v>
      </c>
      <c r="V211" s="13">
        <f t="shared" ref="V211:V223" ca="1" si="157">_xlfn.RANK.EQ(W211,W$210:W$223)</f>
        <v>13</v>
      </c>
      <c r="W211" s="13">
        <f t="shared" ca="1" si="150"/>
        <v>0.1261508245677937</v>
      </c>
      <c r="X211" s="1" t="s">
        <v>875</v>
      </c>
      <c r="Z211" s="13">
        <f t="shared" ref="Z211:Z222" ca="1" si="158">_xlfn.RANK.EQ(AA211,AA$210:AA$222)</f>
        <v>6</v>
      </c>
      <c r="AA211" s="13">
        <f t="shared" ca="1" si="151"/>
        <v>0.49435744093379952</v>
      </c>
      <c r="AB211" s="1" t="s">
        <v>876</v>
      </c>
      <c r="AD211" s="13">
        <f t="shared" ca="1" si="152"/>
        <v>2</v>
      </c>
      <c r="AE211" s="13">
        <f t="shared" ca="1" si="153"/>
        <v>0.89910090267101861</v>
      </c>
      <c r="AF211" s="1" t="s">
        <v>788</v>
      </c>
      <c r="AH211" s="13">
        <f t="shared" ca="1" si="154"/>
        <v>6</v>
      </c>
      <c r="AI211" s="13">
        <f t="shared" ca="1" si="155"/>
        <v>0.22550447262215212</v>
      </c>
      <c r="AJ211" s="1" t="s">
        <v>923</v>
      </c>
    </row>
    <row r="212" spans="1:40" ht="15.75" thickBot="1" x14ac:dyDescent="0.3">
      <c r="A212" s="1">
        <v>19</v>
      </c>
      <c r="B212" s="1">
        <v>4</v>
      </c>
      <c r="C212" s="17">
        <v>15</v>
      </c>
      <c r="D212" s="1">
        <v>4</v>
      </c>
      <c r="E212" s="1" t="s">
        <v>1169</v>
      </c>
      <c r="F212" s="1">
        <v>8</v>
      </c>
      <c r="R212" s="13">
        <f t="shared" ca="1" si="156"/>
        <v>9</v>
      </c>
      <c r="S212" s="13">
        <f t="shared" ca="1" si="149"/>
        <v>0.31489715081082814</v>
      </c>
      <c r="T212" s="1" t="s">
        <v>867</v>
      </c>
      <c r="V212" s="13">
        <f t="shared" ca="1" si="157"/>
        <v>8</v>
      </c>
      <c r="W212" s="13">
        <f t="shared" ca="1" si="150"/>
        <v>0.56782190586615744</v>
      </c>
      <c r="X212" s="1" t="s">
        <v>884</v>
      </c>
      <c r="Z212" s="13">
        <f t="shared" ca="1" si="158"/>
        <v>13</v>
      </c>
      <c r="AA212" s="13">
        <f t="shared" ca="1" si="151"/>
        <v>6.1143400887504917E-2</v>
      </c>
      <c r="AB212" s="1" t="s">
        <v>640</v>
      </c>
      <c r="AD212" s="13">
        <f t="shared" ca="1" si="152"/>
        <v>5</v>
      </c>
      <c r="AE212" s="13">
        <f t="shared" ca="1" si="153"/>
        <v>0.13190455646881449</v>
      </c>
      <c r="AF212" s="1" t="s">
        <v>854</v>
      </c>
      <c r="AH212" s="13">
        <f t="shared" ca="1" si="154"/>
        <v>4</v>
      </c>
      <c r="AI212" s="13">
        <f t="shared" ca="1" si="155"/>
        <v>0.33505637278037315</v>
      </c>
      <c r="AJ212" s="1" t="s">
        <v>961</v>
      </c>
      <c r="AL212"/>
      <c r="AM212"/>
      <c r="AN212"/>
    </row>
    <row r="213" spans="1:40" ht="15.75" thickBot="1" x14ac:dyDescent="0.3">
      <c r="A213" s="1">
        <v>20</v>
      </c>
      <c r="B213" s="1">
        <v>4</v>
      </c>
      <c r="C213" s="17">
        <v>15</v>
      </c>
      <c r="D213" s="1">
        <v>4</v>
      </c>
      <c r="E213" s="1" t="s">
        <v>1169</v>
      </c>
      <c r="F213" s="1">
        <v>8</v>
      </c>
      <c r="R213" s="13">
        <f t="shared" ca="1" si="156"/>
        <v>12</v>
      </c>
      <c r="S213" s="13">
        <f t="shared" ca="1" si="149"/>
        <v>0.16249425177497312</v>
      </c>
      <c r="T213" s="1" t="s">
        <v>905</v>
      </c>
      <c r="V213" s="13">
        <f t="shared" ca="1" si="157"/>
        <v>7</v>
      </c>
      <c r="W213" s="13">
        <f t="shared" ca="1" si="150"/>
        <v>0.61845157748026602</v>
      </c>
      <c r="X213" s="1" t="s">
        <v>936</v>
      </c>
      <c r="Z213" s="13">
        <f t="shared" ca="1" si="158"/>
        <v>9</v>
      </c>
      <c r="AA213" s="13">
        <f t="shared" ca="1" si="151"/>
        <v>0.29913403853818665</v>
      </c>
      <c r="AB213" s="1" t="s">
        <v>932</v>
      </c>
      <c r="AD213" s="13">
        <f t="shared" ca="1" si="152"/>
        <v>6</v>
      </c>
      <c r="AE213" s="13">
        <f t="shared" ca="1" si="153"/>
        <v>5.7515546531660355E-2</v>
      </c>
      <c r="AF213" s="1" t="s">
        <v>949</v>
      </c>
      <c r="AH213" s="13">
        <f t="shared" ca="1" si="154"/>
        <v>1</v>
      </c>
      <c r="AI213" s="13">
        <f t="shared" ca="1" si="155"/>
        <v>0.91262821853821818</v>
      </c>
      <c r="AJ213" s="1" t="s">
        <v>1047</v>
      </c>
    </row>
    <row r="214" spans="1:40" x14ac:dyDescent="0.25">
      <c r="R214" s="13">
        <f t="shared" ca="1" si="156"/>
        <v>13</v>
      </c>
      <c r="S214" s="13">
        <f t="shared" ca="1" si="149"/>
        <v>1.8368731675756811E-2</v>
      </c>
      <c r="T214" s="1" t="s">
        <v>974</v>
      </c>
      <c r="V214" s="13">
        <f t="shared" ca="1" si="157"/>
        <v>9</v>
      </c>
      <c r="W214" s="13">
        <f t="shared" ca="1" si="150"/>
        <v>0.52421535852630208</v>
      </c>
      <c r="X214" s="1" t="s">
        <v>986</v>
      </c>
      <c r="Z214" s="13">
        <f t="shared" ca="1" si="158"/>
        <v>3</v>
      </c>
      <c r="AA214" s="13">
        <f t="shared" ca="1" si="151"/>
        <v>0.81051035338274413</v>
      </c>
      <c r="AB214" s="1" t="s">
        <v>937</v>
      </c>
      <c r="AD214" s="13">
        <f t="shared" ca="1" si="152"/>
        <v>1</v>
      </c>
      <c r="AE214" s="13">
        <f t="shared" ca="1" si="153"/>
        <v>0.92152627501045081</v>
      </c>
      <c r="AF214" s="1" t="s">
        <v>906</v>
      </c>
      <c r="AH214" s="13">
        <f t="shared" ca="1" si="154"/>
        <v>2</v>
      </c>
      <c r="AI214" s="13">
        <f t="shared" ca="1" si="155"/>
        <v>0.72148184929714965</v>
      </c>
      <c r="AJ214" s="1" t="s">
        <v>939</v>
      </c>
    </row>
    <row r="215" spans="1:40" x14ac:dyDescent="0.25">
      <c r="R215" s="13">
        <f t="shared" ca="1" si="156"/>
        <v>6</v>
      </c>
      <c r="S215" s="13">
        <f t="shared" ca="1" si="149"/>
        <v>0.58963386615679503</v>
      </c>
      <c r="T215" s="1" t="s">
        <v>1035</v>
      </c>
      <c r="V215" s="13">
        <f t="shared" ca="1" si="157"/>
        <v>11</v>
      </c>
      <c r="W215" s="13">
        <f t="shared" ca="1" si="150"/>
        <v>0.45732091086898741</v>
      </c>
      <c r="X215" s="1" t="s">
        <v>993</v>
      </c>
      <c r="Z215" s="13">
        <f t="shared" ca="1" si="158"/>
        <v>5</v>
      </c>
      <c r="AA215" s="13">
        <f t="shared" ca="1" si="151"/>
        <v>0.56168453342461899</v>
      </c>
      <c r="AB215" s="1" t="s">
        <v>959</v>
      </c>
      <c r="AD215" s="13">
        <f t="shared" ca="1" si="152"/>
        <v>3</v>
      </c>
      <c r="AE215" s="13">
        <f t="shared" ca="1" si="153"/>
        <v>0.4638231056612907</v>
      </c>
      <c r="AF215" s="1" t="s">
        <v>1042</v>
      </c>
      <c r="AH215" s="13">
        <f t="shared" ca="1" si="154"/>
        <v>3</v>
      </c>
      <c r="AI215" s="13">
        <f t="shared" ca="1" si="155"/>
        <v>0.47039141054814171</v>
      </c>
      <c r="AJ215" s="1" t="s">
        <v>956</v>
      </c>
    </row>
    <row r="216" spans="1:40" x14ac:dyDescent="0.25">
      <c r="R216" s="13">
        <f t="shared" ca="1" si="156"/>
        <v>1</v>
      </c>
      <c r="S216" s="13">
        <f t="shared" ca="1" si="149"/>
        <v>0.88280715609435789</v>
      </c>
      <c r="T216" s="1" t="s">
        <v>1045</v>
      </c>
      <c r="V216" s="13">
        <f t="shared" ca="1" si="157"/>
        <v>3</v>
      </c>
      <c r="W216" s="13">
        <f t="shared" ca="1" si="150"/>
        <v>0.79356873988025178</v>
      </c>
      <c r="X216" s="1" t="s">
        <v>1049</v>
      </c>
      <c r="Z216" s="13">
        <f t="shared" ca="1" si="158"/>
        <v>7</v>
      </c>
      <c r="AA216" s="13">
        <f t="shared" ca="1" si="151"/>
        <v>0.36983605604362091</v>
      </c>
      <c r="AB216" s="1" t="s">
        <v>987</v>
      </c>
    </row>
    <row r="217" spans="1:40" x14ac:dyDescent="0.25">
      <c r="R217" s="13">
        <f t="shared" ca="1" si="156"/>
        <v>4</v>
      </c>
      <c r="S217" s="13">
        <f t="shared" ca="1" si="149"/>
        <v>0.66202697148773593</v>
      </c>
      <c r="T217" s="1" t="s">
        <v>1057</v>
      </c>
      <c r="V217" s="13">
        <f t="shared" ca="1" si="157"/>
        <v>6</v>
      </c>
      <c r="W217" s="13">
        <f t="shared" ca="1" si="150"/>
        <v>0.73044915010034617</v>
      </c>
      <c r="X217" s="1" t="s">
        <v>1052</v>
      </c>
      <c r="Z217" s="13">
        <f t="shared" ca="1" si="158"/>
        <v>4</v>
      </c>
      <c r="AA217" s="13">
        <f t="shared" ca="1" si="151"/>
        <v>0.71361042105080286</v>
      </c>
      <c r="AB217" s="1" t="s">
        <v>994</v>
      </c>
    </row>
    <row r="218" spans="1:40" x14ac:dyDescent="0.25">
      <c r="R218" s="13">
        <f t="shared" ca="1" si="156"/>
        <v>7</v>
      </c>
      <c r="S218" s="13">
        <f t="shared" ca="1" si="149"/>
        <v>0.53484281952020241</v>
      </c>
      <c r="T218" s="1" t="s">
        <v>1075</v>
      </c>
      <c r="V218" s="13">
        <f t="shared" ca="1" si="157"/>
        <v>1</v>
      </c>
      <c r="W218" s="13">
        <f t="shared" ca="1" si="150"/>
        <v>0.95180590310810997</v>
      </c>
      <c r="X218" s="1" t="s">
        <v>1076</v>
      </c>
      <c r="Z218" s="13">
        <f t="shared" ca="1" si="158"/>
        <v>11</v>
      </c>
      <c r="AA218" s="13">
        <f t="shared" ca="1" si="151"/>
        <v>0.20802346122343418</v>
      </c>
      <c r="AB218" s="1" t="s">
        <v>1036</v>
      </c>
    </row>
    <row r="219" spans="1:40" x14ac:dyDescent="0.25">
      <c r="R219" s="13">
        <f t="shared" ca="1" si="156"/>
        <v>3</v>
      </c>
      <c r="S219" s="13">
        <f t="shared" ca="1" si="149"/>
        <v>0.78528225971692311</v>
      </c>
      <c r="T219" s="1" t="s">
        <v>1107</v>
      </c>
      <c r="V219" s="13">
        <f t="shared" ca="1" si="157"/>
        <v>12</v>
      </c>
      <c r="W219" s="13">
        <f t="shared" ca="1" si="150"/>
        <v>0.38299710683522592</v>
      </c>
      <c r="X219" s="1" t="s">
        <v>1089</v>
      </c>
      <c r="Z219" s="13">
        <f t="shared" ca="1" si="158"/>
        <v>8</v>
      </c>
      <c r="AA219" s="13">
        <f t="shared" ca="1" si="151"/>
        <v>0.32020437062169138</v>
      </c>
      <c r="AB219" s="1" t="s">
        <v>1080</v>
      </c>
    </row>
    <row r="220" spans="1:40" x14ac:dyDescent="0.25">
      <c r="R220" s="13">
        <f t="shared" ca="1" si="156"/>
        <v>5</v>
      </c>
      <c r="S220" s="13">
        <f t="shared" ca="1" si="149"/>
        <v>0.63663873532333515</v>
      </c>
      <c r="T220" s="1" t="s">
        <v>1109</v>
      </c>
      <c r="V220" s="13">
        <f t="shared" ca="1" si="157"/>
        <v>14</v>
      </c>
      <c r="W220" s="13">
        <f t="shared" ca="1" si="150"/>
        <v>4.7556107670615577E-2</v>
      </c>
      <c r="X220" s="1" t="s">
        <v>1097</v>
      </c>
      <c r="Z220" s="13">
        <f t="shared" ca="1" si="158"/>
        <v>12</v>
      </c>
      <c r="AA220" s="13">
        <f t="shared" ca="1" si="151"/>
        <v>9.315899906386893E-2</v>
      </c>
      <c r="AB220" s="1" t="s">
        <v>1083</v>
      </c>
    </row>
    <row r="221" spans="1:40" x14ac:dyDescent="0.25">
      <c r="R221" s="13">
        <f t="shared" ca="1" si="156"/>
        <v>11</v>
      </c>
      <c r="S221" s="13">
        <f t="shared" ca="1" si="149"/>
        <v>0.19526474164304575</v>
      </c>
      <c r="T221" s="1" t="s">
        <v>828</v>
      </c>
      <c r="V221" s="13">
        <f t="shared" ca="1" si="157"/>
        <v>4</v>
      </c>
      <c r="W221" s="13">
        <f t="shared" ca="1" si="150"/>
        <v>0.78726259442380586</v>
      </c>
      <c r="X221" s="1" t="s">
        <v>1103</v>
      </c>
      <c r="Z221" s="13">
        <f t="shared" ca="1" si="158"/>
        <v>2</v>
      </c>
      <c r="AA221" s="13">
        <f t="shared" ca="1" si="151"/>
        <v>0.94610006696905868</v>
      </c>
      <c r="AB221" s="1" t="s">
        <v>921</v>
      </c>
    </row>
    <row r="222" spans="1:40" x14ac:dyDescent="0.25">
      <c r="R222" s="13">
        <f t="shared" ca="1" si="156"/>
        <v>8</v>
      </c>
      <c r="S222" s="13">
        <f t="shared" ca="1" si="149"/>
        <v>0.33386627449332118</v>
      </c>
      <c r="T222" s="1" t="s">
        <v>890</v>
      </c>
      <c r="V222" s="13">
        <f t="shared" ca="1" si="157"/>
        <v>5</v>
      </c>
      <c r="W222" s="13">
        <f t="shared" ca="1" si="150"/>
        <v>0.74296189978844118</v>
      </c>
      <c r="X222" s="1" t="s">
        <v>819</v>
      </c>
      <c r="Z222" s="13">
        <f t="shared" ca="1" si="158"/>
        <v>10</v>
      </c>
      <c r="AA222" s="13">
        <f t="shared" ca="1" si="151"/>
        <v>0.26683582833626374</v>
      </c>
      <c r="AB222" s="1" t="s">
        <v>1066</v>
      </c>
    </row>
    <row r="223" spans="1:40" x14ac:dyDescent="0.25">
      <c r="V223" s="13">
        <f t="shared" ca="1" si="157"/>
        <v>2</v>
      </c>
      <c r="W223" s="13">
        <f t="shared" ca="1" si="150"/>
        <v>0.84425462534888607</v>
      </c>
      <c r="X223" s="1" t="s">
        <v>1082</v>
      </c>
    </row>
    <row r="225" spans="18:36" x14ac:dyDescent="0.25">
      <c r="R225" s="2" t="s">
        <v>1661</v>
      </c>
      <c r="S225" s="2"/>
      <c r="T225" s="2"/>
      <c r="V225" s="2" t="s">
        <v>1662</v>
      </c>
      <c r="W225" s="2"/>
      <c r="X225" s="2"/>
      <c r="Z225" s="2" t="s">
        <v>1663</v>
      </c>
      <c r="AA225" s="2"/>
      <c r="AB225" s="2"/>
      <c r="AD225" s="2" t="s">
        <v>1664</v>
      </c>
      <c r="AE225" s="2"/>
      <c r="AF225" s="2"/>
      <c r="AH225" s="2" t="s">
        <v>1665</v>
      </c>
      <c r="AI225" s="2"/>
      <c r="AJ225" s="2"/>
    </row>
    <row r="226" spans="18:36" x14ac:dyDescent="0.25">
      <c r="R226" s="13">
        <f ca="1">_xlfn.RANK.EQ(S226,S$226:S$238)</f>
        <v>10</v>
      </c>
      <c r="S226" s="13">
        <f t="shared" ref="S226:S238" ca="1" si="159">RAND()</f>
        <v>0.23282843198866243</v>
      </c>
      <c r="T226" s="1" t="s">
        <v>785</v>
      </c>
      <c r="V226" s="13">
        <f ca="1">_xlfn.RANK.EQ(W226,W$226:W$239)</f>
        <v>9</v>
      </c>
      <c r="W226" s="13">
        <f t="shared" ref="W226:W239" ca="1" si="160">RAND()</f>
        <v>0.3893660651711387</v>
      </c>
      <c r="X226" s="1" t="s">
        <v>852</v>
      </c>
      <c r="Z226" s="13">
        <f ca="1">_xlfn.RANK.EQ(AA226,AA$226:AA$238)</f>
        <v>3</v>
      </c>
      <c r="AA226" s="13">
        <f t="shared" ref="AA226:AA238" ca="1" si="161">RAND()</f>
        <v>0.85003415711550123</v>
      </c>
      <c r="AB226" s="1" t="s">
        <v>847</v>
      </c>
      <c r="AD226" s="13">
        <f t="shared" ref="AD226:AD231" ca="1" si="162">_xlfn.RANK.EQ(AE226,AE$226:AE$231)</f>
        <v>3</v>
      </c>
      <c r="AE226" s="13">
        <f t="shared" ref="AE226:AE231" ca="1" si="163">RAND()</f>
        <v>0.8389359157143339</v>
      </c>
      <c r="AF226" s="1" t="s">
        <v>779</v>
      </c>
      <c r="AH226" s="13">
        <f t="shared" ref="AH226:AH231" ca="1" si="164">_xlfn.RANK.EQ(AI226,AI$226:AI$231)</f>
        <v>1</v>
      </c>
      <c r="AI226" s="13">
        <f t="shared" ref="AI226:AI231" ca="1" si="165">RAND()</f>
        <v>0.87087184883659385</v>
      </c>
      <c r="AJ226" s="1" t="s">
        <v>855</v>
      </c>
    </row>
    <row r="227" spans="18:36" x14ac:dyDescent="0.25">
      <c r="R227" s="13">
        <f t="shared" ref="R227:R238" ca="1" si="166">_xlfn.RANK.EQ(S227,S$226:S$238)</f>
        <v>13</v>
      </c>
      <c r="S227" s="13">
        <f t="shared" ca="1" si="159"/>
        <v>1.795595239019887E-2</v>
      </c>
      <c r="T227" s="1" t="s">
        <v>793</v>
      </c>
      <c r="V227" s="13">
        <f t="shared" ref="V227:V239" ca="1" si="167">_xlfn.RANK.EQ(W227,W$226:W$239)</f>
        <v>10</v>
      </c>
      <c r="W227" s="13">
        <f t="shared" ca="1" si="160"/>
        <v>0.38372084946173546</v>
      </c>
      <c r="X227" s="1" t="s">
        <v>875</v>
      </c>
      <c r="Z227" s="13">
        <f t="shared" ref="Z227:Z238" ca="1" si="168">_xlfn.RANK.EQ(AA227,AA$226:AA$238)</f>
        <v>4</v>
      </c>
      <c r="AA227" s="13">
        <f t="shared" ca="1" si="161"/>
        <v>0.74636883326918058</v>
      </c>
      <c r="AB227" s="1" t="s">
        <v>876</v>
      </c>
      <c r="AD227" s="13">
        <f t="shared" ca="1" si="162"/>
        <v>5</v>
      </c>
      <c r="AE227" s="13">
        <f t="shared" ca="1" si="163"/>
        <v>0.36592357362710803</v>
      </c>
      <c r="AF227" s="1" t="s">
        <v>788</v>
      </c>
      <c r="AH227" s="13">
        <f t="shared" ca="1" si="164"/>
        <v>5</v>
      </c>
      <c r="AI227" s="13">
        <f t="shared" ca="1" si="165"/>
        <v>0.17621649798326688</v>
      </c>
      <c r="AJ227" s="1" t="s">
        <v>923</v>
      </c>
    </row>
    <row r="228" spans="18:36" x14ac:dyDescent="0.25">
      <c r="R228" s="13">
        <f t="shared" ca="1" si="166"/>
        <v>11</v>
      </c>
      <c r="S228" s="13">
        <f t="shared" ca="1" si="159"/>
        <v>0.20741894344819645</v>
      </c>
      <c r="T228" s="1" t="s">
        <v>867</v>
      </c>
      <c r="V228" s="13">
        <f t="shared" ca="1" si="167"/>
        <v>3</v>
      </c>
      <c r="W228" s="13">
        <f t="shared" ca="1" si="160"/>
        <v>0.59818641022652519</v>
      </c>
      <c r="X228" s="1" t="s">
        <v>884</v>
      </c>
      <c r="Z228" s="13">
        <f t="shared" ca="1" si="168"/>
        <v>5</v>
      </c>
      <c r="AA228" s="13">
        <f t="shared" ca="1" si="161"/>
        <v>0.74447882745817695</v>
      </c>
      <c r="AB228" s="1" t="s">
        <v>640</v>
      </c>
      <c r="AD228" s="13">
        <f t="shared" ca="1" si="162"/>
        <v>6</v>
      </c>
      <c r="AE228" s="13">
        <f t="shared" ca="1" si="163"/>
        <v>0.35760382730118478</v>
      </c>
      <c r="AF228" s="1" t="s">
        <v>854</v>
      </c>
      <c r="AH228" s="13">
        <f t="shared" ca="1" si="164"/>
        <v>6</v>
      </c>
      <c r="AI228" s="13">
        <f t="shared" ca="1" si="165"/>
        <v>0.13380518863950164</v>
      </c>
      <c r="AJ228" s="1" t="s">
        <v>961</v>
      </c>
    </row>
    <row r="229" spans="18:36" x14ac:dyDescent="0.25">
      <c r="R229" s="13">
        <f t="shared" ca="1" si="166"/>
        <v>12</v>
      </c>
      <c r="S229" s="13">
        <f t="shared" ca="1" si="159"/>
        <v>0.12144031835331659</v>
      </c>
      <c r="T229" s="1" t="s">
        <v>905</v>
      </c>
      <c r="V229" s="13">
        <f t="shared" ca="1" si="167"/>
        <v>12</v>
      </c>
      <c r="W229" s="13">
        <f t="shared" ca="1" si="160"/>
        <v>0.19110103721871941</v>
      </c>
      <c r="X229" s="1" t="s">
        <v>936</v>
      </c>
      <c r="Z229" s="13">
        <f t="shared" ca="1" si="168"/>
        <v>7</v>
      </c>
      <c r="AA229" s="13">
        <f t="shared" ca="1" si="161"/>
        <v>0.56317470237904854</v>
      </c>
      <c r="AB229" s="1" t="s">
        <v>932</v>
      </c>
      <c r="AD229" s="13">
        <f t="shared" ca="1" si="162"/>
        <v>4</v>
      </c>
      <c r="AE229" s="13">
        <f t="shared" ca="1" si="163"/>
        <v>0.48336414347639944</v>
      </c>
      <c r="AF229" s="1" t="s">
        <v>949</v>
      </c>
      <c r="AH229" s="13">
        <f t="shared" ca="1" si="164"/>
        <v>2</v>
      </c>
      <c r="AI229" s="13">
        <f t="shared" ca="1" si="165"/>
        <v>0.7943843410961362</v>
      </c>
      <c r="AJ229" s="1" t="s">
        <v>1047</v>
      </c>
    </row>
    <row r="230" spans="18:36" x14ac:dyDescent="0.25">
      <c r="R230" s="13">
        <f t="shared" ca="1" si="166"/>
        <v>1</v>
      </c>
      <c r="S230" s="13">
        <f t="shared" ca="1" si="159"/>
        <v>0.82887260902958104</v>
      </c>
      <c r="T230" s="1" t="s">
        <v>974</v>
      </c>
      <c r="V230" s="13">
        <f t="shared" ca="1" si="167"/>
        <v>4</v>
      </c>
      <c r="W230" s="13">
        <f t="shared" ca="1" si="160"/>
        <v>0.55319610611414782</v>
      </c>
      <c r="X230" s="1" t="s">
        <v>986</v>
      </c>
      <c r="Z230" s="13">
        <f t="shared" ca="1" si="168"/>
        <v>6</v>
      </c>
      <c r="AA230" s="13">
        <f t="shared" ca="1" si="161"/>
        <v>0.63452259286642354</v>
      </c>
      <c r="AB230" s="1" t="s">
        <v>937</v>
      </c>
      <c r="AD230" s="13">
        <f t="shared" ca="1" si="162"/>
        <v>1</v>
      </c>
      <c r="AE230" s="13">
        <f t="shared" ca="1" si="163"/>
        <v>0.93761295732785932</v>
      </c>
      <c r="AF230" s="1" t="s">
        <v>870</v>
      </c>
      <c r="AH230" s="13">
        <f t="shared" ca="1" si="164"/>
        <v>3</v>
      </c>
      <c r="AI230" s="13">
        <f t="shared" ca="1" si="165"/>
        <v>0.78231250261770491</v>
      </c>
      <c r="AJ230" s="1" t="s">
        <v>915</v>
      </c>
    </row>
    <row r="231" spans="18:36" x14ac:dyDescent="0.25">
      <c r="R231" s="13">
        <f t="shared" ca="1" si="166"/>
        <v>9</v>
      </c>
      <c r="S231" s="13">
        <f t="shared" ca="1" si="159"/>
        <v>0.27544823790369311</v>
      </c>
      <c r="T231" s="1" t="s">
        <v>1035</v>
      </c>
      <c r="V231" s="13">
        <f t="shared" ca="1" si="167"/>
        <v>14</v>
      </c>
      <c r="W231" s="13">
        <f t="shared" ca="1" si="160"/>
        <v>9.5039491469638526E-2</v>
      </c>
      <c r="X231" s="1" t="s">
        <v>993</v>
      </c>
      <c r="Z231" s="13">
        <f t="shared" ca="1" si="168"/>
        <v>8</v>
      </c>
      <c r="AA231" s="13">
        <f t="shared" ca="1" si="161"/>
        <v>0.49950231274142309</v>
      </c>
      <c r="AB231" s="1" t="s">
        <v>959</v>
      </c>
      <c r="AD231" s="13">
        <f t="shared" ca="1" si="162"/>
        <v>2</v>
      </c>
      <c r="AE231" s="13">
        <f t="shared" ca="1" si="163"/>
        <v>0.92227601618719668</v>
      </c>
      <c r="AF231" s="1" t="s">
        <v>886</v>
      </c>
      <c r="AH231" s="13">
        <f t="shared" ca="1" si="164"/>
        <v>4</v>
      </c>
      <c r="AI231" s="13">
        <f t="shared" ca="1" si="165"/>
        <v>0.59501810893081819</v>
      </c>
      <c r="AJ231" s="1" t="s">
        <v>1067</v>
      </c>
    </row>
    <row r="232" spans="18:36" x14ac:dyDescent="0.25">
      <c r="R232" s="13">
        <f t="shared" ca="1" si="166"/>
        <v>6</v>
      </c>
      <c r="S232" s="13">
        <f t="shared" ca="1" si="159"/>
        <v>0.42081042473401753</v>
      </c>
      <c r="T232" s="1" t="s">
        <v>1045</v>
      </c>
      <c r="V232" s="13">
        <f t="shared" ca="1" si="167"/>
        <v>5</v>
      </c>
      <c r="W232" s="13">
        <f t="shared" ca="1" si="160"/>
        <v>0.49567890179221874</v>
      </c>
      <c r="X232" s="1" t="s">
        <v>1049</v>
      </c>
      <c r="Z232" s="13">
        <f t="shared" ca="1" si="168"/>
        <v>11</v>
      </c>
      <c r="AA232" s="13">
        <f t="shared" ca="1" si="161"/>
        <v>0.12159760330760683</v>
      </c>
      <c r="AB232" s="1" t="s">
        <v>987</v>
      </c>
    </row>
    <row r="233" spans="18:36" x14ac:dyDescent="0.25">
      <c r="R233" s="13">
        <f t="shared" ca="1" si="166"/>
        <v>4</v>
      </c>
      <c r="S233" s="13">
        <f t="shared" ca="1" si="159"/>
        <v>0.48071577567453849</v>
      </c>
      <c r="T233" s="1" t="s">
        <v>1057</v>
      </c>
      <c r="V233" s="13">
        <f t="shared" ca="1" si="167"/>
        <v>2</v>
      </c>
      <c r="W233" s="13">
        <f t="shared" ca="1" si="160"/>
        <v>0.77271823345133017</v>
      </c>
      <c r="X233" s="1" t="s">
        <v>1052</v>
      </c>
      <c r="Z233" s="13">
        <f t="shared" ca="1" si="168"/>
        <v>9</v>
      </c>
      <c r="AA233" s="13">
        <f t="shared" ca="1" si="161"/>
        <v>0.18834886498546766</v>
      </c>
      <c r="AB233" s="1" t="s">
        <v>994</v>
      </c>
    </row>
    <row r="234" spans="18:36" x14ac:dyDescent="0.25">
      <c r="R234" s="13">
        <f t="shared" ca="1" si="166"/>
        <v>8</v>
      </c>
      <c r="S234" s="13">
        <f t="shared" ca="1" si="159"/>
        <v>0.32537338716388997</v>
      </c>
      <c r="T234" s="1" t="s">
        <v>1075</v>
      </c>
      <c r="V234" s="13">
        <f t="shared" ca="1" si="167"/>
        <v>6</v>
      </c>
      <c r="W234" s="13">
        <f t="shared" ca="1" si="160"/>
        <v>0.46115788321938966</v>
      </c>
      <c r="X234" s="1" t="s">
        <v>1076</v>
      </c>
      <c r="Z234" s="13">
        <f t="shared" ca="1" si="168"/>
        <v>12</v>
      </c>
      <c r="AA234" s="13">
        <f t="shared" ca="1" si="161"/>
        <v>0.11521772241499306</v>
      </c>
      <c r="AB234" s="1" t="s">
        <v>1036</v>
      </c>
    </row>
    <row r="235" spans="18:36" x14ac:dyDescent="0.25">
      <c r="R235" s="13">
        <f t="shared" ca="1" si="166"/>
        <v>2</v>
      </c>
      <c r="S235" s="13">
        <f t="shared" ca="1" si="159"/>
        <v>0.80586337977864309</v>
      </c>
      <c r="T235" s="1" t="s">
        <v>1107</v>
      </c>
      <c r="V235" s="13">
        <f t="shared" ca="1" si="167"/>
        <v>7</v>
      </c>
      <c r="W235" s="13">
        <f t="shared" ca="1" si="160"/>
        <v>0.44809478490755328</v>
      </c>
      <c r="X235" s="1" t="s">
        <v>1089</v>
      </c>
      <c r="Z235" s="13">
        <f t="shared" ca="1" si="168"/>
        <v>2</v>
      </c>
      <c r="AA235" s="13">
        <f t="shared" ca="1" si="161"/>
        <v>0.8976219844619634</v>
      </c>
      <c r="AB235" s="1" t="s">
        <v>1080</v>
      </c>
    </row>
    <row r="236" spans="18:36" x14ac:dyDescent="0.25">
      <c r="R236" s="13">
        <f t="shared" ca="1" si="166"/>
        <v>5</v>
      </c>
      <c r="S236" s="13">
        <f t="shared" ca="1" si="159"/>
        <v>0.44142065858934254</v>
      </c>
      <c r="T236" s="1" t="s">
        <v>1109</v>
      </c>
      <c r="V236" s="13">
        <f t="shared" ca="1" si="167"/>
        <v>1</v>
      </c>
      <c r="W236" s="13">
        <f t="shared" ca="1" si="160"/>
        <v>0.91294308090712473</v>
      </c>
      <c r="X236" s="1" t="s">
        <v>1097</v>
      </c>
      <c r="Z236" s="13">
        <f t="shared" ca="1" si="168"/>
        <v>1</v>
      </c>
      <c r="AA236" s="13">
        <f t="shared" ca="1" si="161"/>
        <v>0.97896935575624711</v>
      </c>
      <c r="AB236" s="1" t="s">
        <v>1083</v>
      </c>
    </row>
    <row r="237" spans="18:36" x14ac:dyDescent="0.25">
      <c r="R237" s="13">
        <f t="shared" ca="1" si="166"/>
        <v>3</v>
      </c>
      <c r="S237" s="13">
        <f t="shared" ca="1" si="159"/>
        <v>0.6420142941659297</v>
      </c>
      <c r="T237" s="1" t="s">
        <v>946</v>
      </c>
      <c r="V237" s="13">
        <f t="shared" ca="1" si="167"/>
        <v>8</v>
      </c>
      <c r="W237" s="13">
        <f t="shared" ca="1" si="160"/>
        <v>0.43355281574300886</v>
      </c>
      <c r="X237" s="1" t="s">
        <v>1103</v>
      </c>
      <c r="Z237" s="13">
        <f t="shared" ca="1" si="168"/>
        <v>10</v>
      </c>
      <c r="AA237" s="13">
        <f t="shared" ca="1" si="161"/>
        <v>0.15609792721104476</v>
      </c>
      <c r="AB237" s="1" t="s">
        <v>820</v>
      </c>
    </row>
    <row r="238" spans="18:36" x14ac:dyDescent="0.25">
      <c r="R238" s="13">
        <f t="shared" ca="1" si="166"/>
        <v>7</v>
      </c>
      <c r="S238" s="13">
        <f t="shared" ca="1" si="159"/>
        <v>0.40685679790731888</v>
      </c>
      <c r="T238" s="1" t="s">
        <v>1100</v>
      </c>
      <c r="V238" s="13">
        <f t="shared" ca="1" si="167"/>
        <v>13</v>
      </c>
      <c r="W238" s="13">
        <f t="shared" ca="1" si="160"/>
        <v>0.10827636180411615</v>
      </c>
      <c r="X238" s="1" t="s">
        <v>899</v>
      </c>
      <c r="Z238" s="13">
        <f t="shared" ca="1" si="168"/>
        <v>13</v>
      </c>
      <c r="AA238" s="13">
        <f t="shared" ca="1" si="161"/>
        <v>0.10901540599034176</v>
      </c>
      <c r="AB238" s="1" t="s">
        <v>1046</v>
      </c>
    </row>
    <row r="239" spans="18:36" x14ac:dyDescent="0.25">
      <c r="V239" s="13">
        <f t="shared" ca="1" si="167"/>
        <v>11</v>
      </c>
      <c r="W239" s="13">
        <f t="shared" ca="1" si="160"/>
        <v>0.37758166652593694</v>
      </c>
      <c r="X239" s="1" t="s">
        <v>1065</v>
      </c>
    </row>
    <row r="241" spans="2:52" ht="15.75" thickBot="1" x14ac:dyDescent="0.3">
      <c r="B241" s="2" t="s">
        <v>1173</v>
      </c>
      <c r="C241" s="18" t="s">
        <v>1130</v>
      </c>
      <c r="D241" s="2">
        <v>1</v>
      </c>
      <c r="E241" s="2">
        <v>2</v>
      </c>
      <c r="F241" s="2">
        <v>3</v>
      </c>
      <c r="G241" s="2">
        <v>4</v>
      </c>
      <c r="H241" s="2">
        <v>5</v>
      </c>
      <c r="I241" s="2">
        <v>6</v>
      </c>
      <c r="J241" s="2">
        <v>7</v>
      </c>
      <c r="K241" s="2">
        <v>8</v>
      </c>
      <c r="L241" s="2">
        <v>9</v>
      </c>
      <c r="N241" s="2" t="s">
        <v>1208</v>
      </c>
      <c r="O241" s="2"/>
      <c r="P241" s="2"/>
      <c r="R241" s="2" t="s">
        <v>1209</v>
      </c>
      <c r="S241" s="2"/>
      <c r="T241" s="2"/>
      <c r="V241" s="2" t="s">
        <v>1210</v>
      </c>
      <c r="W241" s="2"/>
      <c r="X241" s="2"/>
      <c r="Z241" s="2" t="s">
        <v>1211</v>
      </c>
      <c r="AA241" s="2"/>
      <c r="AB241" s="2"/>
      <c r="AD241" s="21" t="s">
        <v>1212</v>
      </c>
      <c r="AE241" s="21"/>
      <c r="AF241" s="2"/>
      <c r="AH241" s="2" t="s">
        <v>1213</v>
      </c>
      <c r="AI241" s="2"/>
      <c r="AJ241" s="2"/>
      <c r="AL241" s="2" t="s">
        <v>1214</v>
      </c>
      <c r="AM241" s="2"/>
      <c r="AN241" s="2"/>
      <c r="AP241" s="2" t="s">
        <v>1215</v>
      </c>
      <c r="AQ241" s="2"/>
      <c r="AR241" s="2"/>
      <c r="AT241" s="2" t="s">
        <v>1216</v>
      </c>
      <c r="AU241" s="2"/>
      <c r="AV241" s="2"/>
      <c r="AX241" s="2" t="s">
        <v>1217</v>
      </c>
      <c r="AY241" s="2"/>
      <c r="AZ241" s="2"/>
    </row>
    <row r="242" spans="2:52" ht="15.75" thickBot="1" x14ac:dyDescent="0.3">
      <c r="B242" s="1">
        <v>1</v>
      </c>
      <c r="C242" s="17">
        <v>2</v>
      </c>
      <c r="D242" s="1">
        <v>2</v>
      </c>
      <c r="E242" s="1">
        <v>0</v>
      </c>
      <c r="F242" s="1">
        <v>0</v>
      </c>
      <c r="G242" s="1">
        <v>0</v>
      </c>
      <c r="H242" s="1">
        <v>0</v>
      </c>
      <c r="I242" s="1">
        <v>0</v>
      </c>
      <c r="J242" s="1">
        <v>0</v>
      </c>
      <c r="K242" s="1">
        <v>0</v>
      </c>
      <c r="L242" s="1">
        <v>0</v>
      </c>
      <c r="N242" s="13">
        <f t="shared" ref="N242:N257" ca="1" si="169">_xlfn.RANK.EQ(O242,O$242:O$257)</f>
        <v>9</v>
      </c>
      <c r="O242" s="13">
        <f t="shared" ref="O242:O257" ca="1" si="170">RAND()</f>
        <v>0.41548372399005407</v>
      </c>
      <c r="P242" s="1" t="s">
        <v>752</v>
      </c>
      <c r="R242" s="13">
        <f t="shared" ref="R242:R271" ca="1" si="171">_xlfn.RANK.EQ(S242,S$242:S$271)</f>
        <v>9</v>
      </c>
      <c r="S242" s="13">
        <f t="shared" ref="S242:S262" ca="1" si="172">RAND()</f>
        <v>0.53196991103282243</v>
      </c>
      <c r="T242" s="1" t="s">
        <v>760</v>
      </c>
      <c r="V242" s="13">
        <f t="shared" ref="V242:V275" ca="1" si="173">_xlfn.RANK.EQ(W242,W$242:W$275)</f>
        <v>2</v>
      </c>
      <c r="W242" s="13">
        <f t="shared" ref="W242:W275" ca="1" si="174">RAND()</f>
        <v>0.91894932148438457</v>
      </c>
      <c r="X242" s="1" t="s">
        <v>769</v>
      </c>
      <c r="Z242" s="13">
        <f t="shared" ref="Z242:Z270" ca="1" si="175">_xlfn.RANK.EQ(AA242,AA$242:AA$270)</f>
        <v>11</v>
      </c>
      <c r="AA242" s="13">
        <f t="shared" ref="AA242:AA270" ca="1" si="176">RAND()</f>
        <v>0.59944871329116067</v>
      </c>
      <c r="AB242" s="1" t="s">
        <v>753</v>
      </c>
      <c r="AD242" s="13">
        <f t="shared" ref="AD242:AD264" ca="1" si="177">_xlfn.RANK.EQ(AE242,AE$242:AE$264)</f>
        <v>6</v>
      </c>
      <c r="AE242" s="13">
        <f t="shared" ref="AE242:AE264" ca="1" si="178">RAND()</f>
        <v>0.62172412110453268</v>
      </c>
      <c r="AF242" s="1" t="s">
        <v>754</v>
      </c>
      <c r="AH242" s="13">
        <f t="shared" ref="AH242:AH264" ca="1" si="179">_xlfn.RANK.EQ(AI242,AI$242:AI$264)</f>
        <v>1</v>
      </c>
      <c r="AI242" s="13">
        <f t="shared" ref="AI242:AI264" ca="1" si="180">RAND()</f>
        <v>0.95679907883613147</v>
      </c>
      <c r="AJ242" s="1" t="s">
        <v>755</v>
      </c>
      <c r="AL242" s="13">
        <f t="shared" ref="AL242:AL260" ca="1" si="181">_xlfn.RANK.EQ(AM242,AM$242:AM$260)</f>
        <v>18</v>
      </c>
      <c r="AM242" s="13">
        <f t="shared" ref="AM242:AM260" ca="1" si="182">RAND()</f>
        <v>7.9760450364063318E-2</v>
      </c>
      <c r="AN242" s="1" t="s">
        <v>756</v>
      </c>
      <c r="AP242" s="13">
        <f t="shared" ref="AP242:AP256" ca="1" si="183">_xlfn.RANK.EQ(AQ242,AQ$242:AQ$256)</f>
        <v>8</v>
      </c>
      <c r="AQ242" s="13">
        <f t="shared" ref="AQ242:AQ256" ca="1" si="184">RAND()</f>
        <v>0.68435242367391902</v>
      </c>
      <c r="AR242" s="1" t="s">
        <v>773</v>
      </c>
      <c r="AT242" s="13">
        <f t="shared" ref="AT242:AT255" ca="1" si="185">_xlfn.RANK.EQ(AU242,AU$242:AU$255)</f>
        <v>4</v>
      </c>
      <c r="AU242" s="13">
        <f t="shared" ref="AU242:AU255" ca="1" si="186">RAND()</f>
        <v>0.88187871687918218</v>
      </c>
      <c r="AV242" s="1" t="s">
        <v>774</v>
      </c>
      <c r="AX242" s="13">
        <f t="shared" ref="AX242:AX253" ca="1" si="187">_xlfn.RANK.EQ(AY242,AY$242:AY$253)</f>
        <v>9</v>
      </c>
      <c r="AY242" s="13">
        <f t="shared" ref="AY242:AY253" ca="1" si="188">RAND()</f>
        <v>0.51677188908808247</v>
      </c>
      <c r="AZ242" s="1" t="s">
        <v>758</v>
      </c>
    </row>
    <row r="243" spans="2:52" ht="15.75" thickBot="1" x14ac:dyDescent="0.3">
      <c r="B243" s="1">
        <v>2</v>
      </c>
      <c r="C243" s="17">
        <v>3</v>
      </c>
      <c r="D243" s="1">
        <v>3</v>
      </c>
      <c r="E243" s="1">
        <v>0</v>
      </c>
      <c r="F243" s="1">
        <v>0</v>
      </c>
      <c r="G243" s="1">
        <v>0</v>
      </c>
      <c r="H243" s="1">
        <v>0</v>
      </c>
      <c r="I243" s="1">
        <v>0</v>
      </c>
      <c r="J243" s="1">
        <v>0</v>
      </c>
      <c r="K243" s="1">
        <v>0</v>
      </c>
      <c r="L243" s="1">
        <v>0</v>
      </c>
      <c r="N243" s="13">
        <f t="shared" ca="1" si="169"/>
        <v>12</v>
      </c>
      <c r="O243" s="13">
        <f t="shared" ca="1" si="170"/>
        <v>0.3250085639676854</v>
      </c>
      <c r="P243" s="1" t="s">
        <v>759</v>
      </c>
      <c r="R243" s="13">
        <f t="shared" ca="1" si="171"/>
        <v>16</v>
      </c>
      <c r="S243" s="13">
        <f t="shared" ca="1" si="172"/>
        <v>0.33760813179701399</v>
      </c>
      <c r="T243" s="1" t="s">
        <v>828</v>
      </c>
      <c r="V243" s="13">
        <f t="shared" ca="1" si="173"/>
        <v>22</v>
      </c>
      <c r="W243" s="13">
        <f t="shared" ca="1" si="174"/>
        <v>0.44730592429724481</v>
      </c>
      <c r="X243" s="1" t="s">
        <v>786</v>
      </c>
      <c r="Z243" s="13">
        <f t="shared" ca="1" si="175"/>
        <v>23</v>
      </c>
      <c r="AA243" s="13">
        <f t="shared" ca="1" si="176"/>
        <v>0.2845151409672928</v>
      </c>
      <c r="AB243" s="1" t="s">
        <v>778</v>
      </c>
      <c r="AD243" s="13">
        <f t="shared" ca="1" si="177"/>
        <v>20</v>
      </c>
      <c r="AE243" s="13">
        <f t="shared" ca="1" si="178"/>
        <v>0.18419731139356699</v>
      </c>
      <c r="AF243" s="1" t="s">
        <v>779</v>
      </c>
      <c r="AH243" s="13">
        <f t="shared" ca="1" si="179"/>
        <v>19</v>
      </c>
      <c r="AI243" s="13">
        <f t="shared" ca="1" si="180"/>
        <v>0.28763570448003406</v>
      </c>
      <c r="AJ243" s="1" t="s">
        <v>789</v>
      </c>
      <c r="AL243" s="13">
        <f t="shared" ca="1" si="181"/>
        <v>10</v>
      </c>
      <c r="AM243" s="13">
        <f t="shared" ca="1" si="182"/>
        <v>0.64632903594369873</v>
      </c>
      <c r="AN243" s="1" t="s">
        <v>781</v>
      </c>
      <c r="AP243" s="13">
        <f t="shared" ca="1" si="183"/>
        <v>13</v>
      </c>
      <c r="AQ243" s="13">
        <f t="shared" ca="1" si="184"/>
        <v>0.46122204263249422</v>
      </c>
      <c r="AR243" s="1" t="s">
        <v>791</v>
      </c>
      <c r="AT243" s="13">
        <f t="shared" ca="1" si="185"/>
        <v>12</v>
      </c>
      <c r="AU243" s="13">
        <f t="shared" ca="1" si="186"/>
        <v>0.36214405779401648</v>
      </c>
      <c r="AV243" s="1" t="s">
        <v>783</v>
      </c>
      <c r="AX243" s="13">
        <f t="shared" ca="1" si="187"/>
        <v>2</v>
      </c>
      <c r="AY243" s="13">
        <f t="shared" ca="1" si="188"/>
        <v>0.85095846804190189</v>
      </c>
      <c r="AZ243" s="1" t="s">
        <v>767</v>
      </c>
    </row>
    <row r="244" spans="2:52" ht="15.75" thickBot="1" x14ac:dyDescent="0.3">
      <c r="B244" s="1">
        <v>3</v>
      </c>
      <c r="C244" s="17">
        <v>3</v>
      </c>
      <c r="D244" s="1">
        <v>4</v>
      </c>
      <c r="E244" s="1">
        <v>2</v>
      </c>
      <c r="F244" s="1">
        <v>0</v>
      </c>
      <c r="G244" s="1">
        <v>0</v>
      </c>
      <c r="H244" s="1">
        <v>0</v>
      </c>
      <c r="I244" s="1">
        <v>0</v>
      </c>
      <c r="J244" s="1">
        <v>0</v>
      </c>
      <c r="K244" s="1">
        <v>0</v>
      </c>
      <c r="L244" s="1">
        <v>0</v>
      </c>
      <c r="N244" s="13">
        <f t="shared" ca="1" si="169"/>
        <v>16</v>
      </c>
      <c r="O244" s="13">
        <f t="shared" ca="1" si="170"/>
        <v>6.7373396382265915E-2</v>
      </c>
      <c r="P244" s="1" t="s">
        <v>776</v>
      </c>
      <c r="R244" s="13">
        <f t="shared" ca="1" si="171"/>
        <v>3</v>
      </c>
      <c r="S244" s="13">
        <f t="shared" ca="1" si="172"/>
        <v>0.88903714528587829</v>
      </c>
      <c r="T244" s="1" t="s">
        <v>867</v>
      </c>
      <c r="V244" s="13">
        <f t="shared" ca="1" si="173"/>
        <v>10</v>
      </c>
      <c r="W244" s="13">
        <f t="shared" ca="1" si="174"/>
        <v>0.75288659888689013</v>
      </c>
      <c r="X244" s="1" t="s">
        <v>819</v>
      </c>
      <c r="Z244" s="13">
        <f t="shared" ca="1" si="175"/>
        <v>18</v>
      </c>
      <c r="AA244" s="13">
        <f t="shared" ca="1" si="176"/>
        <v>0.43646505978402783</v>
      </c>
      <c r="AB244" s="1" t="s">
        <v>795</v>
      </c>
      <c r="AD244" s="13">
        <f t="shared" ca="1" si="177"/>
        <v>1</v>
      </c>
      <c r="AE244" s="13">
        <f t="shared" ca="1" si="178"/>
        <v>0.99706502449514811</v>
      </c>
      <c r="AF244" s="1" t="s">
        <v>788</v>
      </c>
      <c r="AH244" s="13">
        <f t="shared" ca="1" si="179"/>
        <v>7</v>
      </c>
      <c r="AI244" s="13">
        <f t="shared" ca="1" si="180"/>
        <v>0.71065197059611629</v>
      </c>
      <c r="AJ244" s="1" t="s">
        <v>806</v>
      </c>
      <c r="AL244" s="13">
        <f t="shared" ca="1" si="181"/>
        <v>11</v>
      </c>
      <c r="AM244" s="13">
        <f t="shared" ca="1" si="182"/>
        <v>0.63184724659086222</v>
      </c>
      <c r="AN244" s="1" t="s">
        <v>790</v>
      </c>
      <c r="AP244" s="13">
        <f t="shared" ca="1" si="183"/>
        <v>1</v>
      </c>
      <c r="AQ244" s="13">
        <f t="shared" ca="1" si="184"/>
        <v>0.99908326893588506</v>
      </c>
      <c r="AR244" s="1" t="s">
        <v>798</v>
      </c>
      <c r="AT244" s="13">
        <f t="shared" ca="1" si="185"/>
        <v>14</v>
      </c>
      <c r="AU244" s="13">
        <f t="shared" ca="1" si="186"/>
        <v>0.20811203061945727</v>
      </c>
      <c r="AV244" s="1" t="s">
        <v>792</v>
      </c>
      <c r="AX244" s="13">
        <f t="shared" ca="1" si="187"/>
        <v>7</v>
      </c>
      <c r="AY244" s="13">
        <f t="shared" ca="1" si="188"/>
        <v>0.63490148891225828</v>
      </c>
      <c r="AZ244" s="1" t="s">
        <v>775</v>
      </c>
    </row>
    <row r="245" spans="2:52" ht="15.75" thickBot="1" x14ac:dyDescent="0.3">
      <c r="B245" s="1">
        <v>4</v>
      </c>
      <c r="C245" s="17">
        <v>4</v>
      </c>
      <c r="D245" s="1">
        <v>4</v>
      </c>
      <c r="E245" s="1">
        <v>3</v>
      </c>
      <c r="F245" s="1">
        <v>0</v>
      </c>
      <c r="G245" s="1">
        <v>0</v>
      </c>
      <c r="H245" s="1">
        <v>0</v>
      </c>
      <c r="I245" s="1">
        <v>0</v>
      </c>
      <c r="J245" s="1">
        <v>0</v>
      </c>
      <c r="K245" s="1">
        <v>0</v>
      </c>
      <c r="L245" s="1">
        <v>0</v>
      </c>
      <c r="N245" s="13">
        <f t="shared" ca="1" si="169"/>
        <v>11</v>
      </c>
      <c r="O245" s="13">
        <f t="shared" ca="1" si="170"/>
        <v>0.32781021184289572</v>
      </c>
      <c r="P245" s="1" t="s">
        <v>801</v>
      </c>
      <c r="R245" s="13">
        <f t="shared" ca="1" si="171"/>
        <v>28</v>
      </c>
      <c r="S245" s="13">
        <f t="shared" ca="1" si="172"/>
        <v>6.2888038732978879E-2</v>
      </c>
      <c r="T245" s="1" t="s">
        <v>874</v>
      </c>
      <c r="V245" s="13">
        <f t="shared" ca="1" si="173"/>
        <v>16</v>
      </c>
      <c r="W245" s="13">
        <f t="shared" ca="1" si="174"/>
        <v>0.65719142018868903</v>
      </c>
      <c r="X245" s="1" t="s">
        <v>829</v>
      </c>
      <c r="Z245" s="13">
        <f t="shared" ca="1" si="175"/>
        <v>1</v>
      </c>
      <c r="AA245" s="13">
        <f t="shared" ca="1" si="176"/>
        <v>0.97253959258047484</v>
      </c>
      <c r="AB245" s="1" t="s">
        <v>820</v>
      </c>
      <c r="AD245" s="13">
        <f t="shared" ca="1" si="177"/>
        <v>17</v>
      </c>
      <c r="AE245" s="13">
        <f t="shared" ca="1" si="178"/>
        <v>0.24439125515420601</v>
      </c>
      <c r="AF245" s="1" t="s">
        <v>812</v>
      </c>
      <c r="AH245" s="13">
        <f t="shared" ca="1" si="179"/>
        <v>23</v>
      </c>
      <c r="AI245" s="13">
        <f t="shared" ca="1" si="180"/>
        <v>6.6061074791979202E-2</v>
      </c>
      <c r="AJ245" s="1" t="s">
        <v>832</v>
      </c>
      <c r="AL245" s="13">
        <f t="shared" ca="1" si="181"/>
        <v>16</v>
      </c>
      <c r="AM245" s="13">
        <f t="shared" ca="1" si="182"/>
        <v>0.15501356911479558</v>
      </c>
      <c r="AN245" s="1" t="s">
        <v>807</v>
      </c>
      <c r="AP245" s="13">
        <f t="shared" ca="1" si="183"/>
        <v>2</v>
      </c>
      <c r="AQ245" s="13">
        <f t="shared" ca="1" si="184"/>
        <v>0.97880654768045061</v>
      </c>
      <c r="AR245" s="1" t="s">
        <v>814</v>
      </c>
      <c r="AT245" s="13">
        <f t="shared" ca="1" si="185"/>
        <v>11</v>
      </c>
      <c r="AU245" s="13">
        <f t="shared" ca="1" si="186"/>
        <v>0.38174494839243178</v>
      </c>
      <c r="AV245" s="1" t="s">
        <v>799</v>
      </c>
      <c r="AX245" s="13">
        <f t="shared" ca="1" si="187"/>
        <v>3</v>
      </c>
      <c r="AY245" s="13">
        <f t="shared" ca="1" si="188"/>
        <v>0.85062185141861124</v>
      </c>
      <c r="AZ245" s="1" t="s">
        <v>784</v>
      </c>
    </row>
    <row r="246" spans="2:52" ht="15.75" thickBot="1" x14ac:dyDescent="0.3">
      <c r="B246" s="1">
        <v>5</v>
      </c>
      <c r="C246" s="17">
        <v>4</v>
      </c>
      <c r="D246" s="1">
        <v>4</v>
      </c>
      <c r="E246" s="1">
        <v>3</v>
      </c>
      <c r="F246" s="1">
        <v>2</v>
      </c>
      <c r="G246" s="1">
        <v>0</v>
      </c>
      <c r="H246" s="1">
        <v>0</v>
      </c>
      <c r="I246" s="1">
        <v>0</v>
      </c>
      <c r="J246" s="1">
        <v>0</v>
      </c>
      <c r="K246" s="1">
        <v>0</v>
      </c>
      <c r="L246" s="1">
        <v>0</v>
      </c>
      <c r="N246" s="13">
        <f t="shared" ca="1" si="169"/>
        <v>8</v>
      </c>
      <c r="O246" s="13">
        <f t="shared" ca="1" si="170"/>
        <v>0.46523057022768766</v>
      </c>
      <c r="P246" s="1" t="s">
        <v>827</v>
      </c>
      <c r="R246" s="13">
        <f t="shared" ca="1" si="171"/>
        <v>27</v>
      </c>
      <c r="S246" s="13">
        <f t="shared" ca="1" si="172"/>
        <v>9.9943918992977721E-2</v>
      </c>
      <c r="T246" s="1" t="s">
        <v>883</v>
      </c>
      <c r="V246" s="13">
        <f t="shared" ca="1" si="173"/>
        <v>31</v>
      </c>
      <c r="W246" s="13">
        <f t="shared" ca="1" si="174"/>
        <v>6.952037583949755E-2</v>
      </c>
      <c r="X246" s="1" t="s">
        <v>852</v>
      </c>
      <c r="Z246" s="13">
        <f t="shared" ca="1" si="175"/>
        <v>14</v>
      </c>
      <c r="AA246" s="13">
        <f t="shared" ca="1" si="176"/>
        <v>0.55504177466594629</v>
      </c>
      <c r="AB246" s="1" t="s">
        <v>847</v>
      </c>
      <c r="AD246" s="13">
        <f t="shared" ca="1" si="177"/>
        <v>22</v>
      </c>
      <c r="AE246" s="13">
        <f t="shared" ca="1" si="178"/>
        <v>4.9535469239793239E-2</v>
      </c>
      <c r="AF246" s="1" t="s">
        <v>821</v>
      </c>
      <c r="AH246" s="13">
        <f t="shared" ca="1" si="179"/>
        <v>6</v>
      </c>
      <c r="AI246" s="13">
        <f t="shared" ca="1" si="180"/>
        <v>0.83349543394524994</v>
      </c>
      <c r="AJ246" s="1" t="s">
        <v>841</v>
      </c>
      <c r="AL246" s="13">
        <f t="shared" ca="1" si="181"/>
        <v>6</v>
      </c>
      <c r="AM246" s="13">
        <f t="shared" ca="1" si="182"/>
        <v>0.83372598275775389</v>
      </c>
      <c r="AN246" s="1" t="s">
        <v>823</v>
      </c>
      <c r="AP246" s="13">
        <f t="shared" ca="1" si="183"/>
        <v>11</v>
      </c>
      <c r="AQ246" s="13">
        <f t="shared" ca="1" si="184"/>
        <v>0.57793758149853247</v>
      </c>
      <c r="AR246" s="1" t="s">
        <v>824</v>
      </c>
      <c r="AT246" s="13">
        <f t="shared" ca="1" si="185"/>
        <v>2</v>
      </c>
      <c r="AU246" s="13">
        <f t="shared" ca="1" si="186"/>
        <v>0.90975304379252242</v>
      </c>
      <c r="AV246" s="1" t="s">
        <v>809</v>
      </c>
      <c r="AX246" s="13">
        <f t="shared" ca="1" si="187"/>
        <v>4</v>
      </c>
      <c r="AY246" s="13">
        <f t="shared" ca="1" si="188"/>
        <v>0.83502822333681914</v>
      </c>
      <c r="AZ246" s="1" t="s">
        <v>816</v>
      </c>
    </row>
    <row r="247" spans="2:52" ht="15.75" thickBot="1" x14ac:dyDescent="0.3">
      <c r="B247" s="1">
        <v>6</v>
      </c>
      <c r="C247" s="17">
        <v>4</v>
      </c>
      <c r="D247" s="1">
        <v>4</v>
      </c>
      <c r="E247" s="1">
        <v>3</v>
      </c>
      <c r="F247" s="1">
        <v>3</v>
      </c>
      <c r="G247" s="1">
        <v>0</v>
      </c>
      <c r="H247" s="1">
        <v>0</v>
      </c>
      <c r="I247" s="1">
        <v>0</v>
      </c>
      <c r="J247" s="1">
        <v>0</v>
      </c>
      <c r="K247" s="1">
        <v>0</v>
      </c>
      <c r="L247" s="1">
        <v>0</v>
      </c>
      <c r="N247" s="13">
        <f t="shared" ca="1" si="169"/>
        <v>7</v>
      </c>
      <c r="O247" s="13">
        <f t="shared" ca="1" si="170"/>
        <v>0.64612694204992682</v>
      </c>
      <c r="P247" s="1" t="s">
        <v>837</v>
      </c>
      <c r="R247" s="13">
        <f t="shared" ca="1" si="171"/>
        <v>23</v>
      </c>
      <c r="S247" s="13">
        <f t="shared" ca="1" si="172"/>
        <v>0.2413202898854262</v>
      </c>
      <c r="T247" s="1" t="s">
        <v>905</v>
      </c>
      <c r="V247" s="13">
        <f t="shared" ca="1" si="173"/>
        <v>24</v>
      </c>
      <c r="W247" s="13">
        <f t="shared" ca="1" si="174"/>
        <v>0.36931569178937418</v>
      </c>
      <c r="X247" s="1" t="s">
        <v>859</v>
      </c>
      <c r="Z247" s="13">
        <f t="shared" ca="1" si="175"/>
        <v>17</v>
      </c>
      <c r="AA247" s="13">
        <f t="shared" ca="1" si="176"/>
        <v>0.46216304601182223</v>
      </c>
      <c r="AB247" s="1" t="s">
        <v>876</v>
      </c>
      <c r="AD247" s="13">
        <f t="shared" ca="1" si="177"/>
        <v>21</v>
      </c>
      <c r="AE247" s="13">
        <f t="shared" ca="1" si="178"/>
        <v>8.6802615039574871E-2</v>
      </c>
      <c r="AF247" s="1" t="s">
        <v>840</v>
      </c>
      <c r="AH247" s="13">
        <f t="shared" ca="1" si="179"/>
        <v>10</v>
      </c>
      <c r="AI247" s="13">
        <f t="shared" ca="1" si="180"/>
        <v>0.58401252887974853</v>
      </c>
      <c r="AJ247" s="1" t="s">
        <v>855</v>
      </c>
      <c r="AL247" s="13">
        <f t="shared" ca="1" si="181"/>
        <v>13</v>
      </c>
      <c r="AM247" s="13">
        <f t="shared" ca="1" si="182"/>
        <v>0.46722609450743702</v>
      </c>
      <c r="AN247" s="1" t="s">
        <v>833</v>
      </c>
      <c r="AP247" s="13">
        <f t="shared" ca="1" si="183"/>
        <v>12</v>
      </c>
      <c r="AQ247" s="13">
        <f t="shared" ca="1" si="184"/>
        <v>0.52497777251678002</v>
      </c>
      <c r="AR247" s="1" t="s">
        <v>1231</v>
      </c>
      <c r="AT247" s="13">
        <f t="shared" ca="1" si="185"/>
        <v>6</v>
      </c>
      <c r="AU247" s="13">
        <f t="shared" ca="1" si="186"/>
        <v>0.69145517421524205</v>
      </c>
      <c r="AV247" s="1" t="s">
        <v>815</v>
      </c>
      <c r="AX247" s="13">
        <f t="shared" ca="1" si="187"/>
        <v>1</v>
      </c>
      <c r="AY247" s="13">
        <f t="shared" ca="1" si="188"/>
        <v>0.97047903725947116</v>
      </c>
      <c r="AZ247" s="1" t="s">
        <v>836</v>
      </c>
    </row>
    <row r="248" spans="2:52" ht="15.75" thickBot="1" x14ac:dyDescent="0.3">
      <c r="B248" s="1">
        <v>7</v>
      </c>
      <c r="C248" s="17">
        <v>4</v>
      </c>
      <c r="D248" s="1">
        <v>4</v>
      </c>
      <c r="E248" s="1">
        <v>3</v>
      </c>
      <c r="F248" s="1">
        <v>3</v>
      </c>
      <c r="G248" s="1">
        <v>1</v>
      </c>
      <c r="H248" s="1">
        <v>0</v>
      </c>
      <c r="I248" s="1">
        <v>0</v>
      </c>
      <c r="J248" s="1">
        <v>0</v>
      </c>
      <c r="K248" s="1">
        <v>0</v>
      </c>
      <c r="L248" s="1">
        <v>0</v>
      </c>
      <c r="N248" s="13">
        <f t="shared" ca="1" si="169"/>
        <v>3</v>
      </c>
      <c r="O248" s="13">
        <f t="shared" ca="1" si="170"/>
        <v>0.88077400591994759</v>
      </c>
      <c r="P248" s="1" t="s">
        <v>882</v>
      </c>
      <c r="R248" s="13">
        <f t="shared" ca="1" si="171"/>
        <v>20</v>
      </c>
      <c r="S248" s="13">
        <f t="shared" ca="1" si="172"/>
        <v>0.31774712768925917</v>
      </c>
      <c r="T248" s="1" t="s">
        <v>930</v>
      </c>
      <c r="V248" s="13">
        <f t="shared" ca="1" si="173"/>
        <v>12</v>
      </c>
      <c r="W248" s="13">
        <f t="shared" ca="1" si="174"/>
        <v>0.73726353429671487</v>
      </c>
      <c r="X248" s="1" t="s">
        <v>1230</v>
      </c>
      <c r="Z248" s="13">
        <f t="shared" ca="1" si="175"/>
        <v>29</v>
      </c>
      <c r="AA248" s="13">
        <f t="shared" ca="1" si="176"/>
        <v>7.0852081625458307E-2</v>
      </c>
      <c r="AB248" s="1" t="s">
        <v>640</v>
      </c>
      <c r="AD248" s="13">
        <f t="shared" ca="1" si="177"/>
        <v>23</v>
      </c>
      <c r="AE248" s="13">
        <f t="shared" ca="1" si="178"/>
        <v>1.0785081058123147E-2</v>
      </c>
      <c r="AF248" s="1" t="s">
        <v>854</v>
      </c>
      <c r="AH248" s="13">
        <f t="shared" ca="1" si="179"/>
        <v>15</v>
      </c>
      <c r="AI248" s="13">
        <f t="shared" ca="1" si="180"/>
        <v>0.47234152536071683</v>
      </c>
      <c r="AJ248" s="1" t="s">
        <v>877</v>
      </c>
      <c r="AL248" s="13">
        <f t="shared" ca="1" si="181"/>
        <v>5</v>
      </c>
      <c r="AM248" s="13">
        <f t="shared" ca="1" si="182"/>
        <v>0.84988062215781279</v>
      </c>
      <c r="AN248" s="1" t="s">
        <v>856</v>
      </c>
      <c r="AP248" s="13">
        <f t="shared" ca="1" si="183"/>
        <v>4</v>
      </c>
      <c r="AQ248" s="13">
        <f t="shared" ca="1" si="184"/>
        <v>0.78002796706484812</v>
      </c>
      <c r="AR248" s="1" t="s">
        <v>843</v>
      </c>
      <c r="AT248" s="13">
        <f t="shared" ca="1" si="185"/>
        <v>5</v>
      </c>
      <c r="AU248" s="13">
        <f t="shared" ca="1" si="186"/>
        <v>0.70327081821380999</v>
      </c>
      <c r="AV248" s="1" t="s">
        <v>835</v>
      </c>
      <c r="AX248" s="13">
        <f t="shared" ca="1" si="187"/>
        <v>8</v>
      </c>
      <c r="AY248" s="13">
        <f t="shared" ca="1" si="188"/>
        <v>0.51862500604813666</v>
      </c>
      <c r="AZ248" s="1" t="s">
        <v>845</v>
      </c>
    </row>
    <row r="249" spans="2:52" ht="15.75" thickBot="1" x14ac:dyDescent="0.3">
      <c r="B249" s="1">
        <v>8</v>
      </c>
      <c r="C249" s="17">
        <v>4</v>
      </c>
      <c r="D249" s="1">
        <v>4</v>
      </c>
      <c r="E249" s="1">
        <v>3</v>
      </c>
      <c r="F249" s="1">
        <v>3</v>
      </c>
      <c r="G249" s="1">
        <v>2</v>
      </c>
      <c r="H249" s="1">
        <v>0</v>
      </c>
      <c r="I249" s="1">
        <v>0</v>
      </c>
      <c r="J249" s="1">
        <v>0</v>
      </c>
      <c r="K249" s="1">
        <v>0</v>
      </c>
      <c r="L249" s="1">
        <v>0</v>
      </c>
      <c r="N249" s="13">
        <f t="shared" ca="1" si="169"/>
        <v>6</v>
      </c>
      <c r="O249" s="13">
        <f t="shared" ca="1" si="170"/>
        <v>0.69157767624149391</v>
      </c>
      <c r="P249" s="1" t="s">
        <v>897</v>
      </c>
      <c r="R249" s="13">
        <f t="shared" ca="1" si="171"/>
        <v>10</v>
      </c>
      <c r="S249" s="13">
        <f t="shared" ca="1" si="172"/>
        <v>0.49169695135315139</v>
      </c>
      <c r="T249" s="1" t="s">
        <v>941</v>
      </c>
      <c r="V249" s="13">
        <f t="shared" ca="1" si="173"/>
        <v>27</v>
      </c>
      <c r="W249" s="13">
        <f t="shared" ca="1" si="174"/>
        <v>0.28646184900631477</v>
      </c>
      <c r="X249" s="1" t="s">
        <v>884</v>
      </c>
      <c r="Z249" s="13">
        <f t="shared" ca="1" si="175"/>
        <v>25</v>
      </c>
      <c r="AA249" s="13">
        <f t="shared" ca="1" si="176"/>
        <v>0.25542581808440334</v>
      </c>
      <c r="AB249" s="1" t="s">
        <v>913</v>
      </c>
      <c r="AD249" s="13">
        <f t="shared" ca="1" si="177"/>
        <v>16</v>
      </c>
      <c r="AE249" s="13">
        <f t="shared" ca="1" si="178"/>
        <v>0.31658251113490188</v>
      </c>
      <c r="AF249" s="1" t="s">
        <v>886</v>
      </c>
      <c r="AH249" s="13">
        <f t="shared" ca="1" si="179"/>
        <v>22</v>
      </c>
      <c r="AI249" s="13">
        <f t="shared" ca="1" si="180"/>
        <v>0.17865801476622456</v>
      </c>
      <c r="AJ249" s="1" t="s">
        <v>915</v>
      </c>
      <c r="AL249" s="13">
        <f t="shared" ca="1" si="181"/>
        <v>2</v>
      </c>
      <c r="AM249" s="13">
        <f t="shared" ca="1" si="182"/>
        <v>0.95270387378947874</v>
      </c>
      <c r="AN249" s="1" t="s">
        <v>871</v>
      </c>
      <c r="AP249" s="13">
        <f t="shared" ca="1" si="183"/>
        <v>6</v>
      </c>
      <c r="AQ249" s="13">
        <f t="shared" ca="1" si="184"/>
        <v>0.7122988279436101</v>
      </c>
      <c r="AR249" s="1" t="s">
        <v>850</v>
      </c>
      <c r="AT249" s="13">
        <f t="shared" ca="1" si="185"/>
        <v>10</v>
      </c>
      <c r="AU249" s="13">
        <f t="shared" ca="1" si="186"/>
        <v>0.41732135285522309</v>
      </c>
      <c r="AV249" s="1" t="s">
        <v>865</v>
      </c>
      <c r="AX249" s="13">
        <f t="shared" ca="1" si="187"/>
        <v>6</v>
      </c>
      <c r="AY249" s="13">
        <f t="shared" ca="1" si="188"/>
        <v>0.68550768646056404</v>
      </c>
      <c r="AZ249" s="1" t="s">
        <v>857</v>
      </c>
    </row>
    <row r="250" spans="2:52" ht="15.75" thickBot="1" x14ac:dyDescent="0.3">
      <c r="B250" s="1">
        <v>9</v>
      </c>
      <c r="C250" s="17">
        <v>4</v>
      </c>
      <c r="D250" s="1">
        <v>4</v>
      </c>
      <c r="E250" s="1">
        <v>3</v>
      </c>
      <c r="F250" s="1">
        <v>3</v>
      </c>
      <c r="G250" s="1">
        <v>3</v>
      </c>
      <c r="H250" s="1">
        <v>1</v>
      </c>
      <c r="I250" s="1">
        <v>0</v>
      </c>
      <c r="J250" s="1">
        <v>0</v>
      </c>
      <c r="K250" s="1">
        <v>0</v>
      </c>
      <c r="L250" s="1">
        <v>0</v>
      </c>
      <c r="N250" s="13">
        <f t="shared" ca="1" si="169"/>
        <v>5</v>
      </c>
      <c r="O250" s="13">
        <f t="shared" ca="1" si="170"/>
        <v>0.70061466172657849</v>
      </c>
      <c r="P250" s="1" t="s">
        <v>911</v>
      </c>
      <c r="R250" s="13">
        <f t="shared" ca="1" si="171"/>
        <v>4</v>
      </c>
      <c r="S250" s="13">
        <f t="shared" ca="1" si="172"/>
        <v>0.7434411913316521</v>
      </c>
      <c r="T250" s="1" t="s">
        <v>974</v>
      </c>
      <c r="V250" s="13">
        <f t="shared" ca="1" si="173"/>
        <v>5</v>
      </c>
      <c r="W250" s="13">
        <f t="shared" ca="1" si="174"/>
        <v>0.90474803584844354</v>
      </c>
      <c r="X250" s="1" t="s">
        <v>891</v>
      </c>
      <c r="Z250" s="13">
        <f t="shared" ca="1" si="175"/>
        <v>28</v>
      </c>
      <c r="AA250" s="13">
        <f t="shared" ca="1" si="176"/>
        <v>8.1054849972467258E-2</v>
      </c>
      <c r="AB250" s="1" t="s">
        <v>921</v>
      </c>
      <c r="AD250" s="13">
        <f t="shared" ca="1" si="177"/>
        <v>4</v>
      </c>
      <c r="AE250" s="13">
        <f t="shared" ca="1" si="178"/>
        <v>0.79735302255650398</v>
      </c>
      <c r="AF250" s="1" t="s">
        <v>892</v>
      </c>
      <c r="AH250" s="13">
        <f t="shared" ca="1" si="179"/>
        <v>4</v>
      </c>
      <c r="AI250" s="13">
        <f t="shared" ca="1" si="180"/>
        <v>0.84527599178528146</v>
      </c>
      <c r="AJ250" s="1" t="s">
        <v>923</v>
      </c>
      <c r="AL250" s="13">
        <f t="shared" ca="1" si="181"/>
        <v>1</v>
      </c>
      <c r="AM250" s="13">
        <f t="shared" ca="1" si="182"/>
        <v>0.99268482607894282</v>
      </c>
      <c r="AN250" s="1" t="s">
        <v>887</v>
      </c>
      <c r="AP250" s="13">
        <f t="shared" ca="1" si="183"/>
        <v>10</v>
      </c>
      <c r="AQ250" s="13">
        <f t="shared" ca="1" si="184"/>
        <v>0.59570673199948765</v>
      </c>
      <c r="AR250" s="1" t="s">
        <v>864</v>
      </c>
      <c r="AT250" s="13">
        <f t="shared" ca="1" si="185"/>
        <v>13</v>
      </c>
      <c r="AU250" s="13">
        <f t="shared" ca="1" si="186"/>
        <v>0.25943181974585494</v>
      </c>
      <c r="AV250" s="1" t="s">
        <v>880</v>
      </c>
      <c r="AX250" s="13">
        <f t="shared" ca="1" si="187"/>
        <v>11</v>
      </c>
      <c r="AY250" s="13">
        <f t="shared" ca="1" si="188"/>
        <v>0.10785856796839088</v>
      </c>
      <c r="AZ250" s="1" t="s">
        <v>873</v>
      </c>
    </row>
    <row r="251" spans="2:52" ht="15.75" thickBot="1" x14ac:dyDescent="0.3">
      <c r="B251" s="1">
        <v>10</v>
      </c>
      <c r="C251" s="17">
        <v>5</v>
      </c>
      <c r="D251" s="1">
        <v>4</v>
      </c>
      <c r="E251" s="1">
        <v>3</v>
      </c>
      <c r="F251" s="1">
        <v>3</v>
      </c>
      <c r="G251" s="1">
        <v>3</v>
      </c>
      <c r="H251" s="1">
        <v>2</v>
      </c>
      <c r="I251" s="1">
        <v>0</v>
      </c>
      <c r="J251" s="1">
        <v>0</v>
      </c>
      <c r="K251" s="1">
        <v>0</v>
      </c>
      <c r="L251" s="1">
        <v>0</v>
      </c>
      <c r="N251" s="13">
        <f t="shared" ca="1" si="169"/>
        <v>10</v>
      </c>
      <c r="O251" s="13">
        <f t="shared" ca="1" si="170"/>
        <v>0.39807605788637368</v>
      </c>
      <c r="P251" s="1" t="s">
        <v>919</v>
      </c>
      <c r="R251" s="13">
        <f t="shared" ca="1" si="171"/>
        <v>14</v>
      </c>
      <c r="S251" s="13">
        <f t="shared" ca="1" si="172"/>
        <v>0.40555951592649342</v>
      </c>
      <c r="T251" s="1" t="s">
        <v>985</v>
      </c>
      <c r="V251" s="13">
        <f t="shared" ca="1" si="173"/>
        <v>33</v>
      </c>
      <c r="W251" s="13">
        <f t="shared" ca="1" si="174"/>
        <v>3.8275952707834127E-2</v>
      </c>
      <c r="X251" s="1" t="s">
        <v>899</v>
      </c>
      <c r="Z251" s="13">
        <f t="shared" ca="1" si="175"/>
        <v>19</v>
      </c>
      <c r="AA251" s="13">
        <f t="shared" ca="1" si="176"/>
        <v>0.39594840011232535</v>
      </c>
      <c r="AB251" s="1" t="s">
        <v>932</v>
      </c>
      <c r="AD251" s="13">
        <f t="shared" ca="1" si="177"/>
        <v>19</v>
      </c>
      <c r="AE251" s="13">
        <f t="shared" ca="1" si="178"/>
        <v>0.21647433362884405</v>
      </c>
      <c r="AF251" s="1" t="s">
        <v>906</v>
      </c>
      <c r="AH251" s="13">
        <f t="shared" ca="1" si="179"/>
        <v>12</v>
      </c>
      <c r="AI251" s="13">
        <f t="shared" ca="1" si="180"/>
        <v>0.5595818809363261</v>
      </c>
      <c r="AJ251" s="1" t="s">
        <v>944</v>
      </c>
      <c r="AL251" s="13">
        <f t="shared" ca="1" si="181"/>
        <v>4</v>
      </c>
      <c r="AM251" s="13">
        <f t="shared" ca="1" si="182"/>
        <v>0.88556033297877201</v>
      </c>
      <c r="AN251" s="1" t="s">
        <v>893</v>
      </c>
      <c r="AP251" s="13">
        <f t="shared" ca="1" si="183"/>
        <v>3</v>
      </c>
      <c r="AQ251" s="13">
        <f t="shared" ca="1" si="184"/>
        <v>0.88636783305582889</v>
      </c>
      <c r="AR251" s="1" t="s">
        <v>872</v>
      </c>
      <c r="AT251" s="13">
        <f t="shared" ca="1" si="185"/>
        <v>3</v>
      </c>
      <c r="AU251" s="13">
        <f t="shared" ca="1" si="186"/>
        <v>0.90352467779520518</v>
      </c>
      <c r="AV251" s="1" t="s">
        <v>895</v>
      </c>
      <c r="AX251" s="13">
        <f t="shared" ca="1" si="187"/>
        <v>5</v>
      </c>
      <c r="AY251" s="13">
        <f t="shared" ca="1" si="188"/>
        <v>0.77369144666786482</v>
      </c>
      <c r="AZ251" s="1" t="s">
        <v>881</v>
      </c>
    </row>
    <row r="252" spans="2:52" ht="15.75" thickBot="1" x14ac:dyDescent="0.3">
      <c r="B252" s="1">
        <v>11</v>
      </c>
      <c r="C252" s="17">
        <v>5</v>
      </c>
      <c r="D252" s="1">
        <v>4</v>
      </c>
      <c r="E252" s="1">
        <v>3</v>
      </c>
      <c r="F252" s="1">
        <v>3</v>
      </c>
      <c r="G252" s="1">
        <v>3</v>
      </c>
      <c r="H252" s="1">
        <v>2</v>
      </c>
      <c r="I252" s="1">
        <v>1</v>
      </c>
      <c r="J252" s="1">
        <v>0</v>
      </c>
      <c r="K252" s="1">
        <v>0</v>
      </c>
      <c r="L252" s="1">
        <v>0</v>
      </c>
      <c r="N252" s="13">
        <f t="shared" ca="1" si="169"/>
        <v>1</v>
      </c>
      <c r="O252" s="13">
        <f t="shared" ca="1" si="170"/>
        <v>0.97504281824980921</v>
      </c>
      <c r="P252" s="1" t="s">
        <v>926</v>
      </c>
      <c r="R252" s="13">
        <f t="shared" ca="1" si="171"/>
        <v>6</v>
      </c>
      <c r="S252" s="13">
        <f t="shared" ca="1" si="172"/>
        <v>0.60968376113114819</v>
      </c>
      <c r="T252" s="1" t="s">
        <v>992</v>
      </c>
      <c r="V252" s="13">
        <f t="shared" ca="1" si="173"/>
        <v>8</v>
      </c>
      <c r="W252" s="13">
        <f t="shared" ca="1" si="174"/>
        <v>0.80434251424101777</v>
      </c>
      <c r="X252" s="1" t="s">
        <v>931</v>
      </c>
      <c r="Z252" s="13">
        <f t="shared" ca="1" si="175"/>
        <v>8</v>
      </c>
      <c r="AA252" s="13">
        <f t="shared" ca="1" si="176"/>
        <v>0.68949357586534876</v>
      </c>
      <c r="AB252" s="1" t="s">
        <v>937</v>
      </c>
      <c r="AD252" s="13">
        <f t="shared" ca="1" si="177"/>
        <v>10</v>
      </c>
      <c r="AE252" s="13">
        <f t="shared" ca="1" si="178"/>
        <v>0.51230282386388248</v>
      </c>
      <c r="AF252" s="1" t="s">
        <v>933</v>
      </c>
      <c r="AH252" s="13">
        <f t="shared" ca="1" si="179"/>
        <v>8</v>
      </c>
      <c r="AI252" s="13">
        <f t="shared" ca="1" si="180"/>
        <v>0.66089807372808407</v>
      </c>
      <c r="AJ252" s="1" t="s">
        <v>961</v>
      </c>
      <c r="AL252" s="13">
        <f t="shared" ca="1" si="181"/>
        <v>12</v>
      </c>
      <c r="AM252" s="13">
        <f t="shared" ca="1" si="182"/>
        <v>0.57308450432471481</v>
      </c>
      <c r="AN252" s="1" t="s">
        <v>945</v>
      </c>
      <c r="AP252" s="13">
        <f t="shared" ca="1" si="183"/>
        <v>5</v>
      </c>
      <c r="AQ252" s="13">
        <f t="shared" ca="1" si="184"/>
        <v>0.76661958646509831</v>
      </c>
      <c r="AR252" s="1" t="s">
        <v>894</v>
      </c>
      <c r="AT252" s="13">
        <f t="shared" ca="1" si="185"/>
        <v>8</v>
      </c>
      <c r="AU252" s="13">
        <f t="shared" ca="1" si="186"/>
        <v>0.47430793023838624</v>
      </c>
      <c r="AV252" s="1" t="s">
        <v>903</v>
      </c>
      <c r="AX252" s="13">
        <f t="shared" ca="1" si="187"/>
        <v>10</v>
      </c>
      <c r="AY252" s="13">
        <f t="shared" ca="1" si="188"/>
        <v>0.3241405872895492</v>
      </c>
      <c r="AZ252" s="1" t="s">
        <v>896</v>
      </c>
    </row>
    <row r="253" spans="2:52" ht="15.75" thickBot="1" x14ac:dyDescent="0.3">
      <c r="B253" s="1">
        <v>12</v>
      </c>
      <c r="C253" s="17">
        <v>5</v>
      </c>
      <c r="D253" s="1">
        <v>4</v>
      </c>
      <c r="E253" s="1">
        <v>3</v>
      </c>
      <c r="F253" s="1">
        <v>3</v>
      </c>
      <c r="G253" s="1">
        <v>3</v>
      </c>
      <c r="H253" s="1">
        <v>2</v>
      </c>
      <c r="I253" s="1">
        <v>1</v>
      </c>
      <c r="J253" s="1">
        <v>0</v>
      </c>
      <c r="K253" s="1">
        <v>0</v>
      </c>
      <c r="L253" s="1">
        <v>0</v>
      </c>
      <c r="N253" s="13">
        <f t="shared" ca="1" si="169"/>
        <v>4</v>
      </c>
      <c r="O253" s="13">
        <f t="shared" ca="1" si="170"/>
        <v>0.8510539371791418</v>
      </c>
      <c r="P253" s="1" t="s">
        <v>934</v>
      </c>
      <c r="R253" s="13">
        <f t="shared" ca="1" si="171"/>
        <v>30</v>
      </c>
      <c r="S253" s="13">
        <f t="shared" ca="1" si="172"/>
        <v>2.3575633913521132E-2</v>
      </c>
      <c r="T253" s="1" t="s">
        <v>996</v>
      </c>
      <c r="V253" s="13">
        <f t="shared" ca="1" si="173"/>
        <v>21</v>
      </c>
      <c r="W253" s="13">
        <f t="shared" ca="1" si="174"/>
        <v>0.47033340426787029</v>
      </c>
      <c r="X253" s="1" t="s">
        <v>958</v>
      </c>
      <c r="Z253" s="13">
        <f t="shared" ca="1" si="175"/>
        <v>24</v>
      </c>
      <c r="AA253" s="13">
        <f t="shared" ca="1" si="176"/>
        <v>0.27022747517841628</v>
      </c>
      <c r="AB253" s="1" t="s">
        <v>943</v>
      </c>
      <c r="AD253" s="13">
        <f t="shared" ca="1" si="177"/>
        <v>11</v>
      </c>
      <c r="AE253" s="13">
        <f t="shared" ca="1" si="178"/>
        <v>0.45657759320339475</v>
      </c>
      <c r="AF253" s="1" t="s">
        <v>949</v>
      </c>
      <c r="AH253" s="13">
        <f t="shared" ca="1" si="179"/>
        <v>17</v>
      </c>
      <c r="AI253" s="13">
        <f t="shared" ca="1" si="180"/>
        <v>0.3822898467757827</v>
      </c>
      <c r="AJ253" s="1" t="s">
        <v>989</v>
      </c>
      <c r="AL253" s="13">
        <f t="shared" ca="1" si="181"/>
        <v>7</v>
      </c>
      <c r="AM253" s="13">
        <f t="shared" ca="1" si="182"/>
        <v>0.67926911251977551</v>
      </c>
      <c r="AN253" s="1" t="s">
        <v>951</v>
      </c>
      <c r="AP253" s="13">
        <f t="shared" ca="1" si="183"/>
        <v>7</v>
      </c>
      <c r="AQ253" s="13">
        <f t="shared" ca="1" si="184"/>
        <v>0.69214188345647087</v>
      </c>
      <c r="AR253" s="1" t="s">
        <v>902</v>
      </c>
      <c r="AT253" s="13">
        <f t="shared" ca="1" si="185"/>
        <v>7</v>
      </c>
      <c r="AU253" s="13">
        <f t="shared" ca="1" si="186"/>
        <v>0.49076667466678936</v>
      </c>
      <c r="AV253" s="1" t="s">
        <v>910</v>
      </c>
      <c r="AX253" s="13">
        <f t="shared" ca="1" si="187"/>
        <v>12</v>
      </c>
      <c r="AY253" s="13">
        <f t="shared" ca="1" si="188"/>
        <v>8.2250095041906168E-2</v>
      </c>
      <c r="AZ253" s="1" t="s">
        <v>904</v>
      </c>
    </row>
    <row r="254" spans="2:52" ht="15.75" thickBot="1" x14ac:dyDescent="0.3">
      <c r="B254" s="1">
        <v>13</v>
      </c>
      <c r="C254" s="17">
        <v>5</v>
      </c>
      <c r="D254" s="1">
        <v>4</v>
      </c>
      <c r="E254" s="1">
        <v>3</v>
      </c>
      <c r="F254" s="1">
        <v>3</v>
      </c>
      <c r="G254" s="1">
        <v>3</v>
      </c>
      <c r="H254" s="1">
        <v>2</v>
      </c>
      <c r="I254" s="1">
        <v>1</v>
      </c>
      <c r="J254" s="1">
        <v>1</v>
      </c>
      <c r="K254" s="1">
        <v>0</v>
      </c>
      <c r="L254" s="1">
        <v>0</v>
      </c>
      <c r="N254" s="13">
        <f t="shared" ca="1" si="169"/>
        <v>13</v>
      </c>
      <c r="O254" s="13">
        <f t="shared" ca="1" si="170"/>
        <v>0.17257087514281999</v>
      </c>
      <c r="P254" s="1" t="s">
        <v>940</v>
      </c>
      <c r="R254" s="13">
        <f t="shared" ca="1" si="171"/>
        <v>8</v>
      </c>
      <c r="S254" s="13">
        <f t="shared" ca="1" si="172"/>
        <v>0.55538841817916651</v>
      </c>
      <c r="T254" s="1" t="s">
        <v>1001</v>
      </c>
      <c r="V254" s="13">
        <f t="shared" ca="1" si="173"/>
        <v>13</v>
      </c>
      <c r="W254" s="13">
        <f t="shared" ca="1" si="174"/>
        <v>0.70987163597759817</v>
      </c>
      <c r="X254" s="1" t="s">
        <v>965</v>
      </c>
      <c r="Z254" s="13">
        <f t="shared" ca="1" si="175"/>
        <v>13</v>
      </c>
      <c r="AA254" s="13">
        <f t="shared" ca="1" si="176"/>
        <v>0.56639102901017258</v>
      </c>
      <c r="AB254" s="1" t="s">
        <v>948</v>
      </c>
      <c r="AD254" s="13">
        <f t="shared" ca="1" si="177"/>
        <v>2</v>
      </c>
      <c r="AE254" s="13">
        <f t="shared" ca="1" si="178"/>
        <v>0.90336391356961987</v>
      </c>
      <c r="AF254" s="1" t="s">
        <v>955</v>
      </c>
      <c r="AH254" s="13">
        <f t="shared" ca="1" si="179"/>
        <v>14</v>
      </c>
      <c r="AI254" s="13">
        <f t="shared" ca="1" si="180"/>
        <v>0.47945313358390529</v>
      </c>
      <c r="AJ254" s="1" t="s">
        <v>1004</v>
      </c>
      <c r="AL254" s="13">
        <f t="shared" ca="1" si="181"/>
        <v>15</v>
      </c>
      <c r="AM254" s="13">
        <f t="shared" ca="1" si="182"/>
        <v>0.37485527219592374</v>
      </c>
      <c r="AN254" s="1" t="s">
        <v>962</v>
      </c>
      <c r="AP254" s="13">
        <f t="shared" ca="1" si="183"/>
        <v>9</v>
      </c>
      <c r="AQ254" s="13">
        <f t="shared" ca="1" si="184"/>
        <v>0.67181672159673089</v>
      </c>
      <c r="AR254" s="1" t="s">
        <v>909</v>
      </c>
      <c r="AT254" s="13">
        <f t="shared" ca="1" si="185"/>
        <v>9</v>
      </c>
      <c r="AU254" s="13">
        <f t="shared" ca="1" si="186"/>
        <v>0.44728018841626926</v>
      </c>
      <c r="AV254" s="1" t="s">
        <v>1232</v>
      </c>
    </row>
    <row r="255" spans="2:52" ht="15.75" thickBot="1" x14ac:dyDescent="0.3">
      <c r="B255" s="1">
        <v>14</v>
      </c>
      <c r="C255" s="17">
        <v>5</v>
      </c>
      <c r="D255" s="1">
        <v>4</v>
      </c>
      <c r="E255" s="1">
        <v>3</v>
      </c>
      <c r="F255" s="1">
        <v>3</v>
      </c>
      <c r="G255" s="1">
        <v>3</v>
      </c>
      <c r="H255" s="1">
        <v>2</v>
      </c>
      <c r="I255" s="1">
        <v>1</v>
      </c>
      <c r="J255" s="1">
        <v>1</v>
      </c>
      <c r="K255" s="1">
        <v>0</v>
      </c>
      <c r="L255" s="1">
        <v>0</v>
      </c>
      <c r="N255" s="13">
        <f t="shared" ca="1" si="169"/>
        <v>2</v>
      </c>
      <c r="O255" s="13">
        <f t="shared" ca="1" si="170"/>
        <v>0.91194192128545359</v>
      </c>
      <c r="P255" s="1" t="s">
        <v>957</v>
      </c>
      <c r="R255" s="13">
        <f t="shared" ca="1" si="171"/>
        <v>17</v>
      </c>
      <c r="S255" s="13">
        <f t="shared" ca="1" si="172"/>
        <v>0.33507879495383897</v>
      </c>
      <c r="T255" s="1" t="s">
        <v>1011</v>
      </c>
      <c r="V255" s="13">
        <f t="shared" ca="1" si="173"/>
        <v>30</v>
      </c>
      <c r="W255" s="13">
        <f t="shared" ca="1" si="174"/>
        <v>8.7700697680476947E-2</v>
      </c>
      <c r="X255" s="1" t="s">
        <v>971</v>
      </c>
      <c r="Z255" s="13">
        <f t="shared" ca="1" si="175"/>
        <v>20</v>
      </c>
      <c r="AA255" s="13">
        <f t="shared" ca="1" si="176"/>
        <v>0.39215117182351622</v>
      </c>
      <c r="AB255" s="1" t="s">
        <v>959</v>
      </c>
      <c r="AD255" s="13">
        <f t="shared" ca="1" si="177"/>
        <v>9</v>
      </c>
      <c r="AE255" s="13">
        <f t="shared" ca="1" si="178"/>
        <v>0.52282569060652329</v>
      </c>
      <c r="AF255" s="1" t="s">
        <v>960</v>
      </c>
      <c r="AH255" s="13">
        <f t="shared" ca="1" si="179"/>
        <v>3</v>
      </c>
      <c r="AI255" s="13">
        <f t="shared" ca="1" si="180"/>
        <v>0.91174221738866001</v>
      </c>
      <c r="AJ255" s="1" t="s">
        <v>1010</v>
      </c>
      <c r="AL255" s="13">
        <f t="shared" ca="1" si="181"/>
        <v>17</v>
      </c>
      <c r="AM255" s="13">
        <f t="shared" ca="1" si="182"/>
        <v>0.10475761276884588</v>
      </c>
      <c r="AN255" s="1" t="s">
        <v>968</v>
      </c>
      <c r="AP255" s="13">
        <f t="shared" ca="1" si="183"/>
        <v>14</v>
      </c>
      <c r="AQ255" s="13">
        <f t="shared" ca="1" si="184"/>
        <v>0.39551650789689197</v>
      </c>
      <c r="AR255" s="1" t="s">
        <v>917</v>
      </c>
      <c r="AT255" s="13">
        <f t="shared" ca="1" si="185"/>
        <v>1</v>
      </c>
      <c r="AU255" s="13">
        <f t="shared" ca="1" si="186"/>
        <v>0.96973293345395084</v>
      </c>
      <c r="AV255" s="1" t="s">
        <v>1233</v>
      </c>
    </row>
    <row r="256" spans="2:52" ht="15.75" thickBot="1" x14ac:dyDescent="0.3">
      <c r="B256" s="1">
        <v>15</v>
      </c>
      <c r="C256" s="17">
        <v>5</v>
      </c>
      <c r="D256" s="1">
        <v>4</v>
      </c>
      <c r="E256" s="1">
        <v>3</v>
      </c>
      <c r="F256" s="1">
        <v>3</v>
      </c>
      <c r="G256" s="1">
        <v>3</v>
      </c>
      <c r="H256" s="1">
        <v>2</v>
      </c>
      <c r="I256" s="1">
        <v>1</v>
      </c>
      <c r="J256" s="1">
        <v>1</v>
      </c>
      <c r="K256" s="1">
        <v>1</v>
      </c>
      <c r="L256" s="1">
        <v>0</v>
      </c>
      <c r="N256" s="13">
        <f t="shared" ca="1" si="169"/>
        <v>15</v>
      </c>
      <c r="O256" s="13">
        <f t="shared" ca="1" si="170"/>
        <v>8.3245483611291693E-2</v>
      </c>
      <c r="P256" s="1" t="s">
        <v>984</v>
      </c>
      <c r="R256" s="13">
        <f t="shared" ca="1" si="171"/>
        <v>24</v>
      </c>
      <c r="S256" s="13">
        <f t="shared" ca="1" si="172"/>
        <v>0.1995733111545116</v>
      </c>
      <c r="T256" s="1" t="s">
        <v>1054</v>
      </c>
      <c r="V256" s="13">
        <f t="shared" ca="1" si="173"/>
        <v>29</v>
      </c>
      <c r="W256" s="13">
        <f t="shared" ca="1" si="174"/>
        <v>0.13767954266478866</v>
      </c>
      <c r="X256" s="1" t="s">
        <v>986</v>
      </c>
      <c r="Z256" s="13">
        <f t="shared" ca="1" si="175"/>
        <v>26</v>
      </c>
      <c r="AA256" s="13">
        <f t="shared" ca="1" si="176"/>
        <v>0.11915987526154526</v>
      </c>
      <c r="AB256" s="1" t="s">
        <v>966</v>
      </c>
      <c r="AD256" s="13">
        <f t="shared" ca="1" si="177"/>
        <v>12</v>
      </c>
      <c r="AE256" s="13">
        <f t="shared" ca="1" si="178"/>
        <v>0.3846741889296198</v>
      </c>
      <c r="AF256" s="1" t="s">
        <v>967</v>
      </c>
      <c r="AH256" s="13">
        <f t="shared" ca="1" si="179"/>
        <v>9</v>
      </c>
      <c r="AI256" s="13">
        <f t="shared" ca="1" si="180"/>
        <v>0.58641215538135627</v>
      </c>
      <c r="AJ256" s="1" t="s">
        <v>1020</v>
      </c>
      <c r="AL256" s="13">
        <f t="shared" ca="1" si="181"/>
        <v>8</v>
      </c>
      <c r="AM256" s="13">
        <f t="shared" ca="1" si="182"/>
        <v>0.6763985941190469</v>
      </c>
      <c r="AN256" s="1" t="s">
        <v>973</v>
      </c>
      <c r="AP256" s="13">
        <f t="shared" ca="1" si="183"/>
        <v>15</v>
      </c>
      <c r="AQ256" s="13">
        <f t="shared" ca="1" si="184"/>
        <v>0.15047323148189262</v>
      </c>
      <c r="AR256" s="1" t="s">
        <v>924</v>
      </c>
    </row>
    <row r="257" spans="2:40" ht="15.75" thickBot="1" x14ac:dyDescent="0.3">
      <c r="B257" s="1">
        <v>16</v>
      </c>
      <c r="C257" s="17">
        <v>5</v>
      </c>
      <c r="D257" s="1">
        <v>4</v>
      </c>
      <c r="E257" s="1">
        <v>3</v>
      </c>
      <c r="F257" s="1">
        <v>3</v>
      </c>
      <c r="G257" s="1">
        <v>3</v>
      </c>
      <c r="H257" s="1">
        <v>2</v>
      </c>
      <c r="I257" s="1">
        <v>1</v>
      </c>
      <c r="J257" s="1">
        <v>1</v>
      </c>
      <c r="K257" s="1">
        <v>1</v>
      </c>
      <c r="L257" s="1">
        <v>0</v>
      </c>
      <c r="N257" s="13">
        <f t="shared" ca="1" si="169"/>
        <v>14</v>
      </c>
      <c r="O257" s="13">
        <f t="shared" ca="1" si="170"/>
        <v>0.11078841398478667</v>
      </c>
      <c r="P257" s="1" t="s">
        <v>1022</v>
      </c>
      <c r="R257" s="13">
        <f t="shared" ca="1" si="171"/>
        <v>26</v>
      </c>
      <c r="S257" s="13">
        <f t="shared" ca="1" si="172"/>
        <v>0.13576041776695502</v>
      </c>
      <c r="T257" s="1" t="s">
        <v>1057</v>
      </c>
      <c r="V257" s="13">
        <f t="shared" ca="1" si="173"/>
        <v>1</v>
      </c>
      <c r="W257" s="13">
        <f t="shared" ca="1" si="174"/>
        <v>0.95056795826285001</v>
      </c>
      <c r="X257" s="1" t="s">
        <v>993</v>
      </c>
      <c r="Z257" s="13">
        <f t="shared" ca="1" si="175"/>
        <v>6</v>
      </c>
      <c r="AA257" s="13">
        <f t="shared" ca="1" si="176"/>
        <v>0.75016105882808326</v>
      </c>
      <c r="AB257" s="1" t="s">
        <v>981</v>
      </c>
      <c r="AD257" s="13">
        <f t="shared" ca="1" si="177"/>
        <v>18</v>
      </c>
      <c r="AE257" s="13">
        <f t="shared" ca="1" si="178"/>
        <v>0.24231197784661529</v>
      </c>
      <c r="AF257" s="1" t="s">
        <v>972</v>
      </c>
      <c r="AH257" s="13">
        <f t="shared" ca="1" si="179"/>
        <v>18</v>
      </c>
      <c r="AI257" s="13">
        <f t="shared" ca="1" si="180"/>
        <v>0.28946863917678434</v>
      </c>
      <c r="AJ257" s="1" t="s">
        <v>1027</v>
      </c>
      <c r="AL257" s="13">
        <f t="shared" ca="1" si="181"/>
        <v>19</v>
      </c>
      <c r="AM257" s="13">
        <f t="shared" ca="1" si="182"/>
        <v>1.1954076401126557E-2</v>
      </c>
      <c r="AN257" s="1" t="s">
        <v>990</v>
      </c>
    </row>
    <row r="258" spans="2:40" ht="15.75" thickBot="1" x14ac:dyDescent="0.3">
      <c r="B258" s="1">
        <v>17</v>
      </c>
      <c r="C258" s="17">
        <v>5</v>
      </c>
      <c r="D258" s="1">
        <v>4</v>
      </c>
      <c r="E258" s="1">
        <v>3</v>
      </c>
      <c r="F258" s="1">
        <v>3</v>
      </c>
      <c r="G258" s="1">
        <v>3</v>
      </c>
      <c r="H258" s="1">
        <v>2</v>
      </c>
      <c r="I258" s="1">
        <v>1</v>
      </c>
      <c r="J258" s="1">
        <v>1</v>
      </c>
      <c r="K258" s="1">
        <v>1</v>
      </c>
      <c r="L258" s="1">
        <v>1</v>
      </c>
      <c r="R258" s="13">
        <f t="shared" ca="1" si="171"/>
        <v>21</v>
      </c>
      <c r="S258" s="13">
        <f t="shared" ca="1" si="172"/>
        <v>0.31178311347583187</v>
      </c>
      <c r="T258" s="1" t="s">
        <v>1064</v>
      </c>
      <c r="V258" s="13">
        <f t="shared" ca="1" si="173"/>
        <v>32</v>
      </c>
      <c r="W258" s="13">
        <f t="shared" ca="1" si="174"/>
        <v>5.8053871270343671E-2</v>
      </c>
      <c r="X258" s="1" t="s">
        <v>997</v>
      </c>
      <c r="Z258" s="13">
        <f t="shared" ca="1" si="175"/>
        <v>3</v>
      </c>
      <c r="AA258" s="13">
        <f t="shared" ca="1" si="176"/>
        <v>0.93016927627188428</v>
      </c>
      <c r="AB258" s="1" t="s">
        <v>987</v>
      </c>
      <c r="AD258" s="13">
        <f t="shared" ca="1" si="177"/>
        <v>15</v>
      </c>
      <c r="AE258" s="13">
        <f t="shared" ca="1" si="178"/>
        <v>0.3513615312138848</v>
      </c>
      <c r="AF258" s="1" t="s">
        <v>976</v>
      </c>
      <c r="AH258" s="13">
        <f t="shared" ca="1" si="179"/>
        <v>2</v>
      </c>
      <c r="AI258" s="13">
        <f t="shared" ca="1" si="180"/>
        <v>0.91586308272189998</v>
      </c>
      <c r="AJ258" s="1" t="s">
        <v>1037</v>
      </c>
      <c r="AL258" s="13">
        <f t="shared" ca="1" si="181"/>
        <v>14</v>
      </c>
      <c r="AM258" s="13">
        <f t="shared" ca="1" si="182"/>
        <v>0.39618467692770809</v>
      </c>
      <c r="AN258" s="1" t="s">
        <v>1005</v>
      </c>
    </row>
    <row r="259" spans="2:40" ht="15.75" thickBot="1" x14ac:dyDescent="0.3">
      <c r="B259" s="1">
        <v>18</v>
      </c>
      <c r="C259" s="17">
        <v>5</v>
      </c>
      <c r="D259" s="1">
        <v>4</v>
      </c>
      <c r="E259" s="1">
        <v>3</v>
      </c>
      <c r="F259" s="1">
        <v>3</v>
      </c>
      <c r="G259" s="1">
        <v>3</v>
      </c>
      <c r="H259" s="1">
        <v>3</v>
      </c>
      <c r="I259" s="1">
        <v>1</v>
      </c>
      <c r="J259" s="1">
        <v>1</v>
      </c>
      <c r="K259" s="1">
        <v>1</v>
      </c>
      <c r="L259" s="1">
        <v>1</v>
      </c>
      <c r="R259" s="13">
        <f t="shared" ca="1" si="171"/>
        <v>22</v>
      </c>
      <c r="S259" s="13">
        <f t="shared" ca="1" si="172"/>
        <v>0.27151756206035127</v>
      </c>
      <c r="T259" s="1" t="s">
        <v>1068</v>
      </c>
      <c r="V259" s="13">
        <f t="shared" ca="1" si="173"/>
        <v>18</v>
      </c>
      <c r="W259" s="13">
        <f t="shared" ca="1" si="174"/>
        <v>0.59351049696869873</v>
      </c>
      <c r="X259" s="1" t="s">
        <v>1008</v>
      </c>
      <c r="Z259" s="13">
        <f t="shared" ca="1" si="175"/>
        <v>22</v>
      </c>
      <c r="AA259" s="13">
        <f t="shared" ca="1" si="176"/>
        <v>0.31544732040826096</v>
      </c>
      <c r="AB259" s="1" t="s">
        <v>994</v>
      </c>
      <c r="AD259" s="13">
        <f t="shared" ca="1" si="177"/>
        <v>8</v>
      </c>
      <c r="AE259" s="13">
        <f t="shared" ca="1" si="178"/>
        <v>0.55635475291223624</v>
      </c>
      <c r="AF259" s="1" t="s">
        <v>982</v>
      </c>
      <c r="AH259" s="13">
        <f t="shared" ca="1" si="179"/>
        <v>20</v>
      </c>
      <c r="AI259" s="13">
        <f t="shared" ca="1" si="180"/>
        <v>0.28599541887869617</v>
      </c>
      <c r="AJ259" s="1" t="s">
        <v>1047</v>
      </c>
      <c r="AL259" s="13">
        <f t="shared" ca="1" si="181"/>
        <v>9</v>
      </c>
      <c r="AM259" s="13">
        <f t="shared" ca="1" si="182"/>
        <v>0.66057194990863777</v>
      </c>
      <c r="AN259" s="1" t="s">
        <v>1021</v>
      </c>
    </row>
    <row r="260" spans="2:40" ht="15.75" thickBot="1" x14ac:dyDescent="0.3">
      <c r="B260" s="1">
        <v>19</v>
      </c>
      <c r="C260" s="17">
        <v>5</v>
      </c>
      <c r="D260" s="1">
        <v>4</v>
      </c>
      <c r="E260" s="1">
        <v>3</v>
      </c>
      <c r="F260" s="1">
        <v>3</v>
      </c>
      <c r="G260" s="1">
        <v>3</v>
      </c>
      <c r="H260" s="1">
        <v>3</v>
      </c>
      <c r="I260" s="1">
        <v>2</v>
      </c>
      <c r="J260" s="1">
        <v>1</v>
      </c>
      <c r="K260" s="1">
        <v>1</v>
      </c>
      <c r="L260" s="1">
        <v>1</v>
      </c>
      <c r="R260" s="13">
        <f t="shared" ca="1" si="171"/>
        <v>12</v>
      </c>
      <c r="S260" s="13">
        <f t="shared" ca="1" si="172"/>
        <v>0.4441374867872927</v>
      </c>
      <c r="T260" s="1" t="s">
        <v>1071</v>
      </c>
      <c r="V260" s="13">
        <f t="shared" ca="1" si="173"/>
        <v>11</v>
      </c>
      <c r="W260" s="13">
        <f t="shared" ca="1" si="174"/>
        <v>0.74473208292459048</v>
      </c>
      <c r="X260" s="1" t="s">
        <v>1017</v>
      </c>
      <c r="Z260" s="13">
        <f t="shared" ca="1" si="175"/>
        <v>16</v>
      </c>
      <c r="AA260" s="13">
        <f t="shared" ca="1" si="176"/>
        <v>0.46898073814062458</v>
      </c>
      <c r="AB260" s="1" t="s">
        <v>1013</v>
      </c>
      <c r="AD260" s="13">
        <f t="shared" ca="1" si="177"/>
        <v>7</v>
      </c>
      <c r="AE260" s="13">
        <f t="shared" ca="1" si="178"/>
        <v>0.59477300965143676</v>
      </c>
      <c r="AF260" s="1" t="s">
        <v>988</v>
      </c>
      <c r="AH260" s="13">
        <f t="shared" ca="1" si="179"/>
        <v>21</v>
      </c>
      <c r="AI260" s="13">
        <f t="shared" ca="1" si="180"/>
        <v>0.19492482675757927</v>
      </c>
      <c r="AJ260" s="1" t="s">
        <v>1051</v>
      </c>
      <c r="AL260" s="13">
        <f t="shared" ca="1" si="181"/>
        <v>3</v>
      </c>
      <c r="AM260" s="13">
        <f t="shared" ca="1" si="182"/>
        <v>0.94720479418830283</v>
      </c>
      <c r="AN260" s="1" t="s">
        <v>1028</v>
      </c>
    </row>
    <row r="261" spans="2:40" ht="15.75" thickBot="1" x14ac:dyDescent="0.3">
      <c r="B261" s="1">
        <v>20</v>
      </c>
      <c r="C261" s="17">
        <v>5</v>
      </c>
      <c r="D261" s="1">
        <v>4</v>
      </c>
      <c r="E261" s="1">
        <v>3</v>
      </c>
      <c r="F261" s="1">
        <v>3</v>
      </c>
      <c r="G261" s="1">
        <v>3</v>
      </c>
      <c r="H261" s="1">
        <v>3</v>
      </c>
      <c r="I261" s="1">
        <v>2</v>
      </c>
      <c r="J261" s="1">
        <v>2</v>
      </c>
      <c r="K261" s="1">
        <v>1</v>
      </c>
      <c r="L261" s="1">
        <v>1</v>
      </c>
      <c r="R261" s="13">
        <f t="shared" ca="1" si="171"/>
        <v>29</v>
      </c>
      <c r="S261" s="13">
        <f t="shared" ca="1" si="172"/>
        <v>4.3773101408826953E-2</v>
      </c>
      <c r="T261" s="1" t="s">
        <v>1073</v>
      </c>
      <c r="V261" s="13">
        <f t="shared" ca="1" si="173"/>
        <v>4</v>
      </c>
      <c r="W261" s="13">
        <f t="shared" ca="1" si="174"/>
        <v>0.91440718615855865</v>
      </c>
      <c r="X261" s="1" t="s">
        <v>1024</v>
      </c>
      <c r="Z261" s="13">
        <f t="shared" ca="1" si="175"/>
        <v>12</v>
      </c>
      <c r="AA261" s="13">
        <f t="shared" ca="1" si="176"/>
        <v>0.59926071484417254</v>
      </c>
      <c r="AB261" s="1" t="s">
        <v>1018</v>
      </c>
      <c r="AD261" s="13">
        <f t="shared" ca="1" si="177"/>
        <v>3</v>
      </c>
      <c r="AE261" s="13">
        <f t="shared" ca="1" si="178"/>
        <v>0.87158641270345905</v>
      </c>
      <c r="AF261" s="1" t="s">
        <v>995</v>
      </c>
      <c r="AH261" s="13">
        <f t="shared" ca="1" si="179"/>
        <v>5</v>
      </c>
      <c r="AI261" s="13">
        <f t="shared" ca="1" si="180"/>
        <v>0.83885115864024506</v>
      </c>
      <c r="AJ261" s="1" t="s">
        <v>1067</v>
      </c>
    </row>
    <row r="262" spans="2:40" ht="15.75" thickBot="1" x14ac:dyDescent="0.3">
      <c r="C262" s="17"/>
      <c r="R262" s="13">
        <f t="shared" ca="1" si="171"/>
        <v>5</v>
      </c>
      <c r="S262" s="13">
        <f t="shared" ca="1" si="172"/>
        <v>0.67110907683797116</v>
      </c>
      <c r="T262" s="1" t="s">
        <v>1075</v>
      </c>
      <c r="V262" s="13">
        <f t="shared" ca="1" si="173"/>
        <v>20</v>
      </c>
      <c r="W262" s="13">
        <f t="shared" ca="1" si="174"/>
        <v>0.53064397594503665</v>
      </c>
      <c r="X262" s="1" t="s">
        <v>1031</v>
      </c>
      <c r="Z262" s="13">
        <f t="shared" ca="1" si="175"/>
        <v>2</v>
      </c>
      <c r="AA262" s="13">
        <f t="shared" ca="1" si="176"/>
        <v>0.93990385287204181</v>
      </c>
      <c r="AB262" s="1" t="s">
        <v>1032</v>
      </c>
      <c r="AD262" s="13">
        <f t="shared" ca="1" si="177"/>
        <v>14</v>
      </c>
      <c r="AE262" s="13">
        <f t="shared" ca="1" si="178"/>
        <v>0.37917737505325944</v>
      </c>
      <c r="AF262" s="1" t="s">
        <v>1014</v>
      </c>
      <c r="AH262" s="13">
        <f t="shared" ca="1" si="179"/>
        <v>16</v>
      </c>
      <c r="AI262" s="13">
        <f t="shared" ca="1" si="180"/>
        <v>0.42231463242164735</v>
      </c>
      <c r="AJ262" s="1" t="s">
        <v>1070</v>
      </c>
    </row>
    <row r="263" spans="2:40" ht="15.75" thickBot="1" x14ac:dyDescent="0.3">
      <c r="C263" s="17"/>
      <c r="R263" s="13">
        <f t="shared" ca="1" si="171"/>
        <v>1</v>
      </c>
      <c r="S263" s="13">
        <f t="shared" ref="S263:S271" ca="1" si="189">RAND()</f>
        <v>0.93375226646198861</v>
      </c>
      <c r="T263" s="1" t="s">
        <v>1081</v>
      </c>
      <c r="V263" s="13">
        <f t="shared" ca="1" si="173"/>
        <v>17</v>
      </c>
      <c r="W263" s="13">
        <f t="shared" ca="1" si="174"/>
        <v>0.6254359951448909</v>
      </c>
      <c r="X263" s="1" t="s">
        <v>1040</v>
      </c>
      <c r="Z263" s="13">
        <f t="shared" ca="1" si="175"/>
        <v>21</v>
      </c>
      <c r="AA263" s="13">
        <f t="shared" ca="1" si="176"/>
        <v>0.31784014236470071</v>
      </c>
      <c r="AB263" s="1" t="s">
        <v>1036</v>
      </c>
      <c r="AD263" s="13">
        <f t="shared" ca="1" si="177"/>
        <v>13</v>
      </c>
      <c r="AE263" s="13">
        <f t="shared" ca="1" si="178"/>
        <v>0.38084649420636285</v>
      </c>
      <c r="AF263" s="1" t="s">
        <v>1019</v>
      </c>
      <c r="AH263" s="13">
        <f t="shared" ca="1" si="179"/>
        <v>11</v>
      </c>
      <c r="AI263" s="13">
        <f t="shared" ca="1" si="180"/>
        <v>0.56651046836643082</v>
      </c>
      <c r="AJ263" s="1" t="s">
        <v>1077</v>
      </c>
    </row>
    <row r="264" spans="2:40" ht="15.75" thickBot="1" x14ac:dyDescent="0.3">
      <c r="C264" s="17"/>
      <c r="R264" s="13">
        <f t="shared" ca="1" si="171"/>
        <v>2</v>
      </c>
      <c r="S264" s="13">
        <f t="shared" ca="1" si="189"/>
        <v>0.90230473657972687</v>
      </c>
      <c r="T264" s="1" t="s">
        <v>1088</v>
      </c>
      <c r="V264" s="13">
        <f t="shared" ca="1" si="173"/>
        <v>3</v>
      </c>
      <c r="W264" s="13">
        <f t="shared" ca="1" si="174"/>
        <v>0.91872811033279989</v>
      </c>
      <c r="X264" s="1" t="s">
        <v>1049</v>
      </c>
      <c r="Z264" s="13">
        <f t="shared" ca="1" si="175"/>
        <v>5</v>
      </c>
      <c r="AA264" s="13">
        <f t="shared" ca="1" si="176"/>
        <v>0.83877653170388766</v>
      </c>
      <c r="AB264" s="1" t="s">
        <v>1046</v>
      </c>
      <c r="AD264" s="13">
        <f t="shared" ca="1" si="177"/>
        <v>5</v>
      </c>
      <c r="AE264" s="13">
        <f t="shared" ca="1" si="178"/>
        <v>0.6818630691428258</v>
      </c>
      <c r="AF264" s="1" t="s">
        <v>1042</v>
      </c>
      <c r="AH264" s="13">
        <f t="shared" ca="1" si="179"/>
        <v>13</v>
      </c>
      <c r="AI264" s="13">
        <f t="shared" ca="1" si="180"/>
        <v>0.51643265393474613</v>
      </c>
      <c r="AJ264" s="1" t="s">
        <v>1084</v>
      </c>
    </row>
    <row r="265" spans="2:40" ht="15.75" thickBot="1" x14ac:dyDescent="0.3">
      <c r="C265" s="17"/>
      <c r="R265" s="13">
        <f t="shared" ca="1" si="171"/>
        <v>7</v>
      </c>
      <c r="S265" s="13">
        <f t="shared" ca="1" si="189"/>
        <v>0.58528528856596418</v>
      </c>
      <c r="T265" s="1" t="s">
        <v>1094</v>
      </c>
      <c r="V265" s="13">
        <f t="shared" ca="1" si="173"/>
        <v>28</v>
      </c>
      <c r="W265" s="13">
        <f t="shared" ca="1" si="174"/>
        <v>0.16102100732483648</v>
      </c>
      <c r="X265" s="1" t="s">
        <v>1052</v>
      </c>
      <c r="Z265" s="13">
        <f t="shared" ca="1" si="175"/>
        <v>15</v>
      </c>
      <c r="AA265" s="13">
        <f t="shared" ca="1" si="176"/>
        <v>0.52040164094594588</v>
      </c>
      <c r="AB265" s="1" t="s">
        <v>1050</v>
      </c>
    </row>
    <row r="266" spans="2:40" ht="15.75" thickBot="1" x14ac:dyDescent="0.3">
      <c r="C266" s="17"/>
      <c r="R266" s="13">
        <f t="shared" ca="1" si="171"/>
        <v>15</v>
      </c>
      <c r="S266" s="13">
        <f t="shared" ca="1" si="189"/>
        <v>0.39663871968838726</v>
      </c>
      <c r="T266" s="1" t="s">
        <v>1096</v>
      </c>
      <c r="V266" s="13">
        <f t="shared" ca="1" si="173"/>
        <v>9</v>
      </c>
      <c r="W266" s="13">
        <f t="shared" ca="1" si="174"/>
        <v>0.77462212907820216</v>
      </c>
      <c r="X266" s="1" t="s">
        <v>1058</v>
      </c>
      <c r="Z266" s="13">
        <f t="shared" ca="1" si="175"/>
        <v>27</v>
      </c>
      <c r="AA266" s="13">
        <f t="shared" ca="1" si="176"/>
        <v>0.10576017313119224</v>
      </c>
      <c r="AB266" s="1" t="s">
        <v>1053</v>
      </c>
    </row>
    <row r="267" spans="2:40" ht="15.75" thickBot="1" x14ac:dyDescent="0.3">
      <c r="C267" s="17"/>
      <c r="R267" s="13">
        <f t="shared" ca="1" si="171"/>
        <v>25</v>
      </c>
      <c r="S267" s="13">
        <f t="shared" ca="1" si="189"/>
        <v>0.15892010568229187</v>
      </c>
      <c r="T267" s="1" t="s">
        <v>1100</v>
      </c>
      <c r="V267" s="13">
        <f t="shared" ca="1" si="173"/>
        <v>25</v>
      </c>
      <c r="W267" s="13">
        <f t="shared" ca="1" si="174"/>
        <v>0.34530522669826114</v>
      </c>
      <c r="X267" s="1" t="s">
        <v>1065</v>
      </c>
      <c r="Z267" s="13">
        <f t="shared" ca="1" si="175"/>
        <v>10</v>
      </c>
      <c r="AA267" s="13">
        <f t="shared" ca="1" si="176"/>
        <v>0.60843132845197934</v>
      </c>
      <c r="AB267" s="1" t="s">
        <v>1066</v>
      </c>
    </row>
    <row r="268" spans="2:40" ht="15.75" thickBot="1" x14ac:dyDescent="0.3">
      <c r="C268" s="17"/>
      <c r="R268" s="13">
        <f t="shared" ca="1" si="171"/>
        <v>18</v>
      </c>
      <c r="S268" s="13">
        <f t="shared" ca="1" si="189"/>
        <v>0.32883980913998834</v>
      </c>
      <c r="T268" s="1" t="s">
        <v>1229</v>
      </c>
      <c r="V268" s="13">
        <f t="shared" ca="1" si="173"/>
        <v>19</v>
      </c>
      <c r="W268" s="13">
        <f t="shared" ca="1" si="174"/>
        <v>0.5451768304859691</v>
      </c>
      <c r="X268" s="1" t="s">
        <v>1076</v>
      </c>
      <c r="Z268" s="13">
        <f t="shared" ca="1" si="175"/>
        <v>9</v>
      </c>
      <c r="AA268" s="13">
        <f t="shared" ca="1" si="176"/>
        <v>0.63643487914106944</v>
      </c>
      <c r="AB268" s="1" t="s">
        <v>1080</v>
      </c>
    </row>
    <row r="269" spans="2:40" ht="15.75" thickBot="1" x14ac:dyDescent="0.3">
      <c r="C269" s="17"/>
      <c r="R269" s="13">
        <f t="shared" ca="1" si="171"/>
        <v>11</v>
      </c>
      <c r="S269" s="13">
        <f t="shared" ca="1" si="189"/>
        <v>0.47559749788330896</v>
      </c>
      <c r="T269" s="1" t="s">
        <v>1106</v>
      </c>
      <c r="V269" s="13">
        <f t="shared" ca="1" si="173"/>
        <v>6</v>
      </c>
      <c r="W269" s="13">
        <f t="shared" ca="1" si="174"/>
        <v>0.853226962709279</v>
      </c>
      <c r="X269" s="1" t="s">
        <v>1079</v>
      </c>
      <c r="Z269" s="13">
        <f t="shared" ca="1" si="175"/>
        <v>4</v>
      </c>
      <c r="AA269" s="13">
        <f t="shared" ca="1" si="176"/>
        <v>0.91817035094017985</v>
      </c>
      <c r="AB269" s="1" t="s">
        <v>1083</v>
      </c>
    </row>
    <row r="270" spans="2:40" ht="15.75" thickBot="1" x14ac:dyDescent="0.3">
      <c r="C270" s="17"/>
      <c r="R270" s="13">
        <f t="shared" ca="1" si="171"/>
        <v>13</v>
      </c>
      <c r="S270" s="13">
        <f t="shared" ca="1" si="189"/>
        <v>0.43654437553493175</v>
      </c>
      <c r="T270" s="1" t="s">
        <v>1107</v>
      </c>
      <c r="V270" s="13">
        <f t="shared" ca="1" si="173"/>
        <v>26</v>
      </c>
      <c r="W270" s="13">
        <f t="shared" ca="1" si="174"/>
        <v>0.34382407938689175</v>
      </c>
      <c r="X270" s="1" t="s">
        <v>1082</v>
      </c>
      <c r="Z270" s="13">
        <f t="shared" ca="1" si="175"/>
        <v>7</v>
      </c>
      <c r="AA270" s="13">
        <f t="shared" ca="1" si="176"/>
        <v>0.69019850099566127</v>
      </c>
      <c r="AB270" s="1" t="s">
        <v>1090</v>
      </c>
    </row>
    <row r="271" spans="2:40" ht="15.75" thickBot="1" x14ac:dyDescent="0.3">
      <c r="C271" s="17"/>
      <c r="R271" s="13">
        <f t="shared" ca="1" si="171"/>
        <v>19</v>
      </c>
      <c r="S271" s="13">
        <f t="shared" ca="1" si="189"/>
        <v>0.32477201538870604</v>
      </c>
      <c r="T271" s="1" t="s">
        <v>1109</v>
      </c>
      <c r="V271" s="13">
        <f t="shared" ca="1" si="173"/>
        <v>34</v>
      </c>
      <c r="W271" s="13">
        <f t="shared" ca="1" si="174"/>
        <v>1.2483267152093469E-2</v>
      </c>
      <c r="X271" s="1" t="s">
        <v>1086</v>
      </c>
    </row>
    <row r="272" spans="2:40" ht="15.75" thickBot="1" x14ac:dyDescent="0.3">
      <c r="C272" s="17"/>
      <c r="V272" s="13">
        <f t="shared" ca="1" si="173"/>
        <v>14</v>
      </c>
      <c r="W272" s="13">
        <f t="shared" ca="1" si="174"/>
        <v>0.68650364213377413</v>
      </c>
      <c r="X272" s="1" t="s">
        <v>1089</v>
      </c>
    </row>
    <row r="273" spans="3:24" ht="15.75" thickBot="1" x14ac:dyDescent="0.3">
      <c r="C273" s="17"/>
      <c r="V273" s="13">
        <f t="shared" ca="1" si="173"/>
        <v>7</v>
      </c>
      <c r="W273" s="13">
        <f t="shared" ca="1" si="174"/>
        <v>0.81120217217095736</v>
      </c>
      <c r="X273" s="1" t="s">
        <v>1097</v>
      </c>
    </row>
    <row r="274" spans="3:24" ht="15.75" thickBot="1" x14ac:dyDescent="0.3">
      <c r="C274" s="17"/>
      <c r="V274" s="13">
        <f t="shared" ca="1" si="173"/>
        <v>15</v>
      </c>
      <c r="W274" s="13">
        <f t="shared" ca="1" si="174"/>
        <v>0.67849688834459365</v>
      </c>
      <c r="X274" s="1" t="s">
        <v>1103</v>
      </c>
    </row>
    <row r="275" spans="3:24" ht="15.75" thickBot="1" x14ac:dyDescent="0.3">
      <c r="C275" s="17"/>
      <c r="V275" s="13">
        <f t="shared" ca="1" si="173"/>
        <v>23</v>
      </c>
      <c r="W275" s="13">
        <f t="shared" ca="1" si="174"/>
        <v>0.41606289245884298</v>
      </c>
      <c r="X275" s="1" t="s">
        <v>1108</v>
      </c>
    </row>
    <row r="276" spans="3:24" ht="15.75" thickBot="1" x14ac:dyDescent="0.3">
      <c r="C276" s="17"/>
    </row>
    <row r="277" spans="3:24" ht="15.75" thickBot="1" x14ac:dyDescent="0.3">
      <c r="C277" s="17"/>
    </row>
    <row r="278" spans="3:24" ht="15.75" thickBot="1" x14ac:dyDescent="0.3">
      <c r="C278" s="17"/>
    </row>
    <row r="279" spans="3:24" ht="15.75" thickBot="1" x14ac:dyDescent="0.3">
      <c r="C279" s="17"/>
    </row>
    <row r="284" spans="3:24" ht="15.75" thickBot="1" x14ac:dyDescent="0.3">
      <c r="C284" s="17"/>
    </row>
    <row r="285" spans="3:24" ht="15.75" thickBot="1" x14ac:dyDescent="0.3">
      <c r="C285" s="17"/>
    </row>
    <row r="286" spans="3:24" ht="15.75" thickBot="1" x14ac:dyDescent="0.3">
      <c r="C286" s="17"/>
    </row>
    <row r="287" spans="3:24" ht="15.75" thickBot="1" x14ac:dyDescent="0.3">
      <c r="C287" s="17"/>
    </row>
    <row r="288" spans="3:24" ht="15.75" thickBot="1" x14ac:dyDescent="0.3">
      <c r="C288" s="17"/>
    </row>
    <row r="289" spans="3:3" ht="15.75" thickBot="1" x14ac:dyDescent="0.3">
      <c r="C289" s="17"/>
    </row>
    <row r="290" spans="3:3" ht="15.75" thickBot="1" x14ac:dyDescent="0.3">
      <c r="C290" s="17"/>
    </row>
    <row r="291" spans="3:3" ht="15.75" thickBot="1" x14ac:dyDescent="0.3">
      <c r="C291" s="17"/>
    </row>
    <row r="292" spans="3:3" ht="15.75" thickBot="1" x14ac:dyDescent="0.3">
      <c r="C292" s="17"/>
    </row>
    <row r="293" spans="3:3" ht="15.75" thickBot="1" x14ac:dyDescent="0.3">
      <c r="C293" s="17"/>
    </row>
    <row r="294" spans="3:3" ht="15.75" thickBot="1" x14ac:dyDescent="0.3">
      <c r="C294" s="17"/>
    </row>
    <row r="295" spans="3:3" ht="15.75" thickBot="1" x14ac:dyDescent="0.3">
      <c r="C295" s="17"/>
    </row>
    <row r="296" spans="3:3" ht="15.75" thickBot="1" x14ac:dyDescent="0.3">
      <c r="C296" s="17"/>
    </row>
    <row r="297" spans="3:3" ht="15.75" thickBot="1" x14ac:dyDescent="0.3">
      <c r="C297" s="17"/>
    </row>
    <row r="298" spans="3:3" ht="15.75" thickBot="1" x14ac:dyDescent="0.3">
      <c r="C298" s="17"/>
    </row>
    <row r="299" spans="3:3" ht="15.75" thickBot="1" x14ac:dyDescent="0.3">
      <c r="C299" s="17"/>
    </row>
    <row r="300" spans="3:3" ht="15.75" thickBot="1" x14ac:dyDescent="0.3">
      <c r="C300" s="17"/>
    </row>
    <row r="301" spans="3:3" ht="15.75" thickBot="1" x14ac:dyDescent="0.3">
      <c r="C301" s="17"/>
    </row>
    <row r="302" spans="3:3" ht="15.75" thickBot="1" x14ac:dyDescent="0.3">
      <c r="C302" s="17"/>
    </row>
    <row r="303" spans="3:3" ht="15.75" thickBot="1" x14ac:dyDescent="0.3">
      <c r="C303" s="17"/>
    </row>
    <row r="304" spans="3:3" ht="15.75" thickBot="1" x14ac:dyDescent="0.3">
      <c r="C304" s="17"/>
    </row>
    <row r="305" spans="3:24" ht="15.75" thickBot="1" x14ac:dyDescent="0.3">
      <c r="C305" s="17"/>
      <c r="X305" s="1" t="s">
        <v>1097</v>
      </c>
    </row>
    <row r="306" spans="3:24" ht="15.75" thickBot="1" x14ac:dyDescent="0.3">
      <c r="C306" s="17"/>
      <c r="X306" s="1" t="s">
        <v>1103</v>
      </c>
    </row>
    <row r="307" spans="3:24" ht="15.75" thickBot="1" x14ac:dyDescent="0.3">
      <c r="C307" s="17"/>
      <c r="X307" s="1" t="s">
        <v>1108</v>
      </c>
    </row>
  </sheetData>
  <phoneticPr fontId="4" type="noConversion"/>
  <pageMargins left="0.7" right="0.7" top="0.75" bottom="0.75" header="0.3" footer="0.3"/>
  <tableParts count="120">
    <tablePart r:id="rId1"/>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 r:id="rId50"/>
    <tablePart r:id="rId51"/>
    <tablePart r:id="rId52"/>
    <tablePart r:id="rId53"/>
    <tablePart r:id="rId54"/>
    <tablePart r:id="rId55"/>
    <tablePart r:id="rId56"/>
    <tablePart r:id="rId57"/>
    <tablePart r:id="rId58"/>
    <tablePart r:id="rId59"/>
    <tablePart r:id="rId60"/>
    <tablePart r:id="rId61"/>
    <tablePart r:id="rId62"/>
    <tablePart r:id="rId63"/>
    <tablePart r:id="rId64"/>
    <tablePart r:id="rId65"/>
    <tablePart r:id="rId66"/>
    <tablePart r:id="rId67"/>
    <tablePart r:id="rId68"/>
    <tablePart r:id="rId69"/>
    <tablePart r:id="rId70"/>
    <tablePart r:id="rId71"/>
    <tablePart r:id="rId72"/>
    <tablePart r:id="rId73"/>
    <tablePart r:id="rId74"/>
    <tablePart r:id="rId75"/>
    <tablePart r:id="rId76"/>
    <tablePart r:id="rId77"/>
    <tablePart r:id="rId78"/>
    <tablePart r:id="rId79"/>
    <tablePart r:id="rId80"/>
    <tablePart r:id="rId81"/>
    <tablePart r:id="rId82"/>
    <tablePart r:id="rId83"/>
    <tablePart r:id="rId84"/>
    <tablePart r:id="rId85"/>
    <tablePart r:id="rId86"/>
    <tablePart r:id="rId87"/>
    <tablePart r:id="rId88"/>
    <tablePart r:id="rId89"/>
    <tablePart r:id="rId90"/>
    <tablePart r:id="rId91"/>
    <tablePart r:id="rId92"/>
    <tablePart r:id="rId93"/>
    <tablePart r:id="rId94"/>
    <tablePart r:id="rId95"/>
    <tablePart r:id="rId96"/>
    <tablePart r:id="rId97"/>
    <tablePart r:id="rId98"/>
    <tablePart r:id="rId99"/>
    <tablePart r:id="rId100"/>
    <tablePart r:id="rId101"/>
    <tablePart r:id="rId102"/>
    <tablePart r:id="rId103"/>
    <tablePart r:id="rId104"/>
    <tablePart r:id="rId105"/>
    <tablePart r:id="rId106"/>
    <tablePart r:id="rId107"/>
    <tablePart r:id="rId108"/>
    <tablePart r:id="rId109"/>
    <tablePart r:id="rId110"/>
    <tablePart r:id="rId111"/>
    <tablePart r:id="rId112"/>
    <tablePart r:id="rId113"/>
    <tablePart r:id="rId114"/>
    <tablePart r:id="rId115"/>
    <tablePart r:id="rId116"/>
    <tablePart r:id="rId117"/>
    <tablePart r:id="rId118"/>
    <tablePart r:id="rId119"/>
    <tablePart r:id="rId120"/>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7CAAB-6F4C-4AD8-B2EF-FACA38042E9D}">
  <sheetPr codeName="Аркуш18"/>
  <dimension ref="A1:Y201"/>
  <sheetViews>
    <sheetView topLeftCell="C1" workbookViewId="0">
      <selection activeCell="F8" sqref="F8"/>
    </sheetView>
  </sheetViews>
  <sheetFormatPr defaultColWidth="8.85546875" defaultRowHeight="15" x14ac:dyDescent="0.25"/>
  <cols>
    <col min="1" max="1" width="13.28515625" style="1" bestFit="1" customWidth="1"/>
    <col min="2" max="2" width="20" style="1" bestFit="1" customWidth="1"/>
    <col min="3" max="4" width="10.42578125" style="1" customWidth="1"/>
    <col min="5" max="5" width="12.7109375" style="1" bestFit="1" customWidth="1"/>
    <col min="6" max="6" width="14.5703125" style="1" bestFit="1" customWidth="1"/>
    <col min="7" max="7" width="10.42578125" style="1" customWidth="1"/>
    <col min="8" max="8" width="27.140625" style="1" bestFit="1" customWidth="1"/>
    <col min="9" max="10" width="13.7109375" style="1" bestFit="1" customWidth="1"/>
    <col min="11" max="11" width="14.5703125" style="1" bestFit="1" customWidth="1"/>
    <col min="12" max="12" width="15.140625" style="1" bestFit="1" customWidth="1"/>
    <col min="13" max="13" width="21.7109375" style="1" bestFit="1" customWidth="1"/>
    <col min="14" max="14" width="8.85546875" style="1"/>
    <col min="15" max="15" width="15.7109375" style="1" bestFit="1" customWidth="1"/>
    <col min="16" max="16" width="49.28515625" style="1" bestFit="1" customWidth="1"/>
    <col min="17" max="17" width="8.85546875" style="1"/>
    <col min="18" max="18" width="7.28515625" style="1" bestFit="1" customWidth="1"/>
    <col min="19" max="19" width="40.5703125" style="1" bestFit="1" customWidth="1"/>
    <col min="20" max="20" width="8.85546875" style="1"/>
    <col min="21" max="21" width="7.28515625" style="1" bestFit="1" customWidth="1"/>
    <col min="22" max="22" width="36.7109375" style="1" bestFit="1" customWidth="1"/>
    <col min="23" max="23" width="8.85546875" style="1"/>
    <col min="24" max="24" width="7.28515625" style="1" bestFit="1" customWidth="1"/>
    <col min="25" max="25" width="38.42578125" style="1" bestFit="1" customWidth="1"/>
    <col min="26" max="16384" width="8.85546875" style="1"/>
  </cols>
  <sheetData>
    <row r="1" spans="1:25" x14ac:dyDescent="0.25">
      <c r="A1" s="2" t="s">
        <v>1883</v>
      </c>
      <c r="E1" s="2" t="s">
        <v>1891</v>
      </c>
      <c r="L1" s="2" t="s">
        <v>1991</v>
      </c>
      <c r="O1" s="2" t="s">
        <v>2050</v>
      </c>
      <c r="P1" s="2"/>
      <c r="R1" s="1" t="s">
        <v>2308</v>
      </c>
      <c r="S1" s="1" t="s">
        <v>2309</v>
      </c>
      <c r="U1" s="1" t="s">
        <v>2310</v>
      </c>
      <c r="V1" s="1" t="s">
        <v>2309</v>
      </c>
      <c r="X1" s="1" t="s">
        <v>2311</v>
      </c>
      <c r="Y1" s="1" t="s">
        <v>2309</v>
      </c>
    </row>
    <row r="2" spans="1:25" x14ac:dyDescent="0.25">
      <c r="A2" s="1">
        <v>1</v>
      </c>
      <c r="B2" s="1" t="s">
        <v>2742</v>
      </c>
      <c r="C2" s="1">
        <v>11</v>
      </c>
      <c r="E2" s="1">
        <v>1</v>
      </c>
      <c r="F2" s="1" t="s">
        <v>1892</v>
      </c>
      <c r="G2" s="1" t="s">
        <v>1907</v>
      </c>
      <c r="H2" s="1" t="s">
        <v>882</v>
      </c>
      <c r="I2" s="1" t="s">
        <v>1324</v>
      </c>
      <c r="J2" s="1" t="s">
        <v>2750</v>
      </c>
      <c r="L2" s="1">
        <v>1</v>
      </c>
      <c r="M2" s="1" t="s">
        <v>2007</v>
      </c>
      <c r="O2" s="1">
        <v>1</v>
      </c>
      <c r="P2" s="1" t="s">
        <v>2051</v>
      </c>
      <c r="R2" s="1">
        <v>1</v>
      </c>
      <c r="S2" s="1" t="s">
        <v>2476</v>
      </c>
      <c r="U2" s="1">
        <v>1</v>
      </c>
      <c r="V2" s="1" t="s">
        <v>2474</v>
      </c>
      <c r="X2" s="1">
        <v>1</v>
      </c>
      <c r="Y2" s="1" t="s">
        <v>2475</v>
      </c>
    </row>
    <row r="3" spans="1:25" x14ac:dyDescent="0.25">
      <c r="A3" s="1">
        <v>2</v>
      </c>
      <c r="B3" s="1" t="s">
        <v>2743</v>
      </c>
      <c r="C3" s="1">
        <v>11</v>
      </c>
      <c r="E3" s="1">
        <v>2</v>
      </c>
      <c r="F3" s="1" t="s">
        <v>1893</v>
      </c>
      <c r="G3" s="1" t="s">
        <v>1908</v>
      </c>
      <c r="H3" s="1" t="s">
        <v>1976</v>
      </c>
      <c r="I3" s="1" t="s">
        <v>1324</v>
      </c>
      <c r="J3" s="1" t="s">
        <v>2752</v>
      </c>
      <c r="L3" s="1">
        <v>2</v>
      </c>
      <c r="M3" s="1" t="s">
        <v>2042</v>
      </c>
      <c r="O3" s="1">
        <v>2</v>
      </c>
      <c r="P3" s="1" t="s">
        <v>2052</v>
      </c>
      <c r="R3" s="1">
        <v>2</v>
      </c>
      <c r="S3" s="1" t="s">
        <v>2476</v>
      </c>
      <c r="U3" s="1">
        <v>2</v>
      </c>
      <c r="V3" s="1" t="s">
        <v>2474</v>
      </c>
      <c r="X3" s="1">
        <v>2</v>
      </c>
      <c r="Y3" s="1" t="s">
        <v>2475</v>
      </c>
    </row>
    <row r="4" spans="1:25" x14ac:dyDescent="0.25">
      <c r="A4" s="1">
        <v>3</v>
      </c>
      <c r="B4" s="1" t="s">
        <v>2744</v>
      </c>
      <c r="C4" s="1">
        <v>12</v>
      </c>
      <c r="E4" s="1">
        <v>3</v>
      </c>
      <c r="F4" s="1" t="s">
        <v>1894</v>
      </c>
      <c r="G4" s="1" t="s">
        <v>1909</v>
      </c>
      <c r="H4" s="1" t="s">
        <v>1914</v>
      </c>
      <c r="I4" s="1" t="s">
        <v>1324</v>
      </c>
      <c r="J4" s="1" t="s">
        <v>2750</v>
      </c>
      <c r="L4" s="1">
        <v>3</v>
      </c>
      <c r="M4" s="1" t="s">
        <v>2034</v>
      </c>
      <c r="O4" s="1">
        <v>3</v>
      </c>
      <c r="P4" s="1" t="s">
        <v>2053</v>
      </c>
      <c r="R4" s="1">
        <v>3</v>
      </c>
      <c r="S4" s="1" t="s">
        <v>2476</v>
      </c>
      <c r="U4" s="1">
        <v>3</v>
      </c>
      <c r="V4" s="1" t="s">
        <v>2474</v>
      </c>
      <c r="X4" s="1">
        <v>3</v>
      </c>
      <c r="Y4" s="1" t="s">
        <v>2475</v>
      </c>
    </row>
    <row r="5" spans="1:25" x14ac:dyDescent="0.25">
      <c r="E5" s="1">
        <v>4</v>
      </c>
      <c r="F5" s="1" t="s">
        <v>1895</v>
      </c>
      <c r="G5" s="1" t="s">
        <v>1910</v>
      </c>
      <c r="H5" s="1" t="s">
        <v>1977</v>
      </c>
      <c r="I5" s="1" t="s">
        <v>1324</v>
      </c>
      <c r="J5" s="1" t="s">
        <v>2750</v>
      </c>
      <c r="L5" s="1">
        <v>4</v>
      </c>
      <c r="M5" s="1" t="s">
        <v>1992</v>
      </c>
      <c r="O5" s="1">
        <v>4</v>
      </c>
      <c r="P5" s="1" t="s">
        <v>2054</v>
      </c>
      <c r="R5" s="1">
        <v>4</v>
      </c>
      <c r="S5" s="1" t="s">
        <v>2476</v>
      </c>
      <c r="U5" s="1">
        <v>4</v>
      </c>
      <c r="V5" s="1" t="s">
        <v>2474</v>
      </c>
      <c r="X5" s="1">
        <v>4</v>
      </c>
      <c r="Y5" s="1" t="s">
        <v>2475</v>
      </c>
    </row>
    <row r="6" spans="1:25" x14ac:dyDescent="0.25">
      <c r="A6" s="2" t="s">
        <v>1884</v>
      </c>
      <c r="E6" s="1">
        <v>5</v>
      </c>
      <c r="F6" s="1" t="s">
        <v>1896</v>
      </c>
      <c r="G6" s="1" t="s">
        <v>1911</v>
      </c>
      <c r="H6" s="1" t="s">
        <v>1950</v>
      </c>
      <c r="I6" s="1" t="s">
        <v>1324</v>
      </c>
      <c r="J6" s="1" t="s">
        <v>2750</v>
      </c>
      <c r="L6" s="1">
        <v>5</v>
      </c>
      <c r="M6" s="1" t="s">
        <v>1994</v>
      </c>
      <c r="O6" s="1">
        <v>5</v>
      </c>
      <c r="P6" s="1" t="s">
        <v>2055</v>
      </c>
      <c r="R6" s="1">
        <v>5</v>
      </c>
      <c r="S6" s="1" t="s">
        <v>2476</v>
      </c>
      <c r="U6" s="1">
        <v>5</v>
      </c>
      <c r="V6" s="1" t="s">
        <v>2474</v>
      </c>
      <c r="X6" s="1">
        <v>5</v>
      </c>
      <c r="Y6" s="1" t="s">
        <v>2475</v>
      </c>
    </row>
    <row r="7" spans="1:25" x14ac:dyDescent="0.25">
      <c r="A7" s="1">
        <v>1</v>
      </c>
      <c r="B7" s="1" t="s">
        <v>2745</v>
      </c>
      <c r="C7" s="1">
        <v>12</v>
      </c>
      <c r="E7" s="1">
        <v>6</v>
      </c>
      <c r="F7" s="1" t="s">
        <v>1897</v>
      </c>
      <c r="G7" s="1" t="s">
        <v>1907</v>
      </c>
      <c r="H7" s="1" t="s">
        <v>1977</v>
      </c>
      <c r="I7" s="1" t="s">
        <v>1324</v>
      </c>
      <c r="J7" s="1" t="s">
        <v>2750</v>
      </c>
      <c r="L7" s="1">
        <v>6</v>
      </c>
      <c r="M7" s="1" t="s">
        <v>1996</v>
      </c>
      <c r="O7" s="1">
        <v>6</v>
      </c>
      <c r="P7" s="1" t="s">
        <v>2056</v>
      </c>
      <c r="R7" s="1">
        <v>6</v>
      </c>
      <c r="S7" s="1" t="s">
        <v>2476</v>
      </c>
      <c r="U7" s="1">
        <v>6</v>
      </c>
      <c r="V7" s="1" t="s">
        <v>2474</v>
      </c>
      <c r="X7" s="1">
        <v>6</v>
      </c>
      <c r="Y7" s="1" t="s">
        <v>2475</v>
      </c>
    </row>
    <row r="8" spans="1:25" x14ac:dyDescent="0.25">
      <c r="A8" s="1">
        <v>2</v>
      </c>
      <c r="B8" s="1" t="s">
        <v>1885</v>
      </c>
      <c r="C8" s="1">
        <v>13</v>
      </c>
      <c r="E8" s="1">
        <v>7</v>
      </c>
      <c r="F8" s="1" t="s">
        <v>1898</v>
      </c>
      <c r="G8" s="1" t="s">
        <v>1912</v>
      </c>
      <c r="H8" s="1" t="s">
        <v>1324</v>
      </c>
      <c r="I8" s="1" t="s">
        <v>1324</v>
      </c>
      <c r="J8" s="1" t="s">
        <v>2750</v>
      </c>
      <c r="L8" s="1">
        <v>7</v>
      </c>
      <c r="M8" s="1" t="s">
        <v>2004</v>
      </c>
      <c r="O8" s="1">
        <v>7</v>
      </c>
      <c r="P8" s="1" t="s">
        <v>2057</v>
      </c>
      <c r="R8" s="1">
        <v>7</v>
      </c>
      <c r="S8" s="1" t="s">
        <v>2476</v>
      </c>
      <c r="U8" s="1">
        <v>7</v>
      </c>
      <c r="V8" s="1" t="s">
        <v>2474</v>
      </c>
      <c r="X8" s="1">
        <v>7</v>
      </c>
      <c r="Y8" s="1" t="s">
        <v>2475</v>
      </c>
    </row>
    <row r="9" spans="1:25" x14ac:dyDescent="0.25">
      <c r="A9" s="1">
        <v>3</v>
      </c>
      <c r="B9" s="1" t="s">
        <v>1886</v>
      </c>
      <c r="C9" s="1">
        <v>14</v>
      </c>
      <c r="E9" s="1">
        <v>8</v>
      </c>
      <c r="F9" s="1" t="s">
        <v>1899</v>
      </c>
      <c r="G9" s="1" t="s">
        <v>1912</v>
      </c>
      <c r="H9" s="1" t="s">
        <v>1324</v>
      </c>
      <c r="I9" s="1" t="s">
        <v>1909</v>
      </c>
      <c r="J9" s="1" t="s">
        <v>2750</v>
      </c>
      <c r="L9" s="1">
        <v>8</v>
      </c>
      <c r="M9" s="1" t="s">
        <v>1997</v>
      </c>
      <c r="O9" s="1">
        <v>8</v>
      </c>
      <c r="P9" s="1" t="s">
        <v>2058</v>
      </c>
      <c r="R9" s="1">
        <v>8</v>
      </c>
      <c r="S9" s="1" t="s">
        <v>2476</v>
      </c>
      <c r="U9" s="1">
        <v>8</v>
      </c>
      <c r="V9" s="1" t="s">
        <v>2474</v>
      </c>
      <c r="X9" s="1">
        <v>8</v>
      </c>
      <c r="Y9" s="1" t="s">
        <v>2475</v>
      </c>
    </row>
    <row r="10" spans="1:25" x14ac:dyDescent="0.25">
      <c r="A10" s="1">
        <v>4</v>
      </c>
      <c r="B10" s="1" t="s">
        <v>1887</v>
      </c>
      <c r="C10" s="1">
        <v>14</v>
      </c>
      <c r="E10" s="1">
        <v>9</v>
      </c>
      <c r="F10" s="1" t="s">
        <v>1900</v>
      </c>
      <c r="G10" s="1" t="s">
        <v>1913</v>
      </c>
      <c r="H10" s="1" t="s">
        <v>882</v>
      </c>
      <c r="I10" s="1" t="s">
        <v>1324</v>
      </c>
      <c r="J10" s="1" t="s">
        <v>2750</v>
      </c>
      <c r="L10" s="1">
        <v>9</v>
      </c>
      <c r="M10" s="1" t="s">
        <v>1998</v>
      </c>
      <c r="O10" s="1">
        <v>9</v>
      </c>
      <c r="P10" s="1" t="s">
        <v>2059</v>
      </c>
      <c r="R10" s="1">
        <v>9</v>
      </c>
      <c r="S10" s="1" t="s">
        <v>2476</v>
      </c>
      <c r="U10" s="1">
        <v>9</v>
      </c>
      <c r="V10" s="1" t="s">
        <v>2474</v>
      </c>
      <c r="X10" s="1">
        <v>9</v>
      </c>
      <c r="Y10" s="1" t="s">
        <v>2475</v>
      </c>
    </row>
    <row r="11" spans="1:25" x14ac:dyDescent="0.25">
      <c r="A11" s="1">
        <v>5</v>
      </c>
      <c r="B11" s="1" t="s">
        <v>2746</v>
      </c>
      <c r="C11" s="1">
        <v>15</v>
      </c>
      <c r="E11" s="1">
        <v>10</v>
      </c>
      <c r="F11" s="1" t="s">
        <v>1901</v>
      </c>
      <c r="G11" s="1" t="s">
        <v>1911</v>
      </c>
      <c r="H11" s="1" t="s">
        <v>1951</v>
      </c>
      <c r="I11" s="1" t="s">
        <v>1909</v>
      </c>
      <c r="J11" s="1" t="s">
        <v>2750</v>
      </c>
      <c r="L11" s="1">
        <v>10</v>
      </c>
      <c r="M11" s="1" t="s">
        <v>1999</v>
      </c>
      <c r="O11" s="1">
        <v>10</v>
      </c>
      <c r="P11" s="1" t="s">
        <v>2246</v>
      </c>
      <c r="R11" s="1">
        <v>10</v>
      </c>
      <c r="S11" s="1" t="s">
        <v>2476</v>
      </c>
      <c r="U11" s="1">
        <v>10</v>
      </c>
      <c r="V11" s="1" t="s">
        <v>2474</v>
      </c>
      <c r="X11" s="1">
        <v>10</v>
      </c>
      <c r="Y11" s="1" t="s">
        <v>2475</v>
      </c>
    </row>
    <row r="12" spans="1:25" x14ac:dyDescent="0.25">
      <c r="L12" s="1">
        <v>11</v>
      </c>
      <c r="M12" s="1" t="s">
        <v>2000</v>
      </c>
      <c r="O12" s="1">
        <v>11</v>
      </c>
      <c r="P12" s="1" t="s">
        <v>2247</v>
      </c>
      <c r="R12" s="1">
        <v>11</v>
      </c>
      <c r="S12" s="1" t="s">
        <v>2476</v>
      </c>
      <c r="U12" s="1">
        <v>11</v>
      </c>
      <c r="V12" s="1" t="s">
        <v>2474</v>
      </c>
      <c r="X12" s="1">
        <v>11</v>
      </c>
      <c r="Y12" s="1" t="s">
        <v>2312</v>
      </c>
    </row>
    <row r="13" spans="1:25" x14ac:dyDescent="0.25">
      <c r="A13" s="2" t="s">
        <v>1888</v>
      </c>
      <c r="E13" s="2" t="s">
        <v>1902</v>
      </c>
      <c r="L13" s="1">
        <v>12</v>
      </c>
      <c r="M13" s="1" t="s">
        <v>2001</v>
      </c>
      <c r="O13" s="1">
        <v>12</v>
      </c>
      <c r="P13" s="1" t="s">
        <v>2060</v>
      </c>
      <c r="R13" s="1">
        <v>12</v>
      </c>
      <c r="S13" s="1" t="s">
        <v>2476</v>
      </c>
      <c r="U13" s="1">
        <v>12</v>
      </c>
      <c r="V13" s="1" t="s">
        <v>2313</v>
      </c>
      <c r="X13" s="1">
        <v>12</v>
      </c>
      <c r="Y13" s="1" t="s">
        <v>2312</v>
      </c>
    </row>
    <row r="14" spans="1:25" x14ac:dyDescent="0.25">
      <c r="A14" s="1">
        <v>1</v>
      </c>
      <c r="B14" s="1" t="s">
        <v>1889</v>
      </c>
      <c r="C14" s="1">
        <v>14</v>
      </c>
      <c r="E14" s="1">
        <v>1</v>
      </c>
      <c r="F14" s="1" t="s">
        <v>1903</v>
      </c>
      <c r="G14" s="1" t="s">
        <v>1939</v>
      </c>
      <c r="H14" s="1" t="s">
        <v>1978</v>
      </c>
      <c r="I14" s="1" t="s">
        <v>1324</v>
      </c>
      <c r="J14" s="1" t="s">
        <v>2751</v>
      </c>
      <c r="L14" s="1">
        <v>13</v>
      </c>
      <c r="M14" s="1" t="s">
        <v>2019</v>
      </c>
      <c r="O14" s="1">
        <v>13</v>
      </c>
      <c r="P14" s="1" t="s">
        <v>2061</v>
      </c>
      <c r="R14" s="1">
        <v>13</v>
      </c>
      <c r="S14" s="1" t="s">
        <v>2476</v>
      </c>
      <c r="U14" s="1">
        <v>13</v>
      </c>
      <c r="V14" s="1" t="s">
        <v>2313</v>
      </c>
      <c r="X14" s="1">
        <v>13</v>
      </c>
      <c r="Y14" s="1" t="s">
        <v>2314</v>
      </c>
    </row>
    <row r="15" spans="1:25" x14ac:dyDescent="0.25">
      <c r="A15" s="1">
        <v>2</v>
      </c>
      <c r="B15" s="1" t="s">
        <v>1890</v>
      </c>
      <c r="C15" s="1">
        <v>16</v>
      </c>
      <c r="E15" s="1">
        <v>2</v>
      </c>
      <c r="F15" s="1" t="s">
        <v>1904</v>
      </c>
      <c r="G15" s="1" t="s">
        <v>1908</v>
      </c>
      <c r="H15" s="1" t="s">
        <v>1979</v>
      </c>
      <c r="I15" s="1" t="s">
        <v>1324</v>
      </c>
      <c r="J15" s="1" t="s">
        <v>2751</v>
      </c>
      <c r="L15" s="1">
        <v>14</v>
      </c>
      <c r="M15" s="1" t="s">
        <v>2003</v>
      </c>
      <c r="O15" s="1">
        <v>14</v>
      </c>
      <c r="P15" s="1" t="s">
        <v>2062</v>
      </c>
      <c r="R15" s="1">
        <v>14</v>
      </c>
      <c r="S15" s="1" t="s">
        <v>2476</v>
      </c>
      <c r="U15" s="1">
        <v>14</v>
      </c>
      <c r="V15" s="1" t="s">
        <v>2479</v>
      </c>
      <c r="X15" s="1">
        <v>14</v>
      </c>
      <c r="Y15" s="1" t="s">
        <v>2314</v>
      </c>
    </row>
    <row r="16" spans="1:25" x14ac:dyDescent="0.25">
      <c r="A16" s="1">
        <v>3</v>
      </c>
      <c r="B16" s="1" t="s">
        <v>2747</v>
      </c>
      <c r="C16" s="1">
        <v>17</v>
      </c>
      <c r="E16" s="1">
        <v>3</v>
      </c>
      <c r="F16" s="1" t="s">
        <v>1906</v>
      </c>
      <c r="G16" s="1" t="s">
        <v>1911</v>
      </c>
      <c r="H16" s="1" t="s">
        <v>1980</v>
      </c>
      <c r="I16" s="1" t="s">
        <v>1324</v>
      </c>
      <c r="J16" s="1" t="s">
        <v>2751</v>
      </c>
      <c r="L16" s="1">
        <v>15</v>
      </c>
      <c r="M16" s="1" t="s">
        <v>2024</v>
      </c>
      <c r="O16" s="1">
        <v>15</v>
      </c>
      <c r="P16" s="1" t="s">
        <v>2063</v>
      </c>
      <c r="R16" s="1">
        <v>15</v>
      </c>
      <c r="S16" s="1" t="s">
        <v>2476</v>
      </c>
      <c r="U16" s="1">
        <v>15</v>
      </c>
      <c r="V16" s="1" t="s">
        <v>2479</v>
      </c>
      <c r="X16" s="1">
        <v>15</v>
      </c>
      <c r="Y16" s="1" t="s">
        <v>2315</v>
      </c>
    </row>
    <row r="17" spans="1:25" x14ac:dyDescent="0.25">
      <c r="A17" s="1">
        <v>4</v>
      </c>
      <c r="B17" s="1" t="s">
        <v>2748</v>
      </c>
      <c r="C17" s="1">
        <v>18</v>
      </c>
      <c r="E17" s="1">
        <v>4</v>
      </c>
      <c r="F17" s="1" t="s">
        <v>1905</v>
      </c>
      <c r="G17" s="1" t="s">
        <v>1907</v>
      </c>
      <c r="H17" s="1" t="s">
        <v>1981</v>
      </c>
      <c r="I17" s="1" t="s">
        <v>1324</v>
      </c>
      <c r="J17" s="1" t="s">
        <v>2751</v>
      </c>
      <c r="L17" s="1">
        <v>16</v>
      </c>
      <c r="M17" s="1" t="s">
        <v>2005</v>
      </c>
      <c r="O17" s="1">
        <v>16</v>
      </c>
      <c r="P17" s="1" t="s">
        <v>2064</v>
      </c>
      <c r="R17" s="1">
        <v>16</v>
      </c>
      <c r="S17" s="1" t="s">
        <v>2477</v>
      </c>
      <c r="U17" s="1">
        <v>16</v>
      </c>
      <c r="V17" s="1" t="s">
        <v>2479</v>
      </c>
      <c r="X17" s="1">
        <v>16</v>
      </c>
      <c r="Y17" s="1" t="s">
        <v>2315</v>
      </c>
    </row>
    <row r="18" spans="1:25" x14ac:dyDescent="0.25">
      <c r="L18" s="1">
        <v>17</v>
      </c>
      <c r="M18" s="1" t="s">
        <v>2008</v>
      </c>
      <c r="O18" s="1">
        <v>17</v>
      </c>
      <c r="P18" s="1" t="s">
        <v>2065</v>
      </c>
      <c r="R18" s="1">
        <v>17</v>
      </c>
      <c r="S18" s="1" t="s">
        <v>2477</v>
      </c>
      <c r="U18" s="1">
        <v>17</v>
      </c>
      <c r="V18" s="1" t="s">
        <v>2316</v>
      </c>
      <c r="X18" s="1">
        <v>17</v>
      </c>
      <c r="Y18" s="1" t="s">
        <v>2317</v>
      </c>
    </row>
    <row r="19" spans="1:25" x14ac:dyDescent="0.25">
      <c r="A19" s="2" t="s">
        <v>1958</v>
      </c>
      <c r="E19" s="2" t="s">
        <v>1916</v>
      </c>
      <c r="L19" s="1">
        <v>18</v>
      </c>
      <c r="M19" s="1" t="s">
        <v>2009</v>
      </c>
      <c r="O19" s="1">
        <v>18</v>
      </c>
      <c r="P19" s="1" t="s">
        <v>2066</v>
      </c>
      <c r="R19" s="1">
        <v>18</v>
      </c>
      <c r="S19" s="1" t="s">
        <v>2477</v>
      </c>
      <c r="U19" s="1">
        <v>18</v>
      </c>
      <c r="V19" s="1" t="s">
        <v>2479</v>
      </c>
      <c r="X19" s="1">
        <v>18</v>
      </c>
      <c r="Y19" s="1" t="s">
        <v>2317</v>
      </c>
    </row>
    <row r="20" spans="1:25" x14ac:dyDescent="0.25">
      <c r="A20" s="1">
        <v>1</v>
      </c>
      <c r="B20" s="1" t="s">
        <v>1959</v>
      </c>
      <c r="C20" s="1">
        <v>10</v>
      </c>
      <c r="E20" s="1">
        <v>1</v>
      </c>
      <c r="F20" s="1" t="s">
        <v>1917</v>
      </c>
      <c r="G20" s="1" t="s">
        <v>1940</v>
      </c>
      <c r="H20" s="1" t="s">
        <v>1324</v>
      </c>
      <c r="I20" s="1" t="s">
        <v>1941</v>
      </c>
      <c r="J20" s="1" t="s">
        <v>2750</v>
      </c>
      <c r="L20" s="1">
        <v>19</v>
      </c>
      <c r="M20" s="1" t="s">
        <v>2010</v>
      </c>
      <c r="O20" s="1">
        <v>19</v>
      </c>
      <c r="P20" s="1" t="s">
        <v>2067</v>
      </c>
      <c r="R20" s="1">
        <v>19</v>
      </c>
      <c r="S20" s="1" t="s">
        <v>2477</v>
      </c>
      <c r="U20" s="1">
        <v>19</v>
      </c>
      <c r="V20" s="1" t="s">
        <v>2421</v>
      </c>
      <c r="X20" s="1">
        <v>19</v>
      </c>
      <c r="Y20" s="1" t="s">
        <v>2318</v>
      </c>
    </row>
    <row r="21" spans="1:25" x14ac:dyDescent="0.25">
      <c r="A21" s="1">
        <v>2</v>
      </c>
      <c r="B21" s="1" t="s">
        <v>1960</v>
      </c>
      <c r="C21" s="1">
        <v>10</v>
      </c>
      <c r="E21" s="1">
        <v>2</v>
      </c>
      <c r="F21" s="1" t="s">
        <v>1918</v>
      </c>
      <c r="G21" s="1" t="s">
        <v>1909</v>
      </c>
      <c r="H21" s="1" t="s">
        <v>1324</v>
      </c>
      <c r="I21" s="1" t="s">
        <v>1324</v>
      </c>
      <c r="J21" s="1" t="s">
        <v>2750</v>
      </c>
      <c r="L21" s="1">
        <v>20</v>
      </c>
      <c r="M21" s="1" t="s">
        <v>2046</v>
      </c>
      <c r="O21" s="1">
        <v>20</v>
      </c>
      <c r="P21" s="1" t="s">
        <v>2068</v>
      </c>
      <c r="R21" s="1">
        <v>20</v>
      </c>
      <c r="S21" s="1" t="s">
        <v>2477</v>
      </c>
      <c r="U21" s="1">
        <v>20</v>
      </c>
      <c r="V21" s="1" t="s">
        <v>2319</v>
      </c>
      <c r="X21" s="1">
        <v>20</v>
      </c>
      <c r="Y21" s="1" t="s">
        <v>2318</v>
      </c>
    </row>
    <row r="22" spans="1:25" x14ac:dyDescent="0.25">
      <c r="A22" s="1">
        <v>3</v>
      </c>
      <c r="B22" s="1" t="s">
        <v>1961</v>
      </c>
      <c r="C22" s="1">
        <v>10</v>
      </c>
      <c r="E22" s="1">
        <v>3</v>
      </c>
      <c r="F22" s="1" t="s">
        <v>1943</v>
      </c>
      <c r="G22" s="1" t="s">
        <v>1941</v>
      </c>
      <c r="H22" s="1" t="s">
        <v>1965</v>
      </c>
      <c r="I22" s="1" t="s">
        <v>1324</v>
      </c>
      <c r="J22" s="1" t="s">
        <v>2750</v>
      </c>
      <c r="L22" s="1">
        <v>21</v>
      </c>
      <c r="M22" s="1" t="s">
        <v>2011</v>
      </c>
      <c r="O22" s="1">
        <v>21</v>
      </c>
      <c r="P22" s="1" t="s">
        <v>2069</v>
      </c>
      <c r="R22" s="1">
        <v>21</v>
      </c>
      <c r="S22" s="1" t="s">
        <v>2477</v>
      </c>
      <c r="U22" s="1">
        <v>21</v>
      </c>
      <c r="V22" s="1" t="s">
        <v>2320</v>
      </c>
      <c r="X22" s="1">
        <v>21</v>
      </c>
      <c r="Y22" s="1" t="s">
        <v>2321</v>
      </c>
    </row>
    <row r="23" spans="1:25" x14ac:dyDescent="0.25">
      <c r="E23" s="1">
        <v>4</v>
      </c>
      <c r="F23" s="1" t="s">
        <v>1919</v>
      </c>
      <c r="G23" s="1" t="s">
        <v>1942</v>
      </c>
      <c r="H23" s="1" t="s">
        <v>1966</v>
      </c>
      <c r="I23" s="1" t="s">
        <v>1324</v>
      </c>
      <c r="J23" s="1" t="s">
        <v>2750</v>
      </c>
      <c r="L23" s="1">
        <v>22</v>
      </c>
      <c r="M23" s="1" t="s">
        <v>2012</v>
      </c>
      <c r="O23" s="1">
        <v>22</v>
      </c>
      <c r="P23" s="1" t="s">
        <v>2070</v>
      </c>
      <c r="R23" s="1">
        <v>22</v>
      </c>
      <c r="S23" s="1" t="s">
        <v>2322</v>
      </c>
      <c r="U23" s="1">
        <v>22</v>
      </c>
      <c r="V23" s="1" t="s">
        <v>2474</v>
      </c>
      <c r="X23" s="1">
        <v>22</v>
      </c>
      <c r="Y23" s="1" t="s">
        <v>2321</v>
      </c>
    </row>
    <row r="24" spans="1:25" x14ac:dyDescent="0.25">
      <c r="E24" s="1">
        <v>5</v>
      </c>
      <c r="F24" s="1" t="s">
        <v>1920</v>
      </c>
      <c r="G24" s="1" t="s">
        <v>1944</v>
      </c>
      <c r="H24" s="1" t="s">
        <v>1967</v>
      </c>
      <c r="I24" s="1" t="s">
        <v>1324</v>
      </c>
      <c r="J24" s="1" t="s">
        <v>2750</v>
      </c>
      <c r="L24" s="1">
        <v>23</v>
      </c>
      <c r="M24" s="1" t="s">
        <v>2016</v>
      </c>
      <c r="O24" s="1">
        <v>23</v>
      </c>
      <c r="P24" s="1" t="s">
        <v>2071</v>
      </c>
      <c r="R24" s="1">
        <v>23</v>
      </c>
      <c r="S24" s="1" t="s">
        <v>2322</v>
      </c>
      <c r="U24" s="1">
        <v>23</v>
      </c>
      <c r="V24" s="1" t="s">
        <v>2323</v>
      </c>
      <c r="X24" s="1">
        <v>23</v>
      </c>
      <c r="Y24" s="1" t="s">
        <v>2324</v>
      </c>
    </row>
    <row r="25" spans="1:25" x14ac:dyDescent="0.25">
      <c r="E25" s="1">
        <v>6</v>
      </c>
      <c r="F25" s="1" t="s">
        <v>1921</v>
      </c>
      <c r="G25" s="1" t="s">
        <v>1941</v>
      </c>
      <c r="H25" s="1" t="s">
        <v>1965</v>
      </c>
      <c r="I25" s="1" t="s">
        <v>1324</v>
      </c>
      <c r="J25" s="1" t="s">
        <v>2750</v>
      </c>
      <c r="L25" s="1">
        <v>24</v>
      </c>
      <c r="M25" s="1" t="s">
        <v>2030</v>
      </c>
      <c r="O25" s="1">
        <v>24</v>
      </c>
      <c r="P25" s="1" t="s">
        <v>2072</v>
      </c>
      <c r="R25" s="1">
        <v>24</v>
      </c>
      <c r="S25" s="1" t="s">
        <v>2325</v>
      </c>
      <c r="U25" s="1">
        <v>24</v>
      </c>
      <c r="V25" s="1" t="s">
        <v>2326</v>
      </c>
      <c r="X25" s="1">
        <v>24</v>
      </c>
      <c r="Y25" s="1" t="s">
        <v>2324</v>
      </c>
    </row>
    <row r="26" spans="1:25" x14ac:dyDescent="0.25">
      <c r="E26" s="1">
        <v>7</v>
      </c>
      <c r="F26" s="1" t="s">
        <v>1922</v>
      </c>
      <c r="G26" s="1" t="s">
        <v>1945</v>
      </c>
      <c r="H26" s="1" t="s">
        <v>1968</v>
      </c>
      <c r="I26" s="1" t="s">
        <v>1324</v>
      </c>
      <c r="J26" s="1" t="s">
        <v>2750</v>
      </c>
      <c r="L26" s="1">
        <v>25</v>
      </c>
      <c r="M26" s="1" t="s">
        <v>2002</v>
      </c>
      <c r="O26" s="1">
        <v>25</v>
      </c>
      <c r="P26" s="1" t="s">
        <v>2073</v>
      </c>
      <c r="R26" s="1">
        <v>25</v>
      </c>
      <c r="S26" s="1" t="s">
        <v>2325</v>
      </c>
      <c r="U26" s="1">
        <v>25</v>
      </c>
      <c r="V26" s="1" t="s">
        <v>2327</v>
      </c>
      <c r="X26" s="1">
        <v>25</v>
      </c>
      <c r="Y26" s="1" t="s">
        <v>2328</v>
      </c>
    </row>
    <row r="27" spans="1:25" x14ac:dyDescent="0.25">
      <c r="E27" s="1">
        <v>8</v>
      </c>
      <c r="F27" s="1" t="s">
        <v>1923</v>
      </c>
      <c r="G27" s="1" t="s">
        <v>1940</v>
      </c>
      <c r="H27" s="1" t="s">
        <v>1324</v>
      </c>
      <c r="I27" s="1" t="s">
        <v>1941</v>
      </c>
      <c r="J27" s="1" t="s">
        <v>2750</v>
      </c>
      <c r="L27" s="1">
        <v>26</v>
      </c>
      <c r="M27" s="1" t="s">
        <v>2013</v>
      </c>
      <c r="O27" s="1">
        <v>26</v>
      </c>
      <c r="P27" s="1" t="s">
        <v>2074</v>
      </c>
      <c r="R27" s="1">
        <v>26</v>
      </c>
      <c r="S27" s="1" t="s">
        <v>2329</v>
      </c>
      <c r="U27" s="1">
        <v>26</v>
      </c>
      <c r="V27" s="1" t="s">
        <v>2479</v>
      </c>
      <c r="X27" s="1">
        <v>26</v>
      </c>
      <c r="Y27" s="1" t="s">
        <v>2328</v>
      </c>
    </row>
    <row r="28" spans="1:25" x14ac:dyDescent="0.25">
      <c r="E28" s="1">
        <v>9</v>
      </c>
      <c r="F28" s="1" t="s">
        <v>1924</v>
      </c>
      <c r="G28" s="1" t="s">
        <v>1946</v>
      </c>
      <c r="H28" s="1" t="s">
        <v>1966</v>
      </c>
      <c r="I28" s="1" t="s">
        <v>1324</v>
      </c>
      <c r="J28" s="1" t="s">
        <v>2750</v>
      </c>
      <c r="L28" s="1">
        <v>27</v>
      </c>
      <c r="M28" s="1" t="s">
        <v>2014</v>
      </c>
      <c r="O28" s="1">
        <v>27</v>
      </c>
      <c r="P28" s="1" t="s">
        <v>2075</v>
      </c>
      <c r="R28" s="1">
        <v>27</v>
      </c>
      <c r="S28" s="1" t="s">
        <v>2329</v>
      </c>
      <c r="U28" s="1">
        <v>27</v>
      </c>
      <c r="V28" s="1" t="s">
        <v>2330</v>
      </c>
      <c r="X28" s="1">
        <v>27</v>
      </c>
      <c r="Y28" s="1" t="s">
        <v>2331</v>
      </c>
    </row>
    <row r="29" spans="1:25" x14ac:dyDescent="0.25">
      <c r="E29" s="1">
        <v>10</v>
      </c>
      <c r="F29" s="1" t="s">
        <v>1925</v>
      </c>
      <c r="G29" s="1" t="s">
        <v>1939</v>
      </c>
      <c r="H29" s="1" t="s">
        <v>1324</v>
      </c>
      <c r="I29" s="1" t="s">
        <v>1324</v>
      </c>
      <c r="J29" s="1" t="s">
        <v>2750</v>
      </c>
      <c r="L29" s="1">
        <v>28</v>
      </c>
      <c r="M29" s="1" t="s">
        <v>2015</v>
      </c>
      <c r="O29" s="1">
        <v>28</v>
      </c>
      <c r="P29" s="1" t="s">
        <v>2076</v>
      </c>
      <c r="R29" s="1">
        <v>28</v>
      </c>
      <c r="S29" s="1" t="s">
        <v>2332</v>
      </c>
      <c r="U29" s="1">
        <v>28</v>
      </c>
      <c r="V29" s="1" t="s">
        <v>2333</v>
      </c>
      <c r="X29" s="1">
        <v>28</v>
      </c>
      <c r="Y29" s="1" t="s">
        <v>2331</v>
      </c>
    </row>
    <row r="30" spans="1:25" x14ac:dyDescent="0.25">
      <c r="E30" s="1">
        <v>11</v>
      </c>
      <c r="F30" s="1" t="s">
        <v>1926</v>
      </c>
      <c r="G30" s="1" t="s">
        <v>1947</v>
      </c>
      <c r="H30" s="1" t="s">
        <v>1965</v>
      </c>
      <c r="I30" s="1" t="s">
        <v>1324</v>
      </c>
      <c r="J30" s="1" t="s">
        <v>2750</v>
      </c>
      <c r="L30" s="1">
        <v>29</v>
      </c>
      <c r="M30" s="1" t="s">
        <v>2023</v>
      </c>
      <c r="O30" s="1">
        <v>29</v>
      </c>
      <c r="P30" s="1" t="s">
        <v>2077</v>
      </c>
      <c r="R30" s="1">
        <v>29</v>
      </c>
      <c r="S30" s="1" t="s">
        <v>2332</v>
      </c>
      <c r="U30" s="1">
        <v>29</v>
      </c>
      <c r="V30" s="1" t="s">
        <v>2334</v>
      </c>
      <c r="X30" s="1">
        <v>29</v>
      </c>
      <c r="Y30" s="1" t="s">
        <v>2335</v>
      </c>
    </row>
    <row r="31" spans="1:25" x14ac:dyDescent="0.25">
      <c r="E31" s="1">
        <v>12</v>
      </c>
      <c r="F31" s="1" t="s">
        <v>1927</v>
      </c>
      <c r="G31" s="1" t="s">
        <v>1939</v>
      </c>
      <c r="H31" s="1" t="s">
        <v>1915</v>
      </c>
      <c r="I31" s="1" t="s">
        <v>1324</v>
      </c>
      <c r="J31" s="1" t="s">
        <v>2752</v>
      </c>
      <c r="L31" s="1">
        <v>30</v>
      </c>
      <c r="M31" s="1" t="s">
        <v>2017</v>
      </c>
      <c r="O31" s="1">
        <v>30</v>
      </c>
      <c r="P31" s="1" t="s">
        <v>2078</v>
      </c>
      <c r="R31" s="1">
        <v>30</v>
      </c>
      <c r="S31" s="1" t="s">
        <v>2336</v>
      </c>
      <c r="U31" s="1">
        <v>30</v>
      </c>
      <c r="V31" s="1" t="s">
        <v>2479</v>
      </c>
      <c r="X31" s="1">
        <v>30</v>
      </c>
      <c r="Y31" s="1" t="s">
        <v>2335</v>
      </c>
    </row>
    <row r="32" spans="1:25" x14ac:dyDescent="0.25">
      <c r="E32" s="1">
        <v>13</v>
      </c>
      <c r="F32" s="1" t="s">
        <v>1928</v>
      </c>
      <c r="G32" s="1" t="s">
        <v>1910</v>
      </c>
      <c r="H32" s="1" t="s">
        <v>1969</v>
      </c>
      <c r="I32" s="1" t="s">
        <v>1324</v>
      </c>
      <c r="J32" s="1" t="s">
        <v>2752</v>
      </c>
      <c r="L32" s="1">
        <v>31</v>
      </c>
      <c r="M32" s="1" t="s">
        <v>2018</v>
      </c>
      <c r="O32" s="1">
        <v>31</v>
      </c>
      <c r="P32" s="1" t="s">
        <v>2079</v>
      </c>
      <c r="R32" s="1">
        <v>31</v>
      </c>
      <c r="S32" s="1" t="s">
        <v>2336</v>
      </c>
      <c r="U32" s="1">
        <v>31</v>
      </c>
      <c r="V32" s="1" t="s">
        <v>2479</v>
      </c>
      <c r="X32" s="1">
        <v>31</v>
      </c>
      <c r="Y32" s="1" t="s">
        <v>2337</v>
      </c>
    </row>
    <row r="33" spans="1:25" x14ac:dyDescent="0.25">
      <c r="E33" s="1">
        <v>14</v>
      </c>
      <c r="F33" s="1" t="s">
        <v>1929</v>
      </c>
      <c r="G33" s="1" t="s">
        <v>1911</v>
      </c>
      <c r="H33" s="1" t="s">
        <v>1969</v>
      </c>
      <c r="I33" s="1" t="s">
        <v>1324</v>
      </c>
      <c r="J33" s="1" t="s">
        <v>2752</v>
      </c>
      <c r="L33" s="1">
        <v>32</v>
      </c>
      <c r="M33" s="1" t="s">
        <v>2020</v>
      </c>
      <c r="O33" s="1">
        <v>32</v>
      </c>
      <c r="P33" s="1" t="s">
        <v>2080</v>
      </c>
      <c r="R33" s="1">
        <v>32</v>
      </c>
      <c r="S33" s="1" t="s">
        <v>2338</v>
      </c>
      <c r="U33" s="1">
        <v>32</v>
      </c>
      <c r="V33" s="1" t="s">
        <v>2479</v>
      </c>
      <c r="X33" s="1">
        <v>32</v>
      </c>
      <c r="Y33" s="1" t="s">
        <v>2337</v>
      </c>
    </row>
    <row r="34" spans="1:25" x14ac:dyDescent="0.25">
      <c r="E34" s="1">
        <v>15</v>
      </c>
      <c r="F34" s="1" t="s">
        <v>1930</v>
      </c>
      <c r="G34" s="1" t="s">
        <v>1911</v>
      </c>
      <c r="H34" s="1" t="s">
        <v>1951</v>
      </c>
      <c r="I34" s="1" t="s">
        <v>1939</v>
      </c>
      <c r="J34" s="1" t="s">
        <v>2750</v>
      </c>
      <c r="L34" s="1">
        <v>33</v>
      </c>
      <c r="M34" s="1" t="s">
        <v>2021</v>
      </c>
      <c r="O34" s="1">
        <v>33</v>
      </c>
      <c r="P34" s="1" t="s">
        <v>2081</v>
      </c>
      <c r="R34" s="1">
        <v>33</v>
      </c>
      <c r="S34" s="1" t="s">
        <v>2338</v>
      </c>
      <c r="U34" s="1">
        <v>33</v>
      </c>
      <c r="V34" s="1" t="s">
        <v>2479</v>
      </c>
      <c r="X34" s="1">
        <v>33</v>
      </c>
      <c r="Y34" s="1" t="s">
        <v>2339</v>
      </c>
    </row>
    <row r="35" spans="1:25" x14ac:dyDescent="0.25">
      <c r="E35" s="1">
        <v>16</v>
      </c>
      <c r="F35" s="1" t="s">
        <v>1931</v>
      </c>
      <c r="G35" s="1" t="s">
        <v>1939</v>
      </c>
      <c r="H35" s="1" t="s">
        <v>1324</v>
      </c>
      <c r="I35" s="1" t="s">
        <v>1324</v>
      </c>
      <c r="J35" s="1" t="s">
        <v>2750</v>
      </c>
      <c r="L35" s="1">
        <v>34</v>
      </c>
      <c r="M35" s="1" t="s">
        <v>2022</v>
      </c>
      <c r="O35" s="1">
        <v>34</v>
      </c>
      <c r="P35" s="1" t="s">
        <v>2082</v>
      </c>
      <c r="R35" s="1">
        <v>34</v>
      </c>
      <c r="S35" s="1" t="s">
        <v>2340</v>
      </c>
      <c r="U35" s="1">
        <v>34</v>
      </c>
      <c r="V35" s="1" t="s">
        <v>2341</v>
      </c>
      <c r="X35" s="1">
        <v>34</v>
      </c>
      <c r="Y35" s="1" t="s">
        <v>2339</v>
      </c>
    </row>
    <row r="36" spans="1:25" x14ac:dyDescent="0.25">
      <c r="E36" s="1">
        <v>17</v>
      </c>
      <c r="F36" s="1" t="s">
        <v>1932</v>
      </c>
      <c r="G36" s="1" t="s">
        <v>1909</v>
      </c>
      <c r="H36" s="1" t="s">
        <v>1324</v>
      </c>
      <c r="I36" s="1" t="s">
        <v>2754</v>
      </c>
      <c r="J36" s="1" t="s">
        <v>2750</v>
      </c>
      <c r="L36" s="1">
        <v>35</v>
      </c>
      <c r="M36" s="1" t="s">
        <v>2025</v>
      </c>
      <c r="O36" s="1">
        <v>35</v>
      </c>
      <c r="P36" s="1" t="s">
        <v>2083</v>
      </c>
      <c r="R36" s="1">
        <v>35</v>
      </c>
      <c r="S36" s="1" t="s">
        <v>2340</v>
      </c>
      <c r="U36" s="1">
        <v>35</v>
      </c>
      <c r="V36" s="1" t="s">
        <v>2342</v>
      </c>
      <c r="X36" s="1">
        <v>35</v>
      </c>
      <c r="Y36" s="1" t="s">
        <v>2475</v>
      </c>
    </row>
    <row r="37" spans="1:25" x14ac:dyDescent="0.25">
      <c r="E37" s="1">
        <v>18</v>
      </c>
      <c r="F37" s="1" t="s">
        <v>1933</v>
      </c>
      <c r="G37" s="1" t="s">
        <v>1913</v>
      </c>
      <c r="H37" s="1" t="s">
        <v>1970</v>
      </c>
      <c r="I37" s="1" t="s">
        <v>1324</v>
      </c>
      <c r="J37" s="1" t="s">
        <v>2752</v>
      </c>
      <c r="L37" s="1">
        <v>36</v>
      </c>
      <c r="M37" s="1" t="s">
        <v>2026</v>
      </c>
      <c r="O37" s="1">
        <v>36</v>
      </c>
      <c r="P37" s="1" t="s">
        <v>2084</v>
      </c>
      <c r="R37" s="1">
        <v>36</v>
      </c>
      <c r="S37" s="1" t="s">
        <v>2343</v>
      </c>
      <c r="U37" s="1">
        <v>36</v>
      </c>
      <c r="V37" s="1" t="s">
        <v>2344</v>
      </c>
      <c r="X37" s="1">
        <v>36</v>
      </c>
      <c r="Y37" s="1" t="s">
        <v>2475</v>
      </c>
    </row>
    <row r="38" spans="1:25" x14ac:dyDescent="0.25">
      <c r="L38" s="1">
        <v>37</v>
      </c>
      <c r="M38" s="1" t="s">
        <v>2027</v>
      </c>
      <c r="O38" s="1">
        <v>37</v>
      </c>
      <c r="P38" s="1" t="s">
        <v>2085</v>
      </c>
      <c r="R38" s="1">
        <v>37</v>
      </c>
      <c r="S38" s="1" t="s">
        <v>2343</v>
      </c>
      <c r="U38" s="1">
        <v>37</v>
      </c>
      <c r="V38" s="1" t="s">
        <v>2345</v>
      </c>
      <c r="X38" s="1">
        <v>37</v>
      </c>
      <c r="Y38" s="1" t="s">
        <v>2346</v>
      </c>
    </row>
    <row r="39" spans="1:25" x14ac:dyDescent="0.25">
      <c r="E39" s="2" t="s">
        <v>1934</v>
      </c>
      <c r="L39" s="1">
        <v>38</v>
      </c>
      <c r="M39" s="1" t="s">
        <v>2006</v>
      </c>
      <c r="O39" s="1">
        <v>38</v>
      </c>
      <c r="P39" s="1" t="s">
        <v>2086</v>
      </c>
      <c r="R39" s="1">
        <v>38</v>
      </c>
      <c r="S39" s="1" t="s">
        <v>2347</v>
      </c>
      <c r="U39" s="1">
        <v>38</v>
      </c>
      <c r="V39" s="1" t="s">
        <v>2474</v>
      </c>
      <c r="X39" s="1">
        <v>38</v>
      </c>
      <c r="Y39" s="1" t="s">
        <v>2346</v>
      </c>
    </row>
    <row r="40" spans="1:25" x14ac:dyDescent="0.25">
      <c r="E40" s="1">
        <v>1</v>
      </c>
      <c r="F40" s="1" t="s">
        <v>1948</v>
      </c>
      <c r="G40" s="1" t="s">
        <v>1949</v>
      </c>
      <c r="H40" s="1" t="s">
        <v>1971</v>
      </c>
      <c r="I40" s="1" t="s">
        <v>1324</v>
      </c>
      <c r="J40" s="1" t="s">
        <v>2751</v>
      </c>
      <c r="L40" s="1">
        <v>39</v>
      </c>
      <c r="M40" s="1" t="s">
        <v>2037</v>
      </c>
      <c r="O40" s="1">
        <v>39</v>
      </c>
      <c r="P40" s="1" t="s">
        <v>2087</v>
      </c>
      <c r="R40" s="1">
        <v>39</v>
      </c>
      <c r="S40" s="1" t="s">
        <v>2347</v>
      </c>
      <c r="U40" s="1">
        <v>39</v>
      </c>
      <c r="V40" s="1" t="s">
        <v>2348</v>
      </c>
      <c r="X40" s="1">
        <v>39</v>
      </c>
      <c r="Y40" s="1" t="s">
        <v>2349</v>
      </c>
    </row>
    <row r="41" spans="1:25" x14ac:dyDescent="0.25">
      <c r="E41" s="1">
        <v>2</v>
      </c>
      <c r="F41" s="1" t="s">
        <v>1935</v>
      </c>
      <c r="G41" s="1" t="s">
        <v>1911</v>
      </c>
      <c r="H41" s="1" t="s">
        <v>1972</v>
      </c>
      <c r="I41" s="1" t="s">
        <v>1324</v>
      </c>
      <c r="J41" s="1" t="s">
        <v>2751</v>
      </c>
      <c r="L41" s="1">
        <v>40</v>
      </c>
      <c r="M41" s="1" t="s">
        <v>2028</v>
      </c>
      <c r="O41" s="1">
        <v>40</v>
      </c>
      <c r="P41" s="1" t="s">
        <v>2088</v>
      </c>
      <c r="R41" s="1">
        <v>40</v>
      </c>
      <c r="S41" s="1" t="s">
        <v>2350</v>
      </c>
      <c r="U41" s="1">
        <v>40</v>
      </c>
      <c r="V41" s="1" t="s">
        <v>2474</v>
      </c>
      <c r="X41" s="1">
        <v>40</v>
      </c>
      <c r="Y41" s="1" t="s">
        <v>2349</v>
      </c>
    </row>
    <row r="42" spans="1:25" x14ac:dyDescent="0.25">
      <c r="E42" s="1">
        <v>3</v>
      </c>
      <c r="F42" s="1" t="s">
        <v>1936</v>
      </c>
      <c r="G42" s="1" t="s">
        <v>1947</v>
      </c>
      <c r="H42" s="1" t="s">
        <v>1973</v>
      </c>
      <c r="I42" s="1" t="s">
        <v>1324</v>
      </c>
      <c r="J42" s="1" t="s">
        <v>2751</v>
      </c>
      <c r="L42" s="1">
        <v>41</v>
      </c>
      <c r="M42" s="1" t="s">
        <v>2036</v>
      </c>
      <c r="O42" s="1">
        <v>41</v>
      </c>
      <c r="P42" s="1" t="s">
        <v>2089</v>
      </c>
      <c r="R42" s="1">
        <v>41</v>
      </c>
      <c r="S42" s="1" t="s">
        <v>2350</v>
      </c>
      <c r="U42" s="1">
        <v>41</v>
      </c>
      <c r="V42" s="1" t="s">
        <v>2479</v>
      </c>
      <c r="X42" s="1">
        <v>41</v>
      </c>
      <c r="Y42" s="1" t="s">
        <v>2351</v>
      </c>
    </row>
    <row r="43" spans="1:25" x14ac:dyDescent="0.25">
      <c r="E43" s="1">
        <v>4</v>
      </c>
      <c r="F43" s="1" t="s">
        <v>1937</v>
      </c>
      <c r="G43" s="1" t="s">
        <v>1939</v>
      </c>
      <c r="H43" s="1" t="s">
        <v>1974</v>
      </c>
      <c r="I43" s="1" t="s">
        <v>1324</v>
      </c>
      <c r="J43" s="1" t="s">
        <v>2751</v>
      </c>
      <c r="L43" s="1">
        <v>42</v>
      </c>
      <c r="M43" s="1" t="s">
        <v>2038</v>
      </c>
      <c r="O43" s="1">
        <v>42</v>
      </c>
      <c r="P43" s="1" t="s">
        <v>2483</v>
      </c>
      <c r="R43" s="1">
        <v>42</v>
      </c>
      <c r="S43" s="1" t="s">
        <v>2352</v>
      </c>
      <c r="U43" s="1">
        <v>42</v>
      </c>
      <c r="V43" s="1" t="s">
        <v>2474</v>
      </c>
      <c r="X43" s="1">
        <v>42</v>
      </c>
      <c r="Y43" s="1" t="s">
        <v>2351</v>
      </c>
    </row>
    <row r="44" spans="1:25" x14ac:dyDescent="0.25">
      <c r="E44" s="1">
        <v>5</v>
      </c>
      <c r="F44" s="1" t="s">
        <v>1938</v>
      </c>
      <c r="G44" s="1" t="s">
        <v>1324</v>
      </c>
      <c r="H44" s="1" t="s">
        <v>1975</v>
      </c>
      <c r="I44" s="1" t="s">
        <v>1324</v>
      </c>
      <c r="J44" s="1" t="s">
        <v>2751</v>
      </c>
      <c r="L44" s="1">
        <v>43</v>
      </c>
      <c r="M44" s="1" t="s">
        <v>2031</v>
      </c>
      <c r="O44" s="1">
        <v>43</v>
      </c>
      <c r="P44" s="1" t="s">
        <v>2090</v>
      </c>
      <c r="R44" s="1">
        <v>43</v>
      </c>
      <c r="S44" s="1" t="s">
        <v>2352</v>
      </c>
      <c r="U44" s="1">
        <v>43</v>
      </c>
      <c r="V44" s="1" t="s">
        <v>2353</v>
      </c>
      <c r="X44" s="1">
        <v>43</v>
      </c>
      <c r="Y44" s="1" t="s">
        <v>2354</v>
      </c>
    </row>
    <row r="45" spans="1:25" x14ac:dyDescent="0.25">
      <c r="L45" s="1">
        <v>44</v>
      </c>
      <c r="M45" s="1" t="s">
        <v>2032</v>
      </c>
      <c r="O45" s="1">
        <v>44</v>
      </c>
      <c r="P45" s="1" t="s">
        <v>2091</v>
      </c>
      <c r="R45" s="1">
        <v>44</v>
      </c>
      <c r="S45" s="1" t="s">
        <v>2355</v>
      </c>
      <c r="U45" s="1">
        <v>44</v>
      </c>
      <c r="V45" s="1" t="s">
        <v>2474</v>
      </c>
      <c r="X45" s="1">
        <v>44</v>
      </c>
      <c r="Y45" s="1" t="s">
        <v>2354</v>
      </c>
    </row>
    <row r="46" spans="1:25" x14ac:dyDescent="0.25">
      <c r="A46" s="2" t="s">
        <v>2254</v>
      </c>
      <c r="B46" s="1" t="s">
        <v>2248</v>
      </c>
      <c r="C46" s="1" t="s">
        <v>2249</v>
      </c>
      <c r="D46" s="1" t="s">
        <v>2250</v>
      </c>
      <c r="E46" s="1" t="s">
        <v>2251</v>
      </c>
      <c r="F46" s="1" t="s">
        <v>2252</v>
      </c>
      <c r="G46" s="1" t="s">
        <v>2253</v>
      </c>
      <c r="L46" s="1">
        <v>45</v>
      </c>
      <c r="M46" s="1" t="s">
        <v>2039</v>
      </c>
      <c r="O46" s="1">
        <v>45</v>
      </c>
      <c r="P46" s="1" t="s">
        <v>2092</v>
      </c>
      <c r="R46" s="1">
        <v>45</v>
      </c>
      <c r="S46" s="1" t="s">
        <v>2355</v>
      </c>
      <c r="U46" s="1">
        <v>45</v>
      </c>
      <c r="V46" s="1" t="s">
        <v>2479</v>
      </c>
      <c r="X46" s="1">
        <v>45</v>
      </c>
      <c r="Y46" s="1" t="s">
        <v>2356</v>
      </c>
    </row>
    <row r="47" spans="1:25" x14ac:dyDescent="0.25">
      <c r="A47" s="10">
        <v>1</v>
      </c>
      <c r="B47" s="1">
        <f ca="1">RANDBETWEEN(1,100)</f>
        <v>60</v>
      </c>
      <c r="C47" s="1">
        <f ca="1">IF(B47&lt;=30,RANDBETWEEN(5,30),0)</f>
        <v>0</v>
      </c>
      <c r="D47" s="1">
        <f ca="1">IF(AND(B47&gt;=31,B47&lt;=60),RANDBETWEEN(4,24),0)</f>
        <v>21</v>
      </c>
      <c r="E47" s="1">
        <f ca="1">IF(AND(B47&gt;=61,B47&lt;=70),RANDBETWEEN(3,18),0)</f>
        <v>0</v>
      </c>
      <c r="F47" s="1">
        <f ca="1">IF(AND(B47&gt;=71,B47&lt;=95),RANDBETWEEN(3,18),0)</f>
        <v>0</v>
      </c>
      <c r="G47" s="1">
        <f ca="1">IF(B47&gt;95,RANDBETWEEN(1,6),0)</f>
        <v>0</v>
      </c>
      <c r="L47" s="1">
        <v>46</v>
      </c>
      <c r="M47" s="1" t="s">
        <v>2040</v>
      </c>
      <c r="O47" s="1">
        <v>46</v>
      </c>
      <c r="P47" s="1" t="s">
        <v>2093</v>
      </c>
      <c r="R47" s="1">
        <v>46</v>
      </c>
      <c r="S47" s="1" t="s">
        <v>2357</v>
      </c>
      <c r="U47" s="1">
        <v>46</v>
      </c>
      <c r="V47" s="1" t="s">
        <v>2358</v>
      </c>
      <c r="X47" s="1">
        <v>46</v>
      </c>
      <c r="Y47" s="1" t="s">
        <v>2356</v>
      </c>
    </row>
    <row r="48" spans="1:25" x14ac:dyDescent="0.25">
      <c r="A48" s="10">
        <v>2</v>
      </c>
      <c r="B48" s="1">
        <f ca="1">RANDBETWEEN(1,100)</f>
        <v>47</v>
      </c>
      <c r="C48" s="1">
        <f ca="1">IF(B48&lt;=30,RANDBETWEEN(5,30),0)</f>
        <v>0</v>
      </c>
      <c r="D48" s="1">
        <f ca="1">IF(AND(B48&gt;=31,B48&lt;=60),RANDBETWEEN(4,24),0)</f>
        <v>11</v>
      </c>
      <c r="E48" s="1">
        <f ca="1">IF(AND(B48&gt;=61,B48&lt;=70),RANDBETWEEN(3,18),0)</f>
        <v>0</v>
      </c>
      <c r="F48" s="1">
        <f ca="1">IF(AND(B48&gt;=71,B48&lt;=95),RANDBETWEEN(3,18),0)</f>
        <v>0</v>
      </c>
      <c r="G48" s="1">
        <f ca="1">IF(B48&gt;95,RANDBETWEEN(1,6),0)</f>
        <v>0</v>
      </c>
      <c r="L48" s="1">
        <v>47</v>
      </c>
      <c r="M48" s="1" t="s">
        <v>2041</v>
      </c>
      <c r="O48" s="1">
        <v>47</v>
      </c>
      <c r="P48" s="1" t="s">
        <v>2094</v>
      </c>
      <c r="R48" s="1">
        <v>47</v>
      </c>
      <c r="S48" s="1" t="s">
        <v>2357</v>
      </c>
      <c r="U48" s="1">
        <v>47</v>
      </c>
      <c r="V48" s="1" t="s">
        <v>2359</v>
      </c>
      <c r="X48" s="1">
        <v>47</v>
      </c>
      <c r="Y48" s="1" t="s">
        <v>2360</v>
      </c>
    </row>
    <row r="49" spans="1:25" x14ac:dyDescent="0.25">
      <c r="A49" s="10">
        <v>3</v>
      </c>
      <c r="B49" s="1">
        <f ca="1">RANDBETWEEN(1,100)</f>
        <v>38</v>
      </c>
      <c r="C49" s="1">
        <f ca="1">IF(B49&lt;=30,RANDBETWEEN(5,30),0)</f>
        <v>0</v>
      </c>
      <c r="D49" s="1">
        <f ca="1">IF(AND(B49&gt;=31,B49&lt;=60),RANDBETWEEN(4,24),0)</f>
        <v>11</v>
      </c>
      <c r="E49" s="1">
        <f ca="1">IF(AND(B49&gt;=61,B49&lt;=70),RANDBETWEEN(3,18),0)</f>
        <v>0</v>
      </c>
      <c r="F49" s="1">
        <f ca="1">IF(AND(B49&gt;=71,B49&lt;=95),RANDBETWEEN(3,18),0)</f>
        <v>0</v>
      </c>
      <c r="G49" s="1">
        <f ca="1">IF(B49&gt;95,RANDBETWEEN(1,6),0)</f>
        <v>0</v>
      </c>
      <c r="L49" s="1">
        <v>48</v>
      </c>
      <c r="M49" s="1" t="s">
        <v>2043</v>
      </c>
      <c r="O49" s="1">
        <v>48</v>
      </c>
      <c r="P49" s="1" t="s">
        <v>2095</v>
      </c>
      <c r="R49" s="1">
        <v>48</v>
      </c>
      <c r="S49" s="1" t="s">
        <v>2361</v>
      </c>
      <c r="U49" s="1">
        <v>48</v>
      </c>
      <c r="V49" s="1" t="s">
        <v>2362</v>
      </c>
      <c r="X49" s="1">
        <v>48</v>
      </c>
      <c r="Y49" s="1" t="s">
        <v>2360</v>
      </c>
    </row>
    <row r="50" spans="1:25" x14ac:dyDescent="0.25">
      <c r="A50" s="10">
        <v>4</v>
      </c>
      <c r="B50" s="1">
        <f ca="1">RANDBETWEEN(1,100)</f>
        <v>97</v>
      </c>
      <c r="C50" s="1">
        <f ca="1">IF(B50&lt;=30,RANDBETWEEN(5,30),0)</f>
        <v>0</v>
      </c>
      <c r="D50" s="1">
        <f ca="1">IF(AND(B50&gt;=31,B50&lt;=60),RANDBETWEEN(4,24),0)</f>
        <v>0</v>
      </c>
      <c r="E50" s="1">
        <f ca="1">IF(AND(B50&gt;=61,B50&lt;=70),RANDBETWEEN(3,18),0)</f>
        <v>0</v>
      </c>
      <c r="F50" s="1">
        <f ca="1">IF(AND(B50&gt;=71,B50&lt;=95),RANDBETWEEN(3,18),0)</f>
        <v>0</v>
      </c>
      <c r="G50" s="1">
        <f ca="1">IF(B50&gt;95,RANDBETWEEN(1,6),0)</f>
        <v>4</v>
      </c>
      <c r="L50" s="1">
        <v>49</v>
      </c>
      <c r="M50" s="1" t="s">
        <v>2029</v>
      </c>
      <c r="O50" s="1">
        <v>49</v>
      </c>
      <c r="P50" s="1" t="s">
        <v>2096</v>
      </c>
      <c r="R50" s="1">
        <v>49</v>
      </c>
      <c r="S50" s="1" t="s">
        <v>2361</v>
      </c>
      <c r="U50" s="1">
        <v>49</v>
      </c>
      <c r="V50" s="1" t="s">
        <v>2363</v>
      </c>
      <c r="X50" s="1">
        <v>49</v>
      </c>
      <c r="Y50" s="1" t="s">
        <v>2475</v>
      </c>
    </row>
    <row r="51" spans="1:25" x14ac:dyDescent="0.25">
      <c r="A51" s="10">
        <v>5</v>
      </c>
      <c r="B51" s="1">
        <f t="shared" ref="B51:B66" ca="1" si="0">RANDBETWEEN(1,100)</f>
        <v>31</v>
      </c>
      <c r="C51" s="1">
        <f t="shared" ref="C51:C56" ca="1" si="1">IF(B51&lt;=30,RANDBETWEEN(400,2400),0)</f>
        <v>0</v>
      </c>
      <c r="D51" s="1">
        <f t="shared" ref="D51:D56" ca="1" si="2">IF(AND(B51&gt;=31,B51&lt;=60),RANDBETWEEN(60,360),0)</f>
        <v>83</v>
      </c>
      <c r="E51" s="1">
        <f t="shared" ref="E51:E56" ca="1" si="3">IF(B51&lt;30,RANDBETWEEN(10,60),IF(AND(B51&gt;=61,B51&lt;=70),RANDBETWEEN(30,180),0))</f>
        <v>0</v>
      </c>
      <c r="F51" s="1">
        <f t="shared" ref="F51:F56" ca="1" si="4">IF(AND(B51&gt;=31,B51&lt;=60),RANDBETWEEN(20,60),IF(AND(B51&gt;=61,B51&lt;=70),RANDBETWEEN(30,180),IF(AND(B51&gt;=71,B51&lt;=95),RANDBETWEEN(40,240),IF(AND(B51&gt;95),RANDBETWEEN(20,60),0))))</f>
        <v>51</v>
      </c>
      <c r="G51" s="1">
        <f t="shared" ref="G51:G56" ca="1" si="5">IF(B51&gt;95,RANDBETWEEN(3,18),0)</f>
        <v>0</v>
      </c>
      <c r="L51" s="1">
        <v>50</v>
      </c>
      <c r="M51" s="1" t="s">
        <v>2045</v>
      </c>
      <c r="O51" s="1">
        <v>50</v>
      </c>
      <c r="P51" s="1" t="s">
        <v>2097</v>
      </c>
      <c r="R51" s="1">
        <v>50</v>
      </c>
      <c r="S51" s="1" t="s">
        <v>2364</v>
      </c>
      <c r="U51" s="1">
        <v>50</v>
      </c>
      <c r="V51" s="1" t="s">
        <v>2365</v>
      </c>
      <c r="X51" s="1">
        <v>50</v>
      </c>
      <c r="Y51" s="1" t="s">
        <v>2475</v>
      </c>
    </row>
    <row r="52" spans="1:25" x14ac:dyDescent="0.25">
      <c r="A52" s="10">
        <v>6</v>
      </c>
      <c r="B52" s="1">
        <f t="shared" ca="1" si="0"/>
        <v>81</v>
      </c>
      <c r="C52" s="1">
        <f t="shared" ca="1" si="1"/>
        <v>0</v>
      </c>
      <c r="D52" s="1">
        <f t="shared" ca="1" si="2"/>
        <v>0</v>
      </c>
      <c r="E52" s="1">
        <f t="shared" ca="1" si="3"/>
        <v>0</v>
      </c>
      <c r="F52" s="1">
        <f t="shared" ca="1" si="4"/>
        <v>52</v>
      </c>
      <c r="G52" s="1">
        <f t="shared" ca="1" si="5"/>
        <v>0</v>
      </c>
      <c r="L52" s="1">
        <v>51</v>
      </c>
      <c r="M52" s="1" t="s">
        <v>2049</v>
      </c>
      <c r="O52" s="1">
        <v>51</v>
      </c>
      <c r="P52" s="1" t="s">
        <v>2098</v>
      </c>
      <c r="R52" s="1">
        <v>51</v>
      </c>
      <c r="S52" s="1" t="s">
        <v>2364</v>
      </c>
      <c r="U52" s="1">
        <v>51</v>
      </c>
      <c r="V52" s="1" t="s">
        <v>2366</v>
      </c>
      <c r="X52" s="1">
        <v>51</v>
      </c>
      <c r="Y52" s="1" t="s">
        <v>2367</v>
      </c>
    </row>
    <row r="53" spans="1:25" x14ac:dyDescent="0.25">
      <c r="A53" s="10">
        <v>7</v>
      </c>
      <c r="B53" s="1">
        <f t="shared" ca="1" si="0"/>
        <v>52</v>
      </c>
      <c r="C53" s="1">
        <f t="shared" ca="1" si="1"/>
        <v>0</v>
      </c>
      <c r="D53" s="1">
        <f t="shared" ca="1" si="2"/>
        <v>265</v>
      </c>
      <c r="E53" s="1">
        <f t="shared" ca="1" si="3"/>
        <v>0</v>
      </c>
      <c r="F53" s="1">
        <f t="shared" ca="1" si="4"/>
        <v>30</v>
      </c>
      <c r="G53" s="1">
        <f t="shared" ca="1" si="5"/>
        <v>0</v>
      </c>
      <c r="L53" s="1">
        <v>52</v>
      </c>
      <c r="M53" s="1" t="s">
        <v>2044</v>
      </c>
      <c r="O53" s="1">
        <v>52</v>
      </c>
      <c r="P53" s="1" t="s">
        <v>2099</v>
      </c>
      <c r="R53" s="1">
        <v>52</v>
      </c>
      <c r="S53" s="1" t="s">
        <v>2368</v>
      </c>
      <c r="U53" s="1">
        <v>52</v>
      </c>
      <c r="V53" s="1" t="s">
        <v>2369</v>
      </c>
      <c r="X53" s="1">
        <v>52</v>
      </c>
      <c r="Y53" s="1" t="s">
        <v>2367</v>
      </c>
    </row>
    <row r="54" spans="1:25" x14ac:dyDescent="0.25">
      <c r="A54" s="10">
        <v>8</v>
      </c>
      <c r="B54" s="1">
        <f t="shared" ca="1" si="0"/>
        <v>44</v>
      </c>
      <c r="C54" s="1">
        <f t="shared" ca="1" si="1"/>
        <v>0</v>
      </c>
      <c r="D54" s="1">
        <f t="shared" ca="1" si="2"/>
        <v>271</v>
      </c>
      <c r="E54" s="1">
        <f t="shared" ca="1" si="3"/>
        <v>0</v>
      </c>
      <c r="F54" s="1">
        <f t="shared" ca="1" si="4"/>
        <v>20</v>
      </c>
      <c r="G54" s="1">
        <f t="shared" ca="1" si="5"/>
        <v>0</v>
      </c>
      <c r="L54" s="1">
        <v>53</v>
      </c>
      <c r="M54" s="1" t="s">
        <v>1993</v>
      </c>
      <c r="O54" s="1">
        <v>53</v>
      </c>
      <c r="P54" s="1" t="s">
        <v>2100</v>
      </c>
      <c r="R54" s="1">
        <v>53</v>
      </c>
      <c r="S54" s="1" t="s">
        <v>2368</v>
      </c>
      <c r="U54" s="1">
        <v>53</v>
      </c>
      <c r="V54" s="1" t="s">
        <v>2370</v>
      </c>
      <c r="X54" s="1">
        <v>53</v>
      </c>
      <c r="Y54" s="1" t="s">
        <v>2475</v>
      </c>
    </row>
    <row r="55" spans="1:25" x14ac:dyDescent="0.25">
      <c r="A55" s="10">
        <v>9</v>
      </c>
      <c r="B55" s="1">
        <f t="shared" ca="1" si="0"/>
        <v>26</v>
      </c>
      <c r="C55" s="1">
        <f t="shared" ca="1" si="1"/>
        <v>441</v>
      </c>
      <c r="D55" s="1">
        <f t="shared" ca="1" si="2"/>
        <v>0</v>
      </c>
      <c r="E55" s="1">
        <f t="shared" ca="1" si="3"/>
        <v>48</v>
      </c>
      <c r="F55" s="1">
        <f t="shared" ca="1" si="4"/>
        <v>0</v>
      </c>
      <c r="G55" s="1">
        <f t="shared" ca="1" si="5"/>
        <v>0</v>
      </c>
      <c r="L55" s="1">
        <v>54</v>
      </c>
      <c r="M55" s="1" t="s">
        <v>1995</v>
      </c>
      <c r="O55" s="1">
        <v>54</v>
      </c>
      <c r="P55" s="1" t="s">
        <v>2101</v>
      </c>
      <c r="R55" s="1">
        <v>54</v>
      </c>
      <c r="S55" s="1" t="s">
        <v>2371</v>
      </c>
      <c r="U55" s="1">
        <v>54</v>
      </c>
      <c r="V55" s="1" t="s">
        <v>2372</v>
      </c>
      <c r="X55" s="1">
        <v>54</v>
      </c>
      <c r="Y55" s="1" t="s">
        <v>2475</v>
      </c>
    </row>
    <row r="56" spans="1:25" x14ac:dyDescent="0.25">
      <c r="A56" s="10">
        <v>10</v>
      </c>
      <c r="B56" s="1">
        <f t="shared" ca="1" si="0"/>
        <v>28</v>
      </c>
      <c r="C56" s="1">
        <f t="shared" ca="1" si="1"/>
        <v>817</v>
      </c>
      <c r="D56" s="1">
        <f t="shared" ca="1" si="2"/>
        <v>0</v>
      </c>
      <c r="E56" s="1">
        <f t="shared" ca="1" si="3"/>
        <v>24</v>
      </c>
      <c r="F56" s="1">
        <f t="shared" ca="1" si="4"/>
        <v>0</v>
      </c>
      <c r="G56" s="1">
        <f t="shared" ca="1" si="5"/>
        <v>0</v>
      </c>
      <c r="L56" s="1">
        <v>55</v>
      </c>
      <c r="M56" s="1" t="s">
        <v>2035</v>
      </c>
      <c r="O56" s="1">
        <v>55</v>
      </c>
      <c r="P56" s="1" t="s">
        <v>2102</v>
      </c>
      <c r="R56" s="1">
        <v>55</v>
      </c>
      <c r="S56" s="1" t="s">
        <v>2371</v>
      </c>
      <c r="U56" s="1">
        <v>55</v>
      </c>
      <c r="V56" s="1" t="s">
        <v>2373</v>
      </c>
      <c r="X56" s="1">
        <v>55</v>
      </c>
      <c r="Y56" s="1" t="s">
        <v>2478</v>
      </c>
    </row>
    <row r="57" spans="1:25" x14ac:dyDescent="0.25">
      <c r="A57" s="1">
        <v>11</v>
      </c>
      <c r="B57" s="1">
        <f t="shared" ca="1" si="0"/>
        <v>23</v>
      </c>
      <c r="C57" s="1">
        <v>0</v>
      </c>
      <c r="D57" s="1">
        <f t="shared" ref="D57:D62" ca="1" si="6">IF(AND(B57&gt;=1,B57&lt;=20),RANDBETWEEN(400,2400),0)</f>
        <v>0</v>
      </c>
      <c r="E57" s="1">
        <f t="shared" ref="E57:E62" ca="1" si="7">IF(AND(B57&gt;=21,B57&lt;=35),RANDBETWEEN(100,600),0)</f>
        <v>157</v>
      </c>
      <c r="F57" s="1">
        <f t="shared" ref="F57:F62" ca="1" si="8">IF(AND(B57&gt;=1,B57&lt;=20),RANDBETWEEN(100,600),IF(AND(B57&gt;=21,B57&lt;=35),RANDBETWEEN(100,600),IF(AND(B57&gt;=36,B57&lt;=75),RANDBETWEEN(200,1200),IF(AND(B57&gt;75),RANDBETWEEN(200,1200),0))))</f>
        <v>107</v>
      </c>
      <c r="G57" s="1">
        <f t="shared" ref="G57:G62" ca="1" si="9">IF(AND(B57&gt;=36,B57&lt;=75),RANDBETWEEN(10,60),IF(AND(B57&gt;=76,B57&lt;=100),RANDBETWEEN(20,120),0))</f>
        <v>0</v>
      </c>
      <c r="L57" s="1">
        <v>56</v>
      </c>
      <c r="M57" s="1" t="s">
        <v>2033</v>
      </c>
      <c r="O57" s="1">
        <v>56</v>
      </c>
      <c r="P57" s="1" t="s">
        <v>2103</v>
      </c>
      <c r="R57" s="1">
        <v>56</v>
      </c>
      <c r="S57" s="1" t="s">
        <v>2476</v>
      </c>
      <c r="U57" s="1">
        <v>56</v>
      </c>
      <c r="V57" s="1" t="s">
        <v>2479</v>
      </c>
      <c r="X57" s="1">
        <v>56</v>
      </c>
      <c r="Y57" s="1" t="s">
        <v>2478</v>
      </c>
    </row>
    <row r="58" spans="1:25" x14ac:dyDescent="0.25">
      <c r="A58" s="1">
        <v>12</v>
      </c>
      <c r="B58" s="1">
        <f t="shared" ca="1" si="0"/>
        <v>86</v>
      </c>
      <c r="C58" s="1">
        <v>0</v>
      </c>
      <c r="D58" s="1">
        <f t="shared" ca="1" si="6"/>
        <v>0</v>
      </c>
      <c r="E58" s="1">
        <f t="shared" ca="1" si="7"/>
        <v>0</v>
      </c>
      <c r="F58" s="1">
        <f t="shared" ca="1" si="8"/>
        <v>512</v>
      </c>
      <c r="G58" s="1">
        <f t="shared" ca="1" si="9"/>
        <v>107</v>
      </c>
      <c r="L58" s="1">
        <v>57</v>
      </c>
      <c r="M58" s="1" t="s">
        <v>2047</v>
      </c>
      <c r="O58" s="1">
        <v>57</v>
      </c>
      <c r="P58" s="1" t="s">
        <v>2104</v>
      </c>
      <c r="R58" s="1">
        <v>57</v>
      </c>
      <c r="S58" s="1" t="s">
        <v>2374</v>
      </c>
      <c r="U58" s="1">
        <v>57</v>
      </c>
      <c r="V58" s="1" t="s">
        <v>2479</v>
      </c>
      <c r="X58" s="1">
        <v>57</v>
      </c>
      <c r="Y58" s="1" t="s">
        <v>2346</v>
      </c>
    </row>
    <row r="59" spans="1:25" x14ac:dyDescent="0.25">
      <c r="A59" s="1">
        <v>13</v>
      </c>
      <c r="B59" s="1">
        <f t="shared" ca="1" si="0"/>
        <v>97</v>
      </c>
      <c r="C59" s="1">
        <v>0</v>
      </c>
      <c r="D59" s="1">
        <f t="shared" ca="1" si="6"/>
        <v>0</v>
      </c>
      <c r="E59" s="1">
        <f t="shared" ca="1" si="7"/>
        <v>0</v>
      </c>
      <c r="F59" s="1">
        <f t="shared" ca="1" si="8"/>
        <v>1187</v>
      </c>
      <c r="G59" s="1">
        <f t="shared" ca="1" si="9"/>
        <v>81</v>
      </c>
      <c r="L59" s="1">
        <v>58</v>
      </c>
      <c r="M59" s="1" t="s">
        <v>2048</v>
      </c>
      <c r="O59" s="1">
        <v>58</v>
      </c>
      <c r="P59" s="1" t="s">
        <v>2105</v>
      </c>
      <c r="R59" s="1">
        <v>58</v>
      </c>
      <c r="S59" s="1" t="s">
        <v>2375</v>
      </c>
      <c r="U59" s="1">
        <v>58</v>
      </c>
      <c r="V59" s="1" t="s">
        <v>2376</v>
      </c>
      <c r="X59" s="1">
        <v>58</v>
      </c>
      <c r="Y59" s="1" t="s">
        <v>2377</v>
      </c>
    </row>
    <row r="60" spans="1:25" x14ac:dyDescent="0.25">
      <c r="A60" s="1">
        <v>14</v>
      </c>
      <c r="B60" s="1">
        <f t="shared" ca="1" si="0"/>
        <v>35</v>
      </c>
      <c r="C60" s="1">
        <v>0</v>
      </c>
      <c r="D60" s="1">
        <f t="shared" ca="1" si="6"/>
        <v>0</v>
      </c>
      <c r="E60" s="1">
        <f t="shared" ca="1" si="7"/>
        <v>211</v>
      </c>
      <c r="F60" s="1">
        <f t="shared" ca="1" si="8"/>
        <v>337</v>
      </c>
      <c r="G60" s="1">
        <f t="shared" ca="1" si="9"/>
        <v>0</v>
      </c>
      <c r="O60" s="1">
        <v>59</v>
      </c>
      <c r="P60" s="1" t="s">
        <v>2106</v>
      </c>
      <c r="R60" s="1">
        <v>59</v>
      </c>
      <c r="S60" s="1" t="s">
        <v>2375</v>
      </c>
      <c r="U60" s="1">
        <v>59</v>
      </c>
      <c r="V60" s="1" t="s">
        <v>2378</v>
      </c>
      <c r="X60" s="1">
        <v>59</v>
      </c>
      <c r="Y60" s="1" t="s">
        <v>2379</v>
      </c>
    </row>
    <row r="61" spans="1:25" x14ac:dyDescent="0.25">
      <c r="A61" s="1">
        <v>15</v>
      </c>
      <c r="B61" s="1">
        <f t="shared" ca="1" si="0"/>
        <v>75</v>
      </c>
      <c r="C61" s="1">
        <v>0</v>
      </c>
      <c r="D61" s="1">
        <f t="shared" ca="1" si="6"/>
        <v>0</v>
      </c>
      <c r="E61" s="1">
        <f t="shared" ca="1" si="7"/>
        <v>0</v>
      </c>
      <c r="F61" s="1">
        <f t="shared" ca="1" si="8"/>
        <v>1117</v>
      </c>
      <c r="G61" s="1">
        <f t="shared" ca="1" si="9"/>
        <v>54</v>
      </c>
      <c r="O61" s="1">
        <v>60</v>
      </c>
      <c r="P61" s="1" t="s">
        <v>2107</v>
      </c>
      <c r="R61" s="1">
        <v>60</v>
      </c>
      <c r="S61" s="1" t="s">
        <v>2380</v>
      </c>
      <c r="U61" s="1">
        <v>60</v>
      </c>
      <c r="V61" s="1" t="s">
        <v>2381</v>
      </c>
      <c r="X61" s="1">
        <v>60</v>
      </c>
      <c r="Y61" s="1" t="s">
        <v>2478</v>
      </c>
    </row>
    <row r="62" spans="1:25" x14ac:dyDescent="0.25">
      <c r="A62" s="1">
        <v>16</v>
      </c>
      <c r="B62" s="1">
        <f t="shared" ca="1" si="0"/>
        <v>96</v>
      </c>
      <c r="C62" s="1">
        <v>0</v>
      </c>
      <c r="D62" s="1">
        <f t="shared" ca="1" si="6"/>
        <v>0</v>
      </c>
      <c r="E62" s="1">
        <f t="shared" ca="1" si="7"/>
        <v>0</v>
      </c>
      <c r="F62" s="1">
        <f t="shared" ca="1" si="8"/>
        <v>339</v>
      </c>
      <c r="G62" s="1">
        <f t="shared" ca="1" si="9"/>
        <v>65</v>
      </c>
      <c r="O62" s="1">
        <v>61</v>
      </c>
      <c r="P62" s="1" t="s">
        <v>2108</v>
      </c>
      <c r="R62" s="1">
        <v>61</v>
      </c>
      <c r="S62" s="1" t="s">
        <v>2380</v>
      </c>
      <c r="U62" s="1">
        <v>61</v>
      </c>
      <c r="V62" s="1" t="s">
        <v>2382</v>
      </c>
      <c r="X62" s="1">
        <v>61</v>
      </c>
      <c r="Y62" s="1" t="s">
        <v>2478</v>
      </c>
    </row>
    <row r="63" spans="1:25" x14ac:dyDescent="0.25">
      <c r="A63" s="1">
        <v>17</v>
      </c>
      <c r="B63" s="1">
        <f t="shared" ca="1" si="0"/>
        <v>47</v>
      </c>
      <c r="C63" s="1">
        <v>0</v>
      </c>
      <c r="D63" s="1">
        <v>0</v>
      </c>
      <c r="E63" s="1">
        <f ca="1">IF(B63&lt;=15,RANDBETWEEN(2000,12000),0)</f>
        <v>0</v>
      </c>
      <c r="F63" s="1">
        <f ca="1">IF(AND(B63&gt;=1,B63&lt;=15),RANDBETWEEN(800,4800),IF(AND(B63&gt;=16,B63&lt;=55),RANDBETWEEN(1000,6000),IF(AND(B63&gt;55),RANDBETWEEN(1000,6000),0)))</f>
        <v>2275</v>
      </c>
      <c r="G63" s="1">
        <f ca="1">IF(AND(B63&gt;=16,B63&lt;=55),RANDBETWEEN(100,600),IF(AND(B63&gt;=56,B63&lt;=100),RANDBETWEEN(200,1200),0))</f>
        <v>160</v>
      </c>
      <c r="O63" s="1">
        <v>62</v>
      </c>
      <c r="P63" s="1" t="s">
        <v>2109</v>
      </c>
      <c r="R63" s="1">
        <v>62</v>
      </c>
      <c r="S63" s="1" t="s">
        <v>2383</v>
      </c>
      <c r="U63" s="1">
        <v>62</v>
      </c>
      <c r="V63" s="1" t="s">
        <v>2384</v>
      </c>
      <c r="X63" s="1">
        <v>62</v>
      </c>
      <c r="Y63" s="1" t="s">
        <v>2385</v>
      </c>
    </row>
    <row r="64" spans="1:25" x14ac:dyDescent="0.25">
      <c r="A64" s="1">
        <v>18</v>
      </c>
      <c r="B64" s="1">
        <f t="shared" ca="1" si="0"/>
        <v>71</v>
      </c>
      <c r="C64" s="1">
        <v>0</v>
      </c>
      <c r="D64" s="1">
        <v>0</v>
      </c>
      <c r="E64" s="1">
        <f ca="1">IF(B64&lt;=15,RANDBETWEEN(2000,12000),0)</f>
        <v>0</v>
      </c>
      <c r="F64" s="1">
        <f ca="1">IF(AND(B64&gt;=1,B64&lt;=15),RANDBETWEEN(800,4800),IF(AND(B64&gt;=16,B64&lt;=55),RANDBETWEEN(1000,6000),IF(AND(B64&gt;55),RANDBETWEEN(1000,6000),0)))</f>
        <v>4678</v>
      </c>
      <c r="G64" s="1">
        <f ca="1">IF(AND(B64&gt;=16,B64&lt;=55),RANDBETWEEN(100,600),IF(AND(B64&gt;=56,B64&lt;=100),RANDBETWEEN(200,1200),0))</f>
        <v>239</v>
      </c>
      <c r="O64" s="1">
        <v>63</v>
      </c>
      <c r="P64" s="1" t="s">
        <v>2110</v>
      </c>
      <c r="R64" s="1">
        <v>63</v>
      </c>
      <c r="S64" s="1" t="s">
        <v>2383</v>
      </c>
      <c r="U64" s="1">
        <v>63</v>
      </c>
      <c r="V64" s="1" t="s">
        <v>2386</v>
      </c>
      <c r="X64" s="1">
        <v>63</v>
      </c>
      <c r="Y64" s="1" t="s">
        <v>2478</v>
      </c>
    </row>
    <row r="65" spans="1:25" x14ac:dyDescent="0.25">
      <c r="A65" s="1">
        <v>19</v>
      </c>
      <c r="B65" s="1">
        <f t="shared" ca="1" si="0"/>
        <v>93</v>
      </c>
      <c r="C65" s="1">
        <v>0</v>
      </c>
      <c r="D65" s="1">
        <v>0</v>
      </c>
      <c r="E65" s="1">
        <f ca="1">IF(B65&lt;=15,RANDBETWEEN(2000,12000),0)</f>
        <v>0</v>
      </c>
      <c r="F65" s="1">
        <f ca="1">IF(AND(B65&gt;=1,B65&lt;=15),RANDBETWEEN(800,4800),IF(AND(B65&gt;=16,B65&lt;=55),RANDBETWEEN(1000,6000),IF(AND(B65&gt;55),RANDBETWEEN(1000,6000),0)))</f>
        <v>4603</v>
      </c>
      <c r="G65" s="1">
        <f ca="1">IF(AND(B65&gt;=16,B65&lt;=55),RANDBETWEEN(100,600),IF(AND(B65&gt;=56,B65&lt;=100),RANDBETWEEN(200,1200),0))</f>
        <v>901</v>
      </c>
      <c r="O65" s="1">
        <v>64</v>
      </c>
      <c r="P65" s="1" t="s">
        <v>2111</v>
      </c>
      <c r="R65" s="1">
        <v>64</v>
      </c>
      <c r="S65" s="1" t="s">
        <v>2476</v>
      </c>
      <c r="U65" s="1">
        <v>64</v>
      </c>
      <c r="V65" s="1" t="s">
        <v>2388</v>
      </c>
      <c r="X65" s="1">
        <v>64</v>
      </c>
      <c r="Y65" s="1" t="s">
        <v>2478</v>
      </c>
    </row>
    <row r="66" spans="1:25" x14ac:dyDescent="0.25">
      <c r="A66" s="1">
        <v>20</v>
      </c>
      <c r="B66" s="1">
        <f t="shared" ca="1" si="0"/>
        <v>48</v>
      </c>
      <c r="C66" s="1">
        <v>0</v>
      </c>
      <c r="D66" s="1">
        <v>0</v>
      </c>
      <c r="E66" s="1">
        <f ca="1">IF(B66&lt;=15,RANDBETWEEN(2000,12000),0)</f>
        <v>0</v>
      </c>
      <c r="F66" s="1">
        <f ca="1">IF(AND(B66&gt;=1,B66&lt;=15),RANDBETWEEN(800,4800),IF(AND(B66&gt;=16,B66&lt;=55),RANDBETWEEN(1000,6000),IF(AND(B66&gt;55),RANDBETWEEN(1000,6000),0)))</f>
        <v>4264</v>
      </c>
      <c r="G66" s="1">
        <f ca="1">IF(AND(B66&gt;=16,B66&lt;=55),RANDBETWEEN(100,600),IF(AND(B66&gt;=56,B66&lt;=100),RANDBETWEEN(200,1200),0))</f>
        <v>594</v>
      </c>
      <c r="O66" s="1">
        <v>65</v>
      </c>
      <c r="P66" s="1" t="s">
        <v>2112</v>
      </c>
      <c r="R66" s="1">
        <v>65</v>
      </c>
      <c r="S66" s="1" t="s">
        <v>2387</v>
      </c>
      <c r="U66" s="1">
        <v>65</v>
      </c>
      <c r="V66" s="1" t="s">
        <v>2389</v>
      </c>
      <c r="X66" s="1">
        <v>65</v>
      </c>
      <c r="Y66" s="1" t="s">
        <v>2390</v>
      </c>
    </row>
    <row r="67" spans="1:25" x14ac:dyDescent="0.25">
      <c r="O67" s="1">
        <v>66</v>
      </c>
      <c r="P67" s="1" t="s">
        <v>2113</v>
      </c>
      <c r="R67" s="1">
        <v>66</v>
      </c>
      <c r="S67" s="1" t="s">
        <v>2479</v>
      </c>
      <c r="U67" s="1">
        <v>66</v>
      </c>
      <c r="V67" s="1" t="s">
        <v>2391</v>
      </c>
      <c r="X67" s="1">
        <v>66</v>
      </c>
      <c r="Y67" s="1" t="s">
        <v>2475</v>
      </c>
    </row>
    <row r="68" spans="1:25" x14ac:dyDescent="0.25">
      <c r="A68" s="1" t="s">
        <v>2257</v>
      </c>
      <c r="B68" s="1" t="s">
        <v>31</v>
      </c>
      <c r="O68" s="1">
        <v>67</v>
      </c>
      <c r="P68" s="1" t="s">
        <v>2114</v>
      </c>
      <c r="R68" s="1">
        <v>67</v>
      </c>
      <c r="S68" s="1" t="s">
        <v>2479</v>
      </c>
      <c r="U68" s="1">
        <v>67</v>
      </c>
      <c r="V68" s="1" t="s">
        <v>2392</v>
      </c>
      <c r="X68" s="1">
        <v>67</v>
      </c>
      <c r="Y68" s="1" t="s">
        <v>2478</v>
      </c>
    </row>
    <row r="69" spans="1:25" x14ac:dyDescent="0.25">
      <c r="A69" s="1">
        <v>1</v>
      </c>
      <c r="B69" s="1" t="s">
        <v>2259</v>
      </c>
      <c r="O69" s="1">
        <v>68</v>
      </c>
      <c r="P69" s="1" t="s">
        <v>2115</v>
      </c>
      <c r="R69" s="1">
        <v>68</v>
      </c>
      <c r="S69" s="1" t="s">
        <v>2479</v>
      </c>
      <c r="U69" s="1">
        <v>68</v>
      </c>
      <c r="V69" s="1" t="s">
        <v>2393</v>
      </c>
      <c r="X69" s="1">
        <v>68</v>
      </c>
      <c r="Y69" s="1" t="s">
        <v>2478</v>
      </c>
    </row>
    <row r="70" spans="1:25" x14ac:dyDescent="0.25">
      <c r="A70" s="1">
        <v>2</v>
      </c>
      <c r="B70" s="1" t="s">
        <v>208</v>
      </c>
      <c r="O70" s="1">
        <v>69</v>
      </c>
      <c r="P70" s="1" t="s">
        <v>2116</v>
      </c>
      <c r="R70" s="1">
        <v>69</v>
      </c>
      <c r="S70" s="1" t="s">
        <v>2394</v>
      </c>
      <c r="U70" s="1">
        <v>69</v>
      </c>
      <c r="V70" s="1" t="s">
        <v>2395</v>
      </c>
      <c r="X70" s="1">
        <v>69</v>
      </c>
      <c r="Y70" s="1" t="s">
        <v>2478</v>
      </c>
    </row>
    <row r="71" spans="1:25" x14ac:dyDescent="0.25">
      <c r="A71" s="1">
        <v>3</v>
      </c>
      <c r="B71" s="1" t="s">
        <v>208</v>
      </c>
      <c r="O71" s="1">
        <v>70</v>
      </c>
      <c r="P71" s="1" t="s">
        <v>2117</v>
      </c>
      <c r="R71" s="1">
        <v>70</v>
      </c>
      <c r="S71" s="1" t="s">
        <v>2396</v>
      </c>
      <c r="U71" s="1">
        <v>70</v>
      </c>
      <c r="V71" s="1" t="s">
        <v>2397</v>
      </c>
      <c r="X71" s="1">
        <v>70</v>
      </c>
      <c r="Y71" s="1" t="s">
        <v>2398</v>
      </c>
    </row>
    <row r="72" spans="1:25" x14ac:dyDescent="0.25">
      <c r="A72" s="1">
        <v>4</v>
      </c>
      <c r="B72" s="1" t="s">
        <v>208</v>
      </c>
      <c r="O72" s="1">
        <v>71</v>
      </c>
      <c r="P72" s="1" t="s">
        <v>2118</v>
      </c>
      <c r="R72" s="1">
        <v>71</v>
      </c>
      <c r="S72" s="1" t="s">
        <v>2399</v>
      </c>
      <c r="U72" s="1">
        <v>71</v>
      </c>
      <c r="V72" s="1" t="s">
        <v>2400</v>
      </c>
      <c r="X72" s="1">
        <v>71</v>
      </c>
      <c r="Y72" s="1" t="s">
        <v>2401</v>
      </c>
    </row>
    <row r="73" spans="1:25" x14ac:dyDescent="0.25">
      <c r="A73" s="1">
        <v>5</v>
      </c>
      <c r="B73" s="1" t="s">
        <v>2260</v>
      </c>
      <c r="O73" s="1">
        <v>72</v>
      </c>
      <c r="P73" s="1" t="s">
        <v>2119</v>
      </c>
      <c r="R73" s="1">
        <v>72</v>
      </c>
      <c r="S73" s="1" t="s">
        <v>2402</v>
      </c>
      <c r="U73" s="1">
        <v>72</v>
      </c>
      <c r="V73" s="1" t="s">
        <v>2403</v>
      </c>
      <c r="X73" s="1">
        <v>72</v>
      </c>
      <c r="Y73" s="1" t="s">
        <v>2404</v>
      </c>
    </row>
    <row r="74" spans="1:25" x14ac:dyDescent="0.25">
      <c r="A74" s="1">
        <v>6</v>
      </c>
      <c r="B74" s="1" t="s">
        <v>2261</v>
      </c>
      <c r="O74" s="1">
        <v>73</v>
      </c>
      <c r="P74" s="1" t="s">
        <v>2120</v>
      </c>
      <c r="R74" s="1">
        <v>73</v>
      </c>
      <c r="S74" s="1" t="s">
        <v>2405</v>
      </c>
      <c r="U74" s="1">
        <v>73</v>
      </c>
      <c r="V74" s="1" t="s">
        <v>2406</v>
      </c>
      <c r="X74" s="1">
        <v>73</v>
      </c>
      <c r="Y74" s="1" t="s">
        <v>2475</v>
      </c>
    </row>
    <row r="75" spans="1:25" x14ac:dyDescent="0.25">
      <c r="A75" s="1">
        <v>7</v>
      </c>
      <c r="B75" s="1" t="s">
        <v>1478</v>
      </c>
      <c r="O75" s="1">
        <v>74</v>
      </c>
      <c r="P75" s="1" t="s">
        <v>2121</v>
      </c>
      <c r="R75" s="1">
        <v>74</v>
      </c>
      <c r="S75" s="1" t="s">
        <v>2407</v>
      </c>
      <c r="U75" s="1">
        <v>74</v>
      </c>
      <c r="V75" s="1" t="s">
        <v>2408</v>
      </c>
      <c r="X75" s="1">
        <v>74</v>
      </c>
      <c r="Y75" s="1" t="s">
        <v>2409</v>
      </c>
    </row>
    <row r="76" spans="1:25" x14ac:dyDescent="0.25">
      <c r="A76" s="1">
        <v>8</v>
      </c>
      <c r="B76" s="1" t="s">
        <v>43</v>
      </c>
      <c r="O76" s="1">
        <v>75</v>
      </c>
      <c r="P76" s="1" t="s">
        <v>2122</v>
      </c>
      <c r="R76" s="1">
        <v>75</v>
      </c>
      <c r="S76" s="1" t="s">
        <v>2410</v>
      </c>
      <c r="U76" s="1">
        <v>75</v>
      </c>
      <c r="V76" s="1" t="s">
        <v>2411</v>
      </c>
      <c r="X76" s="1">
        <v>75</v>
      </c>
      <c r="Y76" s="1" t="s">
        <v>2412</v>
      </c>
    </row>
    <row r="77" spans="1:25" x14ac:dyDescent="0.25">
      <c r="A77" s="1">
        <v>9</v>
      </c>
      <c r="B77" s="1" t="s">
        <v>43</v>
      </c>
      <c r="O77" s="1">
        <v>76</v>
      </c>
      <c r="P77" s="1" t="s">
        <v>2123</v>
      </c>
      <c r="R77" s="1">
        <v>76</v>
      </c>
      <c r="S77" s="1" t="s">
        <v>2413</v>
      </c>
      <c r="U77" s="1">
        <v>76</v>
      </c>
      <c r="V77" s="1" t="s">
        <v>2414</v>
      </c>
      <c r="X77" s="1">
        <v>76</v>
      </c>
      <c r="Y77" s="1" t="s">
        <v>2415</v>
      </c>
    </row>
    <row r="78" spans="1:25" x14ac:dyDescent="0.25">
      <c r="A78" s="1">
        <v>10</v>
      </c>
      <c r="B78" s="1" t="s">
        <v>2262</v>
      </c>
      <c r="O78" s="1">
        <v>77</v>
      </c>
      <c r="P78" s="1" t="s">
        <v>2124</v>
      </c>
      <c r="R78" s="1">
        <v>77</v>
      </c>
      <c r="S78" s="1" t="s">
        <v>2416</v>
      </c>
      <c r="U78" s="1">
        <v>77</v>
      </c>
      <c r="V78" s="1" t="s">
        <v>2479</v>
      </c>
      <c r="X78" s="1">
        <v>77</v>
      </c>
      <c r="Y78" s="1" t="s">
        <v>2417</v>
      </c>
    </row>
    <row r="79" spans="1:25" x14ac:dyDescent="0.25">
      <c r="A79" s="1">
        <v>11</v>
      </c>
      <c r="B79" s="1" t="s">
        <v>2263</v>
      </c>
      <c r="O79" s="1">
        <v>78</v>
      </c>
      <c r="P79" s="1" t="s">
        <v>2125</v>
      </c>
      <c r="R79" s="1">
        <v>78</v>
      </c>
      <c r="S79" s="1" t="s">
        <v>2418</v>
      </c>
      <c r="U79" s="1">
        <v>78</v>
      </c>
      <c r="V79" s="1" t="s">
        <v>2479</v>
      </c>
      <c r="X79" s="1">
        <v>78</v>
      </c>
      <c r="Y79" s="1" t="s">
        <v>2419</v>
      </c>
    </row>
    <row r="80" spans="1:25" x14ac:dyDescent="0.25">
      <c r="A80" s="1">
        <v>12</v>
      </c>
      <c r="B80" s="1" t="s">
        <v>2264</v>
      </c>
      <c r="O80" s="1">
        <v>79</v>
      </c>
      <c r="P80" s="1" t="s">
        <v>2126</v>
      </c>
      <c r="R80" s="1">
        <v>79</v>
      </c>
      <c r="S80" s="1" t="s">
        <v>2420</v>
      </c>
      <c r="U80" s="1">
        <v>79</v>
      </c>
      <c r="V80" s="1" t="s">
        <v>2421</v>
      </c>
      <c r="X80" s="1">
        <v>79</v>
      </c>
      <c r="Y80" s="1" t="s">
        <v>2422</v>
      </c>
    </row>
    <row r="81" spans="1:25" x14ac:dyDescent="0.25">
      <c r="A81" s="1">
        <v>13</v>
      </c>
      <c r="B81" s="1" t="s">
        <v>2265</v>
      </c>
      <c r="O81" s="1">
        <v>80</v>
      </c>
      <c r="P81" s="1" t="s">
        <v>2127</v>
      </c>
      <c r="R81" s="1">
        <v>80</v>
      </c>
      <c r="S81" s="1" t="s">
        <v>2423</v>
      </c>
      <c r="U81" s="1">
        <v>80</v>
      </c>
      <c r="V81" s="1" t="s">
        <v>2424</v>
      </c>
      <c r="X81" s="1">
        <v>80</v>
      </c>
      <c r="Y81" s="1" t="s">
        <v>2425</v>
      </c>
    </row>
    <row r="82" spans="1:25" x14ac:dyDescent="0.25">
      <c r="A82" s="1">
        <v>14</v>
      </c>
      <c r="B82" s="1" t="s">
        <v>206</v>
      </c>
      <c r="O82" s="1">
        <v>81</v>
      </c>
      <c r="P82" s="1" t="s">
        <v>2128</v>
      </c>
      <c r="R82" s="1">
        <v>81</v>
      </c>
      <c r="S82" s="1" t="s">
        <v>2426</v>
      </c>
      <c r="U82" s="1">
        <v>81</v>
      </c>
      <c r="V82" s="1" t="s">
        <v>2427</v>
      </c>
      <c r="X82" s="1">
        <v>81</v>
      </c>
      <c r="Y82" s="1" t="s">
        <v>2428</v>
      </c>
    </row>
    <row r="83" spans="1:25" x14ac:dyDescent="0.25">
      <c r="A83" s="1">
        <v>15</v>
      </c>
      <c r="B83" s="1" t="s">
        <v>206</v>
      </c>
      <c r="O83" s="1">
        <v>82</v>
      </c>
      <c r="P83" s="1" t="s">
        <v>2129</v>
      </c>
      <c r="R83" s="1">
        <v>82</v>
      </c>
      <c r="S83" s="1" t="s">
        <v>2429</v>
      </c>
      <c r="U83" s="1">
        <v>82</v>
      </c>
      <c r="V83" s="1" t="s">
        <v>2430</v>
      </c>
      <c r="X83" s="1">
        <v>82</v>
      </c>
      <c r="Y83" s="1" t="s">
        <v>2431</v>
      </c>
    </row>
    <row r="84" spans="1:25" x14ac:dyDescent="0.25">
      <c r="A84" s="1">
        <v>16</v>
      </c>
      <c r="B84" s="1" t="s">
        <v>1465</v>
      </c>
      <c r="O84" s="1">
        <v>83</v>
      </c>
      <c r="P84" s="1" t="s">
        <v>2130</v>
      </c>
      <c r="R84" s="1">
        <v>83</v>
      </c>
      <c r="S84" s="1" t="s">
        <v>2432</v>
      </c>
      <c r="U84" s="1">
        <v>83</v>
      </c>
      <c r="V84" s="1" t="s">
        <v>2433</v>
      </c>
      <c r="X84" s="1">
        <v>83</v>
      </c>
      <c r="Y84" s="1" t="s">
        <v>2434</v>
      </c>
    </row>
    <row r="85" spans="1:25" x14ac:dyDescent="0.25">
      <c r="A85" s="1">
        <v>17</v>
      </c>
      <c r="B85" s="1" t="s">
        <v>1605</v>
      </c>
      <c r="O85" s="1">
        <v>84</v>
      </c>
      <c r="P85" s="1" t="s">
        <v>2131</v>
      </c>
      <c r="R85" s="1">
        <v>84</v>
      </c>
      <c r="S85" s="1" t="s">
        <v>2435</v>
      </c>
      <c r="U85" s="1">
        <v>84</v>
      </c>
      <c r="V85" s="1" t="s">
        <v>2436</v>
      </c>
      <c r="X85" s="1">
        <v>84</v>
      </c>
      <c r="Y85" s="1" t="s">
        <v>2478</v>
      </c>
    </row>
    <row r="86" spans="1:25" x14ac:dyDescent="0.25">
      <c r="A86" s="1">
        <v>18</v>
      </c>
      <c r="B86" s="1" t="s">
        <v>2266</v>
      </c>
      <c r="O86" s="1">
        <v>85</v>
      </c>
      <c r="P86" s="1" t="s">
        <v>2132</v>
      </c>
      <c r="R86" s="1">
        <v>85</v>
      </c>
      <c r="S86" s="1" t="s">
        <v>2437</v>
      </c>
      <c r="U86" s="1">
        <v>85</v>
      </c>
      <c r="V86" s="1" t="s">
        <v>2438</v>
      </c>
      <c r="X86" s="1">
        <v>85</v>
      </c>
      <c r="Y86" s="1" t="s">
        <v>2439</v>
      </c>
    </row>
    <row r="87" spans="1:25" x14ac:dyDescent="0.25">
      <c r="A87" s="1">
        <v>19</v>
      </c>
      <c r="B87" s="1" t="s">
        <v>210</v>
      </c>
      <c r="O87" s="1">
        <v>86</v>
      </c>
      <c r="P87" s="1" t="s">
        <v>2133</v>
      </c>
      <c r="R87" s="1">
        <v>86</v>
      </c>
      <c r="S87" s="1" t="s">
        <v>2440</v>
      </c>
      <c r="U87" s="1">
        <v>86</v>
      </c>
      <c r="V87" s="1" t="s">
        <v>2441</v>
      </c>
      <c r="X87" s="1">
        <v>86</v>
      </c>
      <c r="Y87" s="1" t="s">
        <v>2442</v>
      </c>
    </row>
    <row r="88" spans="1:25" x14ac:dyDescent="0.25">
      <c r="A88" s="1">
        <v>20</v>
      </c>
      <c r="B88" s="1" t="s">
        <v>1471</v>
      </c>
      <c r="O88" s="1">
        <v>87</v>
      </c>
      <c r="P88" s="1" t="s">
        <v>2134</v>
      </c>
      <c r="R88" s="1">
        <v>87</v>
      </c>
      <c r="S88" s="1" t="s">
        <v>2443</v>
      </c>
      <c r="U88" s="1">
        <v>87</v>
      </c>
      <c r="V88" s="1" t="s">
        <v>2444</v>
      </c>
      <c r="X88" s="1">
        <v>87</v>
      </c>
      <c r="Y88" s="1" t="s">
        <v>2445</v>
      </c>
    </row>
    <row r="89" spans="1:25" x14ac:dyDescent="0.25">
      <c r="A89"/>
      <c r="B89"/>
      <c r="O89" s="1">
        <v>88</v>
      </c>
      <c r="P89" s="1" t="s">
        <v>2135</v>
      </c>
      <c r="R89" s="1">
        <v>88</v>
      </c>
      <c r="S89" s="1" t="s">
        <v>2446</v>
      </c>
      <c r="U89" s="1">
        <v>88</v>
      </c>
      <c r="V89" s="1" t="s">
        <v>2474</v>
      </c>
      <c r="X89" s="1">
        <v>88</v>
      </c>
      <c r="Y89" s="1" t="s">
        <v>2447</v>
      </c>
    </row>
    <row r="90" spans="1:25" x14ac:dyDescent="0.25">
      <c r="A90" s="1" t="s">
        <v>2267</v>
      </c>
      <c r="B90" s="1" t="s">
        <v>1669</v>
      </c>
      <c r="O90" s="1">
        <v>89</v>
      </c>
      <c r="P90" s="1" t="s">
        <v>2136</v>
      </c>
      <c r="R90" s="1">
        <v>89</v>
      </c>
      <c r="S90" s="1" t="s">
        <v>2448</v>
      </c>
      <c r="U90" s="1">
        <v>89</v>
      </c>
      <c r="V90" s="1" t="s">
        <v>2474</v>
      </c>
      <c r="X90" s="1">
        <v>89</v>
      </c>
      <c r="Y90" s="1" t="s">
        <v>2449</v>
      </c>
    </row>
    <row r="91" spans="1:25" x14ac:dyDescent="0.25">
      <c r="A91" s="1">
        <v>1</v>
      </c>
      <c r="B91" s="1" t="s">
        <v>2268</v>
      </c>
      <c r="O91" s="1">
        <v>90</v>
      </c>
      <c r="P91" s="1" t="s">
        <v>2137</v>
      </c>
      <c r="R91" s="1">
        <v>90</v>
      </c>
      <c r="S91" s="1" t="s">
        <v>2450</v>
      </c>
      <c r="U91" s="1">
        <v>90</v>
      </c>
      <c r="V91" s="1" t="s">
        <v>2451</v>
      </c>
      <c r="X91" s="1">
        <v>90</v>
      </c>
      <c r="Y91" s="1" t="s">
        <v>2475</v>
      </c>
    </row>
    <row r="92" spans="1:25" x14ac:dyDescent="0.25">
      <c r="A92" s="1">
        <v>2</v>
      </c>
      <c r="B92" s="1" t="s">
        <v>802</v>
      </c>
      <c r="O92" s="1">
        <v>91</v>
      </c>
      <c r="P92" s="1" t="s">
        <v>2138</v>
      </c>
      <c r="R92" s="1">
        <v>91</v>
      </c>
      <c r="S92" s="1" t="s">
        <v>2452</v>
      </c>
      <c r="U92" s="1">
        <v>91</v>
      </c>
      <c r="V92" s="1" t="s">
        <v>2474</v>
      </c>
      <c r="X92" s="1">
        <v>91</v>
      </c>
      <c r="Y92" s="1" t="s">
        <v>2475</v>
      </c>
    </row>
    <row r="93" spans="1:25" x14ac:dyDescent="0.25">
      <c r="A93" s="1">
        <v>3</v>
      </c>
      <c r="B93" s="1" t="s">
        <v>2269</v>
      </c>
      <c r="O93" s="1">
        <v>92</v>
      </c>
      <c r="P93" s="1" t="s">
        <v>2482</v>
      </c>
      <c r="R93" s="1">
        <v>92</v>
      </c>
      <c r="S93" s="1" t="s">
        <v>2453</v>
      </c>
      <c r="U93" s="1">
        <v>92</v>
      </c>
      <c r="V93" s="1" t="s">
        <v>2454</v>
      </c>
      <c r="X93" s="1">
        <v>92</v>
      </c>
      <c r="Y93" s="1" t="s">
        <v>2478</v>
      </c>
    </row>
    <row r="94" spans="1:25" x14ac:dyDescent="0.25">
      <c r="A94" s="1">
        <v>4</v>
      </c>
      <c r="B94" s="1" t="s">
        <v>2270</v>
      </c>
      <c r="O94" s="1">
        <v>93</v>
      </c>
      <c r="P94" s="1" t="s">
        <v>2139</v>
      </c>
      <c r="R94" s="1">
        <v>93</v>
      </c>
      <c r="S94" s="1" t="s">
        <v>2455</v>
      </c>
      <c r="U94" s="1">
        <v>93</v>
      </c>
      <c r="V94" s="1" t="s">
        <v>2456</v>
      </c>
      <c r="X94" s="1">
        <v>93</v>
      </c>
      <c r="Y94" s="1" t="s">
        <v>2346</v>
      </c>
    </row>
    <row r="95" spans="1:25" x14ac:dyDescent="0.25">
      <c r="A95" s="1">
        <v>5</v>
      </c>
      <c r="B95" s="1" t="s">
        <v>2271</v>
      </c>
      <c r="O95" s="1">
        <v>94</v>
      </c>
      <c r="P95" s="1" t="s">
        <v>2140</v>
      </c>
      <c r="R95" s="1">
        <v>94</v>
      </c>
      <c r="S95" s="1" t="s">
        <v>2457</v>
      </c>
      <c r="U95" s="1">
        <v>94</v>
      </c>
      <c r="V95" s="1" t="s">
        <v>2458</v>
      </c>
      <c r="X95" s="1">
        <v>94</v>
      </c>
      <c r="Y95" s="1" t="s">
        <v>2478</v>
      </c>
    </row>
    <row r="96" spans="1:25" x14ac:dyDescent="0.25">
      <c r="A96" s="1">
        <v>6</v>
      </c>
      <c r="B96" s="1" t="s">
        <v>2272</v>
      </c>
      <c r="O96" s="1">
        <v>95</v>
      </c>
      <c r="P96" s="1" t="s">
        <v>2141</v>
      </c>
      <c r="R96" s="1">
        <v>95</v>
      </c>
      <c r="S96" s="1" t="s">
        <v>2459</v>
      </c>
      <c r="U96" s="1">
        <v>95</v>
      </c>
      <c r="V96" s="1" t="s">
        <v>2460</v>
      </c>
      <c r="X96" s="1">
        <v>95</v>
      </c>
      <c r="Y96" s="1" t="s">
        <v>2478</v>
      </c>
    </row>
    <row r="97" spans="1:25" x14ac:dyDescent="0.25">
      <c r="A97" s="1">
        <v>7</v>
      </c>
      <c r="B97" s="1" t="s">
        <v>2273</v>
      </c>
      <c r="O97" s="1">
        <v>96</v>
      </c>
      <c r="P97" s="1" t="s">
        <v>2142</v>
      </c>
      <c r="R97" s="1">
        <v>96</v>
      </c>
      <c r="S97" s="1" t="s">
        <v>2461</v>
      </c>
      <c r="U97" s="1">
        <v>96</v>
      </c>
      <c r="V97" s="1" t="s">
        <v>2462</v>
      </c>
      <c r="X97" s="1">
        <v>96</v>
      </c>
      <c r="Y97" s="1" t="s">
        <v>2478</v>
      </c>
    </row>
    <row r="98" spans="1:25" x14ac:dyDescent="0.25">
      <c r="A98" s="1">
        <v>8</v>
      </c>
      <c r="B98" s="1" t="s">
        <v>2274</v>
      </c>
      <c r="O98" s="1">
        <v>97</v>
      </c>
      <c r="P98" s="1" t="s">
        <v>2143</v>
      </c>
      <c r="R98" s="1">
        <v>97</v>
      </c>
      <c r="S98" s="1" t="s">
        <v>2463</v>
      </c>
      <c r="U98" s="1">
        <v>97</v>
      </c>
      <c r="V98" s="1" t="s">
        <v>2464</v>
      </c>
      <c r="X98" s="1">
        <v>97</v>
      </c>
      <c r="Y98" s="1" t="s">
        <v>2478</v>
      </c>
    </row>
    <row r="99" spans="1:25" x14ac:dyDescent="0.25">
      <c r="A99"/>
      <c r="B99"/>
      <c r="O99" s="1">
        <v>98</v>
      </c>
      <c r="P99" s="1" t="s">
        <v>2144</v>
      </c>
      <c r="R99" s="1">
        <v>98</v>
      </c>
      <c r="S99" s="1" t="s">
        <v>2465</v>
      </c>
      <c r="U99" s="1">
        <v>98</v>
      </c>
      <c r="V99" s="1" t="s">
        <v>2466</v>
      </c>
      <c r="X99" s="1">
        <v>98</v>
      </c>
      <c r="Y99" s="1" t="s">
        <v>2467</v>
      </c>
    </row>
    <row r="100" spans="1:25" x14ac:dyDescent="0.25">
      <c r="A100" s="1" t="s">
        <v>2275</v>
      </c>
      <c r="B100" s="1" t="s">
        <v>1669</v>
      </c>
      <c r="O100" s="1">
        <v>99</v>
      </c>
      <c r="P100" s="1" t="s">
        <v>2145</v>
      </c>
      <c r="R100" s="1">
        <v>99</v>
      </c>
      <c r="S100" s="1" t="s">
        <v>2468</v>
      </c>
      <c r="U100" s="1">
        <v>99</v>
      </c>
      <c r="V100" s="1" t="s">
        <v>2469</v>
      </c>
      <c r="X100" s="1">
        <v>99</v>
      </c>
      <c r="Y100" s="1" t="s">
        <v>2470</v>
      </c>
    </row>
    <row r="101" spans="1:25" x14ac:dyDescent="0.25">
      <c r="A101" s="1">
        <v>1</v>
      </c>
      <c r="B101" s="1" t="s">
        <v>2276</v>
      </c>
      <c r="O101" s="1">
        <v>100</v>
      </c>
      <c r="P101" s="1" t="s">
        <v>2146</v>
      </c>
      <c r="R101" s="1">
        <v>100</v>
      </c>
      <c r="S101" s="1" t="s">
        <v>2471</v>
      </c>
      <c r="U101" s="1">
        <v>100</v>
      </c>
      <c r="V101" s="1" t="s">
        <v>2472</v>
      </c>
      <c r="X101" s="1">
        <v>100</v>
      </c>
      <c r="Y101" s="1" t="s">
        <v>2473</v>
      </c>
    </row>
    <row r="102" spans="1:25" x14ac:dyDescent="0.25">
      <c r="A102" s="1">
        <v>2</v>
      </c>
      <c r="B102" s="1" t="s">
        <v>2277</v>
      </c>
      <c r="O102" s="1">
        <v>101</v>
      </c>
      <c r="P102" s="1" t="s">
        <v>2147</v>
      </c>
    </row>
    <row r="103" spans="1:25" x14ac:dyDescent="0.25">
      <c r="A103" s="1">
        <v>3</v>
      </c>
      <c r="B103" s="1" t="s">
        <v>2278</v>
      </c>
      <c r="O103" s="1">
        <v>102</v>
      </c>
      <c r="P103" s="1" t="s">
        <v>2148</v>
      </c>
    </row>
    <row r="104" spans="1:25" x14ac:dyDescent="0.25">
      <c r="A104" s="1">
        <v>4</v>
      </c>
      <c r="B104" s="1" t="s">
        <v>2279</v>
      </c>
      <c r="O104" s="1">
        <v>103</v>
      </c>
      <c r="P104" s="1" t="s">
        <v>2149</v>
      </c>
    </row>
    <row r="105" spans="1:25" x14ac:dyDescent="0.25">
      <c r="A105" s="1">
        <v>5</v>
      </c>
      <c r="B105" s="1" t="s">
        <v>2280</v>
      </c>
      <c r="O105" s="1">
        <v>104</v>
      </c>
      <c r="P105" s="1" t="s">
        <v>2150</v>
      </c>
    </row>
    <row r="106" spans="1:25" x14ac:dyDescent="0.25">
      <c r="A106" s="1">
        <v>6</v>
      </c>
      <c r="B106" s="1" t="s">
        <v>2281</v>
      </c>
      <c r="O106" s="1">
        <v>105</v>
      </c>
      <c r="P106" s="1" t="s">
        <v>2151</v>
      </c>
    </row>
    <row r="107" spans="1:25" x14ac:dyDescent="0.25">
      <c r="A107" s="1">
        <v>7</v>
      </c>
      <c r="B107" s="1" t="s">
        <v>2282</v>
      </c>
      <c r="O107" s="1">
        <v>106</v>
      </c>
      <c r="P107" s="1" t="s">
        <v>2152</v>
      </c>
    </row>
    <row r="108" spans="1:25" x14ac:dyDescent="0.25">
      <c r="A108" s="1">
        <v>8</v>
      </c>
      <c r="B108" s="1" t="s">
        <v>2283</v>
      </c>
      <c r="O108" s="1">
        <v>107</v>
      </c>
      <c r="P108" s="1" t="s">
        <v>2153</v>
      </c>
    </row>
    <row r="109" spans="1:25" x14ac:dyDescent="0.25">
      <c r="A109" s="1">
        <v>9</v>
      </c>
      <c r="B109" s="1" t="s">
        <v>2284</v>
      </c>
      <c r="O109" s="1">
        <v>108</v>
      </c>
      <c r="P109" s="1" t="s">
        <v>2154</v>
      </c>
    </row>
    <row r="110" spans="1:25" x14ac:dyDescent="0.25">
      <c r="A110" s="1">
        <v>10</v>
      </c>
      <c r="B110" s="1" t="s">
        <v>2285</v>
      </c>
      <c r="O110" s="1">
        <v>109</v>
      </c>
      <c r="P110" s="1" t="s">
        <v>2155</v>
      </c>
    </row>
    <row r="111" spans="1:25" x14ac:dyDescent="0.25">
      <c r="A111" s="1">
        <v>11</v>
      </c>
      <c r="B111" s="1" t="s">
        <v>2286</v>
      </c>
      <c r="O111" s="1">
        <v>110</v>
      </c>
      <c r="P111" s="1" t="s">
        <v>2156</v>
      </c>
    </row>
    <row r="112" spans="1:25" x14ac:dyDescent="0.25">
      <c r="A112" s="1">
        <v>12</v>
      </c>
      <c r="B112" s="1" t="s">
        <v>2287</v>
      </c>
      <c r="O112" s="1">
        <v>111</v>
      </c>
      <c r="P112" s="1" t="s">
        <v>2157</v>
      </c>
    </row>
    <row r="113" spans="1:16" x14ac:dyDescent="0.25">
      <c r="A113" s="1">
        <v>13</v>
      </c>
      <c r="B113" s="1" t="s">
        <v>2288</v>
      </c>
      <c r="O113" s="1">
        <v>112</v>
      </c>
      <c r="P113" s="1" t="s">
        <v>2158</v>
      </c>
    </row>
    <row r="114" spans="1:16" x14ac:dyDescent="0.25">
      <c r="A114" s="1">
        <v>14</v>
      </c>
      <c r="B114" s="1" t="s">
        <v>2289</v>
      </c>
      <c r="O114" s="1">
        <v>113</v>
      </c>
      <c r="P114" s="1" t="s">
        <v>2159</v>
      </c>
    </row>
    <row r="115" spans="1:16" x14ac:dyDescent="0.25">
      <c r="A115" s="1">
        <v>15</v>
      </c>
      <c r="B115" s="1" t="s">
        <v>2290</v>
      </c>
      <c r="O115" s="1">
        <v>114</v>
      </c>
      <c r="P115" s="1" t="s">
        <v>2160</v>
      </c>
    </row>
    <row r="116" spans="1:16" x14ac:dyDescent="0.25">
      <c r="A116" s="1">
        <v>16</v>
      </c>
      <c r="B116" s="1" t="s">
        <v>2291</v>
      </c>
      <c r="O116" s="1">
        <v>115</v>
      </c>
      <c r="P116" s="1" t="s">
        <v>2161</v>
      </c>
    </row>
    <row r="117" spans="1:16" x14ac:dyDescent="0.25">
      <c r="A117" s="1">
        <v>17</v>
      </c>
      <c r="B117" s="1" t="s">
        <v>2292</v>
      </c>
      <c r="O117" s="1">
        <v>116</v>
      </c>
      <c r="P117" s="1" t="s">
        <v>2162</v>
      </c>
    </row>
    <row r="118" spans="1:16" x14ac:dyDescent="0.25">
      <c r="A118" s="1">
        <v>18</v>
      </c>
      <c r="B118" s="1" t="s">
        <v>2293</v>
      </c>
      <c r="O118" s="1">
        <v>117</v>
      </c>
      <c r="P118" s="1" t="s">
        <v>2163</v>
      </c>
    </row>
    <row r="119" spans="1:16" x14ac:dyDescent="0.25">
      <c r="A119" s="1">
        <v>19</v>
      </c>
      <c r="B119" s="1" t="s">
        <v>2294</v>
      </c>
      <c r="O119" s="1">
        <v>118</v>
      </c>
      <c r="P119" s="1" t="s">
        <v>2164</v>
      </c>
    </row>
    <row r="120" spans="1:16" x14ac:dyDescent="0.25">
      <c r="A120" s="1">
        <v>20</v>
      </c>
      <c r="B120" s="1" t="s">
        <v>2295</v>
      </c>
      <c r="O120" s="1">
        <v>119</v>
      </c>
      <c r="P120" s="1" t="s">
        <v>2165</v>
      </c>
    </row>
    <row r="121" spans="1:16" x14ac:dyDescent="0.25">
      <c r="A121"/>
      <c r="B121"/>
      <c r="O121" s="1">
        <v>120</v>
      </c>
      <c r="P121" s="1" t="s">
        <v>2166</v>
      </c>
    </row>
    <row r="122" spans="1:16" x14ac:dyDescent="0.25">
      <c r="A122" s="1" t="s">
        <v>2258</v>
      </c>
      <c r="B122" s="1" t="s">
        <v>1669</v>
      </c>
      <c r="O122" s="1">
        <v>121</v>
      </c>
      <c r="P122" s="1" t="s">
        <v>2167</v>
      </c>
    </row>
    <row r="123" spans="1:16" x14ac:dyDescent="0.25">
      <c r="A123" s="1">
        <v>1</v>
      </c>
      <c r="B123" s="1" t="s">
        <v>2296</v>
      </c>
      <c r="O123" s="1">
        <v>122</v>
      </c>
      <c r="P123" s="1" t="s">
        <v>2168</v>
      </c>
    </row>
    <row r="124" spans="1:16" x14ac:dyDescent="0.25">
      <c r="A124" s="1">
        <v>2</v>
      </c>
      <c r="B124" s="1" t="s">
        <v>2297</v>
      </c>
      <c r="O124" s="1">
        <v>123</v>
      </c>
      <c r="P124" s="1" t="s">
        <v>2169</v>
      </c>
    </row>
    <row r="125" spans="1:16" x14ac:dyDescent="0.25">
      <c r="A125" s="1">
        <v>3</v>
      </c>
      <c r="B125" s="1" t="s">
        <v>2298</v>
      </c>
      <c r="O125" s="1">
        <v>124</v>
      </c>
      <c r="P125" s="1" t="s">
        <v>2170</v>
      </c>
    </row>
    <row r="126" spans="1:16" x14ac:dyDescent="0.25">
      <c r="A126" s="1">
        <v>4</v>
      </c>
      <c r="B126" s="1" t="s">
        <v>2299</v>
      </c>
      <c r="O126" s="1">
        <v>125</v>
      </c>
      <c r="P126" s="1" t="s">
        <v>2171</v>
      </c>
    </row>
    <row r="127" spans="1:16" x14ac:dyDescent="0.25">
      <c r="A127" s="1">
        <v>5</v>
      </c>
      <c r="B127" s="1" t="s">
        <v>2300</v>
      </c>
      <c r="O127" s="1">
        <v>126</v>
      </c>
      <c r="P127" s="1" t="s">
        <v>2172</v>
      </c>
    </row>
    <row r="128" spans="1:16" x14ac:dyDescent="0.25">
      <c r="A128" s="1">
        <v>6</v>
      </c>
      <c r="B128" s="1" t="s">
        <v>2301</v>
      </c>
      <c r="O128" s="1">
        <v>127</v>
      </c>
      <c r="P128" s="1" t="s">
        <v>2173</v>
      </c>
    </row>
    <row r="129" spans="1:16" x14ac:dyDescent="0.25">
      <c r="A129" s="1">
        <v>7</v>
      </c>
      <c r="B129" s="1" t="s">
        <v>2302</v>
      </c>
      <c r="O129" s="1">
        <v>128</v>
      </c>
      <c r="P129" s="1" t="s">
        <v>2174</v>
      </c>
    </row>
    <row r="130" spans="1:16" x14ac:dyDescent="0.25">
      <c r="A130" s="1">
        <v>8</v>
      </c>
      <c r="B130" s="1" t="s">
        <v>2303</v>
      </c>
      <c r="O130" s="1">
        <v>129</v>
      </c>
      <c r="P130" s="1" t="s">
        <v>2175</v>
      </c>
    </row>
    <row r="131" spans="1:16" x14ac:dyDescent="0.25">
      <c r="A131" s="1">
        <v>9</v>
      </c>
      <c r="B131" s="1" t="s">
        <v>2304</v>
      </c>
      <c r="O131" s="1">
        <v>130</v>
      </c>
      <c r="P131" s="1" t="s">
        <v>2176</v>
      </c>
    </row>
    <row r="132" spans="1:16" x14ac:dyDescent="0.25">
      <c r="A132" s="1">
        <v>10</v>
      </c>
      <c r="B132" s="1" t="s">
        <v>2305</v>
      </c>
      <c r="O132" s="1">
        <v>131</v>
      </c>
      <c r="P132" s="1" t="s">
        <v>2177</v>
      </c>
    </row>
    <row r="133" spans="1:16" x14ac:dyDescent="0.25">
      <c r="A133" s="1">
        <v>11</v>
      </c>
      <c r="B133" s="1" t="s">
        <v>2306</v>
      </c>
      <c r="O133" s="1">
        <v>132</v>
      </c>
      <c r="P133" s="1" t="s">
        <v>2178</v>
      </c>
    </row>
    <row r="134" spans="1:16" x14ac:dyDescent="0.25">
      <c r="A134" s="1">
        <v>12</v>
      </c>
      <c r="B134" s="1" t="s">
        <v>2307</v>
      </c>
      <c r="O134" s="1">
        <v>133</v>
      </c>
      <c r="P134" s="1" t="s">
        <v>2179</v>
      </c>
    </row>
    <row r="135" spans="1:16" x14ac:dyDescent="0.25">
      <c r="O135" s="1">
        <v>134</v>
      </c>
      <c r="P135" s="1" t="s">
        <v>2180</v>
      </c>
    </row>
    <row r="136" spans="1:16" x14ac:dyDescent="0.25">
      <c r="O136" s="1">
        <v>135</v>
      </c>
      <c r="P136" s="1" t="s">
        <v>2181</v>
      </c>
    </row>
    <row r="137" spans="1:16" x14ac:dyDescent="0.25">
      <c r="O137" s="1">
        <v>136</v>
      </c>
      <c r="P137" s="1" t="s">
        <v>2182</v>
      </c>
    </row>
    <row r="138" spans="1:16" x14ac:dyDescent="0.25">
      <c r="O138" s="1">
        <v>137</v>
      </c>
      <c r="P138" s="1" t="s">
        <v>2183</v>
      </c>
    </row>
    <row r="139" spans="1:16" x14ac:dyDescent="0.25">
      <c r="O139" s="1">
        <v>138</v>
      </c>
      <c r="P139" s="1" t="s">
        <v>2184</v>
      </c>
    </row>
    <row r="140" spans="1:16" x14ac:dyDescent="0.25">
      <c r="O140" s="1">
        <v>139</v>
      </c>
      <c r="P140" s="1" t="s">
        <v>2185</v>
      </c>
    </row>
    <row r="141" spans="1:16" x14ac:dyDescent="0.25">
      <c r="O141" s="1">
        <v>140</v>
      </c>
      <c r="P141" s="1" t="s">
        <v>2186</v>
      </c>
    </row>
    <row r="142" spans="1:16" x14ac:dyDescent="0.25">
      <c r="O142" s="1">
        <v>141</v>
      </c>
      <c r="P142" s="1" t="s">
        <v>2187</v>
      </c>
    </row>
    <row r="143" spans="1:16" x14ac:dyDescent="0.25">
      <c r="O143" s="1">
        <v>142</v>
      </c>
      <c r="P143" s="1" t="s">
        <v>2188</v>
      </c>
    </row>
    <row r="144" spans="1:16" x14ac:dyDescent="0.25">
      <c r="O144" s="1">
        <v>143</v>
      </c>
      <c r="P144" s="1" t="s">
        <v>2189</v>
      </c>
    </row>
    <row r="145" spans="15:16" x14ac:dyDescent="0.25">
      <c r="O145" s="1">
        <v>144</v>
      </c>
      <c r="P145" s="1" t="s">
        <v>2190</v>
      </c>
    </row>
    <row r="146" spans="15:16" x14ac:dyDescent="0.25">
      <c r="O146" s="1">
        <v>145</v>
      </c>
      <c r="P146" s="1" t="s">
        <v>2191</v>
      </c>
    </row>
    <row r="147" spans="15:16" x14ac:dyDescent="0.25">
      <c r="O147" s="1">
        <v>146</v>
      </c>
      <c r="P147" s="1" t="s">
        <v>2192</v>
      </c>
    </row>
    <row r="148" spans="15:16" x14ac:dyDescent="0.25">
      <c r="O148" s="1">
        <v>147</v>
      </c>
      <c r="P148" s="1" t="s">
        <v>2193</v>
      </c>
    </row>
    <row r="149" spans="15:16" x14ac:dyDescent="0.25">
      <c r="O149" s="1">
        <v>148</v>
      </c>
      <c r="P149" s="1" t="s">
        <v>2194</v>
      </c>
    </row>
    <row r="150" spans="15:16" x14ac:dyDescent="0.25">
      <c r="O150" s="1">
        <v>149</v>
      </c>
      <c r="P150" s="1" t="s">
        <v>2195</v>
      </c>
    </row>
    <row r="151" spans="15:16" x14ac:dyDescent="0.25">
      <c r="O151" s="1">
        <v>150</v>
      </c>
      <c r="P151" s="1" t="s">
        <v>2196</v>
      </c>
    </row>
    <row r="152" spans="15:16" x14ac:dyDescent="0.25">
      <c r="O152" s="1">
        <v>151</v>
      </c>
      <c r="P152" s="1" t="s">
        <v>2197</v>
      </c>
    </row>
    <row r="153" spans="15:16" x14ac:dyDescent="0.25">
      <c r="O153" s="1">
        <v>152</v>
      </c>
      <c r="P153" s="1" t="s">
        <v>2198</v>
      </c>
    </row>
    <row r="154" spans="15:16" x14ac:dyDescent="0.25">
      <c r="O154" s="1">
        <v>153</v>
      </c>
      <c r="P154" s="1" t="s">
        <v>2199</v>
      </c>
    </row>
    <row r="155" spans="15:16" x14ac:dyDescent="0.25">
      <c r="O155" s="1">
        <v>154</v>
      </c>
      <c r="P155" s="1" t="s">
        <v>2200</v>
      </c>
    </row>
    <row r="156" spans="15:16" x14ac:dyDescent="0.25">
      <c r="O156" s="1">
        <v>155</v>
      </c>
      <c r="P156" s="1" t="s">
        <v>2201</v>
      </c>
    </row>
    <row r="157" spans="15:16" x14ac:dyDescent="0.25">
      <c r="O157" s="1">
        <v>156</v>
      </c>
      <c r="P157" s="1" t="s">
        <v>2202</v>
      </c>
    </row>
    <row r="158" spans="15:16" x14ac:dyDescent="0.25">
      <c r="O158" s="1">
        <v>157</v>
      </c>
      <c r="P158" s="1" t="s">
        <v>2203</v>
      </c>
    </row>
    <row r="159" spans="15:16" x14ac:dyDescent="0.25">
      <c r="O159" s="1">
        <v>158</v>
      </c>
      <c r="P159" s="1" t="s">
        <v>2204</v>
      </c>
    </row>
    <row r="160" spans="15:16" x14ac:dyDescent="0.25">
      <c r="O160" s="1">
        <v>159</v>
      </c>
      <c r="P160" s="1" t="s">
        <v>2205</v>
      </c>
    </row>
    <row r="161" spans="15:16" x14ac:dyDescent="0.25">
      <c r="O161" s="1">
        <v>160</v>
      </c>
      <c r="P161" s="1" t="s">
        <v>2206</v>
      </c>
    </row>
    <row r="162" spans="15:16" x14ac:dyDescent="0.25">
      <c r="O162" s="1">
        <v>161</v>
      </c>
      <c r="P162" s="1" t="s">
        <v>2207</v>
      </c>
    </row>
    <row r="163" spans="15:16" x14ac:dyDescent="0.25">
      <c r="O163" s="1">
        <v>162</v>
      </c>
      <c r="P163" s="1" t="s">
        <v>2208</v>
      </c>
    </row>
    <row r="164" spans="15:16" x14ac:dyDescent="0.25">
      <c r="O164" s="1">
        <v>163</v>
      </c>
      <c r="P164" s="1" t="s">
        <v>2209</v>
      </c>
    </row>
    <row r="165" spans="15:16" x14ac:dyDescent="0.25">
      <c r="O165" s="1">
        <v>164</v>
      </c>
      <c r="P165" s="1" t="s">
        <v>2210</v>
      </c>
    </row>
    <row r="166" spans="15:16" x14ac:dyDescent="0.25">
      <c r="O166" s="1">
        <v>165</v>
      </c>
      <c r="P166" s="1" t="s">
        <v>2211</v>
      </c>
    </row>
    <row r="167" spans="15:16" x14ac:dyDescent="0.25">
      <c r="O167" s="1">
        <v>166</v>
      </c>
      <c r="P167" s="1" t="s">
        <v>2212</v>
      </c>
    </row>
    <row r="168" spans="15:16" x14ac:dyDescent="0.25">
      <c r="O168" s="1">
        <v>167</v>
      </c>
      <c r="P168" s="1" t="s">
        <v>2213</v>
      </c>
    </row>
    <row r="169" spans="15:16" x14ac:dyDescent="0.25">
      <c r="O169" s="1">
        <v>168</v>
      </c>
      <c r="P169" s="1" t="s">
        <v>2214</v>
      </c>
    </row>
    <row r="170" spans="15:16" x14ac:dyDescent="0.25">
      <c r="O170" s="1">
        <v>169</v>
      </c>
      <c r="P170" s="1" t="s">
        <v>2215</v>
      </c>
    </row>
    <row r="171" spans="15:16" x14ac:dyDescent="0.25">
      <c r="O171" s="1">
        <v>170</v>
      </c>
      <c r="P171" s="1" t="s">
        <v>2216</v>
      </c>
    </row>
    <row r="172" spans="15:16" x14ac:dyDescent="0.25">
      <c r="O172" s="1">
        <v>171</v>
      </c>
      <c r="P172" s="1" t="s">
        <v>2217</v>
      </c>
    </row>
    <row r="173" spans="15:16" x14ac:dyDescent="0.25">
      <c r="O173" s="1">
        <v>172</v>
      </c>
      <c r="P173" s="1" t="s">
        <v>2218</v>
      </c>
    </row>
    <row r="174" spans="15:16" x14ac:dyDescent="0.25">
      <c r="O174" s="1">
        <v>173</v>
      </c>
      <c r="P174" s="1" t="s">
        <v>2219</v>
      </c>
    </row>
    <row r="175" spans="15:16" x14ac:dyDescent="0.25">
      <c r="O175" s="1">
        <v>174</v>
      </c>
      <c r="P175" s="1" t="s">
        <v>2220</v>
      </c>
    </row>
    <row r="176" spans="15:16" x14ac:dyDescent="0.25">
      <c r="O176" s="1">
        <v>175</v>
      </c>
      <c r="P176" s="1" t="s">
        <v>2221</v>
      </c>
    </row>
    <row r="177" spans="15:16" x14ac:dyDescent="0.25">
      <c r="O177" s="1">
        <v>176</v>
      </c>
      <c r="P177" s="1" t="s">
        <v>2222</v>
      </c>
    </row>
    <row r="178" spans="15:16" x14ac:dyDescent="0.25">
      <c r="O178" s="1">
        <v>177</v>
      </c>
      <c r="P178" s="1" t="s">
        <v>2223</v>
      </c>
    </row>
    <row r="179" spans="15:16" x14ac:dyDescent="0.25">
      <c r="O179" s="1">
        <v>178</v>
      </c>
      <c r="P179" s="1" t="s">
        <v>2224</v>
      </c>
    </row>
    <row r="180" spans="15:16" x14ac:dyDescent="0.25">
      <c r="O180" s="1">
        <v>179</v>
      </c>
      <c r="P180" s="1" t="s">
        <v>2225</v>
      </c>
    </row>
    <row r="181" spans="15:16" x14ac:dyDescent="0.25">
      <c r="O181" s="1">
        <v>180</v>
      </c>
      <c r="P181" s="1" t="s">
        <v>2226</v>
      </c>
    </row>
    <row r="182" spans="15:16" x14ac:dyDescent="0.25">
      <c r="O182" s="1">
        <v>181</v>
      </c>
      <c r="P182" s="1" t="s">
        <v>2227</v>
      </c>
    </row>
    <row r="183" spans="15:16" x14ac:dyDescent="0.25">
      <c r="O183" s="1">
        <v>182</v>
      </c>
      <c r="P183" s="1" t="s">
        <v>2228</v>
      </c>
    </row>
    <row r="184" spans="15:16" x14ac:dyDescent="0.25">
      <c r="O184" s="1">
        <v>183</v>
      </c>
      <c r="P184" s="1" t="s">
        <v>2229</v>
      </c>
    </row>
    <row r="185" spans="15:16" x14ac:dyDescent="0.25">
      <c r="O185" s="1">
        <v>184</v>
      </c>
      <c r="P185" s="1" t="s">
        <v>2230</v>
      </c>
    </row>
    <row r="186" spans="15:16" x14ac:dyDescent="0.25">
      <c r="O186" s="1">
        <v>185</v>
      </c>
      <c r="P186" s="1" t="s">
        <v>2231</v>
      </c>
    </row>
    <row r="187" spans="15:16" x14ac:dyDescent="0.25">
      <c r="O187" s="1">
        <v>186</v>
      </c>
      <c r="P187" s="1" t="s">
        <v>2232</v>
      </c>
    </row>
    <row r="188" spans="15:16" x14ac:dyDescent="0.25">
      <c r="O188" s="1">
        <v>187</v>
      </c>
      <c r="P188" s="1" t="s">
        <v>2233</v>
      </c>
    </row>
    <row r="189" spans="15:16" x14ac:dyDescent="0.25">
      <c r="O189" s="1">
        <v>188</v>
      </c>
      <c r="P189" s="1" t="s">
        <v>2234</v>
      </c>
    </row>
    <row r="190" spans="15:16" x14ac:dyDescent="0.25">
      <c r="O190" s="1">
        <v>189</v>
      </c>
      <c r="P190" s="1" t="s">
        <v>2235</v>
      </c>
    </row>
    <row r="191" spans="15:16" x14ac:dyDescent="0.25">
      <c r="O191" s="1">
        <v>190</v>
      </c>
      <c r="P191" s="1" t="s">
        <v>2236</v>
      </c>
    </row>
    <row r="192" spans="15:16" x14ac:dyDescent="0.25">
      <c r="O192" s="1">
        <v>191</v>
      </c>
      <c r="P192" s="1" t="s">
        <v>2237</v>
      </c>
    </row>
    <row r="193" spans="15:16" x14ac:dyDescent="0.25">
      <c r="O193" s="1">
        <v>192</v>
      </c>
      <c r="P193" s="1" t="s">
        <v>2238</v>
      </c>
    </row>
    <row r="194" spans="15:16" x14ac:dyDescent="0.25">
      <c r="O194" s="1">
        <v>193</v>
      </c>
      <c r="P194" s="1" t="s">
        <v>2239</v>
      </c>
    </row>
    <row r="195" spans="15:16" x14ac:dyDescent="0.25">
      <c r="O195" s="1">
        <v>194</v>
      </c>
      <c r="P195" s="1" t="s">
        <v>2240</v>
      </c>
    </row>
    <row r="196" spans="15:16" x14ac:dyDescent="0.25">
      <c r="O196" s="1">
        <v>195</v>
      </c>
      <c r="P196" s="1" t="s">
        <v>2241</v>
      </c>
    </row>
    <row r="197" spans="15:16" x14ac:dyDescent="0.25">
      <c r="O197" s="1">
        <v>196</v>
      </c>
      <c r="P197" s="1" t="s">
        <v>2242</v>
      </c>
    </row>
    <row r="198" spans="15:16" x14ac:dyDescent="0.25">
      <c r="O198" s="1">
        <v>197</v>
      </c>
      <c r="P198" s="1" t="s">
        <v>2243</v>
      </c>
    </row>
    <row r="199" spans="15:16" x14ac:dyDescent="0.25">
      <c r="O199" s="1">
        <v>198</v>
      </c>
      <c r="P199" s="1" t="s">
        <v>2481</v>
      </c>
    </row>
    <row r="200" spans="15:16" x14ac:dyDescent="0.25">
      <c r="O200" s="1">
        <v>199</v>
      </c>
      <c r="P200" s="1" t="s">
        <v>2244</v>
      </c>
    </row>
    <row r="201" spans="15:16" x14ac:dyDescent="0.25">
      <c r="O201" s="1">
        <v>200</v>
      </c>
      <c r="P201" s="1" t="s">
        <v>2245</v>
      </c>
    </row>
  </sheetData>
  <phoneticPr fontId="4" type="noConversion"/>
  <pageMargins left="0.7" right="0.7" top="0.75" bottom="0.75" header="0.3" footer="0.3"/>
  <pageSetup orientation="portrait" horizontalDpi="4294967293" r:id="rId1"/>
  <tableParts count="18">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40835-026A-4260-AB52-D409801BC1AA}">
  <sheetPr codeName="Аркуш19"/>
  <dimension ref="A1:BG55"/>
  <sheetViews>
    <sheetView topLeftCell="AV1" workbookViewId="0">
      <selection activeCell="BG12" sqref="BG12"/>
    </sheetView>
  </sheetViews>
  <sheetFormatPr defaultColWidth="8.85546875" defaultRowHeight="15" x14ac:dyDescent="0.25"/>
  <cols>
    <col min="1" max="1" width="2" style="1" bestFit="1" customWidth="1"/>
    <col min="2" max="2" width="3" style="1" bestFit="1" customWidth="1"/>
    <col min="3" max="3" width="11.42578125" style="1" bestFit="1" customWidth="1"/>
    <col min="4" max="4" width="7.42578125" style="1" bestFit="1" customWidth="1"/>
    <col min="5" max="5" width="2" style="1" bestFit="1" customWidth="1"/>
    <col min="6" max="6" width="5.7109375" style="1" customWidth="1"/>
    <col min="7" max="7" width="2" style="1" bestFit="1" customWidth="1"/>
    <col min="8" max="8" width="3" style="1" bestFit="1" customWidth="1"/>
    <col min="9" max="9" width="11.42578125" style="1" bestFit="1" customWidth="1"/>
    <col min="10" max="10" width="7.42578125" style="1" bestFit="1" customWidth="1"/>
    <col min="11" max="11" width="2" style="1" bestFit="1" customWidth="1"/>
    <col min="12" max="12" width="5.7109375" style="1" customWidth="1"/>
    <col min="13" max="13" width="2" style="1" bestFit="1" customWidth="1"/>
    <col min="14" max="14" width="3" style="1" bestFit="1" customWidth="1"/>
    <col min="15" max="15" width="11.42578125" style="1" bestFit="1" customWidth="1"/>
    <col min="16" max="16" width="7.42578125" style="1" bestFit="1" customWidth="1"/>
    <col min="17" max="17" width="2" style="1" bestFit="1" customWidth="1"/>
    <col min="18" max="18" width="5.7109375" style="1" customWidth="1"/>
    <col min="19" max="19" width="2" style="1" bestFit="1" customWidth="1"/>
    <col min="20" max="20" width="3" style="1" bestFit="1" customWidth="1"/>
    <col min="21" max="21" width="11.42578125" style="1" bestFit="1" customWidth="1"/>
    <col min="22" max="22" width="7.42578125" style="1" bestFit="1" customWidth="1"/>
    <col min="23" max="23" width="2" style="1" bestFit="1" customWidth="1"/>
    <col min="24" max="24" width="5.7109375" style="1" customWidth="1"/>
    <col min="25" max="26" width="3" style="1" bestFit="1" customWidth="1"/>
    <col min="27" max="27" width="11.42578125" style="1" bestFit="1" customWidth="1"/>
    <col min="28" max="28" width="7.42578125" style="1" bestFit="1" customWidth="1"/>
    <col min="29" max="29" width="2" style="1" bestFit="1" customWidth="1"/>
    <col min="30" max="30" width="5.7109375" style="1" customWidth="1"/>
    <col min="31" max="31" width="7.7109375" style="1" bestFit="1" customWidth="1"/>
    <col min="32" max="32" width="14.42578125" style="1" bestFit="1" customWidth="1"/>
    <col min="33" max="33" width="5.7109375" style="1" customWidth="1"/>
    <col min="34" max="34" width="9.28515625" style="1" bestFit="1" customWidth="1"/>
    <col min="35" max="35" width="15.85546875" style="1" bestFit="1" customWidth="1"/>
    <col min="36" max="37" width="8.85546875" style="1"/>
    <col min="38" max="38" width="42.140625" style="1" bestFit="1" customWidth="1"/>
    <col min="39" max="39" width="8.85546875" style="1"/>
    <col min="40" max="40" width="10.7109375" style="1" bestFit="1" customWidth="1"/>
    <col min="41" max="41" width="42.140625" style="1" bestFit="1" customWidth="1"/>
    <col min="42" max="42" width="8.85546875" style="1"/>
    <col min="43" max="43" width="8.7109375" style="1" bestFit="1" customWidth="1"/>
    <col min="44" max="44" width="12.7109375" style="1" bestFit="1" customWidth="1"/>
    <col min="45" max="45" width="8.85546875" style="1"/>
    <col min="46" max="46" width="5.140625" style="1" bestFit="1" customWidth="1"/>
    <col min="47" max="47" width="53.140625" style="1" bestFit="1" customWidth="1"/>
    <col min="48" max="48" width="8.85546875" style="1"/>
    <col min="49" max="49" width="5.7109375" style="1" bestFit="1" customWidth="1"/>
    <col min="50" max="50" width="49.28515625" style="1" bestFit="1" customWidth="1"/>
    <col min="51" max="51" width="8.85546875" style="1"/>
    <col min="52" max="52" width="19.28515625" style="1" bestFit="1" customWidth="1"/>
    <col min="53" max="53" width="22.28515625" style="1" bestFit="1" customWidth="1"/>
    <col min="54" max="54" width="8.85546875" style="1"/>
    <col min="55" max="55" width="11" style="1" bestFit="1" customWidth="1"/>
    <col min="56" max="56" width="21.7109375" style="1" bestFit="1" customWidth="1"/>
    <col min="57" max="57" width="8.85546875" style="1"/>
    <col min="58" max="58" width="7.140625" style="1" bestFit="1" customWidth="1"/>
    <col min="59" max="59" width="31.7109375" style="1" bestFit="1" customWidth="1"/>
    <col min="60" max="16384" width="8.85546875" style="1"/>
  </cols>
  <sheetData>
    <row r="1" spans="1:59" x14ac:dyDescent="0.25">
      <c r="A1" s="1">
        <v>1</v>
      </c>
      <c r="B1" s="1">
        <v>1</v>
      </c>
      <c r="C1" s="1" t="s">
        <v>2484</v>
      </c>
      <c r="D1" s="1" t="s">
        <v>2672</v>
      </c>
      <c r="E1" s="1" t="s">
        <v>2625</v>
      </c>
      <c r="G1" s="1">
        <v>3</v>
      </c>
      <c r="H1" s="1">
        <v>1</v>
      </c>
      <c r="I1" s="1" t="s">
        <v>2484</v>
      </c>
      <c r="J1" s="1" t="s">
        <v>2672</v>
      </c>
      <c r="K1" s="1" t="s">
        <v>2625</v>
      </c>
      <c r="M1" s="1">
        <v>5</v>
      </c>
      <c r="N1" s="1">
        <v>1</v>
      </c>
      <c r="O1" s="1" t="s">
        <v>2484</v>
      </c>
      <c r="P1" s="1" t="s">
        <v>2672</v>
      </c>
      <c r="Q1" s="1" t="s">
        <v>2625</v>
      </c>
      <c r="S1" s="1">
        <v>7</v>
      </c>
      <c r="T1" s="1">
        <v>1</v>
      </c>
      <c r="U1" s="1" t="s">
        <v>2484</v>
      </c>
      <c r="V1" s="1" t="s">
        <v>2672</v>
      </c>
      <c r="W1" s="1" t="s">
        <v>2625</v>
      </c>
      <c r="Y1" s="1">
        <v>9</v>
      </c>
      <c r="Z1" s="1">
        <v>1</v>
      </c>
      <c r="AA1" s="1" t="s">
        <v>2484</v>
      </c>
      <c r="AB1" s="1" t="s">
        <v>2672</v>
      </c>
      <c r="AC1" s="1" t="s">
        <v>2625</v>
      </c>
      <c r="AE1" s="2" t="s">
        <v>2505</v>
      </c>
      <c r="AH1" s="2" t="s">
        <v>2514</v>
      </c>
      <c r="AK1" s="2"/>
      <c r="AN1" s="2" t="s">
        <v>2682</v>
      </c>
      <c r="AQ1" s="2" t="s">
        <v>2513</v>
      </c>
      <c r="AT1" s="2" t="s">
        <v>2564</v>
      </c>
      <c r="AW1" s="2" t="s">
        <v>1956</v>
      </c>
      <c r="AZ1" s="2" t="s">
        <v>2583</v>
      </c>
      <c r="BC1" s="2" t="s">
        <v>2582</v>
      </c>
      <c r="BF1" s="2" t="s">
        <v>2603</v>
      </c>
    </row>
    <row r="2" spans="1:59" x14ac:dyDescent="0.25">
      <c r="B2" s="1">
        <v>2</v>
      </c>
      <c r="C2" s="1" t="s">
        <v>2485</v>
      </c>
      <c r="D2" s="1" t="s">
        <v>2672</v>
      </c>
      <c r="E2" s="1" t="s">
        <v>2625</v>
      </c>
      <c r="H2" s="1">
        <v>2</v>
      </c>
      <c r="I2" s="1" t="s">
        <v>2485</v>
      </c>
      <c r="J2" s="1" t="s">
        <v>2672</v>
      </c>
      <c r="K2" s="1" t="s">
        <v>2625</v>
      </c>
      <c r="N2" s="1">
        <v>2</v>
      </c>
      <c r="O2" s="1" t="s">
        <v>2485</v>
      </c>
      <c r="P2" s="1" t="s">
        <v>2672</v>
      </c>
      <c r="Q2" s="1" t="s">
        <v>2625</v>
      </c>
      <c r="T2" s="1">
        <v>2</v>
      </c>
      <c r="U2" s="1" t="s">
        <v>2485</v>
      </c>
      <c r="V2" s="1" t="s">
        <v>2672</v>
      </c>
      <c r="W2" s="1" t="s">
        <v>2625</v>
      </c>
      <c r="Z2" s="1">
        <v>2</v>
      </c>
      <c r="AA2" s="1" t="s">
        <v>2485</v>
      </c>
      <c r="AB2" s="1" t="s">
        <v>2667</v>
      </c>
      <c r="AC2" s="1" t="s">
        <v>2670</v>
      </c>
      <c r="AE2" s="1">
        <v>1</v>
      </c>
      <c r="AF2" s="1" t="s">
        <v>2495</v>
      </c>
      <c r="AH2" s="1">
        <v>1</v>
      </c>
      <c r="AI2" s="1" t="s">
        <v>2544</v>
      </c>
      <c r="AN2" s="1">
        <v>1</v>
      </c>
      <c r="AO2" s="1" t="s">
        <v>2534</v>
      </c>
      <c r="AQ2" s="1">
        <v>1</v>
      </c>
      <c r="AR2" s="1" t="s">
        <v>2516</v>
      </c>
      <c r="AT2" s="1">
        <v>1</v>
      </c>
      <c r="AU2" s="1" t="s">
        <v>2545</v>
      </c>
      <c r="AW2" s="1">
        <v>1</v>
      </c>
      <c r="AX2" s="1" t="s">
        <v>2717</v>
      </c>
      <c r="AZ2" s="1">
        <v>1</v>
      </c>
      <c r="BA2" s="1" t="s">
        <v>2576</v>
      </c>
      <c r="BC2" s="1">
        <v>1</v>
      </c>
      <c r="BD2" s="1" t="s">
        <v>2598</v>
      </c>
      <c r="BF2" s="1">
        <v>1</v>
      </c>
      <c r="BG2" s="1" t="str">
        <f ca="1">'Character 1'!P1&amp;" "&amp; 'Character 1'!Q1&amp;" (Character 1)."</f>
        <v>Nyx Aleslosh (Character 1).</v>
      </c>
    </row>
    <row r="3" spans="1:59" x14ac:dyDescent="0.25">
      <c r="B3" s="1">
        <v>3</v>
      </c>
      <c r="C3" s="1" t="s">
        <v>2486</v>
      </c>
      <c r="D3" s="1" t="s">
        <v>2672</v>
      </c>
      <c r="E3" s="1" t="s">
        <v>2625</v>
      </c>
      <c r="H3" s="1">
        <v>3</v>
      </c>
      <c r="I3" s="1" t="s">
        <v>2486</v>
      </c>
      <c r="J3" s="1" t="s">
        <v>2672</v>
      </c>
      <c r="K3" s="1" t="s">
        <v>2625</v>
      </c>
      <c r="N3" s="1">
        <v>3</v>
      </c>
      <c r="O3" s="1" t="s">
        <v>2486</v>
      </c>
      <c r="P3" s="1" t="s">
        <v>2672</v>
      </c>
      <c r="Q3" s="1" t="s">
        <v>2625</v>
      </c>
      <c r="T3" s="1">
        <v>3</v>
      </c>
      <c r="U3" s="1" t="s">
        <v>2486</v>
      </c>
      <c r="V3" s="1" t="s">
        <v>2672</v>
      </c>
      <c r="W3" s="1" t="s">
        <v>2625</v>
      </c>
      <c r="Z3" s="1">
        <v>3</v>
      </c>
      <c r="AA3" s="1" t="s">
        <v>2486</v>
      </c>
      <c r="AB3" s="1" t="s">
        <v>2667</v>
      </c>
      <c r="AC3" s="1" t="s">
        <v>2671</v>
      </c>
      <c r="AE3" s="1">
        <v>2</v>
      </c>
      <c r="AF3" s="1" t="s">
        <v>2496</v>
      </c>
      <c r="AH3" s="1">
        <v>2</v>
      </c>
      <c r="AI3" s="1" t="s">
        <v>2544</v>
      </c>
      <c r="AN3" s="1">
        <v>2</v>
      </c>
      <c r="AO3" s="1" t="s">
        <v>2541</v>
      </c>
      <c r="AQ3" s="1">
        <v>2</v>
      </c>
      <c r="AR3" s="1" t="s">
        <v>2516</v>
      </c>
      <c r="AT3" s="1">
        <v>2</v>
      </c>
      <c r="AU3" s="1" t="s">
        <v>2546</v>
      </c>
      <c r="AW3" s="1">
        <v>2</v>
      </c>
      <c r="AX3" s="1" t="s">
        <v>2718</v>
      </c>
      <c r="AZ3" s="1">
        <v>2</v>
      </c>
      <c r="BA3" s="1" t="s">
        <v>2577</v>
      </c>
      <c r="BC3" s="1">
        <v>2</v>
      </c>
      <c r="BD3" s="1" t="s">
        <v>2590</v>
      </c>
      <c r="BF3" s="1">
        <v>2</v>
      </c>
      <c r="BG3" s="1" t="str">
        <f ca="1">'Character 2'!P1&amp;" "&amp; 'Character 2'!Q1&amp;" (Character 2)."</f>
        <v>Rolen Xiloscient (Character 2).</v>
      </c>
    </row>
    <row r="4" spans="1:59" x14ac:dyDescent="0.25">
      <c r="B4" s="1">
        <v>4</v>
      </c>
      <c r="C4" s="1" t="s">
        <v>2487</v>
      </c>
      <c r="D4" s="1" t="s">
        <v>2672</v>
      </c>
      <c r="E4" s="1" t="s">
        <v>2625</v>
      </c>
      <c r="H4" s="1">
        <v>4</v>
      </c>
      <c r="I4" s="1" t="s">
        <v>2487</v>
      </c>
      <c r="J4" s="1" t="s">
        <v>2667</v>
      </c>
      <c r="K4" s="1" t="s">
        <v>2670</v>
      </c>
      <c r="N4" s="1">
        <v>4</v>
      </c>
      <c r="O4" s="1" t="s">
        <v>2487</v>
      </c>
      <c r="P4" s="1" t="s">
        <v>2672</v>
      </c>
      <c r="Q4" s="1" t="s">
        <v>2625</v>
      </c>
      <c r="T4" s="1">
        <v>4</v>
      </c>
      <c r="U4" s="1" t="s">
        <v>2487</v>
      </c>
      <c r="V4" s="1" t="s">
        <v>2672</v>
      </c>
      <c r="W4" s="1" t="s">
        <v>2625</v>
      </c>
      <c r="Z4" s="1">
        <v>4</v>
      </c>
      <c r="AA4" s="1" t="s">
        <v>2487</v>
      </c>
      <c r="AB4" s="1" t="s">
        <v>2668</v>
      </c>
      <c r="AC4" s="1" t="s">
        <v>2670</v>
      </c>
      <c r="AE4" s="1">
        <v>3</v>
      </c>
      <c r="AF4" s="1" t="s">
        <v>2497</v>
      </c>
      <c r="AH4" s="1">
        <v>3</v>
      </c>
      <c r="AI4" s="1" t="s">
        <v>2515</v>
      </c>
      <c r="AN4" s="1">
        <v>3</v>
      </c>
      <c r="AO4" s="1" t="s">
        <v>2556</v>
      </c>
      <c r="AQ4" s="1">
        <v>3</v>
      </c>
      <c r="AR4" s="1" t="s">
        <v>2524</v>
      </c>
      <c r="AT4" s="1">
        <v>3</v>
      </c>
      <c r="AU4" s="1" t="s">
        <v>2550</v>
      </c>
      <c r="AW4" s="1">
        <v>3</v>
      </c>
      <c r="AX4" s="1" t="s">
        <v>2719</v>
      </c>
      <c r="AZ4" s="1">
        <v>3</v>
      </c>
      <c r="BA4" s="1" t="s">
        <v>2575</v>
      </c>
      <c r="BC4" s="1">
        <v>3</v>
      </c>
      <c r="BD4" s="1" t="s">
        <v>2584</v>
      </c>
      <c r="BF4" s="1">
        <v>3</v>
      </c>
      <c r="BG4" s="1" t="str">
        <f ca="1">'Character 3'!P1&amp;" "&amp; 'Character 3'!Q1&amp;" (Character 3)."</f>
        <v>Dimble Filchbatter (Character 3).</v>
      </c>
    </row>
    <row r="5" spans="1:59" x14ac:dyDescent="0.25">
      <c r="B5" s="1">
        <v>5</v>
      </c>
      <c r="C5" s="1" t="s">
        <v>2488</v>
      </c>
      <c r="D5" s="1" t="s">
        <v>2667</v>
      </c>
      <c r="E5" s="1" t="s">
        <v>2670</v>
      </c>
      <c r="H5" s="1">
        <v>5</v>
      </c>
      <c r="I5" s="1" t="s">
        <v>2488</v>
      </c>
      <c r="J5" s="1" t="s">
        <v>2667</v>
      </c>
      <c r="K5" s="1" t="s">
        <v>2671</v>
      </c>
      <c r="N5" s="1">
        <v>5</v>
      </c>
      <c r="O5" s="1" t="s">
        <v>2488</v>
      </c>
      <c r="P5" s="1" t="s">
        <v>2672</v>
      </c>
      <c r="Q5" s="1" t="s">
        <v>2625</v>
      </c>
      <c r="T5" s="1">
        <v>5</v>
      </c>
      <c r="U5" s="1" t="s">
        <v>2488</v>
      </c>
      <c r="V5" s="1" t="s">
        <v>2672</v>
      </c>
      <c r="W5" s="1" t="s">
        <v>2625</v>
      </c>
      <c r="Z5" s="1">
        <v>5</v>
      </c>
      <c r="AA5" s="1" t="s">
        <v>2488</v>
      </c>
      <c r="AB5" s="1" t="s">
        <v>2668</v>
      </c>
      <c r="AC5" s="1" t="s">
        <v>2671</v>
      </c>
      <c r="AE5" s="1">
        <v>4</v>
      </c>
      <c r="AF5" s="1" t="s">
        <v>2498</v>
      </c>
      <c r="AH5" s="1">
        <v>4</v>
      </c>
      <c r="AI5" s="1" t="s">
        <v>2515</v>
      </c>
      <c r="AN5" s="1">
        <v>4</v>
      </c>
      <c r="AO5" s="1" t="s">
        <v>2542</v>
      </c>
      <c r="AQ5" s="1">
        <v>4</v>
      </c>
      <c r="AR5" s="1" t="s">
        <v>2524</v>
      </c>
      <c r="AT5" s="1">
        <v>4</v>
      </c>
      <c r="AU5" s="1" t="s">
        <v>2547</v>
      </c>
      <c r="AW5" s="1">
        <v>4</v>
      </c>
      <c r="AX5" s="1" t="s">
        <v>2720</v>
      </c>
      <c r="AZ5" s="1">
        <v>4</v>
      </c>
      <c r="BA5" s="1" t="s">
        <v>2578</v>
      </c>
      <c r="BC5" s="1">
        <v>4</v>
      </c>
      <c r="BD5" s="1" t="s">
        <v>2591</v>
      </c>
      <c r="BF5" s="1">
        <v>4</v>
      </c>
      <c r="BG5" s="1" t="str">
        <f ca="1">'Character 4'!P1&amp;" "&amp; 'Character 4'!Q1&amp;" (Character 4)."</f>
        <v>Chant   (Character 4).</v>
      </c>
    </row>
    <row r="6" spans="1:59" x14ac:dyDescent="0.25">
      <c r="B6" s="1">
        <v>6</v>
      </c>
      <c r="C6" s="1" t="s">
        <v>2489</v>
      </c>
      <c r="D6" s="1" t="s">
        <v>2667</v>
      </c>
      <c r="E6" s="1" t="s">
        <v>2671</v>
      </c>
      <c r="H6" s="1">
        <v>6</v>
      </c>
      <c r="I6" s="1" t="s">
        <v>2489</v>
      </c>
      <c r="J6" s="1" t="s">
        <v>2668</v>
      </c>
      <c r="K6" s="1" t="s">
        <v>2670</v>
      </c>
      <c r="N6" s="1">
        <v>6</v>
      </c>
      <c r="O6" s="1" t="s">
        <v>2489</v>
      </c>
      <c r="P6" s="1" t="s">
        <v>2672</v>
      </c>
      <c r="Q6" s="1" t="s">
        <v>2625</v>
      </c>
      <c r="T6" s="1">
        <v>6</v>
      </c>
      <c r="U6" s="1" t="s">
        <v>2489</v>
      </c>
      <c r="V6" s="1" t="s">
        <v>2672</v>
      </c>
      <c r="W6" s="1" t="s">
        <v>2625</v>
      </c>
      <c r="Z6" s="1">
        <v>6</v>
      </c>
      <c r="AA6" s="1" t="s">
        <v>2489</v>
      </c>
      <c r="AB6" s="1" t="s">
        <v>2668</v>
      </c>
      <c r="AC6" s="1" t="s">
        <v>2671</v>
      </c>
      <c r="AE6" s="1">
        <v>5</v>
      </c>
      <c r="AF6" s="1" t="s">
        <v>2499</v>
      </c>
      <c r="AH6" s="1">
        <v>5</v>
      </c>
      <c r="AI6" s="1" t="s">
        <v>2543</v>
      </c>
      <c r="AN6" s="1">
        <v>5</v>
      </c>
      <c r="AO6" s="1" t="s">
        <v>2535</v>
      </c>
      <c r="AQ6" s="1">
        <v>5</v>
      </c>
      <c r="AR6" s="1" t="s">
        <v>2517</v>
      </c>
      <c r="AT6" s="1">
        <v>5</v>
      </c>
      <c r="AU6" s="1" t="s">
        <v>2548</v>
      </c>
      <c r="AW6" s="1">
        <v>5</v>
      </c>
      <c r="AX6" s="1" t="s">
        <v>2721</v>
      </c>
      <c r="AZ6" s="1">
        <v>5</v>
      </c>
      <c r="BA6" s="1" t="s">
        <v>2579</v>
      </c>
      <c r="BC6" s="1">
        <v>5</v>
      </c>
      <c r="BD6" s="1" t="s">
        <v>2592</v>
      </c>
      <c r="BF6" s="1">
        <v>5</v>
      </c>
      <c r="BG6" s="1" t="str">
        <f ca="1">'Character 5'!P1&amp;" "&amp; 'Character 5'!Q1&amp;" (Character 5)."</f>
        <v>Pelaios   (Character 5).</v>
      </c>
    </row>
    <row r="7" spans="1:59" x14ac:dyDescent="0.25">
      <c r="B7" s="1">
        <v>7</v>
      </c>
      <c r="C7" s="1" t="s">
        <v>2490</v>
      </c>
      <c r="D7" s="1" t="s">
        <v>2668</v>
      </c>
      <c r="E7" s="1" t="s">
        <v>2670</v>
      </c>
      <c r="H7" s="1">
        <v>7</v>
      </c>
      <c r="I7" s="1" t="s">
        <v>2490</v>
      </c>
      <c r="J7" s="1" t="s">
        <v>2668</v>
      </c>
      <c r="K7" s="1" t="s">
        <v>2671</v>
      </c>
      <c r="N7" s="1">
        <v>7</v>
      </c>
      <c r="O7" s="1" t="s">
        <v>2490</v>
      </c>
      <c r="P7" s="1" t="s">
        <v>2672</v>
      </c>
      <c r="Q7" s="1" t="s">
        <v>2625</v>
      </c>
      <c r="T7" s="1">
        <v>7</v>
      </c>
      <c r="U7" s="1" t="s">
        <v>2490</v>
      </c>
      <c r="V7" s="1" t="s">
        <v>2667</v>
      </c>
      <c r="W7" s="1" t="s">
        <v>2670</v>
      </c>
      <c r="Z7" s="1">
        <v>7</v>
      </c>
      <c r="AA7" s="1" t="s">
        <v>2490</v>
      </c>
      <c r="AB7" s="1" t="s">
        <v>2669</v>
      </c>
      <c r="AC7" s="1" t="s">
        <v>2670</v>
      </c>
      <c r="AE7" s="1">
        <v>6</v>
      </c>
      <c r="AF7" s="1" t="s">
        <v>2506</v>
      </c>
      <c r="AH7" s="1">
        <v>6</v>
      </c>
      <c r="AI7" s="1" t="s">
        <v>2543</v>
      </c>
      <c r="AN7" s="1">
        <v>6</v>
      </c>
      <c r="AO7" s="1" t="s">
        <v>2536</v>
      </c>
      <c r="AQ7" s="1">
        <v>6</v>
      </c>
      <c r="AR7" s="1" t="s">
        <v>2517</v>
      </c>
      <c r="AT7" s="1">
        <v>6</v>
      </c>
      <c r="AU7" s="1" t="s">
        <v>2549</v>
      </c>
      <c r="AW7" s="1">
        <v>6</v>
      </c>
      <c r="AX7" s="1" t="s">
        <v>2741</v>
      </c>
      <c r="AZ7" s="1">
        <v>6</v>
      </c>
      <c r="BA7" s="1" t="s">
        <v>2580</v>
      </c>
      <c r="BC7" s="1">
        <v>6</v>
      </c>
      <c r="BD7" s="1" t="s">
        <v>2596</v>
      </c>
      <c r="BF7" s="1">
        <v>6</v>
      </c>
      <c r="BG7" s="1" t="str">
        <f ca="1">'Character 6'!P1&amp;" "&amp; 'Character 6'!Q1&amp;" (Character 6)."</f>
        <v>Heskan Norixius (Character 6).</v>
      </c>
    </row>
    <row r="8" spans="1:59" x14ac:dyDescent="0.25">
      <c r="B8" s="1">
        <v>8</v>
      </c>
      <c r="C8" s="1" t="s">
        <v>2491</v>
      </c>
      <c r="D8" s="1" t="s">
        <v>2668</v>
      </c>
      <c r="E8" s="1" t="s">
        <v>2671</v>
      </c>
      <c r="H8" s="1">
        <v>8</v>
      </c>
      <c r="I8" s="1" t="s">
        <v>2491</v>
      </c>
      <c r="J8" s="1" t="s">
        <v>2668</v>
      </c>
      <c r="K8" s="1" t="s">
        <v>2671</v>
      </c>
      <c r="N8" s="1">
        <v>8</v>
      </c>
      <c r="O8" s="1" t="s">
        <v>2491</v>
      </c>
      <c r="P8" s="1" t="s">
        <v>2672</v>
      </c>
      <c r="Q8" s="1" t="s">
        <v>2625</v>
      </c>
      <c r="T8" s="1">
        <v>8</v>
      </c>
      <c r="U8" s="1" t="s">
        <v>2491</v>
      </c>
      <c r="V8" s="1" t="s">
        <v>2667</v>
      </c>
      <c r="W8" s="1" t="s">
        <v>2671</v>
      </c>
      <c r="Z8" s="1">
        <v>8</v>
      </c>
      <c r="AA8" s="1" t="s">
        <v>2491</v>
      </c>
      <c r="AB8" s="1" t="s">
        <v>2669</v>
      </c>
      <c r="AC8" s="1" t="s">
        <v>2671</v>
      </c>
      <c r="AE8" s="1">
        <v>7</v>
      </c>
      <c r="AF8" s="1" t="s">
        <v>2501</v>
      </c>
      <c r="AH8" s="1">
        <v>7</v>
      </c>
      <c r="AI8" s="1" t="s">
        <v>2516</v>
      </c>
      <c r="AN8" s="1">
        <v>7</v>
      </c>
      <c r="AO8" s="1" t="s">
        <v>2538</v>
      </c>
      <c r="AQ8" s="1">
        <v>7</v>
      </c>
      <c r="AR8" s="1" t="s">
        <v>2525</v>
      </c>
      <c r="AT8" s="1">
        <v>7</v>
      </c>
      <c r="AU8" s="1" t="s">
        <v>2551</v>
      </c>
      <c r="AW8" s="1">
        <v>7</v>
      </c>
      <c r="AX8" s="1" t="s">
        <v>2749</v>
      </c>
      <c r="AZ8" s="1">
        <v>7</v>
      </c>
      <c r="BA8" s="1" t="s">
        <v>2581</v>
      </c>
      <c r="BC8" s="1">
        <v>7</v>
      </c>
      <c r="BD8" s="1" t="s">
        <v>2597</v>
      </c>
      <c r="BF8" s="1">
        <v>7</v>
      </c>
      <c r="BG8" s="1" t="str">
        <f ca="1">'Character 7'!P1&amp;" "&amp; 'Character 7'!Q1&amp;" (Character 7)."</f>
        <v>Zasheir Mei (Character 7).</v>
      </c>
    </row>
    <row r="9" spans="1:59" x14ac:dyDescent="0.25">
      <c r="B9" s="1">
        <v>9</v>
      </c>
      <c r="C9" s="1" t="s">
        <v>2492</v>
      </c>
      <c r="D9" s="1" t="s">
        <v>2669</v>
      </c>
      <c r="E9" s="1" t="s">
        <v>2670</v>
      </c>
      <c r="H9" s="1">
        <v>9</v>
      </c>
      <c r="I9" s="1" t="s">
        <v>2492</v>
      </c>
      <c r="J9" s="1" t="s">
        <v>2668</v>
      </c>
      <c r="K9" s="1" t="s">
        <v>2671</v>
      </c>
      <c r="N9" s="1">
        <v>9</v>
      </c>
      <c r="O9" s="1" t="s">
        <v>2492</v>
      </c>
      <c r="P9" s="1" t="s">
        <v>2667</v>
      </c>
      <c r="Q9" s="1" t="s">
        <v>2670</v>
      </c>
      <c r="T9" s="1">
        <v>9</v>
      </c>
      <c r="U9" s="1" t="s">
        <v>2492</v>
      </c>
      <c r="V9" s="1" t="s">
        <v>2668</v>
      </c>
      <c r="W9" s="1" t="s">
        <v>2670</v>
      </c>
      <c r="Z9" s="1">
        <v>9</v>
      </c>
      <c r="AA9" s="1" t="s">
        <v>2492</v>
      </c>
      <c r="AB9" s="1" t="s">
        <v>2669</v>
      </c>
      <c r="AC9" s="1" t="s">
        <v>2671</v>
      </c>
      <c r="AE9" s="1">
        <v>8</v>
      </c>
      <c r="AF9" s="1" t="s">
        <v>2502</v>
      </c>
      <c r="AH9" s="1">
        <v>8</v>
      </c>
      <c r="AI9" s="1" t="s">
        <v>2516</v>
      </c>
      <c r="AN9" s="1">
        <v>8</v>
      </c>
      <c r="AO9" s="1" t="s">
        <v>2681</v>
      </c>
      <c r="AQ9" s="1">
        <v>8</v>
      </c>
      <c r="AR9" s="1" t="s">
        <v>2525</v>
      </c>
      <c r="AT9" s="1">
        <v>8</v>
      </c>
      <c r="AU9" s="1" t="s">
        <v>2552</v>
      </c>
      <c r="AW9" s="1">
        <v>8</v>
      </c>
      <c r="AX9" s="1" t="s">
        <v>2567</v>
      </c>
      <c r="AZ9" s="1">
        <v>8</v>
      </c>
      <c r="BA9" s="1" t="s">
        <v>2585</v>
      </c>
      <c r="BC9" s="1">
        <v>8</v>
      </c>
      <c r="BD9" s="1" t="s">
        <v>2615</v>
      </c>
      <c r="BF9" s="1">
        <v>8</v>
      </c>
      <c r="BG9" s="1" t="str">
        <f ca="1">'Character 8'!P1&amp;" "&amp; 'Character 8'!Q1&amp;" (Character 8)."</f>
        <v>Bryn Xiloscient (Character 8).</v>
      </c>
    </row>
    <row r="10" spans="1:59" x14ac:dyDescent="0.25">
      <c r="B10" s="1">
        <v>10</v>
      </c>
      <c r="C10" s="1" t="s">
        <v>2493</v>
      </c>
      <c r="D10" s="1" t="s">
        <v>2669</v>
      </c>
      <c r="E10" s="1" t="s">
        <v>2671</v>
      </c>
      <c r="H10" s="1">
        <v>10</v>
      </c>
      <c r="I10" s="1" t="s">
        <v>2493</v>
      </c>
      <c r="J10" s="1" t="s">
        <v>2668</v>
      </c>
      <c r="K10" s="1" t="s">
        <v>2671</v>
      </c>
      <c r="N10" s="1">
        <v>10</v>
      </c>
      <c r="O10" s="1" t="s">
        <v>2493</v>
      </c>
      <c r="P10" s="1" t="s">
        <v>2667</v>
      </c>
      <c r="Q10" s="1" t="s">
        <v>2671</v>
      </c>
      <c r="T10" s="1">
        <v>10</v>
      </c>
      <c r="U10" s="1" t="s">
        <v>2493</v>
      </c>
      <c r="V10" s="1" t="s">
        <v>2668</v>
      </c>
      <c r="W10" s="1" t="s">
        <v>2671</v>
      </c>
      <c r="Z10" s="1">
        <v>10</v>
      </c>
      <c r="AA10" s="1" t="s">
        <v>2493</v>
      </c>
      <c r="AB10" s="1" t="s">
        <v>2669</v>
      </c>
      <c r="AC10" s="1" t="s">
        <v>2671</v>
      </c>
      <c r="AE10" s="1">
        <v>9</v>
      </c>
      <c r="AF10" s="1" t="s">
        <v>2503</v>
      </c>
      <c r="AH10" s="1">
        <v>9</v>
      </c>
      <c r="AI10" s="1" t="s">
        <v>2516</v>
      </c>
      <c r="AN10" s="1">
        <v>9</v>
      </c>
      <c r="AO10" s="1" t="s">
        <v>2681</v>
      </c>
      <c r="AQ10" s="1">
        <v>9</v>
      </c>
      <c r="AR10" s="1" t="s">
        <v>2526</v>
      </c>
      <c r="AT10" s="1">
        <v>9</v>
      </c>
      <c r="AU10" s="1" t="s">
        <v>2553</v>
      </c>
      <c r="AW10" s="1">
        <v>9</v>
      </c>
      <c r="AX10" s="1" t="s">
        <v>2722</v>
      </c>
      <c r="AZ10" s="1">
        <v>9</v>
      </c>
      <c r="BA10" s="1" t="s">
        <v>2586</v>
      </c>
      <c r="BC10" s="1">
        <v>9</v>
      </c>
      <c r="BD10" s="1" t="s">
        <v>2616</v>
      </c>
      <c r="BF10" s="1">
        <v>9</v>
      </c>
      <c r="BG10" s="1" t="str">
        <f ca="1">'Character 9'!P1&amp;" "&amp; 'Character 9'!Q1&amp;" (Character 9)."</f>
        <v>Thorin Ungart (Character 9).</v>
      </c>
    </row>
    <row r="11" spans="1:59" x14ac:dyDescent="0.25">
      <c r="AE11" s="1">
        <v>10</v>
      </c>
      <c r="AF11" s="1" t="s">
        <v>2504</v>
      </c>
      <c r="AH11" s="1">
        <v>10</v>
      </c>
      <c r="AI11" s="1" t="s">
        <v>2516</v>
      </c>
      <c r="AN11" s="1">
        <v>10</v>
      </c>
      <c r="AO11" s="1" t="s">
        <v>2681</v>
      </c>
      <c r="AQ11" s="1">
        <v>10</v>
      </c>
      <c r="AR11" s="1" t="s">
        <v>2526</v>
      </c>
      <c r="AT11" s="1">
        <v>10</v>
      </c>
      <c r="AU11" s="1" t="s">
        <v>2554</v>
      </c>
      <c r="AW11" s="1">
        <v>10</v>
      </c>
      <c r="AX11" s="1" t="s">
        <v>2568</v>
      </c>
      <c r="AZ11" s="1">
        <v>10</v>
      </c>
      <c r="BA11" s="1" t="s">
        <v>2587</v>
      </c>
      <c r="BC11" s="1">
        <v>10</v>
      </c>
      <c r="BD11" s="1" t="s">
        <v>2624</v>
      </c>
      <c r="BF11" s="1">
        <v>10</v>
      </c>
      <c r="BG11" s="1" t="str">
        <f ca="1">'Character 10'!P1&amp;" "&amp; 'Character 10'!Q1&amp;" (Character 10)."</f>
        <v>Balama Pisacar (Character 10).</v>
      </c>
    </row>
    <row r="12" spans="1:59" x14ac:dyDescent="0.25">
      <c r="A12" s="1">
        <v>2</v>
      </c>
      <c r="B12" s="1">
        <v>1</v>
      </c>
      <c r="C12" s="1" t="s">
        <v>2484</v>
      </c>
      <c r="D12" s="1" t="s">
        <v>2672</v>
      </c>
      <c r="E12" s="1" t="s">
        <v>2625</v>
      </c>
      <c r="G12" s="1">
        <v>4</v>
      </c>
      <c r="H12" s="1">
        <v>1</v>
      </c>
      <c r="I12" s="1" t="s">
        <v>2484</v>
      </c>
      <c r="J12" s="1" t="s">
        <v>2672</v>
      </c>
      <c r="K12" s="1" t="s">
        <v>2625</v>
      </c>
      <c r="M12" s="1">
        <v>6</v>
      </c>
      <c r="N12" s="1">
        <v>1</v>
      </c>
      <c r="O12" s="1" t="s">
        <v>2484</v>
      </c>
      <c r="P12" s="1" t="s">
        <v>2667</v>
      </c>
      <c r="Q12" s="1" t="s">
        <v>2670</v>
      </c>
      <c r="S12" s="1">
        <v>8</v>
      </c>
      <c r="T12" s="1">
        <v>1</v>
      </c>
      <c r="U12" s="1" t="s">
        <v>2484</v>
      </c>
      <c r="V12" s="1" t="s">
        <v>2667</v>
      </c>
      <c r="W12" s="1" t="s">
        <v>2670</v>
      </c>
      <c r="Y12" s="1">
        <v>10</v>
      </c>
      <c r="Z12" s="1">
        <v>1</v>
      </c>
      <c r="AA12" s="1" t="s">
        <v>2484</v>
      </c>
      <c r="AB12" s="1" t="s">
        <v>2672</v>
      </c>
      <c r="AC12" s="1" t="s">
        <v>2625</v>
      </c>
      <c r="AE12" s="1">
        <v>11</v>
      </c>
      <c r="AF12" s="1" t="s">
        <v>2510</v>
      </c>
      <c r="AH12" s="1">
        <v>11</v>
      </c>
      <c r="AI12" s="1" t="s">
        <v>2517</v>
      </c>
      <c r="AN12" s="1">
        <v>11</v>
      </c>
      <c r="AO12" s="1" t="s">
        <v>2537</v>
      </c>
      <c r="AQ12" s="1">
        <v>11</v>
      </c>
      <c r="AR12" s="1" t="s">
        <v>2527</v>
      </c>
      <c r="AT12" s="1">
        <v>11</v>
      </c>
      <c r="AU12" s="1" t="s">
        <v>2557</v>
      </c>
      <c r="AW12" s="1">
        <v>11</v>
      </c>
      <c r="AX12" s="1" t="s">
        <v>2569</v>
      </c>
      <c r="AZ12" s="1">
        <v>11</v>
      </c>
      <c r="BA12" s="1" t="s">
        <v>2588</v>
      </c>
      <c r="BC12" s="1">
        <v>11</v>
      </c>
      <c r="BD12" s="1" t="s">
        <v>2627</v>
      </c>
      <c r="BF12" s="1">
        <v>11</v>
      </c>
      <c r="BG12" s="1" t="s">
        <v>2665</v>
      </c>
    </row>
    <row r="13" spans="1:59" x14ac:dyDescent="0.25">
      <c r="B13" s="1">
        <v>2</v>
      </c>
      <c r="C13" s="1" t="s">
        <v>2485</v>
      </c>
      <c r="D13" s="1" t="s">
        <v>2672</v>
      </c>
      <c r="E13" s="1" t="s">
        <v>2625</v>
      </c>
      <c r="H13" s="1">
        <v>2</v>
      </c>
      <c r="I13" s="1" t="s">
        <v>2485</v>
      </c>
      <c r="J13" s="1" t="s">
        <v>2672</v>
      </c>
      <c r="K13" s="1" t="s">
        <v>2625</v>
      </c>
      <c r="N13" s="1">
        <v>2</v>
      </c>
      <c r="O13" s="1" t="s">
        <v>2485</v>
      </c>
      <c r="P13" s="1" t="s">
        <v>2667</v>
      </c>
      <c r="Q13" s="1" t="s">
        <v>2671</v>
      </c>
      <c r="T13" s="1">
        <v>2</v>
      </c>
      <c r="U13" s="1" t="s">
        <v>2485</v>
      </c>
      <c r="V13" s="1" t="s">
        <v>2667</v>
      </c>
      <c r="W13" s="1" t="s">
        <v>2671</v>
      </c>
      <c r="Z13" s="1">
        <v>2</v>
      </c>
      <c r="AA13" s="1" t="s">
        <v>2485</v>
      </c>
      <c r="AB13" s="1" t="s">
        <v>2672</v>
      </c>
      <c r="AC13" s="1" t="s">
        <v>2625</v>
      </c>
      <c r="AE13" s="1">
        <v>12</v>
      </c>
      <c r="AF13" s="1" t="s">
        <v>2508</v>
      </c>
      <c r="AH13" s="1">
        <v>12</v>
      </c>
      <c r="AI13" s="1" t="s">
        <v>2517</v>
      </c>
      <c r="AN13" s="1">
        <v>12</v>
      </c>
      <c r="AO13" s="1" t="s">
        <v>2680</v>
      </c>
      <c r="AQ13" s="1">
        <v>12</v>
      </c>
      <c r="AR13" s="1" t="s">
        <v>2527</v>
      </c>
      <c r="AT13" s="1">
        <v>12</v>
      </c>
      <c r="AU13" s="1" t="s">
        <v>2555</v>
      </c>
      <c r="AW13" s="1">
        <v>12</v>
      </c>
      <c r="AX13" s="1" t="s">
        <v>2570</v>
      </c>
      <c r="AZ13" s="1">
        <v>12</v>
      </c>
      <c r="BA13" s="1" t="s">
        <v>2589</v>
      </c>
      <c r="BC13" s="1">
        <v>12</v>
      </c>
      <c r="BD13" s="1" t="s">
        <v>2628</v>
      </c>
      <c r="BF13" s="1">
        <v>12</v>
      </c>
      <c r="BG13" s="1" t="s">
        <v>2593</v>
      </c>
    </row>
    <row r="14" spans="1:59" x14ac:dyDescent="0.25">
      <c r="B14" s="1">
        <v>3</v>
      </c>
      <c r="C14" s="1" t="s">
        <v>2486</v>
      </c>
      <c r="D14" s="1" t="s">
        <v>2672</v>
      </c>
      <c r="E14" s="1" t="s">
        <v>2625</v>
      </c>
      <c r="H14" s="1">
        <v>3</v>
      </c>
      <c r="I14" s="1" t="s">
        <v>2486</v>
      </c>
      <c r="J14" s="1" t="s">
        <v>2672</v>
      </c>
      <c r="K14" s="1" t="s">
        <v>2625</v>
      </c>
      <c r="N14" s="1">
        <v>3</v>
      </c>
      <c r="O14" s="1" t="s">
        <v>2486</v>
      </c>
      <c r="P14" s="1" t="s">
        <v>2668</v>
      </c>
      <c r="Q14" s="1" t="s">
        <v>2670</v>
      </c>
      <c r="T14" s="1">
        <v>3</v>
      </c>
      <c r="U14" s="1" t="s">
        <v>2486</v>
      </c>
      <c r="V14" s="1" t="s">
        <v>2667</v>
      </c>
      <c r="W14" s="1" t="s">
        <v>2671</v>
      </c>
      <c r="Z14" s="1">
        <v>3</v>
      </c>
      <c r="AA14" s="1" t="s">
        <v>2486</v>
      </c>
      <c r="AB14" s="1" t="s">
        <v>2667</v>
      </c>
      <c r="AC14" s="1" t="s">
        <v>2670</v>
      </c>
      <c r="AE14" s="1">
        <v>13</v>
      </c>
      <c r="AF14" s="1" t="s">
        <v>2509</v>
      </c>
      <c r="AH14" s="1">
        <v>13</v>
      </c>
      <c r="AI14" s="1" t="s">
        <v>2517</v>
      </c>
      <c r="AN14" s="1">
        <v>13</v>
      </c>
      <c r="AO14" s="1" t="s">
        <v>2680</v>
      </c>
      <c r="AQ14" s="1">
        <v>13</v>
      </c>
      <c r="AR14" s="1" t="s">
        <v>2528</v>
      </c>
      <c r="AT14" s="1">
        <v>13</v>
      </c>
      <c r="AU14" s="1" t="s">
        <v>2558</v>
      </c>
      <c r="AW14" s="1">
        <v>13</v>
      </c>
      <c r="AX14" s="1" t="s">
        <v>2723</v>
      </c>
      <c r="AZ14" s="1">
        <v>13</v>
      </c>
      <c r="BA14" s="1" t="s">
        <v>2599</v>
      </c>
      <c r="BC14" s="1">
        <v>13</v>
      </c>
      <c r="BD14" s="1" t="s">
        <v>2629</v>
      </c>
      <c r="BF14" s="1">
        <v>13</v>
      </c>
      <c r="BG14" s="1" t="s">
        <v>2594</v>
      </c>
    </row>
    <row r="15" spans="1:59" x14ac:dyDescent="0.25">
      <c r="B15" s="1">
        <v>4</v>
      </c>
      <c r="C15" s="1" t="s">
        <v>2487</v>
      </c>
      <c r="D15" s="1" t="s">
        <v>2672</v>
      </c>
      <c r="E15" s="1" t="s">
        <v>2625</v>
      </c>
      <c r="H15" s="1">
        <v>4</v>
      </c>
      <c r="I15" s="1" t="s">
        <v>2487</v>
      </c>
      <c r="J15" s="1" t="s">
        <v>2672</v>
      </c>
      <c r="K15" s="1" t="s">
        <v>2625</v>
      </c>
      <c r="N15" s="1">
        <v>4</v>
      </c>
      <c r="O15" s="1" t="s">
        <v>2487</v>
      </c>
      <c r="P15" s="1" t="s">
        <v>2668</v>
      </c>
      <c r="Q15" s="1" t="s">
        <v>2671</v>
      </c>
      <c r="T15" s="1">
        <v>4</v>
      </c>
      <c r="U15" s="1" t="s">
        <v>2487</v>
      </c>
      <c r="V15" s="1" t="s">
        <v>2667</v>
      </c>
      <c r="W15" s="1" t="s">
        <v>2671</v>
      </c>
      <c r="Z15" s="1">
        <v>4</v>
      </c>
      <c r="AA15" s="1" t="s">
        <v>2487</v>
      </c>
      <c r="AB15" s="1" t="s">
        <v>2667</v>
      </c>
      <c r="AC15" s="1" t="s">
        <v>2671</v>
      </c>
      <c r="AE15" s="1">
        <v>14</v>
      </c>
      <c r="AF15" s="1" t="s">
        <v>2511</v>
      </c>
      <c r="AH15" s="1">
        <v>14</v>
      </c>
      <c r="AI15" s="1" t="s">
        <v>2517</v>
      </c>
      <c r="AN15" s="1">
        <v>14</v>
      </c>
      <c r="AO15" s="1" t="s">
        <v>2680</v>
      </c>
      <c r="AQ15" s="1">
        <v>14</v>
      </c>
      <c r="AR15" s="1" t="s">
        <v>2528</v>
      </c>
      <c r="AT15" s="1">
        <v>14</v>
      </c>
      <c r="AU15" s="1" t="s">
        <v>2559</v>
      </c>
      <c r="AW15" s="1">
        <v>14</v>
      </c>
      <c r="AX15" s="1" t="s">
        <v>2571</v>
      </c>
      <c r="AZ15" s="1">
        <v>14</v>
      </c>
      <c r="BA15" s="1" t="s">
        <v>2600</v>
      </c>
      <c r="BC15" s="1">
        <v>14</v>
      </c>
      <c r="BD15" s="1" t="s">
        <v>2630</v>
      </c>
      <c r="BF15" s="1">
        <v>14</v>
      </c>
      <c r="BG15" s="1" t="s">
        <v>2595</v>
      </c>
    </row>
    <row r="16" spans="1:59" x14ac:dyDescent="0.25">
      <c r="B16" s="1">
        <v>5</v>
      </c>
      <c r="C16" s="1" t="s">
        <v>2488</v>
      </c>
      <c r="D16" s="1" t="s">
        <v>2672</v>
      </c>
      <c r="E16" s="1" t="s">
        <v>2625</v>
      </c>
      <c r="H16" s="1">
        <v>5</v>
      </c>
      <c r="I16" s="1" t="s">
        <v>2488</v>
      </c>
      <c r="J16" s="1" t="s">
        <v>2672</v>
      </c>
      <c r="K16" s="1" t="s">
        <v>2625</v>
      </c>
      <c r="N16" s="1">
        <v>5</v>
      </c>
      <c r="O16" s="1" t="s">
        <v>2488</v>
      </c>
      <c r="P16" s="1" t="s">
        <v>2669</v>
      </c>
      <c r="Q16" s="1" t="s">
        <v>2670</v>
      </c>
      <c r="T16" s="1">
        <v>5</v>
      </c>
      <c r="U16" s="1" t="s">
        <v>2488</v>
      </c>
      <c r="V16" s="1" t="s">
        <v>2667</v>
      </c>
      <c r="W16" s="1" t="s">
        <v>2671</v>
      </c>
      <c r="Z16" s="1">
        <v>5</v>
      </c>
      <c r="AA16" s="1" t="s">
        <v>2488</v>
      </c>
      <c r="AB16" s="1" t="s">
        <v>2668</v>
      </c>
      <c r="AC16" s="1" t="s">
        <v>2670</v>
      </c>
      <c r="AE16" s="1">
        <v>15</v>
      </c>
      <c r="AF16" s="1" t="s">
        <v>2507</v>
      </c>
      <c r="AH16" s="1">
        <v>15</v>
      </c>
      <c r="AI16" s="1" t="s">
        <v>2518</v>
      </c>
      <c r="AN16" s="1">
        <v>15</v>
      </c>
      <c r="AO16" s="1" t="s">
        <v>2679</v>
      </c>
      <c r="AQ16" s="1">
        <v>15</v>
      </c>
      <c r="AR16" s="1" t="s">
        <v>2529</v>
      </c>
      <c r="AT16" s="1">
        <v>15</v>
      </c>
      <c r="AU16" s="1" t="s">
        <v>2560</v>
      </c>
      <c r="AW16" s="1">
        <v>15</v>
      </c>
      <c r="AX16" s="1" t="s">
        <v>2724</v>
      </c>
      <c r="AZ16" s="1">
        <v>15</v>
      </c>
      <c r="BA16" s="1" t="s">
        <v>2601</v>
      </c>
      <c r="BC16" s="1">
        <v>15</v>
      </c>
      <c r="BD16" s="1" t="s">
        <v>2634</v>
      </c>
      <c r="BF16" s="1">
        <v>15</v>
      </c>
      <c r="BG16" s="1" t="s">
        <v>2604</v>
      </c>
    </row>
    <row r="17" spans="2:59" x14ac:dyDescent="0.25">
      <c r="B17" s="1">
        <v>6</v>
      </c>
      <c r="C17" s="1" t="s">
        <v>2489</v>
      </c>
      <c r="D17" s="1" t="s">
        <v>2667</v>
      </c>
      <c r="E17" s="1" t="s">
        <v>2670</v>
      </c>
      <c r="H17" s="1">
        <v>6</v>
      </c>
      <c r="I17" s="1" t="s">
        <v>2489</v>
      </c>
      <c r="J17" s="1" t="s">
        <v>2667</v>
      </c>
      <c r="K17" s="1" t="s">
        <v>2670</v>
      </c>
      <c r="N17" s="1">
        <v>6</v>
      </c>
      <c r="O17" s="1" t="s">
        <v>2489</v>
      </c>
      <c r="P17" s="1" t="s">
        <v>2669</v>
      </c>
      <c r="Q17" s="1" t="s">
        <v>2671</v>
      </c>
      <c r="T17" s="1">
        <v>6</v>
      </c>
      <c r="U17" s="1" t="s">
        <v>2489</v>
      </c>
      <c r="V17" s="1" t="s">
        <v>2668</v>
      </c>
      <c r="W17" s="1" t="s">
        <v>2670</v>
      </c>
      <c r="Z17" s="1">
        <v>6</v>
      </c>
      <c r="AA17" s="1" t="s">
        <v>2489</v>
      </c>
      <c r="AB17" s="1" t="s">
        <v>2668</v>
      </c>
      <c r="AC17" s="1" t="s">
        <v>2671</v>
      </c>
      <c r="AE17" s="1">
        <v>16</v>
      </c>
      <c r="AF17" s="1" t="s">
        <v>2500</v>
      </c>
      <c r="AH17" s="1">
        <v>16</v>
      </c>
      <c r="AI17" s="1" t="s">
        <v>2519</v>
      </c>
      <c r="AN17" s="1">
        <v>16</v>
      </c>
      <c r="AO17" s="1" t="s">
        <v>2679</v>
      </c>
      <c r="AQ17" s="1">
        <v>16</v>
      </c>
      <c r="AR17" s="1" t="s">
        <v>2529</v>
      </c>
      <c r="AT17" s="1">
        <v>16</v>
      </c>
      <c r="AU17" s="1" t="s">
        <v>2561</v>
      </c>
      <c r="AW17" s="1">
        <v>16</v>
      </c>
      <c r="AX17" s="1" t="s">
        <v>2572</v>
      </c>
      <c r="AZ17" s="1">
        <v>16</v>
      </c>
      <c r="BA17" s="1" t="s">
        <v>2602</v>
      </c>
      <c r="BC17" s="1">
        <v>16</v>
      </c>
      <c r="BD17" s="1" t="s">
        <v>2635</v>
      </c>
      <c r="BF17" s="1">
        <v>16</v>
      </c>
      <c r="BG17" s="1" t="s">
        <v>2605</v>
      </c>
    </row>
    <row r="18" spans="2:59" x14ac:dyDescent="0.25">
      <c r="B18" s="1">
        <v>7</v>
      </c>
      <c r="C18" s="1" t="s">
        <v>2490</v>
      </c>
      <c r="D18" s="1" t="s">
        <v>2667</v>
      </c>
      <c r="E18" s="1" t="s">
        <v>2671</v>
      </c>
      <c r="H18" s="1">
        <v>7</v>
      </c>
      <c r="I18" s="1" t="s">
        <v>2490</v>
      </c>
      <c r="J18" s="1" t="s">
        <v>2667</v>
      </c>
      <c r="K18" s="1" t="s">
        <v>2671</v>
      </c>
      <c r="N18" s="1">
        <v>7</v>
      </c>
      <c r="O18" s="1" t="s">
        <v>2490</v>
      </c>
      <c r="P18" s="1" t="s">
        <v>2673</v>
      </c>
      <c r="Q18" s="1" t="s">
        <v>2670</v>
      </c>
      <c r="T18" s="1">
        <v>7</v>
      </c>
      <c r="U18" s="1" t="s">
        <v>2490</v>
      </c>
      <c r="V18" s="1" t="s">
        <v>2668</v>
      </c>
      <c r="W18" s="1" t="s">
        <v>2671</v>
      </c>
      <c r="Z18" s="1">
        <v>7</v>
      </c>
      <c r="AA18" s="1" t="s">
        <v>2490</v>
      </c>
      <c r="AB18" s="1" t="s">
        <v>2669</v>
      </c>
      <c r="AC18" s="1" t="s">
        <v>2670</v>
      </c>
      <c r="AE18" s="1">
        <v>17</v>
      </c>
      <c r="AF18" s="1" t="s">
        <v>2500</v>
      </c>
      <c r="AH18" s="1">
        <v>17</v>
      </c>
      <c r="AI18" s="1" t="s">
        <v>2520</v>
      </c>
      <c r="AN18" s="1">
        <v>17</v>
      </c>
      <c r="AO18" s="1" t="s">
        <v>2679</v>
      </c>
      <c r="AQ18" s="1">
        <v>17</v>
      </c>
      <c r="AR18" s="1" t="s">
        <v>2530</v>
      </c>
      <c r="AT18" s="1">
        <v>17</v>
      </c>
      <c r="AU18" s="1" t="s">
        <v>2562</v>
      </c>
      <c r="AW18" s="1">
        <v>17</v>
      </c>
      <c r="AX18" s="1" t="s">
        <v>2573</v>
      </c>
      <c r="AZ18" s="1">
        <v>17</v>
      </c>
      <c r="BA18" s="1" t="s">
        <v>2609</v>
      </c>
      <c r="BC18" s="1">
        <v>17</v>
      </c>
      <c r="BD18" s="1" t="s">
        <v>2637</v>
      </c>
      <c r="BF18" s="1">
        <v>17</v>
      </c>
      <c r="BG18" s="1" t="s">
        <v>2606</v>
      </c>
    </row>
    <row r="19" spans="2:59" x14ac:dyDescent="0.25">
      <c r="B19" s="1">
        <v>8</v>
      </c>
      <c r="C19" s="1" t="s">
        <v>2491</v>
      </c>
      <c r="D19" s="1" t="s">
        <v>2667</v>
      </c>
      <c r="E19" s="1" t="s">
        <v>2671</v>
      </c>
      <c r="H19" s="1">
        <v>8</v>
      </c>
      <c r="I19" s="1" t="s">
        <v>2491</v>
      </c>
      <c r="J19" s="1" t="s">
        <v>2668</v>
      </c>
      <c r="K19" s="1" t="s">
        <v>2670</v>
      </c>
      <c r="N19" s="1">
        <v>8</v>
      </c>
      <c r="O19" s="1" t="s">
        <v>2491</v>
      </c>
      <c r="P19" s="1" t="s">
        <v>2674</v>
      </c>
      <c r="Q19" s="1" t="s">
        <v>2671</v>
      </c>
      <c r="T19" s="1">
        <v>8</v>
      </c>
      <c r="U19" s="1" t="s">
        <v>2491</v>
      </c>
      <c r="V19" s="1" t="s">
        <v>2668</v>
      </c>
      <c r="W19" s="1" t="s">
        <v>2671</v>
      </c>
      <c r="Z19" s="1">
        <v>8</v>
      </c>
      <c r="AA19" s="1" t="s">
        <v>2491</v>
      </c>
      <c r="AB19" s="1" t="s">
        <v>2669</v>
      </c>
      <c r="AC19" s="1" t="s">
        <v>2671</v>
      </c>
      <c r="AE19" s="1">
        <v>18</v>
      </c>
      <c r="AF19" s="1" t="s">
        <v>2500</v>
      </c>
      <c r="AH19" s="1">
        <v>18</v>
      </c>
      <c r="AI19" s="1" t="s">
        <v>2521</v>
      </c>
      <c r="AN19" s="1">
        <v>18</v>
      </c>
      <c r="AO19" s="1" t="s">
        <v>2539</v>
      </c>
      <c r="AQ19" s="1">
        <v>18</v>
      </c>
      <c r="AR19" s="1" t="s">
        <v>2520</v>
      </c>
      <c r="AT19" s="1">
        <v>18</v>
      </c>
      <c r="AU19" s="1" t="s">
        <v>2563</v>
      </c>
      <c r="AW19" s="1">
        <v>18</v>
      </c>
      <c r="AX19" s="1" t="s">
        <v>2574</v>
      </c>
      <c r="AZ19" s="1">
        <v>18</v>
      </c>
      <c r="BA19" s="1" t="s">
        <v>2610</v>
      </c>
      <c r="BC19" s="1">
        <v>18</v>
      </c>
      <c r="BD19" s="1" t="s">
        <v>2638</v>
      </c>
      <c r="BF19" s="1">
        <v>18</v>
      </c>
      <c r="BG19" s="1" t="s">
        <v>2607</v>
      </c>
    </row>
    <row r="20" spans="2:59" x14ac:dyDescent="0.25">
      <c r="B20" s="1">
        <v>9</v>
      </c>
      <c r="C20" s="1" t="s">
        <v>2492</v>
      </c>
      <c r="D20" s="1" t="s">
        <v>2667</v>
      </c>
      <c r="E20" s="1" t="s">
        <v>2671</v>
      </c>
      <c r="H20" s="1">
        <v>9</v>
      </c>
      <c r="I20" s="1" t="s">
        <v>2492</v>
      </c>
      <c r="J20" s="1" t="s">
        <v>2668</v>
      </c>
      <c r="K20" s="1" t="s">
        <v>2671</v>
      </c>
      <c r="N20" s="1">
        <v>9</v>
      </c>
      <c r="O20" s="1" t="s">
        <v>2492</v>
      </c>
      <c r="P20" s="1" t="s">
        <v>2675</v>
      </c>
      <c r="Q20" s="1" t="s">
        <v>2670</v>
      </c>
      <c r="T20" s="1">
        <v>9</v>
      </c>
      <c r="U20" s="1" t="s">
        <v>2492</v>
      </c>
      <c r="V20" s="1" t="s">
        <v>2668</v>
      </c>
      <c r="W20" s="1" t="s">
        <v>2671</v>
      </c>
      <c r="Z20" s="1">
        <v>9</v>
      </c>
      <c r="AA20" s="1" t="s">
        <v>2492</v>
      </c>
      <c r="AB20" s="1" t="s">
        <v>2674</v>
      </c>
      <c r="AC20" s="1" t="s">
        <v>2670</v>
      </c>
      <c r="AE20" s="1">
        <v>19</v>
      </c>
      <c r="AF20" s="1" t="s">
        <v>2500</v>
      </c>
      <c r="AH20" s="1">
        <v>19</v>
      </c>
      <c r="AI20" s="1" t="s">
        <v>2522</v>
      </c>
      <c r="AN20" s="1">
        <v>19</v>
      </c>
      <c r="AO20" s="1" t="s">
        <v>2540</v>
      </c>
      <c r="AQ20" s="1">
        <v>19</v>
      </c>
      <c r="AR20" s="1" t="s">
        <v>2531</v>
      </c>
      <c r="AT20" s="1">
        <v>19</v>
      </c>
      <c r="AU20" s="1" t="s">
        <v>2565</v>
      </c>
      <c r="AW20" s="1">
        <v>19</v>
      </c>
      <c r="AX20" s="1" t="s">
        <v>2726</v>
      </c>
      <c r="AZ20" s="1">
        <v>19</v>
      </c>
      <c r="BA20" s="1" t="s">
        <v>2611</v>
      </c>
      <c r="BC20" s="1">
        <v>19</v>
      </c>
      <c r="BD20" s="1" t="s">
        <v>2639</v>
      </c>
      <c r="BF20" s="1">
        <v>19</v>
      </c>
      <c r="BG20" s="1" t="s">
        <v>2608</v>
      </c>
    </row>
    <row r="21" spans="2:59" x14ac:dyDescent="0.25">
      <c r="B21" s="1">
        <v>10</v>
      </c>
      <c r="C21" s="1" t="s">
        <v>2493</v>
      </c>
      <c r="D21" s="1" t="s">
        <v>2667</v>
      </c>
      <c r="E21" s="1" t="s">
        <v>2671</v>
      </c>
      <c r="H21" s="1">
        <v>10</v>
      </c>
      <c r="I21" s="1" t="s">
        <v>2493</v>
      </c>
      <c r="J21" s="1" t="s">
        <v>2668</v>
      </c>
      <c r="K21" s="1" t="s">
        <v>2671</v>
      </c>
      <c r="N21" s="1">
        <v>10</v>
      </c>
      <c r="O21" s="1" t="s">
        <v>2493</v>
      </c>
      <c r="P21" s="1" t="s">
        <v>2675</v>
      </c>
      <c r="Q21" s="1" t="s">
        <v>2671</v>
      </c>
      <c r="T21" s="1">
        <v>10</v>
      </c>
      <c r="U21" s="1" t="s">
        <v>2493</v>
      </c>
      <c r="V21" s="1" t="s">
        <v>2668</v>
      </c>
      <c r="W21" s="1" t="s">
        <v>2671</v>
      </c>
      <c r="Z21" s="1">
        <v>10</v>
      </c>
      <c r="AA21" s="1" t="s">
        <v>2493</v>
      </c>
      <c r="AB21" s="1" t="s">
        <v>2674</v>
      </c>
      <c r="AC21" s="1" t="s">
        <v>2671</v>
      </c>
      <c r="AE21" s="1">
        <v>20</v>
      </c>
      <c r="AF21" s="1" t="s">
        <v>2500</v>
      </c>
      <c r="AH21" s="1">
        <v>20</v>
      </c>
      <c r="AI21" s="1" t="s">
        <v>2523</v>
      </c>
      <c r="AN21" s="1">
        <v>20</v>
      </c>
      <c r="AO21" s="1" t="s">
        <v>2617</v>
      </c>
      <c r="AQ21" s="1">
        <v>20</v>
      </c>
      <c r="AR21" s="1" t="s">
        <v>2512</v>
      </c>
      <c r="AT21" s="1">
        <v>20</v>
      </c>
      <c r="AU21" s="1" t="s">
        <v>2566</v>
      </c>
      <c r="AW21" s="1">
        <v>20</v>
      </c>
      <c r="AX21" s="1" t="s">
        <v>2725</v>
      </c>
      <c r="AZ21" s="1">
        <v>20</v>
      </c>
      <c r="BA21" s="1" t="s">
        <v>2612</v>
      </c>
      <c r="BC21" s="1">
        <v>20</v>
      </c>
      <c r="BD21" s="1" t="s">
        <v>2640</v>
      </c>
      <c r="BF21" s="1">
        <v>20</v>
      </c>
      <c r="BG21" s="1" t="s">
        <v>2613</v>
      </c>
    </row>
    <row r="22" spans="2:59" x14ac:dyDescent="0.25">
      <c r="AN22" s="1">
        <v>21</v>
      </c>
      <c r="AO22" s="1" t="s">
        <v>2618</v>
      </c>
      <c r="AQ22" s="1">
        <v>21</v>
      </c>
      <c r="AR22" s="1" t="s">
        <v>2532</v>
      </c>
      <c r="AW22" s="1">
        <v>21</v>
      </c>
      <c r="AX22" s="1" t="s">
        <v>2708</v>
      </c>
      <c r="BF22" s="1">
        <v>21</v>
      </c>
      <c r="BG22" s="1" t="s">
        <v>2614</v>
      </c>
    </row>
    <row r="23" spans="2:59" x14ac:dyDescent="0.25">
      <c r="AN23" s="1">
        <v>22</v>
      </c>
      <c r="AO23" s="1" t="s">
        <v>2619</v>
      </c>
      <c r="AQ23" s="1">
        <v>22</v>
      </c>
      <c r="AR23" s="1" t="s">
        <v>2533</v>
      </c>
      <c r="AW23" s="1">
        <v>22</v>
      </c>
      <c r="AX23" s="1" t="s">
        <v>2709</v>
      </c>
      <c r="BF23" s="1">
        <v>22</v>
      </c>
      <c r="BG23" s="1" t="s">
        <v>2626</v>
      </c>
    </row>
    <row r="24" spans="2:59" x14ac:dyDescent="0.25">
      <c r="AN24" s="1">
        <v>23</v>
      </c>
      <c r="AO24" s="1" t="s">
        <v>2620</v>
      </c>
      <c r="AW24" s="1">
        <v>23</v>
      </c>
      <c r="AX24" s="1" t="s">
        <v>2710</v>
      </c>
      <c r="BF24" s="1">
        <v>23</v>
      </c>
      <c r="BG24" s="1" t="s">
        <v>2631</v>
      </c>
    </row>
    <row r="25" spans="2:59" x14ac:dyDescent="0.25">
      <c r="AN25" s="1">
        <v>24</v>
      </c>
      <c r="AO25" s="1" t="s">
        <v>2621</v>
      </c>
      <c r="AW25" s="1">
        <v>24</v>
      </c>
      <c r="AX25" s="1" t="s">
        <v>2727</v>
      </c>
      <c r="BF25" s="1">
        <v>24</v>
      </c>
      <c r="BG25" s="1" t="s">
        <v>2632</v>
      </c>
    </row>
    <row r="26" spans="2:59" x14ac:dyDescent="0.25">
      <c r="AN26" s="1">
        <v>25</v>
      </c>
      <c r="AO26" s="1" t="s">
        <v>2622</v>
      </c>
      <c r="AW26" s="1">
        <v>25</v>
      </c>
      <c r="AX26" s="1" t="s">
        <v>2728</v>
      </c>
      <c r="BF26" s="1">
        <v>25</v>
      </c>
      <c r="BG26" s="1" t="s">
        <v>2633</v>
      </c>
    </row>
    <row r="27" spans="2:59" x14ac:dyDescent="0.25">
      <c r="AN27" s="1">
        <v>26</v>
      </c>
      <c r="AO27" s="1" t="s">
        <v>2623</v>
      </c>
      <c r="AW27" s="1">
        <v>26</v>
      </c>
      <c r="AX27" s="1" t="s">
        <v>2729</v>
      </c>
      <c r="BF27" s="1">
        <v>26</v>
      </c>
      <c r="BG27" s="1" t="s">
        <v>2636</v>
      </c>
    </row>
    <row r="28" spans="2:59" x14ac:dyDescent="0.25">
      <c r="AN28" s="1">
        <v>27</v>
      </c>
      <c r="AO28" s="1" t="s">
        <v>2676</v>
      </c>
      <c r="AW28" s="1">
        <v>27</v>
      </c>
      <c r="AX28" s="1" t="s">
        <v>2730</v>
      </c>
      <c r="BF28" s="1">
        <v>27</v>
      </c>
      <c r="BG28" s="1" t="s">
        <v>2641</v>
      </c>
    </row>
    <row r="29" spans="2:59" x14ac:dyDescent="0.25">
      <c r="AN29" s="1">
        <v>28</v>
      </c>
      <c r="AO29" s="1" t="s">
        <v>2677</v>
      </c>
      <c r="AW29" s="1">
        <v>28</v>
      </c>
      <c r="AX29" s="1" t="s">
        <v>2711</v>
      </c>
      <c r="BF29" s="1">
        <v>28</v>
      </c>
      <c r="BG29" s="1" t="s">
        <v>2642</v>
      </c>
    </row>
    <row r="30" spans="2:59" x14ac:dyDescent="0.25">
      <c r="AN30" s="1">
        <v>29</v>
      </c>
      <c r="AO30" s="1" t="s">
        <v>2678</v>
      </c>
      <c r="AW30" s="1">
        <v>29</v>
      </c>
      <c r="AX30" s="1" t="s">
        <v>2711</v>
      </c>
      <c r="BF30" s="1">
        <v>29</v>
      </c>
      <c r="BG30" s="1" t="s">
        <v>2643</v>
      </c>
    </row>
    <row r="31" spans="2:59" x14ac:dyDescent="0.25">
      <c r="AN31" s="1">
        <v>30</v>
      </c>
      <c r="AO31" s="1" t="s">
        <v>2683</v>
      </c>
      <c r="AW31" s="1">
        <v>30</v>
      </c>
      <c r="AX31" s="1" t="s">
        <v>2711</v>
      </c>
      <c r="BF31" s="1">
        <v>30</v>
      </c>
      <c r="BG31" s="1" t="s">
        <v>2644</v>
      </c>
    </row>
    <row r="32" spans="2:59" x14ac:dyDescent="0.25">
      <c r="AN32" s="1">
        <v>31</v>
      </c>
      <c r="AO32" s="1" t="s">
        <v>2684</v>
      </c>
      <c r="AW32" s="1">
        <v>31</v>
      </c>
      <c r="AX32" s="1" t="s">
        <v>2711</v>
      </c>
      <c r="BF32" s="1">
        <v>31</v>
      </c>
      <c r="BG32" s="1" t="s">
        <v>2645</v>
      </c>
    </row>
    <row r="33" spans="40:59" x14ac:dyDescent="0.25">
      <c r="AN33" s="1">
        <v>32</v>
      </c>
      <c r="AO33" s="1" t="s">
        <v>2703</v>
      </c>
      <c r="AW33" s="1">
        <v>32</v>
      </c>
      <c r="AX33" s="1" t="s">
        <v>2711</v>
      </c>
      <c r="BF33" s="1">
        <v>32</v>
      </c>
      <c r="BG33" s="1" t="s">
        <v>2646</v>
      </c>
    </row>
    <row r="34" spans="40:59" x14ac:dyDescent="0.25">
      <c r="AN34" s="1">
        <v>33</v>
      </c>
      <c r="AO34" s="1" t="s">
        <v>2702</v>
      </c>
      <c r="AW34" s="1">
        <v>33</v>
      </c>
      <c r="AX34" s="1" t="s">
        <v>2711</v>
      </c>
      <c r="BF34" s="1">
        <v>33</v>
      </c>
      <c r="BG34" s="1" t="s">
        <v>2647</v>
      </c>
    </row>
    <row r="35" spans="40:59" x14ac:dyDescent="0.25">
      <c r="AN35" s="1">
        <v>34</v>
      </c>
      <c r="AO35" s="1" t="s">
        <v>2704</v>
      </c>
      <c r="AW35" s="1">
        <v>34</v>
      </c>
      <c r="AX35" s="1" t="s">
        <v>2711</v>
      </c>
      <c r="BF35" s="1">
        <v>34</v>
      </c>
      <c r="BG35" s="1" t="s">
        <v>2648</v>
      </c>
    </row>
    <row r="36" spans="40:59" x14ac:dyDescent="0.25">
      <c r="AN36" s="1">
        <v>35</v>
      </c>
      <c r="AO36" s="1" t="s">
        <v>2701</v>
      </c>
      <c r="AW36" s="1">
        <v>35</v>
      </c>
      <c r="AX36" s="1" t="s">
        <v>2711</v>
      </c>
      <c r="BF36" s="1">
        <v>35</v>
      </c>
      <c r="BG36" s="1" t="s">
        <v>2649</v>
      </c>
    </row>
    <row r="37" spans="40:59" x14ac:dyDescent="0.25">
      <c r="AN37" s="1">
        <v>36</v>
      </c>
      <c r="AO37" s="1" t="s">
        <v>2700</v>
      </c>
      <c r="AW37" s="1">
        <v>36</v>
      </c>
      <c r="AX37" s="1" t="s">
        <v>2711</v>
      </c>
      <c r="BF37" s="1">
        <v>36</v>
      </c>
      <c r="BG37" s="1" t="s">
        <v>2650</v>
      </c>
    </row>
    <row r="38" spans="40:59" x14ac:dyDescent="0.25">
      <c r="AN38" s="1">
        <v>37</v>
      </c>
      <c r="AO38" s="1" t="s">
        <v>2699</v>
      </c>
      <c r="AW38" s="1">
        <v>37</v>
      </c>
      <c r="AX38" s="1" t="s">
        <v>2711</v>
      </c>
      <c r="BF38" s="1">
        <v>37</v>
      </c>
      <c r="BG38" s="1" t="s">
        <v>2651</v>
      </c>
    </row>
    <row r="39" spans="40:59" x14ac:dyDescent="0.25">
      <c r="AN39" s="1">
        <v>38</v>
      </c>
      <c r="AO39" s="1" t="s">
        <v>2698</v>
      </c>
      <c r="AW39" s="1">
        <v>38</v>
      </c>
      <c r="AX39" s="1" t="s">
        <v>2731</v>
      </c>
      <c r="BF39" s="1">
        <v>38</v>
      </c>
      <c r="BG39" s="1" t="s">
        <v>2652</v>
      </c>
    </row>
    <row r="40" spans="40:59" x14ac:dyDescent="0.25">
      <c r="AN40" s="1">
        <v>39</v>
      </c>
      <c r="AO40" s="1" t="s">
        <v>2697</v>
      </c>
      <c r="AW40" s="1">
        <v>39</v>
      </c>
      <c r="AX40" s="1" t="s">
        <v>2732</v>
      </c>
      <c r="BF40" s="1">
        <v>39</v>
      </c>
      <c r="BG40" s="1" t="s">
        <v>2653</v>
      </c>
    </row>
    <row r="41" spans="40:59" x14ac:dyDescent="0.25">
      <c r="AN41" s="1">
        <v>40</v>
      </c>
      <c r="AO41" s="1" t="s">
        <v>2705</v>
      </c>
      <c r="AW41" s="1">
        <v>40</v>
      </c>
      <c r="AX41" s="1" t="s">
        <v>2733</v>
      </c>
      <c r="BF41" s="1">
        <v>40</v>
      </c>
      <c r="BG41" s="1" t="s">
        <v>2654</v>
      </c>
    </row>
    <row r="42" spans="40:59" x14ac:dyDescent="0.25">
      <c r="AN42" s="1">
        <v>41</v>
      </c>
      <c r="AO42" s="1" t="s">
        <v>2696</v>
      </c>
      <c r="AW42" s="1">
        <v>41</v>
      </c>
      <c r="AX42" s="1" t="s">
        <v>2734</v>
      </c>
      <c r="BF42" s="1">
        <v>41</v>
      </c>
      <c r="BG42" s="1" t="s">
        <v>2655</v>
      </c>
    </row>
    <row r="43" spans="40:59" x14ac:dyDescent="0.25">
      <c r="AN43" s="1">
        <v>42</v>
      </c>
      <c r="AO43" s="1" t="s">
        <v>2695</v>
      </c>
      <c r="AW43" s="1">
        <v>42</v>
      </c>
      <c r="AX43" s="1" t="s">
        <v>2735</v>
      </c>
      <c r="BF43" s="1">
        <v>42</v>
      </c>
      <c r="BG43" s="1" t="s">
        <v>2656</v>
      </c>
    </row>
    <row r="44" spans="40:59" x14ac:dyDescent="0.25">
      <c r="AN44" s="1">
        <v>43</v>
      </c>
      <c r="AO44" s="1" t="s">
        <v>2694</v>
      </c>
      <c r="AW44" s="1">
        <v>43</v>
      </c>
      <c r="AX44" s="1" t="s">
        <v>2736</v>
      </c>
      <c r="BF44" s="1">
        <v>43</v>
      </c>
      <c r="BG44" s="1" t="s">
        <v>2657</v>
      </c>
    </row>
    <row r="45" spans="40:59" x14ac:dyDescent="0.25">
      <c r="AN45" s="1">
        <v>44</v>
      </c>
      <c r="AO45" s="1" t="s">
        <v>2693</v>
      </c>
      <c r="AW45" s="1">
        <v>44</v>
      </c>
      <c r="AX45" s="1" t="s">
        <v>2737</v>
      </c>
      <c r="BF45" s="1">
        <v>44</v>
      </c>
      <c r="BG45" s="1" t="s">
        <v>2658</v>
      </c>
    </row>
    <row r="46" spans="40:59" x14ac:dyDescent="0.25">
      <c r="AN46" s="1">
        <v>45</v>
      </c>
      <c r="AO46" s="1" t="s">
        <v>2706</v>
      </c>
      <c r="AW46" s="1">
        <v>45</v>
      </c>
      <c r="AX46" s="1" t="s">
        <v>2714</v>
      </c>
      <c r="BF46" s="1">
        <v>45</v>
      </c>
      <c r="BG46" s="1" t="s">
        <v>2659</v>
      </c>
    </row>
    <row r="47" spans="40:59" x14ac:dyDescent="0.25">
      <c r="AN47" s="1">
        <v>46</v>
      </c>
      <c r="AO47" s="1" t="s">
        <v>2692</v>
      </c>
      <c r="AW47" s="1">
        <v>46</v>
      </c>
      <c r="AX47" s="1" t="s">
        <v>2738</v>
      </c>
      <c r="BF47" s="1">
        <v>46</v>
      </c>
      <c r="BG47" s="1" t="s">
        <v>2660</v>
      </c>
    </row>
    <row r="48" spans="40:59" x14ac:dyDescent="0.25">
      <c r="AN48" s="1">
        <v>47</v>
      </c>
      <c r="AO48" s="1" t="s">
        <v>2691</v>
      </c>
      <c r="AW48" s="1">
        <v>47</v>
      </c>
      <c r="AX48" s="1" t="s">
        <v>2739</v>
      </c>
      <c r="BF48" s="1">
        <v>47</v>
      </c>
      <c r="BG48" s="1" t="s">
        <v>2661</v>
      </c>
    </row>
    <row r="49" spans="40:59" x14ac:dyDescent="0.25">
      <c r="AN49" s="1">
        <v>48</v>
      </c>
      <c r="AO49" s="1" t="s">
        <v>2707</v>
      </c>
      <c r="AW49" s="1">
        <v>48</v>
      </c>
      <c r="AX49" s="1" t="s">
        <v>2712</v>
      </c>
      <c r="BF49" s="1">
        <v>48</v>
      </c>
      <c r="BG49" s="1" t="s">
        <v>2662</v>
      </c>
    </row>
    <row r="50" spans="40:59" x14ac:dyDescent="0.25">
      <c r="AN50" s="1">
        <v>49</v>
      </c>
      <c r="AO50" s="1" t="s">
        <v>2690</v>
      </c>
      <c r="AW50" s="1">
        <v>49</v>
      </c>
      <c r="AX50" s="1" t="s">
        <v>2713</v>
      </c>
      <c r="BF50" s="1">
        <v>49</v>
      </c>
      <c r="BG50" s="1" t="s">
        <v>2663</v>
      </c>
    </row>
    <row r="51" spans="40:59" x14ac:dyDescent="0.25">
      <c r="AN51" s="1">
        <v>50</v>
      </c>
      <c r="AO51" s="1" t="s">
        <v>2689</v>
      </c>
      <c r="AW51" s="1">
        <v>50</v>
      </c>
      <c r="AX51" s="1" t="s">
        <v>2740</v>
      </c>
      <c r="BF51" s="1">
        <v>50</v>
      </c>
      <c r="BG51" s="1" t="s">
        <v>2664</v>
      </c>
    </row>
    <row r="52" spans="40:59" x14ac:dyDescent="0.25">
      <c r="AN52" s="1">
        <v>51</v>
      </c>
      <c r="AO52" s="1" t="s">
        <v>2688</v>
      </c>
    </row>
    <row r="53" spans="40:59" x14ac:dyDescent="0.25">
      <c r="AN53" s="1">
        <v>52</v>
      </c>
      <c r="AO53" s="1" t="s">
        <v>2687</v>
      </c>
    </row>
    <row r="54" spans="40:59" x14ac:dyDescent="0.25">
      <c r="AN54" s="1">
        <v>53</v>
      </c>
      <c r="AO54" s="1" t="s">
        <v>2686</v>
      </c>
    </row>
    <row r="55" spans="40:59" x14ac:dyDescent="0.25">
      <c r="AN55" s="1">
        <v>54</v>
      </c>
      <c r="AO55" s="1" t="s">
        <v>2685</v>
      </c>
    </row>
  </sheetData>
  <phoneticPr fontId="4" type="noConversion"/>
  <pageMargins left="0.7" right="0.7" top="0.75" bottom="0.75" header="0.3" footer="0.3"/>
  <pageSetup orientation="portrait" horizontalDpi="4294967293" r:id="rId1"/>
  <tableParts count="19">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Аркуші</vt:lpstr>
      </vt:variant>
      <vt:variant>
        <vt:i4>21</vt:i4>
      </vt:variant>
      <vt:variant>
        <vt:lpstr>Іменовані діапазони</vt:lpstr>
      </vt:variant>
      <vt:variant>
        <vt:i4>12</vt:i4>
      </vt:variant>
    </vt:vector>
  </HeadingPairs>
  <TitlesOfParts>
    <vt:vector size="33" baseType="lpstr">
      <vt:lpstr>Phrase Tables</vt:lpstr>
      <vt:lpstr>Personal Detail Tables</vt:lpstr>
      <vt:lpstr>Instructions</vt:lpstr>
      <vt:lpstr>Shameless Plug</vt:lpstr>
      <vt:lpstr>Character Overview</vt:lpstr>
      <vt:lpstr>Character 1</vt:lpstr>
      <vt:lpstr>Character 2</vt:lpstr>
      <vt:lpstr>Character 3</vt:lpstr>
      <vt:lpstr>Character 4</vt:lpstr>
      <vt:lpstr>Character 5</vt:lpstr>
      <vt:lpstr>Character 6</vt:lpstr>
      <vt:lpstr>Character 7</vt:lpstr>
      <vt:lpstr>Character 8</vt:lpstr>
      <vt:lpstr>Character 9</vt:lpstr>
      <vt:lpstr>Character 10</vt:lpstr>
      <vt:lpstr>Pick and Choose</vt:lpstr>
      <vt:lpstr>Race Tables</vt:lpstr>
      <vt:lpstr>Class Tables</vt:lpstr>
      <vt:lpstr>Spell Tables</vt:lpstr>
      <vt:lpstr>Items</vt:lpstr>
      <vt:lpstr>Actions</vt:lpstr>
      <vt:lpstr>'Character 1'!Область_друку</vt:lpstr>
      <vt:lpstr>'Character 10'!Область_друку</vt:lpstr>
      <vt:lpstr>'Character 2'!Область_друку</vt:lpstr>
      <vt:lpstr>'Character 3'!Область_друку</vt:lpstr>
      <vt:lpstr>'Character 4'!Область_друку</vt:lpstr>
      <vt:lpstr>'Character 5'!Область_друку</vt:lpstr>
      <vt:lpstr>'Character 6'!Область_друку</vt:lpstr>
      <vt:lpstr>'Character 7'!Область_друку</vt:lpstr>
      <vt:lpstr>'Character 8'!Область_друку</vt:lpstr>
      <vt:lpstr>'Character 9'!Область_друку</vt:lpstr>
      <vt:lpstr>'Pick and Choose'!Область_друку</vt:lpstr>
      <vt:lpstr>'Shameless Plug'!Область_друку</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Matthew Moyer</dc:creator>
  <cp:lastModifiedBy>Палихов Антон</cp:lastModifiedBy>
  <cp:lastPrinted>2020-06-03T00:54:24Z</cp:lastPrinted>
  <dcterms:created xsi:type="dcterms:W3CDTF">2019-10-12T23:58:35Z</dcterms:created>
  <dcterms:modified xsi:type="dcterms:W3CDTF">2021-03-17T02:50:13Z</dcterms:modified>
</cp:coreProperties>
</file>